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schultz_eric_epa_gov/Documents/03 ICR materials- COMP/"/>
    </mc:Choice>
  </mc:AlternateContent>
  <xr:revisionPtr revIDLastSave="0" documentId="8_{01603AE4-1E9B-4E3F-A180-F95186B51FA3}" xr6:coauthVersionLast="47" xr6:coauthVersionMax="47" xr10:uidLastSave="{00000000-0000-0000-0000-000000000000}"/>
  <bookViews>
    <workbookView xWindow="-25590" yWindow="1500" windowWidth="27015" windowHeight="13410" tabRatio="866" xr2:uid="{00000000-000D-0000-FFFF-FFFF00000000}"/>
  </bookViews>
  <sheets>
    <sheet name="Summary" sheetId="39" r:id="rId1"/>
    <sheet name="Read Me" sheetId="38" r:id="rId2"/>
    <sheet name="Number of Respondents" sheetId="36" r:id="rId3"/>
    <sheet name="Table 1" sheetId="2" r:id="rId4"/>
    <sheet name="Table 2" sheetId="1" r:id="rId5"/>
    <sheet name="Table 3" sheetId="7" r:id="rId6"/>
    <sheet name="Table 4" sheetId="3" r:id="rId7"/>
    <sheet name="Table 5" sheetId="4" r:id="rId8"/>
    <sheet name="Table 6" sheetId="5" r:id="rId9"/>
    <sheet name="Table 7" sheetId="6" r:id="rId10"/>
    <sheet name="Table 8" sheetId="8" r:id="rId11"/>
    <sheet name="Table 9" sheetId="9" r:id="rId12"/>
    <sheet name="Table F-1" sheetId="10" r:id="rId13"/>
    <sheet name="Table F-2" sheetId="11" r:id="rId14"/>
    <sheet name="Table F-3" sheetId="12" r:id="rId15"/>
    <sheet name="Table F-4" sheetId="13" r:id="rId16"/>
    <sheet name="Table F-5" sheetId="14" r:id="rId17"/>
    <sheet name="Table F-6" sheetId="15" r:id="rId18"/>
    <sheet name="Table F-7" sheetId="16" r:id="rId19"/>
    <sheet name="Table F-8" sheetId="17" r:id="rId20"/>
    <sheet name="Table F-9" sheetId="18" r:id="rId21"/>
    <sheet name="Table F-10" sheetId="19" r:id="rId22"/>
    <sheet name="Table F-11" sheetId="20" r:id="rId23"/>
    <sheet name="Table F-12" sheetId="21" r:id="rId24"/>
    <sheet name="Table G-1" sheetId="22" r:id="rId25"/>
    <sheet name="Table G-2" sheetId="23" r:id="rId26"/>
    <sheet name="Table G-3" sheetId="24" r:id="rId27"/>
    <sheet name="Table G-4" sheetId="25" r:id="rId28"/>
    <sheet name="Table G-5" sheetId="26" r:id="rId29"/>
    <sheet name="Table G-6" sheetId="27" r:id="rId30"/>
    <sheet name="Table G-7" sheetId="28" r:id="rId31"/>
    <sheet name="Table G-8" sheetId="29" r:id="rId32"/>
    <sheet name="Table G-9" sheetId="30" r:id="rId33"/>
    <sheet name="Table G-10" sheetId="31" r:id="rId34"/>
    <sheet name="Table G-11" sheetId="32" r:id="rId35"/>
    <sheet name="Table G-12" sheetId="33" r:id="rId36"/>
    <sheet name="Table G-13" sheetId="34" r:id="rId37"/>
    <sheet name="Capital and O&amp;M Costs" sheetId="35" r:id="rId38"/>
    <sheet name="Labor" sheetId="37"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36" l="1"/>
  <c r="B7" i="39"/>
  <c r="B6" i="39"/>
  <c r="B5" i="39"/>
  <c r="B4" i="39"/>
  <c r="B3" i="39"/>
  <c r="B2" i="39"/>
  <c r="L19" i="8" l="1"/>
  <c r="B9" i="8"/>
  <c r="I32" i="25"/>
  <c r="I12" i="10" l="1"/>
  <c r="E5" i="5"/>
  <c r="L21" i="8"/>
  <c r="H19" i="8"/>
  <c r="J19" i="8"/>
  <c r="I19" i="8"/>
  <c r="G20" i="35" l="1"/>
  <c r="G30" i="35"/>
  <c r="D31" i="35"/>
  <c r="G32" i="35"/>
  <c r="G8" i="35"/>
  <c r="K16" i="8"/>
  <c r="G36" i="35"/>
  <c r="F7" i="35"/>
  <c r="F14" i="11"/>
  <c r="E13" i="11"/>
  <c r="E12" i="11"/>
  <c r="E11" i="11"/>
  <c r="F31" i="23"/>
  <c r="G39" i="35" l="1"/>
  <c r="E30" i="23" l="1"/>
  <c r="E26" i="23"/>
  <c r="E24" i="23"/>
  <c r="E25" i="23"/>
  <c r="D29" i="35" l="1"/>
  <c r="C31" i="35"/>
  <c r="C29" i="35"/>
  <c r="F35" i="35"/>
  <c r="C7" i="35"/>
  <c r="I14" i="34"/>
  <c r="I5" i="34"/>
  <c r="F14" i="34"/>
  <c r="F13" i="34"/>
  <c r="F12" i="34"/>
  <c r="F11" i="34"/>
  <c r="F10" i="34"/>
  <c r="F9" i="34"/>
  <c r="F8" i="34"/>
  <c r="F7" i="34"/>
  <c r="F6" i="34"/>
  <c r="F5" i="34"/>
  <c r="B5" i="34"/>
  <c r="E17" i="22" l="1"/>
  <c r="I12" i="16"/>
  <c r="F12" i="16"/>
  <c r="F13" i="12"/>
  <c r="I13" i="13"/>
  <c r="F13" i="13"/>
  <c r="E114" i="9"/>
  <c r="E112" i="9"/>
  <c r="N8" i="4"/>
  <c r="M17" i="4"/>
  <c r="K8" i="4"/>
  <c r="I7" i="1"/>
  <c r="B22" i="3"/>
  <c r="B21" i="3"/>
  <c r="B20" i="3"/>
  <c r="B19" i="3"/>
  <c r="B18" i="3"/>
  <c r="B17" i="3"/>
  <c r="B16" i="3"/>
  <c r="B15" i="3"/>
  <c r="B11" i="3"/>
  <c r="B5" i="3"/>
  <c r="C23" i="36"/>
  <c r="C22" i="36"/>
  <c r="C27" i="36"/>
  <c r="M16" i="4"/>
  <c r="B7" i="3"/>
  <c r="B6" i="3"/>
  <c r="F64" i="36"/>
  <c r="C64" i="36"/>
  <c r="C63" i="36"/>
  <c r="F61" i="36"/>
  <c r="C62" i="36"/>
  <c r="B7" i="34" l="1"/>
  <c r="E13" i="22"/>
  <c r="E10" i="10" l="1"/>
  <c r="E11" i="10" s="1"/>
  <c r="B119" i="9"/>
  <c r="E6" i="33"/>
  <c r="E7" i="33"/>
  <c r="E8" i="33"/>
  <c r="E9" i="33"/>
  <c r="E10" i="33"/>
  <c r="E11" i="33"/>
  <c r="E12" i="33"/>
  <c r="E13" i="33"/>
  <c r="E5" i="33"/>
  <c r="G2" i="5" l="1"/>
  <c r="F2" i="5"/>
  <c r="E2" i="5"/>
  <c r="H2" i="7"/>
  <c r="G2" i="7"/>
  <c r="F2" i="7"/>
  <c r="H2" i="1"/>
  <c r="G2" i="1"/>
  <c r="F2" i="1"/>
  <c r="B62" i="36" l="1"/>
  <c r="B63" i="36"/>
  <c r="B61" i="36"/>
  <c r="C11" i="35" l="1"/>
  <c r="D11" i="35" l="1"/>
  <c r="I10" i="4" l="1"/>
  <c r="I11" i="4"/>
  <c r="I12" i="4"/>
  <c r="I13" i="4"/>
  <c r="I14" i="4"/>
  <c r="I15" i="4"/>
  <c r="I16" i="4"/>
  <c r="I9" i="4"/>
  <c r="I8" i="4"/>
  <c r="G10" i="4"/>
  <c r="G11" i="4"/>
  <c r="G12" i="4"/>
  <c r="G13" i="4"/>
  <c r="G14" i="4"/>
  <c r="G15" i="4"/>
  <c r="G16" i="4"/>
  <c r="G9" i="4"/>
  <c r="G8" i="4"/>
  <c r="E10" i="4"/>
  <c r="E11" i="4"/>
  <c r="E12" i="4"/>
  <c r="E13" i="4"/>
  <c r="E14" i="4"/>
  <c r="E15" i="4"/>
  <c r="E16" i="4"/>
  <c r="E9" i="4"/>
  <c r="E8" i="4"/>
  <c r="C10" i="4"/>
  <c r="C11" i="4"/>
  <c r="C12" i="4"/>
  <c r="C13" i="4"/>
  <c r="C14" i="4"/>
  <c r="C15" i="4"/>
  <c r="C16" i="4"/>
  <c r="C9" i="4"/>
  <c r="C8" i="4"/>
  <c r="D7" i="35" l="1"/>
  <c r="C9" i="35"/>
  <c r="D9" i="35" s="1"/>
  <c r="C13" i="35"/>
  <c r="D13" i="35" s="1"/>
  <c r="C15" i="35"/>
  <c r="D15" i="35" s="1"/>
  <c r="C17" i="35"/>
  <c r="D17" i="35" s="1"/>
  <c r="C19" i="35"/>
  <c r="D19" i="35" s="1"/>
  <c r="C21" i="35"/>
  <c r="D21" i="35" s="1"/>
  <c r="C23" i="35"/>
  <c r="D23" i="35" s="1"/>
  <c r="C25" i="35"/>
  <c r="D25" i="35" s="1"/>
  <c r="C5" i="35"/>
  <c r="D5" i="35" s="1"/>
  <c r="H2" i="34"/>
  <c r="G2" i="34"/>
  <c r="F2" i="34"/>
  <c r="H2" i="33"/>
  <c r="G2" i="33"/>
  <c r="F2" i="33"/>
  <c r="H2" i="32"/>
  <c r="G2" i="32"/>
  <c r="F2" i="32"/>
  <c r="H2" i="31"/>
  <c r="G2" i="31"/>
  <c r="F2" i="31"/>
  <c r="H2" i="30"/>
  <c r="G2" i="30"/>
  <c r="F2" i="30"/>
  <c r="H2" i="29"/>
  <c r="G2" i="29"/>
  <c r="F2" i="29"/>
  <c r="H2" i="28"/>
  <c r="G2" i="28"/>
  <c r="F2" i="28"/>
  <c r="H2" i="27"/>
  <c r="G2" i="27"/>
  <c r="F2" i="27"/>
  <c r="H2" i="26"/>
  <c r="G2" i="26"/>
  <c r="F2" i="26"/>
  <c r="H2" i="25"/>
  <c r="G2" i="25"/>
  <c r="F2" i="25"/>
  <c r="H2" i="24"/>
  <c r="G2" i="24"/>
  <c r="F2" i="24"/>
  <c r="H2" i="23"/>
  <c r="G2" i="23"/>
  <c r="F2" i="23"/>
  <c r="H2" i="22"/>
  <c r="G2" i="22"/>
  <c r="F2" i="22"/>
  <c r="F2" i="21"/>
  <c r="E2" i="21"/>
  <c r="D2" i="21"/>
  <c r="H2" i="20"/>
  <c r="G2" i="20"/>
  <c r="F2" i="20"/>
  <c r="H2" i="19"/>
  <c r="G2" i="19"/>
  <c r="F2" i="19"/>
  <c r="H2" i="18"/>
  <c r="G2" i="18"/>
  <c r="F2" i="18"/>
  <c r="H2" i="17"/>
  <c r="G2" i="17"/>
  <c r="F2" i="17"/>
  <c r="H2" i="16"/>
  <c r="G2" i="16"/>
  <c r="F2" i="16"/>
  <c r="H2" i="15"/>
  <c r="G2" i="15"/>
  <c r="F2" i="15"/>
  <c r="H2" i="14"/>
  <c r="G2" i="14"/>
  <c r="F2" i="14"/>
  <c r="H2" i="13"/>
  <c r="G2" i="13"/>
  <c r="F2" i="13"/>
  <c r="H2" i="12"/>
  <c r="G2" i="12"/>
  <c r="F2" i="12"/>
  <c r="H2" i="11"/>
  <c r="G2" i="11"/>
  <c r="F2" i="11"/>
  <c r="H2" i="10"/>
  <c r="G2" i="10"/>
  <c r="F2" i="10"/>
  <c r="G2" i="6"/>
  <c r="H2" i="6"/>
  <c r="F2" i="6"/>
  <c r="B112" i="9" l="1"/>
  <c r="B90" i="9"/>
  <c r="E90" i="9" s="1"/>
  <c r="B91" i="9"/>
  <c r="E91" i="9" s="1"/>
  <c r="B92" i="9"/>
  <c r="E92" i="9" s="1"/>
  <c r="B93" i="9"/>
  <c r="E93" i="9" s="1"/>
  <c r="B94" i="9"/>
  <c r="E94" i="9" s="1"/>
  <c r="B97" i="9"/>
  <c r="E97" i="9" s="1"/>
  <c r="B89" i="9"/>
  <c r="E89" i="9" s="1"/>
  <c r="E64" i="36" l="1"/>
  <c r="D64" i="36"/>
  <c r="B64" i="36"/>
  <c r="F56" i="36"/>
  <c r="E59" i="36"/>
  <c r="D59" i="36"/>
  <c r="B59" i="36"/>
  <c r="E54" i="36"/>
  <c r="D54" i="36"/>
  <c r="B54" i="36"/>
  <c r="F51" i="36"/>
  <c r="C52" i="36" s="1"/>
  <c r="E49" i="36"/>
  <c r="D49" i="36"/>
  <c r="B49" i="36"/>
  <c r="E44" i="36"/>
  <c r="D44" i="36"/>
  <c r="B44" i="36"/>
  <c r="E39" i="36"/>
  <c r="D39" i="36"/>
  <c r="B39" i="36"/>
  <c r="E34" i="36"/>
  <c r="D34" i="36"/>
  <c r="B34" i="36"/>
  <c r="F26" i="36"/>
  <c r="E29" i="36"/>
  <c r="D29" i="36"/>
  <c r="B29" i="36"/>
  <c r="F11" i="36"/>
  <c r="E24" i="36"/>
  <c r="D24" i="36"/>
  <c r="B24" i="36"/>
  <c r="F21" i="36"/>
  <c r="E19" i="36"/>
  <c r="D19" i="36"/>
  <c r="B19" i="36"/>
  <c r="F16" i="36"/>
  <c r="C17" i="36" s="1"/>
  <c r="D14" i="36"/>
  <c r="E14" i="36"/>
  <c r="B14" i="36"/>
  <c r="D9" i="36"/>
  <c r="E9" i="36"/>
  <c r="B9" i="36"/>
  <c r="F6" i="36"/>
  <c r="C7" i="36" s="1"/>
  <c r="F12" i="36" l="1"/>
  <c r="C13" i="36" s="1"/>
  <c r="C12" i="36"/>
  <c r="E14" i="29"/>
  <c r="B70" i="9" s="1"/>
  <c r="E70" i="9" s="1"/>
  <c r="E13" i="29"/>
  <c r="B69" i="9" s="1"/>
  <c r="E69" i="9" s="1"/>
  <c r="E19" i="29"/>
  <c r="E10" i="29"/>
  <c r="E8" i="17"/>
  <c r="E9" i="17" s="1"/>
  <c r="E7" i="17"/>
  <c r="E6" i="17"/>
  <c r="E10" i="28"/>
  <c r="E7" i="16"/>
  <c r="E6" i="16"/>
  <c r="E8" i="16"/>
  <c r="E9" i="16" s="1"/>
  <c r="E11" i="23"/>
  <c r="E12" i="23"/>
  <c r="B13" i="9" s="1"/>
  <c r="E13" i="9" s="1"/>
  <c r="E8" i="11"/>
  <c r="E7" i="11"/>
  <c r="E9" i="11"/>
  <c r="E6" i="11"/>
  <c r="E11" i="32"/>
  <c r="E10" i="32"/>
  <c r="F10" i="32" s="1"/>
  <c r="G10" i="32" s="1"/>
  <c r="E7" i="20"/>
  <c r="E9" i="20"/>
  <c r="E10" i="20" s="1"/>
  <c r="E8" i="20"/>
  <c r="E6" i="20"/>
  <c r="C13" i="21"/>
  <c r="C8" i="21"/>
  <c r="C10" i="21"/>
  <c r="C12" i="21"/>
  <c r="C14" i="21"/>
  <c r="C6" i="21"/>
  <c r="C11" i="21"/>
  <c r="C7" i="21"/>
  <c r="E17" i="24"/>
  <c r="B29" i="9" s="1"/>
  <c r="E29" i="9" s="1"/>
  <c r="E10" i="24"/>
  <c r="E15" i="24"/>
  <c r="B27" i="9" s="1"/>
  <c r="E27" i="9" s="1"/>
  <c r="E16" i="24"/>
  <c r="B28" i="9" s="1"/>
  <c r="E28" i="9" s="1"/>
  <c r="E11" i="24"/>
  <c r="E18" i="24"/>
  <c r="B30" i="9" s="1"/>
  <c r="E30" i="9" s="1"/>
  <c r="E8" i="12"/>
  <c r="E7" i="12"/>
  <c r="E9" i="12"/>
  <c r="E10" i="12"/>
  <c r="E6" i="12"/>
  <c r="E10" i="25"/>
  <c r="E8" i="13"/>
  <c r="E14" i="26"/>
  <c r="B46" i="9" s="1"/>
  <c r="E46" i="9" s="1"/>
  <c r="E13" i="26"/>
  <c r="B45" i="9" s="1"/>
  <c r="E45" i="9" s="1"/>
  <c r="E19" i="26"/>
  <c r="E10" i="26"/>
  <c r="E8" i="14"/>
  <c r="E9" i="14" s="1"/>
  <c r="E6" i="14"/>
  <c r="E7" i="14"/>
  <c r="E13" i="27"/>
  <c r="B53" i="9" s="1"/>
  <c r="E53" i="9" s="1"/>
  <c r="E10" i="27"/>
  <c r="E14" i="27"/>
  <c r="B54" i="9" s="1"/>
  <c r="E54" i="9" s="1"/>
  <c r="E6" i="15"/>
  <c r="E9" i="15"/>
  <c r="E10" i="15" s="1"/>
  <c r="E7" i="15"/>
  <c r="E8" i="15"/>
  <c r="E27" i="22"/>
  <c r="E15" i="22"/>
  <c r="B6" i="9" s="1"/>
  <c r="E6" i="9" s="1"/>
  <c r="E16" i="22"/>
  <c r="B7" i="9" s="1"/>
  <c r="E7" i="9" s="1"/>
  <c r="E9" i="10"/>
  <c r="E8" i="10"/>
  <c r="E10" i="30"/>
  <c r="E18" i="30"/>
  <c r="E8" i="18"/>
  <c r="E12" i="18"/>
  <c r="E10" i="18"/>
  <c r="E11" i="18"/>
  <c r="E9" i="18"/>
  <c r="E13" i="18"/>
  <c r="E14" i="18"/>
  <c r="E7" i="18"/>
  <c r="E6" i="18"/>
  <c r="F62" i="36"/>
  <c r="F57" i="36"/>
  <c r="F58" i="36" s="1"/>
  <c r="F52" i="36"/>
  <c r="C53" i="36" s="1"/>
  <c r="F53" i="36" s="1"/>
  <c r="F46" i="36"/>
  <c r="F41" i="36"/>
  <c r="C42" i="36" s="1"/>
  <c r="F36" i="36"/>
  <c r="C37" i="36" s="1"/>
  <c r="F31" i="36"/>
  <c r="C32" i="36" s="1"/>
  <c r="F22" i="36"/>
  <c r="F7" i="36"/>
  <c r="F17" i="36"/>
  <c r="D37" i="35"/>
  <c r="K18" i="8" s="1"/>
  <c r="D35" i="35"/>
  <c r="K17" i="8" s="1"/>
  <c r="G33" i="35"/>
  <c r="D33" i="35"/>
  <c r="G31" i="35"/>
  <c r="G27" i="35"/>
  <c r="D27" i="35"/>
  <c r="K14" i="8"/>
  <c r="K13" i="8"/>
  <c r="K12" i="8"/>
  <c r="K11" i="8"/>
  <c r="K10" i="8"/>
  <c r="K9" i="8"/>
  <c r="K8" i="8"/>
  <c r="K7" i="8"/>
  <c r="B6" i="34"/>
  <c r="B8" i="34"/>
  <c r="B9" i="34"/>
  <c r="B10" i="34"/>
  <c r="B11" i="34"/>
  <c r="B12" i="34"/>
  <c r="B13" i="34"/>
  <c r="F6" i="33"/>
  <c r="G6" i="33" s="1"/>
  <c r="F7" i="33"/>
  <c r="H7" i="33" s="1"/>
  <c r="F8" i="33"/>
  <c r="G8" i="33" s="1"/>
  <c r="F9" i="33"/>
  <c r="H9" i="33" s="1"/>
  <c r="F10" i="33"/>
  <c r="G10" i="33" s="1"/>
  <c r="F11" i="33"/>
  <c r="H11" i="33" s="1"/>
  <c r="F12" i="33"/>
  <c r="H12" i="33" s="1"/>
  <c r="F13" i="33"/>
  <c r="G13" i="33" s="1"/>
  <c r="F5" i="33"/>
  <c r="H5" i="33" s="1"/>
  <c r="B6" i="33"/>
  <c r="B7" i="33"/>
  <c r="B8" i="33"/>
  <c r="B9" i="33"/>
  <c r="B10" i="33"/>
  <c r="B11" i="33"/>
  <c r="B12" i="33"/>
  <c r="B13" i="33"/>
  <c r="B5" i="33"/>
  <c r="D10" i="32"/>
  <c r="D11" i="32"/>
  <c r="F11" i="32" s="1"/>
  <c r="G11" i="32" s="1"/>
  <c r="D12" i="32"/>
  <c r="D16" i="32"/>
  <c r="D17" i="32"/>
  <c r="D18" i="32"/>
  <c r="D19" i="32"/>
  <c r="D21" i="32"/>
  <c r="D22" i="32"/>
  <c r="D23" i="32"/>
  <c r="D31" i="32"/>
  <c r="D32" i="32"/>
  <c r="D33" i="32"/>
  <c r="D8" i="32"/>
  <c r="D8" i="31"/>
  <c r="D20" i="31"/>
  <c r="F20" i="31" s="1"/>
  <c r="D21" i="31"/>
  <c r="D22" i="31"/>
  <c r="D29" i="31"/>
  <c r="D12" i="31"/>
  <c r="D10" i="30"/>
  <c r="D11" i="30"/>
  <c r="D12" i="30"/>
  <c r="F12" i="30" s="1"/>
  <c r="D13" i="30"/>
  <c r="F13" i="30" s="1"/>
  <c r="D14" i="30"/>
  <c r="D18" i="30"/>
  <c r="F18" i="30" s="1"/>
  <c r="D19" i="30"/>
  <c r="D20" i="30"/>
  <c r="D21" i="30"/>
  <c r="D22" i="30"/>
  <c r="D23" i="30"/>
  <c r="D24" i="30"/>
  <c r="D25" i="30"/>
  <c r="D26" i="30"/>
  <c r="D34" i="30"/>
  <c r="D35" i="30"/>
  <c r="D8" i="30"/>
  <c r="D10" i="29"/>
  <c r="D11" i="29"/>
  <c r="D13" i="29"/>
  <c r="D14" i="29"/>
  <c r="F14" i="29" s="1"/>
  <c r="D15" i="29"/>
  <c r="D16" i="29"/>
  <c r="D19" i="29"/>
  <c r="D20" i="29"/>
  <c r="D21" i="29"/>
  <c r="D8" i="29"/>
  <c r="D10" i="28"/>
  <c r="D11" i="28"/>
  <c r="D13" i="28"/>
  <c r="D14" i="28"/>
  <c r="D15" i="28"/>
  <c r="D16" i="28"/>
  <c r="D19" i="28"/>
  <c r="D20" i="28"/>
  <c r="D21" i="28"/>
  <c r="D8" i="28"/>
  <c r="D10" i="27"/>
  <c r="D11" i="27"/>
  <c r="D13" i="27"/>
  <c r="D14" i="27"/>
  <c r="D15" i="27"/>
  <c r="D16" i="27"/>
  <c r="D19" i="27"/>
  <c r="F19" i="27" s="1"/>
  <c r="D20" i="27"/>
  <c r="D21" i="27"/>
  <c r="D8" i="27"/>
  <c r="D10" i="26"/>
  <c r="D11" i="26"/>
  <c r="D13" i="26"/>
  <c r="D14" i="26"/>
  <c r="F14" i="26" s="1"/>
  <c r="H14" i="26" s="1"/>
  <c r="D15" i="26"/>
  <c r="D16" i="26"/>
  <c r="D19" i="26"/>
  <c r="D20" i="26"/>
  <c r="D21" i="26"/>
  <c r="D8" i="26"/>
  <c r="F10" i="27" l="1"/>
  <c r="F13" i="26"/>
  <c r="H13" i="26" s="1"/>
  <c r="F63" i="36"/>
  <c r="B16" i="8" s="1"/>
  <c r="F13" i="29"/>
  <c r="F14" i="27"/>
  <c r="G14" i="27" s="1"/>
  <c r="E10" i="13"/>
  <c r="E9" i="13"/>
  <c r="F10" i="29"/>
  <c r="G10" i="29" s="1"/>
  <c r="F10" i="26"/>
  <c r="H10" i="26" s="1"/>
  <c r="F10" i="30"/>
  <c r="F13" i="27"/>
  <c r="G13" i="27" s="1"/>
  <c r="F10" i="28"/>
  <c r="H10" i="28" s="1"/>
  <c r="F19" i="29"/>
  <c r="G19" i="29" s="1"/>
  <c r="F19" i="26"/>
  <c r="G19" i="26" s="1"/>
  <c r="H10" i="27"/>
  <c r="G10" i="27"/>
  <c r="E11" i="30"/>
  <c r="B76" i="9" s="1"/>
  <c r="E76" i="9" s="1"/>
  <c r="B75" i="9"/>
  <c r="E75" i="9" s="1"/>
  <c r="E11" i="27"/>
  <c r="B51" i="9"/>
  <c r="E51" i="9" s="1"/>
  <c r="E17" i="25"/>
  <c r="B38" i="9" s="1"/>
  <c r="E38" i="9" s="1"/>
  <c r="E15" i="25"/>
  <c r="B36" i="9" s="1"/>
  <c r="E36" i="9" s="1"/>
  <c r="E16" i="25"/>
  <c r="B37" i="9" s="1"/>
  <c r="E37" i="9" s="1"/>
  <c r="E11" i="25"/>
  <c r="B35" i="9" s="1"/>
  <c r="E35" i="9" s="1"/>
  <c r="B34" i="9"/>
  <c r="E34" i="9" s="1"/>
  <c r="E11" i="26"/>
  <c r="B44" i="9" s="1"/>
  <c r="E44" i="9" s="1"/>
  <c r="B43" i="9"/>
  <c r="E43" i="9" s="1"/>
  <c r="E21" i="32"/>
  <c r="B107" i="9" s="1"/>
  <c r="E107" i="9" s="1"/>
  <c r="E18" i="32"/>
  <c r="B105" i="9" s="1"/>
  <c r="E105" i="9" s="1"/>
  <c r="E16" i="32"/>
  <c r="B103" i="9" s="1"/>
  <c r="E103" i="9" s="1"/>
  <c r="E22" i="32"/>
  <c r="B108" i="9" s="1"/>
  <c r="E108" i="9" s="1"/>
  <c r="E17" i="32"/>
  <c r="B104" i="9" s="1"/>
  <c r="E104" i="9" s="1"/>
  <c r="B100" i="9"/>
  <c r="E100" i="9" s="1"/>
  <c r="E16" i="23"/>
  <c r="E22" i="23"/>
  <c r="B19" i="9" s="1"/>
  <c r="E19" i="9" s="1"/>
  <c r="E17" i="23"/>
  <c r="B12" i="9"/>
  <c r="E12" i="9" s="1"/>
  <c r="E20" i="30"/>
  <c r="B79" i="9" s="1"/>
  <c r="E79" i="9" s="1"/>
  <c r="E24" i="30"/>
  <c r="B83" i="9" s="1"/>
  <c r="E83" i="9" s="1"/>
  <c r="E21" i="30"/>
  <c r="B80" i="9" s="1"/>
  <c r="E80" i="9" s="1"/>
  <c r="E22" i="30"/>
  <c r="B81" i="9" s="1"/>
  <c r="E81" i="9" s="1"/>
  <c r="E19" i="30"/>
  <c r="E25" i="30"/>
  <c r="F25" i="30" s="1"/>
  <c r="G25" i="30" s="1"/>
  <c r="E23" i="30"/>
  <c r="B82" i="9" s="1"/>
  <c r="E82" i="9" s="1"/>
  <c r="B77" i="9"/>
  <c r="E77" i="9" s="1"/>
  <c r="E7" i="13"/>
  <c r="E6" i="13"/>
  <c r="E12" i="32"/>
  <c r="B102" i="9" s="1"/>
  <c r="E102" i="9" s="1"/>
  <c r="B101" i="9"/>
  <c r="E101" i="9" s="1"/>
  <c r="E11" i="28"/>
  <c r="B60" i="9" s="1"/>
  <c r="E60" i="9" s="1"/>
  <c r="E14" i="28"/>
  <c r="B62" i="9" s="1"/>
  <c r="E62" i="9" s="1"/>
  <c r="E19" i="28"/>
  <c r="F19" i="28" s="1"/>
  <c r="G19" i="28" s="1"/>
  <c r="E13" i="28"/>
  <c r="B61" i="9" s="1"/>
  <c r="E61" i="9" s="1"/>
  <c r="B59" i="9"/>
  <c r="E59" i="9" s="1"/>
  <c r="E11" i="29"/>
  <c r="B68" i="9" s="1"/>
  <c r="E68" i="9" s="1"/>
  <c r="B67" i="9"/>
  <c r="E67" i="9" s="1"/>
  <c r="G7" i="33"/>
  <c r="I7" i="33" s="1"/>
  <c r="G11" i="33"/>
  <c r="I11" i="33" s="1"/>
  <c r="G12" i="33"/>
  <c r="I12" i="33" s="1"/>
  <c r="G34" i="35"/>
  <c r="G14" i="29"/>
  <c r="H14" i="29"/>
  <c r="G13" i="30"/>
  <c r="H13" i="30"/>
  <c r="G14" i="26"/>
  <c r="I14" i="26" s="1"/>
  <c r="G13" i="29"/>
  <c r="H13" i="29"/>
  <c r="G18" i="30"/>
  <c r="H18" i="30"/>
  <c r="G12" i="30"/>
  <c r="H12" i="30"/>
  <c r="G13" i="26"/>
  <c r="I13" i="26" s="1"/>
  <c r="G10" i="30"/>
  <c r="H10" i="30"/>
  <c r="H6" i="33"/>
  <c r="I6" i="33" s="1"/>
  <c r="K5" i="8"/>
  <c r="K6" i="8"/>
  <c r="K15" i="8"/>
  <c r="G9" i="33"/>
  <c r="I9" i="33" s="1"/>
  <c r="G28" i="35"/>
  <c r="G5" i="33"/>
  <c r="I5" i="33" s="1"/>
  <c r="H13" i="33"/>
  <c r="I13" i="33" s="1"/>
  <c r="H8" i="33"/>
  <c r="I8" i="33" s="1"/>
  <c r="H10" i="33"/>
  <c r="I10" i="33" s="1"/>
  <c r="C24" i="36"/>
  <c r="F11" i="35" s="1"/>
  <c r="G11" i="35" s="1"/>
  <c r="J8" i="8" s="1"/>
  <c r="C59" i="36"/>
  <c r="F25" i="35" s="1"/>
  <c r="G25" i="35" s="1"/>
  <c r="J15" i="8" s="1"/>
  <c r="F59" i="36"/>
  <c r="B15" i="8" s="1"/>
  <c r="C54" i="36"/>
  <c r="F23" i="35" s="1"/>
  <c r="G23" i="35" s="1"/>
  <c r="J14" i="8" s="1"/>
  <c r="F54" i="36"/>
  <c r="B14" i="8" s="1"/>
  <c r="C47" i="36"/>
  <c r="F27" i="36"/>
  <c r="C8" i="36"/>
  <c r="C18" i="36"/>
  <c r="F18" i="36" s="1"/>
  <c r="F13" i="36"/>
  <c r="H11" i="32"/>
  <c r="I11" i="32" s="1"/>
  <c r="H10" i="32"/>
  <c r="I10" i="32" s="1"/>
  <c r="G20" i="31"/>
  <c r="H20" i="31"/>
  <c r="G19" i="27"/>
  <c r="H19" i="27"/>
  <c r="D10" i="25"/>
  <c r="F10" i="25" s="1"/>
  <c r="D11" i="25"/>
  <c r="D15" i="25"/>
  <c r="D16" i="25"/>
  <c r="F16" i="25" s="1"/>
  <c r="G16" i="25" s="1"/>
  <c r="D17" i="25"/>
  <c r="D18" i="25"/>
  <c r="D19" i="25"/>
  <c r="D27" i="25"/>
  <c r="D28" i="25"/>
  <c r="D8" i="25"/>
  <c r="D27" i="24"/>
  <c r="D19" i="24"/>
  <c r="D16" i="24"/>
  <c r="F16" i="24" s="1"/>
  <c r="D17" i="24"/>
  <c r="F17" i="24" s="1"/>
  <c r="D18" i="24"/>
  <c r="F18" i="24" s="1"/>
  <c r="D15" i="24"/>
  <c r="F15" i="24" s="1"/>
  <c r="D11" i="24"/>
  <c r="F11" i="24" s="1"/>
  <c r="D10" i="24"/>
  <c r="F10" i="24" s="1"/>
  <c r="D8" i="24"/>
  <c r="D11" i="23"/>
  <c r="F11" i="23" s="1"/>
  <c r="G11" i="23" s="1"/>
  <c r="D12" i="23"/>
  <c r="F12" i="23" s="1"/>
  <c r="G12" i="23" s="1"/>
  <c r="D16" i="23"/>
  <c r="D17" i="23"/>
  <c r="D19" i="23"/>
  <c r="D20" i="23"/>
  <c r="D21" i="23"/>
  <c r="D22" i="23"/>
  <c r="D24" i="23"/>
  <c r="D25" i="23"/>
  <c r="D26" i="23"/>
  <c r="D27" i="23"/>
  <c r="D28" i="23"/>
  <c r="D29" i="23"/>
  <c r="D30" i="23"/>
  <c r="D35" i="23"/>
  <c r="D36" i="23"/>
  <c r="D37" i="23"/>
  <c r="D40" i="23"/>
  <c r="D8" i="23"/>
  <c r="D8" i="22"/>
  <c r="D13" i="22"/>
  <c r="D15" i="22"/>
  <c r="F15" i="22" s="1"/>
  <c r="D16" i="22"/>
  <c r="F16" i="22" s="1"/>
  <c r="D17" i="22"/>
  <c r="D18" i="22"/>
  <c r="D27" i="22"/>
  <c r="F27" i="22" s="1"/>
  <c r="D28" i="22"/>
  <c r="D29" i="22"/>
  <c r="D30" i="22"/>
  <c r="D10" i="22"/>
  <c r="F10" i="22" s="1"/>
  <c r="H19" i="26" l="1"/>
  <c r="H14" i="27"/>
  <c r="I14" i="27" s="1"/>
  <c r="E15" i="29"/>
  <c r="B71" i="9" s="1"/>
  <c r="E71" i="9" s="1"/>
  <c r="G24" i="35"/>
  <c r="I36" i="31" s="1"/>
  <c r="G10" i="26"/>
  <c r="I10" i="26" s="1"/>
  <c r="F29" i="35"/>
  <c r="G29" i="35" s="1"/>
  <c r="C15" i="21"/>
  <c r="C9" i="21"/>
  <c r="D9" i="21" s="1"/>
  <c r="F9" i="21" s="1"/>
  <c r="B113" i="9"/>
  <c r="E113" i="9" s="1"/>
  <c r="B116" i="9"/>
  <c r="M13" i="4"/>
  <c r="M15" i="4"/>
  <c r="E8" i="1"/>
  <c r="M12" i="4"/>
  <c r="M11" i="4"/>
  <c r="M10" i="4"/>
  <c r="M9" i="4"/>
  <c r="M8" i="4"/>
  <c r="M14" i="4"/>
  <c r="F16" i="23"/>
  <c r="G16" i="23" s="1"/>
  <c r="H10" i="29"/>
  <c r="I10" i="29" s="1"/>
  <c r="E15" i="28"/>
  <c r="B63" i="9" s="1"/>
  <c r="E63" i="9" s="1"/>
  <c r="G12" i="35"/>
  <c r="I33" i="25" s="1"/>
  <c r="H19" i="29"/>
  <c r="I19" i="29" s="1"/>
  <c r="K19" i="8"/>
  <c r="I13" i="29"/>
  <c r="I10" i="27"/>
  <c r="G35" i="35"/>
  <c r="G26" i="35"/>
  <c r="I38" i="32" s="1"/>
  <c r="F22" i="23"/>
  <c r="G22" i="23" s="1"/>
  <c r="F15" i="25"/>
  <c r="G15" i="25" s="1"/>
  <c r="I14" i="29"/>
  <c r="F14" i="28"/>
  <c r="G10" i="28"/>
  <c r="I10" i="28" s="1"/>
  <c r="H13" i="27"/>
  <c r="I13" i="27" s="1"/>
  <c r="F17" i="23"/>
  <c r="G17" i="23" s="1"/>
  <c r="D15" i="21"/>
  <c r="F15" i="21" s="1"/>
  <c r="H19" i="28"/>
  <c r="I19" i="28" s="1"/>
  <c r="F11" i="30"/>
  <c r="G11" i="30" s="1"/>
  <c r="E15" i="26"/>
  <c r="B47" i="9" s="1"/>
  <c r="E47" i="9" s="1"/>
  <c r="F12" i="32"/>
  <c r="G12" i="32" s="1"/>
  <c r="B52" i="9"/>
  <c r="E52" i="9" s="1"/>
  <c r="F11" i="27"/>
  <c r="E21" i="23"/>
  <c r="B18" i="9" s="1"/>
  <c r="E18" i="9" s="1"/>
  <c r="E20" i="23"/>
  <c r="B17" i="9" s="1"/>
  <c r="E17" i="9" s="1"/>
  <c r="B15" i="9"/>
  <c r="E15" i="9" s="1"/>
  <c r="E18" i="25"/>
  <c r="B39" i="9" s="1"/>
  <c r="E39" i="9" s="1"/>
  <c r="E15" i="27"/>
  <c r="F11" i="26"/>
  <c r="F17" i="25"/>
  <c r="H17" i="25" s="1"/>
  <c r="E19" i="25"/>
  <c r="F19" i="25" s="1"/>
  <c r="E12" i="13"/>
  <c r="E8" i="25"/>
  <c r="F8" i="25" s="1"/>
  <c r="H25" i="30"/>
  <c r="E35" i="30"/>
  <c r="F35" i="30" s="1"/>
  <c r="B84" i="9"/>
  <c r="E84" i="9" s="1"/>
  <c r="F15" i="29"/>
  <c r="E19" i="32"/>
  <c r="F16" i="32"/>
  <c r="F20" i="30"/>
  <c r="F11" i="28"/>
  <c r="F22" i="32"/>
  <c r="F21" i="30"/>
  <c r="F11" i="25"/>
  <c r="G11" i="25" s="1"/>
  <c r="E12" i="31"/>
  <c r="E21" i="31"/>
  <c r="E29" i="31"/>
  <c r="F29" i="31" s="1"/>
  <c r="E8" i="31"/>
  <c r="F8" i="31" s="1"/>
  <c r="E13" i="19"/>
  <c r="E14" i="19" s="1"/>
  <c r="F22" i="30"/>
  <c r="F13" i="28"/>
  <c r="F17" i="32"/>
  <c r="I19" i="26"/>
  <c r="I20" i="31"/>
  <c r="E23" i="32"/>
  <c r="E11" i="20"/>
  <c r="E8" i="32"/>
  <c r="F8" i="32" s="1"/>
  <c r="B78" i="9"/>
  <c r="E78" i="9" s="1"/>
  <c r="F19" i="30"/>
  <c r="F11" i="29"/>
  <c r="E19" i="23"/>
  <c r="B16" i="9" s="1"/>
  <c r="E16" i="9" s="1"/>
  <c r="B14" i="9"/>
  <c r="E14" i="9" s="1"/>
  <c r="F21" i="32"/>
  <c r="F24" i="30"/>
  <c r="F18" i="32"/>
  <c r="F23" i="30"/>
  <c r="I18" i="30"/>
  <c r="I10" i="30"/>
  <c r="G10" i="24"/>
  <c r="H10" i="24"/>
  <c r="G17" i="24"/>
  <c r="H17" i="24"/>
  <c r="G11" i="24"/>
  <c r="H11" i="24"/>
  <c r="G16" i="24"/>
  <c r="H16" i="24"/>
  <c r="G15" i="24"/>
  <c r="H15" i="24"/>
  <c r="H18" i="24"/>
  <c r="G18" i="24"/>
  <c r="I14" i="33"/>
  <c r="I16" i="33" s="1"/>
  <c r="I13" i="30"/>
  <c r="F23" i="36"/>
  <c r="F24" i="36" s="1"/>
  <c r="I25" i="30"/>
  <c r="I12" i="30"/>
  <c r="I19" i="27"/>
  <c r="F14" i="33"/>
  <c r="F47" i="36"/>
  <c r="F42" i="36"/>
  <c r="C43" i="36" s="1"/>
  <c r="C44" i="36" s="1"/>
  <c r="F37" i="36"/>
  <c r="F32" i="36"/>
  <c r="C33" i="36" s="1"/>
  <c r="C34" i="36" s="1"/>
  <c r="C28" i="36"/>
  <c r="F19" i="36"/>
  <c r="B12" i="3" s="1"/>
  <c r="F8" i="36"/>
  <c r="C9" i="36"/>
  <c r="F5" i="35" s="1"/>
  <c r="G5" i="35" s="1"/>
  <c r="C19" i="36"/>
  <c r="C14" i="36"/>
  <c r="F14" i="36"/>
  <c r="H10" i="25"/>
  <c r="G10" i="25"/>
  <c r="H16" i="25"/>
  <c r="I16" i="25" s="1"/>
  <c r="H10" i="22"/>
  <c r="G10" i="22"/>
  <c r="H16" i="23"/>
  <c r="I16" i="23" s="1"/>
  <c r="H12" i="23"/>
  <c r="I12" i="23" s="1"/>
  <c r="H11" i="23"/>
  <c r="I11" i="23" s="1"/>
  <c r="G16" i="22"/>
  <c r="H16" i="22"/>
  <c r="G15" i="22"/>
  <c r="H15" i="22"/>
  <c r="G27" i="22"/>
  <c r="H27" i="22"/>
  <c r="D7" i="21"/>
  <c r="F7" i="21" s="1"/>
  <c r="D8" i="21"/>
  <c r="F8" i="21" s="1"/>
  <c r="D10" i="21"/>
  <c r="E10" i="21" s="1"/>
  <c r="D11" i="21"/>
  <c r="E11" i="21" s="1"/>
  <c r="D12" i="21"/>
  <c r="E12" i="21" s="1"/>
  <c r="D13" i="21"/>
  <c r="E13" i="21" s="1"/>
  <c r="D14" i="21"/>
  <c r="E14" i="21" s="1"/>
  <c r="D6" i="21"/>
  <c r="D7" i="20"/>
  <c r="F7" i="20" s="1"/>
  <c r="D8" i="20"/>
  <c r="F8" i="20" s="1"/>
  <c r="D9" i="20"/>
  <c r="F9" i="20" s="1"/>
  <c r="D10" i="20"/>
  <c r="F10" i="20" s="1"/>
  <c r="D11" i="20"/>
  <c r="D6" i="20"/>
  <c r="F6" i="20" s="1"/>
  <c r="H6" i="20" s="1"/>
  <c r="D13" i="19"/>
  <c r="D14" i="19"/>
  <c r="D11" i="19"/>
  <c r="F11" i="19" s="1"/>
  <c r="H11" i="19" s="1"/>
  <c r="D7" i="18"/>
  <c r="F7" i="18" s="1"/>
  <c r="D8" i="18"/>
  <c r="F8" i="18" s="1"/>
  <c r="G8" i="18" s="1"/>
  <c r="D9" i="18"/>
  <c r="F9" i="18" s="1"/>
  <c r="G9" i="18" s="1"/>
  <c r="D10" i="18"/>
  <c r="F10" i="18" s="1"/>
  <c r="G10" i="18" s="1"/>
  <c r="D11" i="18"/>
  <c r="F11" i="18" s="1"/>
  <c r="D12" i="18"/>
  <c r="F12" i="18" s="1"/>
  <c r="G12" i="18" s="1"/>
  <c r="D13" i="18"/>
  <c r="F13" i="18" s="1"/>
  <c r="G13" i="18" s="1"/>
  <c r="D14" i="18"/>
  <c r="F14" i="18" s="1"/>
  <c r="G14" i="18" s="1"/>
  <c r="D16" i="18"/>
  <c r="D6" i="18"/>
  <c r="F6" i="18" s="1"/>
  <c r="H6" i="18" s="1"/>
  <c r="D7" i="17"/>
  <c r="F7" i="17" s="1"/>
  <c r="G7" i="17" s="1"/>
  <c r="D8" i="17"/>
  <c r="F8" i="17" s="1"/>
  <c r="G8" i="17" s="1"/>
  <c r="D9" i="17"/>
  <c r="F9" i="17" s="1"/>
  <c r="G9" i="17" s="1"/>
  <c r="D11" i="17"/>
  <c r="D6" i="17"/>
  <c r="F6" i="17" s="1"/>
  <c r="D7" i="16"/>
  <c r="F7" i="16" s="1"/>
  <c r="D8" i="16"/>
  <c r="F8" i="16" s="1"/>
  <c r="H8" i="16" s="1"/>
  <c r="D9" i="16"/>
  <c r="F9" i="16" s="1"/>
  <c r="H9" i="16" s="1"/>
  <c r="D11" i="16"/>
  <c r="D6" i="16"/>
  <c r="F6" i="16" s="1"/>
  <c r="D7" i="15"/>
  <c r="F7" i="15" s="1"/>
  <c r="D8" i="15"/>
  <c r="F8" i="15" s="1"/>
  <c r="D9" i="15"/>
  <c r="F9" i="15" s="1"/>
  <c r="D10" i="15"/>
  <c r="F10" i="15" s="1"/>
  <c r="D12" i="15"/>
  <c r="D6" i="15"/>
  <c r="F6" i="15" s="1"/>
  <c r="H6" i="15" s="1"/>
  <c r="D7" i="14"/>
  <c r="F7" i="14" s="1"/>
  <c r="D8" i="14"/>
  <c r="F8" i="14" s="1"/>
  <c r="D9" i="14"/>
  <c r="F9" i="14" s="1"/>
  <c r="D11" i="14"/>
  <c r="D6" i="14"/>
  <c r="F6" i="14" s="1"/>
  <c r="D7" i="13"/>
  <c r="F7" i="13" s="1"/>
  <c r="G7" i="13" s="1"/>
  <c r="D8" i="13"/>
  <c r="F8" i="13" s="1"/>
  <c r="D9" i="13"/>
  <c r="F9" i="13" s="1"/>
  <c r="D10" i="13"/>
  <c r="F10" i="13" s="1"/>
  <c r="H10" i="13" s="1"/>
  <c r="D12" i="13"/>
  <c r="D6" i="13"/>
  <c r="F6" i="13" s="1"/>
  <c r="D7" i="12"/>
  <c r="F7" i="12" s="1"/>
  <c r="D8" i="12"/>
  <c r="F8" i="12" s="1"/>
  <c r="D9" i="12"/>
  <c r="F9" i="12" s="1"/>
  <c r="D10" i="12"/>
  <c r="F10" i="12" s="1"/>
  <c r="D12" i="12"/>
  <c r="D6" i="12"/>
  <c r="F6" i="12" s="1"/>
  <c r="C39" i="36" l="1"/>
  <c r="C38" i="36"/>
  <c r="F13" i="19"/>
  <c r="K9" i="4"/>
  <c r="D5" i="5"/>
  <c r="K10" i="4"/>
  <c r="K11" i="4"/>
  <c r="K16" i="4"/>
  <c r="K12" i="4"/>
  <c r="K13" i="4"/>
  <c r="K14" i="4"/>
  <c r="K15" i="4"/>
  <c r="E7" i="1"/>
  <c r="F9" i="35"/>
  <c r="G9" i="35" s="1"/>
  <c r="G10" i="35" s="1"/>
  <c r="I32" i="24" s="1"/>
  <c r="E12" i="12"/>
  <c r="F12" i="12" s="1"/>
  <c r="G12" i="12" s="1"/>
  <c r="H22" i="23"/>
  <c r="I22" i="23" s="1"/>
  <c r="B7" i="8"/>
  <c r="F15" i="28"/>
  <c r="G15" i="28" s="1"/>
  <c r="G17" i="25"/>
  <c r="I17" i="25" s="1"/>
  <c r="B8" i="8"/>
  <c r="I18" i="24"/>
  <c r="F15" i="26"/>
  <c r="G15" i="26" s="1"/>
  <c r="G7" i="35"/>
  <c r="E40" i="23"/>
  <c r="F40" i="23" s="1"/>
  <c r="F21" i="23"/>
  <c r="J17" i="8"/>
  <c r="H15" i="5"/>
  <c r="E28" i="23"/>
  <c r="I15" i="34"/>
  <c r="J16" i="8"/>
  <c r="I10" i="22"/>
  <c r="H11" i="25"/>
  <c r="I11" i="25" s="1"/>
  <c r="H15" i="25"/>
  <c r="J5" i="8"/>
  <c r="G6" i="35"/>
  <c r="H12" i="32"/>
  <c r="I12" i="32" s="1"/>
  <c r="F20" i="23"/>
  <c r="G20" i="23" s="1"/>
  <c r="H8" i="25"/>
  <c r="G8" i="25"/>
  <c r="G14" i="28"/>
  <c r="H14" i="28"/>
  <c r="F12" i="13"/>
  <c r="G12" i="13" s="1"/>
  <c r="E8" i="21"/>
  <c r="H17" i="23"/>
  <c r="I17" i="23" s="1"/>
  <c r="I15" i="24"/>
  <c r="I11" i="24"/>
  <c r="I10" i="24"/>
  <c r="H11" i="30"/>
  <c r="I11" i="30" s="1"/>
  <c r="G9" i="16"/>
  <c r="I9" i="16" s="1"/>
  <c r="F14" i="19"/>
  <c r="G14" i="19" s="1"/>
  <c r="F11" i="20"/>
  <c r="H11" i="20" s="1"/>
  <c r="H8" i="20"/>
  <c r="G8" i="20"/>
  <c r="H19" i="25"/>
  <c r="G19" i="25"/>
  <c r="G11" i="29"/>
  <c r="H11" i="29"/>
  <c r="B88" i="9"/>
  <c r="E88" i="9" s="1"/>
  <c r="F12" i="31"/>
  <c r="G11" i="28"/>
  <c r="H11" i="28"/>
  <c r="H11" i="34"/>
  <c r="G11" i="34"/>
  <c r="I10" i="25"/>
  <c r="E8" i="22"/>
  <c r="I16" i="24"/>
  <c r="I17" i="24"/>
  <c r="G23" i="30"/>
  <c r="H23" i="30"/>
  <c r="G19" i="30"/>
  <c r="H19" i="30"/>
  <c r="E33" i="32"/>
  <c r="F33" i="32" s="1"/>
  <c r="E32" i="32"/>
  <c r="F32" i="32" s="1"/>
  <c r="E31" i="32"/>
  <c r="F31" i="32" s="1"/>
  <c r="B109" i="9"/>
  <c r="E109" i="9" s="1"/>
  <c r="F23" i="32"/>
  <c r="G17" i="32"/>
  <c r="H17" i="32"/>
  <c r="H8" i="31"/>
  <c r="G8" i="31"/>
  <c r="H15" i="29"/>
  <c r="G15" i="29"/>
  <c r="G11" i="26"/>
  <c r="H11" i="26"/>
  <c r="E116" i="9"/>
  <c r="B17" i="8"/>
  <c r="G12" i="34"/>
  <c r="H12" i="34"/>
  <c r="G10" i="34"/>
  <c r="H10" i="34"/>
  <c r="E27" i="24"/>
  <c r="F27" i="24" s="1"/>
  <c r="E19" i="24"/>
  <c r="E8" i="24"/>
  <c r="F8" i="24" s="1"/>
  <c r="G21" i="32"/>
  <c r="H21" i="32"/>
  <c r="B106" i="9"/>
  <c r="E106" i="9" s="1"/>
  <c r="F19" i="32"/>
  <c r="E27" i="25"/>
  <c r="F27" i="25" s="1"/>
  <c r="E28" i="25"/>
  <c r="F28" i="25" s="1"/>
  <c r="B40" i="9"/>
  <c r="E40" i="9" s="1"/>
  <c r="H5" i="34"/>
  <c r="G5" i="34"/>
  <c r="G8" i="16"/>
  <c r="I8" i="16" s="1"/>
  <c r="I15" i="25"/>
  <c r="G18" i="32"/>
  <c r="H18" i="32"/>
  <c r="G13" i="28"/>
  <c r="H13" i="28"/>
  <c r="H29" i="31"/>
  <c r="G29" i="31"/>
  <c r="G21" i="30"/>
  <c r="H21" i="30"/>
  <c r="G20" i="30"/>
  <c r="H20" i="30"/>
  <c r="B55" i="9"/>
  <c r="E55" i="9" s="1"/>
  <c r="F15" i="27"/>
  <c r="H13" i="34"/>
  <c r="G13" i="34"/>
  <c r="G8" i="34"/>
  <c r="H8" i="34"/>
  <c r="G6" i="34"/>
  <c r="H6" i="34"/>
  <c r="F19" i="23"/>
  <c r="F24" i="23"/>
  <c r="E8" i="23"/>
  <c r="F8" i="23" s="1"/>
  <c r="H24" i="30"/>
  <c r="G24" i="30"/>
  <c r="H15" i="26"/>
  <c r="H8" i="32"/>
  <c r="G8" i="32"/>
  <c r="G22" i="30"/>
  <c r="H22" i="30"/>
  <c r="E22" i="31"/>
  <c r="B95" i="9"/>
  <c r="E95" i="9" s="1"/>
  <c r="F21" i="31"/>
  <c r="G22" i="32"/>
  <c r="H22" i="32"/>
  <c r="G16" i="32"/>
  <c r="H16" i="32"/>
  <c r="G35" i="30"/>
  <c r="H35" i="30"/>
  <c r="F18" i="25"/>
  <c r="H11" i="27"/>
  <c r="G11" i="27"/>
  <c r="H9" i="34"/>
  <c r="G9" i="34"/>
  <c r="H7" i="34"/>
  <c r="G7" i="34"/>
  <c r="E7" i="21"/>
  <c r="G7" i="21" s="1"/>
  <c r="G6" i="14"/>
  <c r="H6" i="14"/>
  <c r="H9" i="15"/>
  <c r="G9" i="15"/>
  <c r="H7" i="16"/>
  <c r="G7" i="16"/>
  <c r="G10" i="12"/>
  <c r="H10" i="12"/>
  <c r="H8" i="15"/>
  <c r="G8" i="15"/>
  <c r="H7" i="20"/>
  <c r="G7" i="20"/>
  <c r="G9" i="12"/>
  <c r="H9" i="12"/>
  <c r="G9" i="14"/>
  <c r="H9" i="14"/>
  <c r="H7" i="15"/>
  <c r="G7" i="15"/>
  <c r="G7" i="12"/>
  <c r="H7" i="12"/>
  <c r="G7" i="14"/>
  <c r="H7" i="14"/>
  <c r="H6" i="16"/>
  <c r="G6" i="16"/>
  <c r="G6" i="13"/>
  <c r="H6" i="13"/>
  <c r="G8" i="13"/>
  <c r="H8" i="13"/>
  <c r="H6" i="17"/>
  <c r="G6" i="17"/>
  <c r="G13" i="19"/>
  <c r="H13" i="19"/>
  <c r="H6" i="12"/>
  <c r="G6" i="12"/>
  <c r="G8" i="12"/>
  <c r="H8" i="12"/>
  <c r="G8" i="14"/>
  <c r="H8" i="14"/>
  <c r="H10" i="15"/>
  <c r="G10" i="15"/>
  <c r="G11" i="18"/>
  <c r="H11" i="18"/>
  <c r="G7" i="18"/>
  <c r="H7" i="18"/>
  <c r="H9" i="20"/>
  <c r="G9" i="20"/>
  <c r="G6" i="15"/>
  <c r="I6" i="15" s="1"/>
  <c r="G6" i="18"/>
  <c r="H14" i="18"/>
  <c r="I14" i="18" s="1"/>
  <c r="H13" i="18"/>
  <c r="I13" i="18" s="1"/>
  <c r="H12" i="18"/>
  <c r="I12" i="18" s="1"/>
  <c r="H10" i="18"/>
  <c r="I10" i="18" s="1"/>
  <c r="H9" i="18"/>
  <c r="I9" i="18" s="1"/>
  <c r="H8" i="18"/>
  <c r="I8" i="18" s="1"/>
  <c r="G11" i="19"/>
  <c r="I11" i="19" s="1"/>
  <c r="G6" i="20"/>
  <c r="I6" i="20" s="1"/>
  <c r="F6" i="21"/>
  <c r="F14" i="21"/>
  <c r="G14" i="21" s="1"/>
  <c r="F13" i="21"/>
  <c r="G13" i="21" s="1"/>
  <c r="F12" i="21"/>
  <c r="G12" i="21" s="1"/>
  <c r="F11" i="21"/>
  <c r="G11" i="21" s="1"/>
  <c r="F10" i="21"/>
  <c r="G10" i="21" s="1"/>
  <c r="G8" i="21"/>
  <c r="E6" i="21"/>
  <c r="H7" i="13"/>
  <c r="I7" i="13" s="1"/>
  <c r="E15" i="21"/>
  <c r="G15" i="21" s="1"/>
  <c r="E9" i="21"/>
  <c r="G9" i="21" s="1"/>
  <c r="H10" i="20"/>
  <c r="G10" i="20"/>
  <c r="G11" i="20"/>
  <c r="I11" i="20" s="1"/>
  <c r="B6" i="8"/>
  <c r="C48" i="36"/>
  <c r="F28" i="36"/>
  <c r="F29" i="36" s="1"/>
  <c r="C29" i="36"/>
  <c r="F9" i="36"/>
  <c r="B5" i="8" s="1"/>
  <c r="I15" i="22"/>
  <c r="I16" i="22"/>
  <c r="I27" i="22"/>
  <c r="H9" i="17"/>
  <c r="I9" i="17" s="1"/>
  <c r="H8" i="17"/>
  <c r="I8" i="17" s="1"/>
  <c r="H7" i="17"/>
  <c r="I7" i="17" s="1"/>
  <c r="G10" i="13"/>
  <c r="I10" i="13" s="1"/>
  <c r="G9" i="13"/>
  <c r="H9" i="13"/>
  <c r="D12" i="11"/>
  <c r="D13" i="11"/>
  <c r="D11" i="11"/>
  <c r="D7" i="11"/>
  <c r="F7" i="11" s="1"/>
  <c r="D8" i="11"/>
  <c r="F8" i="11" s="1"/>
  <c r="D9" i="11"/>
  <c r="F9" i="11" s="1"/>
  <c r="D6" i="11"/>
  <c r="F6" i="11" s="1"/>
  <c r="H15" i="28" l="1"/>
  <c r="E29" i="22"/>
  <c r="E18" i="22"/>
  <c r="J7" i="8"/>
  <c r="I10" i="34"/>
  <c r="I11" i="29"/>
  <c r="I12" i="34"/>
  <c r="I11" i="28"/>
  <c r="I8" i="25"/>
  <c r="I6" i="13"/>
  <c r="F11" i="11"/>
  <c r="H11" i="11" s="1"/>
  <c r="I7" i="18"/>
  <c r="I9" i="34"/>
  <c r="I24" i="30"/>
  <c r="I19" i="25"/>
  <c r="G21" i="23"/>
  <c r="H21" i="23"/>
  <c r="I7" i="14"/>
  <c r="F13" i="35"/>
  <c r="G13" i="35" s="1"/>
  <c r="H20" i="23"/>
  <c r="I20" i="23" s="1"/>
  <c r="E36" i="23"/>
  <c r="F36" i="23" s="1"/>
  <c r="E35" i="23"/>
  <c r="F35" i="23" s="1"/>
  <c r="E29" i="23"/>
  <c r="E37" i="23"/>
  <c r="F37" i="23" s="1"/>
  <c r="B22" i="9"/>
  <c r="E22" i="9" s="1"/>
  <c r="F28" i="23"/>
  <c r="H27" i="24"/>
  <c r="G27" i="24"/>
  <c r="I27" i="24" s="1"/>
  <c r="J6" i="8"/>
  <c r="I45" i="23"/>
  <c r="H12" i="13"/>
  <c r="I12" i="13" s="1"/>
  <c r="I11" i="26"/>
  <c r="H40" i="23"/>
  <c r="G40" i="23"/>
  <c r="H14" i="19"/>
  <c r="I14" i="19" s="1"/>
  <c r="I15" i="29"/>
  <c r="I33" i="22"/>
  <c r="I21" i="30"/>
  <c r="I13" i="28"/>
  <c r="I14" i="28"/>
  <c r="F12" i="11"/>
  <c r="G12" i="11" s="1"/>
  <c r="I9" i="14"/>
  <c r="I23" i="30"/>
  <c r="I7" i="12"/>
  <c r="I11" i="27"/>
  <c r="I20" i="30"/>
  <c r="I15" i="28"/>
  <c r="I17" i="32"/>
  <c r="I21" i="32"/>
  <c r="I8" i="20"/>
  <c r="D16" i="8"/>
  <c r="I6" i="34"/>
  <c r="I11" i="34"/>
  <c r="I13" i="34"/>
  <c r="I7" i="34"/>
  <c r="I8" i="34"/>
  <c r="G23" i="32"/>
  <c r="H23" i="32"/>
  <c r="I8" i="12"/>
  <c r="I13" i="19"/>
  <c r="I9" i="15"/>
  <c r="H12" i="12"/>
  <c r="I12" i="12" s="1"/>
  <c r="I16" i="32"/>
  <c r="G21" i="31"/>
  <c r="H21" i="31"/>
  <c r="I22" i="30"/>
  <c r="I15" i="26"/>
  <c r="H15" i="27"/>
  <c r="G15" i="27"/>
  <c r="G28" i="25"/>
  <c r="H28" i="25"/>
  <c r="G8" i="24"/>
  <c r="H8" i="24"/>
  <c r="E28" i="22"/>
  <c r="F28" i="22" s="1"/>
  <c r="F13" i="22"/>
  <c r="I8" i="31"/>
  <c r="E21" i="26"/>
  <c r="F21" i="26" s="1"/>
  <c r="E16" i="26"/>
  <c r="E20" i="26"/>
  <c r="F20" i="26" s="1"/>
  <c r="E11" i="14"/>
  <c r="F11" i="14" s="1"/>
  <c r="E8" i="26"/>
  <c r="F8" i="26" s="1"/>
  <c r="H18" i="25"/>
  <c r="G18" i="25"/>
  <c r="I8" i="32"/>
  <c r="F25" i="23"/>
  <c r="H27" i="25"/>
  <c r="G27" i="25"/>
  <c r="B31" i="9"/>
  <c r="E31" i="9" s="1"/>
  <c r="E32" i="9" s="1"/>
  <c r="C7" i="8" s="1"/>
  <c r="F19" i="24"/>
  <c r="E16" i="8"/>
  <c r="G31" i="32"/>
  <c r="H31" i="32"/>
  <c r="I19" i="30"/>
  <c r="G24" i="23"/>
  <c r="H24" i="23"/>
  <c r="H33" i="32"/>
  <c r="G33" i="32"/>
  <c r="F13" i="11"/>
  <c r="G13" i="11" s="1"/>
  <c r="I8" i="14"/>
  <c r="I7" i="15"/>
  <c r="I8" i="15"/>
  <c r="I7" i="16"/>
  <c r="I35" i="30"/>
  <c r="I22" i="32"/>
  <c r="B96" i="9"/>
  <c r="E96" i="9" s="1"/>
  <c r="E98" i="9" s="1"/>
  <c r="C14" i="8" s="1"/>
  <c r="F22" i="31"/>
  <c r="H8" i="23"/>
  <c r="G8" i="23"/>
  <c r="G19" i="23"/>
  <c r="H19" i="23"/>
  <c r="F34" i="31"/>
  <c r="E14" i="8" s="1"/>
  <c r="I29" i="31"/>
  <c r="I18" i="32"/>
  <c r="G19" i="32"/>
  <c r="H19" i="32"/>
  <c r="H32" i="32"/>
  <c r="G32" i="32"/>
  <c r="F29" i="22"/>
  <c r="E30" i="22"/>
  <c r="F30" i="22" s="1"/>
  <c r="F8" i="22"/>
  <c r="G12" i="31"/>
  <c r="H12" i="31"/>
  <c r="D16" i="21"/>
  <c r="H16" i="8"/>
  <c r="F12" i="20"/>
  <c r="I11" i="18"/>
  <c r="I6" i="17"/>
  <c r="I6" i="16"/>
  <c r="I6" i="14"/>
  <c r="I9" i="13"/>
  <c r="I8" i="13"/>
  <c r="I10" i="12"/>
  <c r="I9" i="12"/>
  <c r="I6" i="12"/>
  <c r="G6" i="11"/>
  <c r="I10" i="15"/>
  <c r="G6" i="21"/>
  <c r="G16" i="21" s="1"/>
  <c r="I7" i="20"/>
  <c r="H6" i="11"/>
  <c r="I6" i="18"/>
  <c r="I9" i="20"/>
  <c r="I10" i="20"/>
  <c r="H15" i="8"/>
  <c r="F48" i="36"/>
  <c r="F49" i="36" s="1"/>
  <c r="B13" i="8" s="1"/>
  <c r="C49" i="36"/>
  <c r="F21" i="35" s="1"/>
  <c r="G21" i="35" s="1"/>
  <c r="F43" i="36"/>
  <c r="F44" i="36" s="1"/>
  <c r="B12" i="8" s="1"/>
  <c r="F38" i="36"/>
  <c r="F39" i="36" s="1"/>
  <c r="B11" i="8" s="1"/>
  <c r="F17" i="35"/>
  <c r="G17" i="35" s="1"/>
  <c r="G18" i="35" s="1"/>
  <c r="F33" i="36"/>
  <c r="F34" i="36" s="1"/>
  <c r="G7" i="11"/>
  <c r="G8" i="11"/>
  <c r="G9" i="11"/>
  <c r="H7" i="11"/>
  <c r="H8" i="11"/>
  <c r="H9" i="11"/>
  <c r="D11" i="10"/>
  <c r="F11" i="10" s="1"/>
  <c r="G11" i="10" s="1"/>
  <c r="D8" i="10"/>
  <c r="F8" i="10" s="1"/>
  <c r="D9" i="10"/>
  <c r="F9" i="10" s="1"/>
  <c r="G9" i="10" s="1"/>
  <c r="D10" i="10"/>
  <c r="F10" i="10" s="1"/>
  <c r="B18" i="8"/>
  <c r="F37" i="35" s="1"/>
  <c r="G37" i="35" s="1"/>
  <c r="E119" i="9"/>
  <c r="E120" i="9" s="1"/>
  <c r="C18" i="8" s="1"/>
  <c r="E117" i="9"/>
  <c r="C17" i="8" s="1"/>
  <c r="I17" i="6"/>
  <c r="F17" i="6"/>
  <c r="E18" i="8" s="1"/>
  <c r="D13" i="6"/>
  <c r="F13" i="6" s="1"/>
  <c r="D9" i="6"/>
  <c r="F9" i="6" s="1"/>
  <c r="D5" i="7"/>
  <c r="F5" i="7" s="1"/>
  <c r="H7" i="8" l="1"/>
  <c r="I40" i="23"/>
  <c r="G11" i="11"/>
  <c r="B10" i="8"/>
  <c r="B19" i="8" s="1"/>
  <c r="H8" i="8"/>
  <c r="I21" i="23"/>
  <c r="G14" i="35"/>
  <c r="J9" i="8"/>
  <c r="F15" i="35"/>
  <c r="G15" i="35" s="1"/>
  <c r="J10" i="8" s="1"/>
  <c r="I15" i="27"/>
  <c r="I21" i="31"/>
  <c r="I30" i="24"/>
  <c r="F19" i="35"/>
  <c r="G19" i="35" s="1"/>
  <c r="F16" i="8"/>
  <c r="H14" i="8"/>
  <c r="I12" i="31"/>
  <c r="I19" i="32"/>
  <c r="I28" i="25"/>
  <c r="I16" i="34"/>
  <c r="F30" i="24"/>
  <c r="E7" i="8" s="1"/>
  <c r="I14" i="8"/>
  <c r="B23" i="9"/>
  <c r="E23" i="9" s="1"/>
  <c r="F29" i="23"/>
  <c r="J11" i="8"/>
  <c r="I24" i="28"/>
  <c r="G37" i="23"/>
  <c r="H37" i="23"/>
  <c r="F31" i="25"/>
  <c r="E8" i="8" s="1"/>
  <c r="G28" i="23"/>
  <c r="H28" i="23"/>
  <c r="H35" i="23"/>
  <c r="G35" i="23"/>
  <c r="J13" i="8"/>
  <c r="G22" i="35"/>
  <c r="I39" i="30" s="1"/>
  <c r="F16" i="19"/>
  <c r="I33" i="32"/>
  <c r="H36" i="23"/>
  <c r="G36" i="23"/>
  <c r="I36" i="23" s="1"/>
  <c r="J18" i="8"/>
  <c r="G38" i="35"/>
  <c r="I19" i="6" s="1"/>
  <c r="H12" i="11"/>
  <c r="I12" i="11" s="1"/>
  <c r="I8" i="8"/>
  <c r="I16" i="8"/>
  <c r="I13" i="12"/>
  <c r="I16" i="19"/>
  <c r="I24" i="23"/>
  <c r="I32" i="32"/>
  <c r="F24" i="32"/>
  <c r="D15" i="8" s="1"/>
  <c r="I31" i="32"/>
  <c r="G16" i="8"/>
  <c r="I27" i="25"/>
  <c r="G8" i="26"/>
  <c r="H8" i="26"/>
  <c r="E16" i="27"/>
  <c r="E12" i="15"/>
  <c r="F12" i="15" s="1"/>
  <c r="E8" i="27"/>
  <c r="F8" i="27" s="1"/>
  <c r="H11" i="14"/>
  <c r="G11" i="14"/>
  <c r="G28" i="22"/>
  <c r="H28" i="22"/>
  <c r="H13" i="11"/>
  <c r="I7" i="8"/>
  <c r="G30" i="22"/>
  <c r="H30" i="22"/>
  <c r="F36" i="32"/>
  <c r="E15" i="8" s="1"/>
  <c r="G19" i="24"/>
  <c r="H19" i="24"/>
  <c r="G25" i="23"/>
  <c r="H25" i="23"/>
  <c r="I25" i="23" s="1"/>
  <c r="I18" i="25"/>
  <c r="I20" i="25" s="1"/>
  <c r="F20" i="25"/>
  <c r="H20" i="26"/>
  <c r="G20" i="26"/>
  <c r="I20" i="26" s="1"/>
  <c r="G8" i="22"/>
  <c r="H8" i="22"/>
  <c r="G21" i="26"/>
  <c r="H21" i="26"/>
  <c r="B8" i="9"/>
  <c r="E8" i="9" s="1"/>
  <c r="F17" i="22"/>
  <c r="E21" i="29"/>
  <c r="F21" i="29" s="1"/>
  <c r="E16" i="29"/>
  <c r="E20" i="29"/>
  <c r="F20" i="29" s="1"/>
  <c r="E11" i="17"/>
  <c r="F11" i="17" s="1"/>
  <c r="E8" i="29"/>
  <c r="F8" i="29" s="1"/>
  <c r="B9" i="9"/>
  <c r="E9" i="9" s="1"/>
  <c r="F18" i="22"/>
  <c r="G22" i="31"/>
  <c r="H22" i="31"/>
  <c r="E16" i="28"/>
  <c r="E11" i="16"/>
  <c r="F11" i="16" s="1"/>
  <c r="E8" i="28"/>
  <c r="F8" i="28" s="1"/>
  <c r="E26" i="30"/>
  <c r="E8" i="30"/>
  <c r="F8" i="30" s="1"/>
  <c r="E14" i="30"/>
  <c r="F14" i="30" s="1"/>
  <c r="E16" i="18"/>
  <c r="F16" i="18" s="1"/>
  <c r="G29" i="22"/>
  <c r="H29" i="22"/>
  <c r="I19" i="23"/>
  <c r="I8" i="23"/>
  <c r="E27" i="23"/>
  <c r="B20" i="9"/>
  <c r="E20" i="9" s="1"/>
  <c r="F26" i="23"/>
  <c r="B48" i="9"/>
  <c r="E48" i="9" s="1"/>
  <c r="E49" i="9" s="1"/>
  <c r="C9" i="8" s="1"/>
  <c r="F16" i="26"/>
  <c r="G13" i="22"/>
  <c r="H13" i="22"/>
  <c r="I8" i="24"/>
  <c r="I23" i="32"/>
  <c r="I24" i="32" s="1"/>
  <c r="I6" i="11"/>
  <c r="I9" i="11"/>
  <c r="G5" i="7"/>
  <c r="H5" i="7"/>
  <c r="G10" i="10"/>
  <c r="H10" i="10"/>
  <c r="I11" i="11"/>
  <c r="C16" i="8"/>
  <c r="G8" i="10"/>
  <c r="H8" i="10"/>
  <c r="I8" i="10" s="1"/>
  <c r="I12" i="20"/>
  <c r="E41" i="9"/>
  <c r="C8" i="8" s="1"/>
  <c r="H11" i="10"/>
  <c r="I11" i="10" s="1"/>
  <c r="H9" i="10"/>
  <c r="I9" i="10" s="1"/>
  <c r="I8" i="11"/>
  <c r="I7" i="11"/>
  <c r="I15" i="8"/>
  <c r="E110" i="9"/>
  <c r="C15" i="8" s="1"/>
  <c r="G9" i="6"/>
  <c r="H9" i="6"/>
  <c r="G13" i="6"/>
  <c r="H13" i="6"/>
  <c r="D17" i="4"/>
  <c r="F17" i="4"/>
  <c r="H17" i="4"/>
  <c r="J17" i="4"/>
  <c r="L17" i="4"/>
  <c r="B17" i="4"/>
  <c r="D7" i="1"/>
  <c r="F7" i="1" s="1"/>
  <c r="D8" i="1"/>
  <c r="F8" i="1" s="1"/>
  <c r="D6" i="1"/>
  <c r="F6" i="1" s="1"/>
  <c r="I28" i="23" l="1"/>
  <c r="I21" i="26"/>
  <c r="I35" i="23"/>
  <c r="F32" i="25"/>
  <c r="I24" i="26"/>
  <c r="I31" i="25"/>
  <c r="I34" i="25" s="1"/>
  <c r="I24" i="29"/>
  <c r="J12" i="8"/>
  <c r="I29" i="22"/>
  <c r="H6" i="8"/>
  <c r="I8" i="26"/>
  <c r="G16" i="35"/>
  <c r="I24" i="27" s="1"/>
  <c r="I37" i="23"/>
  <c r="I19" i="24"/>
  <c r="I20" i="24" s="1"/>
  <c r="G29" i="23"/>
  <c r="H29" i="23"/>
  <c r="I8" i="22"/>
  <c r="F20" i="24"/>
  <c r="F31" i="24" s="1"/>
  <c r="F43" i="23"/>
  <c r="E6" i="8" s="1"/>
  <c r="I13" i="22"/>
  <c r="I22" i="26"/>
  <c r="F22" i="26"/>
  <c r="E9" i="8" s="1"/>
  <c r="I13" i="11"/>
  <c r="I14" i="11" s="1"/>
  <c r="I30" i="22"/>
  <c r="I28" i="22"/>
  <c r="I22" i="31"/>
  <c r="I24" i="31" s="1"/>
  <c r="G14" i="8" s="1"/>
  <c r="E10" i="9"/>
  <c r="C5" i="8" s="1"/>
  <c r="F31" i="22"/>
  <c r="E5" i="8" s="1"/>
  <c r="F37" i="32"/>
  <c r="I36" i="32"/>
  <c r="I37" i="32" s="1"/>
  <c r="I39" i="32" s="1"/>
  <c r="F15" i="8"/>
  <c r="B24" i="9"/>
  <c r="E24" i="9" s="1"/>
  <c r="F30" i="23"/>
  <c r="H8" i="30"/>
  <c r="G8" i="30"/>
  <c r="E20" i="28"/>
  <c r="F20" i="28" s="1"/>
  <c r="E21" i="28"/>
  <c r="F21" i="28" s="1"/>
  <c r="B64" i="9"/>
  <c r="E64" i="9" s="1"/>
  <c r="E65" i="9" s="1"/>
  <c r="C11" i="8" s="1"/>
  <c r="F16" i="28"/>
  <c r="B72" i="9"/>
  <c r="E72" i="9" s="1"/>
  <c r="E73" i="9" s="1"/>
  <c r="C12" i="8" s="1"/>
  <c r="F16" i="29"/>
  <c r="G8" i="27"/>
  <c r="H8" i="27"/>
  <c r="G14" i="30"/>
  <c r="H14" i="30"/>
  <c r="G18" i="22"/>
  <c r="H18" i="22"/>
  <c r="H18" i="8"/>
  <c r="G26" i="23"/>
  <c r="H26" i="23"/>
  <c r="E34" i="30"/>
  <c r="F34" i="30" s="1"/>
  <c r="B85" i="9"/>
  <c r="E85" i="9" s="1"/>
  <c r="E86" i="9" s="1"/>
  <c r="C13" i="8" s="1"/>
  <c r="F26" i="30"/>
  <c r="F24" i="31"/>
  <c r="H8" i="29"/>
  <c r="G8" i="29"/>
  <c r="G21" i="29"/>
  <c r="H21" i="29"/>
  <c r="D8" i="8"/>
  <c r="F8" i="8" s="1"/>
  <c r="I5" i="7"/>
  <c r="I6" i="7" s="1"/>
  <c r="H9" i="8"/>
  <c r="F12" i="14"/>
  <c r="H12" i="15"/>
  <c r="G12" i="15"/>
  <c r="B21" i="9"/>
  <c r="E21" i="9" s="1"/>
  <c r="F27" i="23"/>
  <c r="G11" i="16"/>
  <c r="H11" i="16"/>
  <c r="H20" i="29"/>
  <c r="G20" i="29"/>
  <c r="G16" i="26"/>
  <c r="H16" i="26"/>
  <c r="G16" i="18"/>
  <c r="H16" i="18"/>
  <c r="H13" i="8" s="1"/>
  <c r="H8" i="28"/>
  <c r="G8" i="28"/>
  <c r="H11" i="17"/>
  <c r="G11" i="17"/>
  <c r="I11" i="17" s="1"/>
  <c r="H17" i="22"/>
  <c r="G17" i="22"/>
  <c r="I11" i="14"/>
  <c r="E20" i="27"/>
  <c r="F20" i="27" s="1"/>
  <c r="E21" i="27"/>
  <c r="F21" i="27" s="1"/>
  <c r="B56" i="9"/>
  <c r="E56" i="9" s="1"/>
  <c r="E57" i="9" s="1"/>
  <c r="C10" i="8" s="1"/>
  <c r="F16" i="27"/>
  <c r="H5" i="8"/>
  <c r="F12" i="10"/>
  <c r="E17" i="4"/>
  <c r="N11" i="4"/>
  <c r="D8" i="5" s="1"/>
  <c r="B5" i="5"/>
  <c r="C17" i="4"/>
  <c r="N15" i="4"/>
  <c r="D12" i="5" s="1"/>
  <c r="N12" i="4"/>
  <c r="D9" i="5" s="1"/>
  <c r="N16" i="4"/>
  <c r="D13" i="5" s="1"/>
  <c r="I17" i="4"/>
  <c r="N14" i="4"/>
  <c r="D11" i="5" s="1"/>
  <c r="K17" i="4"/>
  <c r="N9" i="4"/>
  <c r="D6" i="5" s="1"/>
  <c r="I13" i="6"/>
  <c r="I10" i="10"/>
  <c r="F6" i="7"/>
  <c r="N13" i="4"/>
  <c r="D10" i="5" s="1"/>
  <c r="N10" i="4"/>
  <c r="D7" i="5" s="1"/>
  <c r="I9" i="6"/>
  <c r="F14" i="6"/>
  <c r="G6" i="1"/>
  <c r="H6" i="1"/>
  <c r="H8" i="1"/>
  <c r="G8" i="1"/>
  <c r="H7" i="1"/>
  <c r="G7" i="1"/>
  <c r="G17" i="4"/>
  <c r="I31" i="22" l="1"/>
  <c r="F9" i="1"/>
  <c r="I43" i="23"/>
  <c r="I20" i="29"/>
  <c r="D7" i="8"/>
  <c r="F7" i="8" s="1"/>
  <c r="G8" i="8"/>
  <c r="I6" i="8"/>
  <c r="I18" i="22"/>
  <c r="I8" i="27"/>
  <c r="I12" i="15"/>
  <c r="I10" i="8" s="1"/>
  <c r="I29" i="23"/>
  <c r="F12" i="17"/>
  <c r="F17" i="18"/>
  <c r="H11" i="8"/>
  <c r="I16" i="26"/>
  <c r="I17" i="26" s="1"/>
  <c r="G9" i="8" s="1"/>
  <c r="I5" i="8"/>
  <c r="I18" i="8"/>
  <c r="I35" i="31"/>
  <c r="I37" i="31" s="1"/>
  <c r="E25" i="9"/>
  <c r="C6" i="8" s="1"/>
  <c r="C19" i="8" s="1"/>
  <c r="F22" i="29"/>
  <c r="E12" i="8" s="1"/>
  <c r="H12" i="8"/>
  <c r="I11" i="16"/>
  <c r="I11" i="8" s="1"/>
  <c r="I8" i="29"/>
  <c r="F20" i="22"/>
  <c r="I8" i="28"/>
  <c r="F17" i="26"/>
  <c r="F23" i="26" s="1"/>
  <c r="F13" i="15"/>
  <c r="I21" i="29"/>
  <c r="I8" i="30"/>
  <c r="G15" i="8"/>
  <c r="H16" i="27"/>
  <c r="G16" i="27"/>
  <c r="H34" i="30"/>
  <c r="G34" i="30"/>
  <c r="H16" i="29"/>
  <c r="G16" i="29"/>
  <c r="I16" i="18"/>
  <c r="H10" i="8"/>
  <c r="F35" i="31"/>
  <c r="D14" i="8"/>
  <c r="F14" i="8" s="1"/>
  <c r="I14" i="30"/>
  <c r="G20" i="28"/>
  <c r="H20" i="28"/>
  <c r="G20" i="27"/>
  <c r="H20" i="27"/>
  <c r="I12" i="8"/>
  <c r="I12" i="17"/>
  <c r="G27" i="23"/>
  <c r="H27" i="23"/>
  <c r="G30" i="23"/>
  <c r="H30" i="23"/>
  <c r="I12" i="14"/>
  <c r="I9" i="8"/>
  <c r="I31" i="24"/>
  <c r="I33" i="24" s="1"/>
  <c r="G7" i="8"/>
  <c r="G21" i="28"/>
  <c r="H21" i="28"/>
  <c r="H21" i="27"/>
  <c r="G21" i="27"/>
  <c r="I17" i="22"/>
  <c r="G26" i="30"/>
  <c r="H26" i="30"/>
  <c r="I26" i="23"/>
  <c r="G16" i="28"/>
  <c r="H16" i="28"/>
  <c r="B6" i="5"/>
  <c r="B13" i="5"/>
  <c r="B9" i="5"/>
  <c r="E8" i="5"/>
  <c r="G8" i="5" s="1"/>
  <c r="B7" i="5"/>
  <c r="B11" i="5"/>
  <c r="E12" i="5"/>
  <c r="B10" i="5"/>
  <c r="B8" i="5"/>
  <c r="E6" i="5"/>
  <c r="G6" i="5" s="1"/>
  <c r="E10" i="5"/>
  <c r="G10" i="5" s="1"/>
  <c r="I14" i="6"/>
  <c r="I18" i="6" s="1"/>
  <c r="I20" i="6" s="1"/>
  <c r="E13" i="5"/>
  <c r="F13" i="5" s="1"/>
  <c r="B12" i="5"/>
  <c r="E9" i="5"/>
  <c r="G9" i="5" s="1"/>
  <c r="E7" i="5"/>
  <c r="G7" i="5" s="1"/>
  <c r="N17" i="4"/>
  <c r="E11" i="5"/>
  <c r="G11" i="5" s="1"/>
  <c r="F18" i="6"/>
  <c r="D18" i="8"/>
  <c r="F18" i="8" s="1"/>
  <c r="H17" i="8"/>
  <c r="I8" i="1"/>
  <c r="I16" i="29" l="1"/>
  <c r="I17" i="29" s="1"/>
  <c r="I20" i="22"/>
  <c r="I32" i="22" s="1"/>
  <c r="I34" i="22" s="1"/>
  <c r="I22" i="29"/>
  <c r="F17" i="27"/>
  <c r="D10" i="8" s="1"/>
  <c r="I13" i="15"/>
  <c r="F17" i="28"/>
  <c r="D11" i="8" s="1"/>
  <c r="F5" i="5"/>
  <c r="H5" i="5" s="1"/>
  <c r="G12" i="5"/>
  <c r="D5" i="8"/>
  <c r="F32" i="22"/>
  <c r="F37" i="30"/>
  <c r="E13" i="8" s="1"/>
  <c r="I23" i="26"/>
  <c r="I25" i="26" s="1"/>
  <c r="F12" i="5"/>
  <c r="F17" i="29"/>
  <c r="F23" i="29" s="1"/>
  <c r="F22" i="27"/>
  <c r="E10" i="8" s="1"/>
  <c r="F27" i="30"/>
  <c r="D13" i="8" s="1"/>
  <c r="F22" i="28"/>
  <c r="E11" i="8" s="1"/>
  <c r="I34" i="30"/>
  <c r="I37" i="30" s="1"/>
  <c r="E121" i="9"/>
  <c r="G18" i="8"/>
  <c r="I21" i="28"/>
  <c r="D9" i="8"/>
  <c r="F9" i="8" s="1"/>
  <c r="I20" i="28"/>
  <c r="I30" i="23"/>
  <c r="I16" i="27"/>
  <c r="I17" i="27" s="1"/>
  <c r="I26" i="30"/>
  <c r="I27" i="30" s="1"/>
  <c r="G5" i="8"/>
  <c r="I20" i="27"/>
  <c r="I16" i="28"/>
  <c r="I17" i="28" s="1"/>
  <c r="I21" i="27"/>
  <c r="I27" i="23"/>
  <c r="I13" i="8"/>
  <c r="I17" i="18"/>
  <c r="F8" i="5"/>
  <c r="H8" i="5" s="1"/>
  <c r="G5" i="5"/>
  <c r="F10" i="5"/>
  <c r="H10" i="5" s="1"/>
  <c r="F6" i="5"/>
  <c r="G13" i="5"/>
  <c r="H13" i="5" s="1"/>
  <c r="I9" i="1"/>
  <c r="I17" i="8"/>
  <c r="F9" i="5"/>
  <c r="H9" i="5" s="1"/>
  <c r="F7" i="5"/>
  <c r="H7" i="5" s="1"/>
  <c r="F11" i="5"/>
  <c r="H11" i="5" s="1"/>
  <c r="G12" i="8" l="1"/>
  <c r="D12" i="8"/>
  <c r="F12" i="8" s="1"/>
  <c r="H12" i="5"/>
  <c r="F11" i="8"/>
  <c r="E17" i="8"/>
  <c r="E19" i="8" s="1"/>
  <c r="F10" i="8"/>
  <c r="I22" i="28"/>
  <c r="I23" i="28" s="1"/>
  <c r="I25" i="28" s="1"/>
  <c r="F5" i="8"/>
  <c r="D17" i="8"/>
  <c r="F13" i="8"/>
  <c r="D6" i="8"/>
  <c r="F6" i="8" s="1"/>
  <c r="F44" i="23"/>
  <c r="F38" i="30"/>
  <c r="F23" i="28"/>
  <c r="F23" i="27"/>
  <c r="I31" i="23"/>
  <c r="I44" i="23" s="1"/>
  <c r="I46" i="23" s="1"/>
  <c r="I23" i="29"/>
  <c r="I25" i="29" s="1"/>
  <c r="G13" i="8"/>
  <c r="I38" i="30"/>
  <c r="I40" i="30" s="1"/>
  <c r="I22" i="27"/>
  <c r="E14" i="5"/>
  <c r="H6" i="5"/>
  <c r="H14" i="5" l="1"/>
  <c r="H16" i="5" s="1"/>
  <c r="G6" i="8"/>
  <c r="G11" i="8"/>
  <c r="D19" i="8"/>
  <c r="G17" i="8"/>
  <c r="G10" i="8"/>
  <c r="I23" i="27"/>
  <c r="I25" i="27" s="1"/>
  <c r="F17" i="8"/>
  <c r="G19" i="8" l="1"/>
  <c r="L22" i="8" s="1"/>
  <c r="F19" i="8"/>
</calcChain>
</file>

<file path=xl/sharedStrings.xml><?xml version="1.0" encoding="utf-8"?>
<sst xmlns="http://schemas.openxmlformats.org/spreadsheetml/2006/main" count="1691" uniqueCount="562">
  <si>
    <t>Table 1: Agency Activities</t>
  </si>
  <si>
    <t>Performance Tests</t>
  </si>
  <si>
    <t xml:space="preserve">   -  Initial</t>
  </si>
  <si>
    <t xml:space="preserve">   -  Repeat</t>
  </si>
  <si>
    <t>Review Reports</t>
  </si>
  <si>
    <t xml:space="preserve">   -   Notification of Initial Startup</t>
  </si>
  <si>
    <t xml:space="preserve">   -   Notification of Performance Test</t>
  </si>
  <si>
    <t xml:space="preserve">   -   Initial Compliance Status</t>
  </si>
  <si>
    <t xml:space="preserve">   -   Startup, Shutdown, Malfunction Plans</t>
  </si>
  <si>
    <t xml:space="preserve">   -   Periodic Reports</t>
  </si>
  <si>
    <t>Table 2: Average Annual EPA Burden and Cost for the CAR Provisions</t>
  </si>
  <si>
    <t>Burden item</t>
  </si>
  <si>
    <t>Average hours per activity</t>
  </si>
  <si>
    <t>Number of activities per year</t>
  </si>
  <si>
    <t>Report review</t>
  </si>
  <si>
    <t xml:space="preserve">  </t>
  </si>
  <si>
    <r>
      <t xml:space="preserve">2.  Review equipment leak monitoring </t>
    </r>
    <r>
      <rPr>
        <vertAlign val="superscript"/>
        <sz val="10"/>
        <color theme="1"/>
        <rFont val="Times New Roman"/>
        <family val="1"/>
      </rPr>
      <t>c</t>
    </r>
  </si>
  <si>
    <r>
      <t xml:space="preserve">3.  Review periodic reports </t>
    </r>
    <r>
      <rPr>
        <vertAlign val="superscript"/>
        <sz val="10"/>
        <color theme="1"/>
        <rFont val="Times New Roman"/>
        <family val="1"/>
      </rPr>
      <t>d</t>
    </r>
  </si>
  <si>
    <t>Estimated Technical hours per plant per year
(C=AxB)</t>
  </si>
  <si>
    <t>(A)</t>
  </si>
  <si>
    <t>(B)</t>
  </si>
  <si>
    <t>(C)</t>
  </si>
  <si>
    <t>(D)</t>
  </si>
  <si>
    <t>(E)</t>
  </si>
  <si>
    <t>(F)</t>
  </si>
  <si>
    <t>(G)</t>
  </si>
  <si>
    <t>(H)</t>
  </si>
  <si>
    <t>Assumptions:</t>
  </si>
  <si>
    <t>Referencing subpart</t>
  </si>
  <si>
    <r>
      <t xml:space="preserve">Estimated number of sources complying with the CAR </t>
    </r>
    <r>
      <rPr>
        <b/>
        <vertAlign val="superscript"/>
        <sz val="12"/>
        <color rgb="FF000000"/>
        <rFont val="Times New Roman"/>
        <family val="1"/>
      </rPr>
      <t>a, b</t>
    </r>
  </si>
  <si>
    <t>Storage Vessels</t>
  </si>
  <si>
    <t>Ka</t>
  </si>
  <si>
    <t>Kb</t>
  </si>
  <si>
    <t>Y</t>
  </si>
  <si>
    <t>Transfer Racks</t>
  </si>
  <si>
    <t>BB</t>
  </si>
  <si>
    <t>Equipment Leaks</t>
  </si>
  <si>
    <t>V</t>
  </si>
  <si>
    <t>VV</t>
  </si>
  <si>
    <t>VVa</t>
  </si>
  <si>
    <t>Process Vents</t>
  </si>
  <si>
    <t>III</t>
  </si>
  <si>
    <t>NNN</t>
  </si>
  <si>
    <t>RRR</t>
  </si>
  <si>
    <t>DDD</t>
  </si>
  <si>
    <t>HON F &amp; G - Storage Vessels</t>
  </si>
  <si>
    <t>HON F &amp; G - Transfer Racks</t>
  </si>
  <si>
    <t>HON H &amp;I -- Equipment Leaks</t>
  </si>
  <si>
    <t>HON F &amp; G - Process Vents</t>
  </si>
  <si>
    <t>Burden Item</t>
  </si>
  <si>
    <t>Annual Burden in Technical Hours</t>
  </si>
  <si>
    <t>Inventory</t>
  </si>
  <si>
    <r>
      <t xml:space="preserve">Total </t>
    </r>
    <r>
      <rPr>
        <b/>
        <vertAlign val="superscript"/>
        <sz val="10"/>
        <color rgb="FF000000"/>
        <rFont val="Times New Roman"/>
        <family val="1"/>
      </rPr>
      <t>d</t>
    </r>
  </si>
  <si>
    <t>With Connectors</t>
  </si>
  <si>
    <r>
      <t xml:space="preserve">Without Connectors </t>
    </r>
    <r>
      <rPr>
        <b/>
        <vertAlign val="superscript"/>
        <sz val="10"/>
        <color rgb="FF000000"/>
        <rFont val="Times New Roman"/>
        <family val="1"/>
      </rPr>
      <t>a</t>
    </r>
  </si>
  <si>
    <r>
      <t xml:space="preserve">Per source </t>
    </r>
    <r>
      <rPr>
        <b/>
        <vertAlign val="superscript"/>
        <sz val="10"/>
        <color rgb="FF000000"/>
        <rFont val="Times New Roman"/>
        <family val="1"/>
      </rPr>
      <t>b</t>
    </r>
  </si>
  <si>
    <r>
      <t xml:space="preserve">Total </t>
    </r>
    <r>
      <rPr>
        <b/>
        <vertAlign val="superscript"/>
        <sz val="10"/>
        <color rgb="FF000000"/>
        <rFont val="Times New Roman"/>
        <family val="1"/>
      </rPr>
      <t>c</t>
    </r>
  </si>
  <si>
    <t>2.  Plan activities</t>
  </si>
  <si>
    <t>3.  Training</t>
  </si>
  <si>
    <t>4.  Creation, testing, research and development</t>
  </si>
  <si>
    <t>5.  Gather information, monitor/ inspect</t>
  </si>
  <si>
    <t>6.  Process/compile and review</t>
  </si>
  <si>
    <t>7.  Complete forms</t>
  </si>
  <si>
    <t>8.  Record/disclose</t>
  </si>
  <si>
    <t>9.  Store/file</t>
  </si>
  <si>
    <t>TOTAL</t>
  </si>
  <si>
    <r>
      <t>a</t>
    </r>
    <r>
      <rPr>
        <sz val="10"/>
        <color theme="1"/>
        <rFont val="Times New Roman"/>
        <family val="1"/>
      </rPr>
      <t xml:space="preserve">  The HON, the basis for the CAR burden estimate, requires connector monitoring.  Sources originally complying with subpart V or VV will not be required to perform connector monitoring.  Connector monitoring for these facilities is the average of the per source burden for subparts V and VV.  The average for subparts V and VV is 294 hours, 40.9 percent less than the HON-based estimate.  Per-source estimates for each burden item were estimated by multiplying the HON-based estimate by 40.9 percent.</t>
    </r>
  </si>
  <si>
    <r>
      <t>b</t>
    </r>
    <r>
      <rPr>
        <sz val="10"/>
        <color theme="1"/>
        <rFont val="Times New Roman"/>
        <family val="1"/>
      </rPr>
      <t xml:space="preserve">  From the most recently approved CAR ICR.</t>
    </r>
  </si>
  <si>
    <r>
      <t>c</t>
    </r>
    <r>
      <rPr>
        <sz val="10"/>
        <color theme="1"/>
        <rFont val="Times New Roman"/>
        <family val="1"/>
      </rPr>
      <t xml:space="preserve">  Total burden for each source type is the product of the per-source burden and the total number of sources estimated to opt to comply with the CAR.  The estimated numbers of sources to comply with the CAR is from the most recently approved ICR and are detailed in Table 4:</t>
    </r>
  </si>
  <si>
    <r>
      <t>d</t>
    </r>
    <r>
      <rPr>
        <sz val="10"/>
        <color theme="1"/>
        <rFont val="Times New Roman"/>
        <family val="1"/>
      </rPr>
      <t xml:space="preserve">  Total burden for each burden item is the sum of totals for each source type.  This burden represents technical hours only and is the basis for determining total burden in Table 6.</t>
    </r>
  </si>
  <si>
    <t>- One storage vessel (subparts Ka, Kb, Y, and G);</t>
  </si>
  <si>
    <t>- One process vent (subparts DDD, III, NNN, RRR, and G);</t>
  </si>
  <si>
    <t>- The collection of subject equipment for one process unit (subparts VV, VVa, V, and H and I); or</t>
  </si>
  <si>
    <t>- One transfer rack (subparts BB and G).</t>
  </si>
  <si>
    <t>Table 6: Annual Respondent Burden and Cost for the CAR Provisions</t>
  </si>
  <si>
    <t>4.  Creation, testing, research, and development</t>
  </si>
  <si>
    <t>5.  Gather information, monitor/inspect</t>
  </si>
  <si>
    <t>Estimated number of activities per year per respondent</t>
  </si>
  <si>
    <t>Technical hours per year per respondent</t>
  </si>
  <si>
    <t>Estimated technical hours per year</t>
  </si>
  <si>
    <t>Annual cost per year ($)</t>
  </si>
  <si>
    <t>Respondents per year</t>
  </si>
  <si>
    <t>Estimated managerial hours per year
(E=Dx0.5)</t>
  </si>
  <si>
    <t>Estimated clerical hours per year
(F=Dx0.1)</t>
  </si>
  <si>
    <t>Table 5: Basis for Annual Respondent Burden and Cost for the CAR</t>
  </si>
  <si>
    <t xml:space="preserve">Table 4: Estimated Number of Sources Subject to Referencing Subparts that Will Opt to Comply with the CAR
</t>
  </si>
  <si>
    <t>Table 3: Average Annual EPA Burden and Cost for the Direct Final Standards</t>
  </si>
  <si>
    <t>Report review/filing</t>
  </si>
  <si>
    <t>Technical person-hours per occurrence</t>
  </si>
  <si>
    <t>No. of occurrences per respondent per year</t>
  </si>
  <si>
    <t>Technical person-hours per respondent per year
(C=AxB)</t>
  </si>
  <si>
    <t>Technical hours per year 
(E=CxD)</t>
  </si>
  <si>
    <t>Management hours per year 
(F=Ex0.05)</t>
  </si>
  <si>
    <t>Clerical hours per year 
(G=Ex0.1)</t>
  </si>
  <si>
    <r>
      <t xml:space="preserve">Total cost per year ($) </t>
    </r>
    <r>
      <rPr>
        <b/>
        <vertAlign val="superscript"/>
        <sz val="10"/>
        <color theme="1"/>
        <rFont val="Times New Roman"/>
        <family val="1"/>
      </rPr>
      <t>a</t>
    </r>
  </si>
  <si>
    <t>Sources per year</t>
  </si>
  <si>
    <t>Table 7: Annual Respondent Burden and Cost for the Direct Final Standards</t>
  </si>
  <si>
    <t>1.  Applications</t>
  </si>
  <si>
    <t>N/A</t>
  </si>
  <si>
    <t>2.  Survey and Studies</t>
  </si>
  <si>
    <t>3.  Acquisition, installation, and utilization of technology and systems</t>
  </si>
  <si>
    <t>4.  Reporting requirements</t>
  </si>
  <si>
    <t>B.  Required activities</t>
  </si>
  <si>
    <t>C.  Create information</t>
  </si>
  <si>
    <t>D.  Gather existing information</t>
  </si>
  <si>
    <r>
      <t xml:space="preserve">E.  Write report </t>
    </r>
    <r>
      <rPr>
        <vertAlign val="superscript"/>
        <sz val="10"/>
        <color theme="1"/>
        <rFont val="Times New Roman"/>
        <family val="1"/>
      </rPr>
      <t>b</t>
    </r>
  </si>
  <si>
    <t>Subtotal for Reporting Requirements</t>
  </si>
  <si>
    <t>Subtotal for Recordkeeping Requirements</t>
  </si>
  <si>
    <r>
      <t xml:space="preserve">A.  Familiarize with regulatory requirements </t>
    </r>
    <r>
      <rPr>
        <vertAlign val="superscript"/>
        <sz val="10"/>
        <color theme="1"/>
        <rFont val="Times New Roman"/>
        <family val="1"/>
      </rPr>
      <t>b</t>
    </r>
  </si>
  <si>
    <t>A.  Familiarize with regulatory requirements</t>
  </si>
  <si>
    <t>5.  Recordkeeping requirements</t>
  </si>
  <si>
    <t>See 4A</t>
  </si>
  <si>
    <r>
      <t xml:space="preserve">Burden item </t>
    </r>
    <r>
      <rPr>
        <b/>
        <vertAlign val="superscript"/>
        <sz val="10"/>
        <color theme="1"/>
        <rFont val="Times New Roman"/>
        <family val="1"/>
      </rPr>
      <t>a</t>
    </r>
  </si>
  <si>
    <r>
      <rPr>
        <vertAlign val="superscript"/>
        <sz val="10"/>
        <color theme="1"/>
        <rFont val="Times New Roman"/>
        <family val="1"/>
      </rPr>
      <t>a</t>
    </r>
    <r>
      <rPr>
        <sz val="10"/>
        <color theme="1"/>
        <rFont val="Times New Roman"/>
        <family val="1"/>
      </rPr>
      <t xml:space="preserve">  Following is a brief explanation of each column.  A more detailed description is provided in Attachment E.</t>
    </r>
  </si>
  <si>
    <r>
      <t xml:space="preserve">1.  Familiarize with regulatory requirements </t>
    </r>
    <r>
      <rPr>
        <vertAlign val="superscript"/>
        <sz val="10"/>
        <color theme="1"/>
        <rFont val="Times New Roman"/>
        <family val="1"/>
      </rPr>
      <t>e</t>
    </r>
  </si>
  <si>
    <r>
      <t xml:space="preserve">1.  Familiarize with regulatory requirements </t>
    </r>
    <r>
      <rPr>
        <vertAlign val="superscript"/>
        <sz val="10"/>
        <color theme="1"/>
        <rFont val="Times New Roman"/>
        <family val="1"/>
      </rPr>
      <t>b</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</si>
  <si>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 </t>
    </r>
  </si>
  <si>
    <t xml:space="preserve">Table 8: Summary of Respondent and Agency Burden and Cost for Referencing Subparts and the CAR </t>
  </si>
  <si>
    <t>Subpart</t>
  </si>
  <si>
    <r>
      <t xml:space="preserve">Total annual responses </t>
    </r>
    <r>
      <rPr>
        <b/>
        <vertAlign val="superscript"/>
        <sz val="10"/>
        <color theme="1"/>
        <rFont val="Times New Roman"/>
        <family val="1"/>
      </rPr>
      <t>a</t>
    </r>
  </si>
  <si>
    <r>
      <t xml:space="preserve">Respondent burden hours </t>
    </r>
    <r>
      <rPr>
        <b/>
        <vertAlign val="superscript"/>
        <sz val="10"/>
        <color theme="1"/>
        <rFont val="Times New Roman"/>
        <family val="1"/>
      </rPr>
      <t>a</t>
    </r>
  </si>
  <si>
    <r>
      <t xml:space="preserve">Agency burden hours </t>
    </r>
    <r>
      <rPr>
        <b/>
        <vertAlign val="superscript"/>
        <sz val="10"/>
        <color theme="1"/>
        <rFont val="Times New Roman"/>
        <family val="1"/>
      </rPr>
      <t>b</t>
    </r>
  </si>
  <si>
    <r>
      <t xml:space="preserve">Agency burden costs </t>
    </r>
    <r>
      <rPr>
        <b/>
        <vertAlign val="superscript"/>
        <sz val="10"/>
        <color theme="1"/>
        <rFont val="Times New Roman"/>
        <family val="1"/>
      </rPr>
      <t>b</t>
    </r>
  </si>
  <si>
    <t>NSPS Ka</t>
  </si>
  <si>
    <t>NSPS Kb</t>
  </si>
  <si>
    <t>NSPS VV</t>
  </si>
  <si>
    <t>NSPS VVa</t>
  </si>
  <si>
    <t>NSPS DDD</t>
  </si>
  <si>
    <t>NSPS III</t>
  </si>
  <si>
    <t>NSPS NNN</t>
  </si>
  <si>
    <t>NSPS RRR</t>
  </si>
  <si>
    <t>NESHAP BB</t>
  </si>
  <si>
    <t>NESHAP Y</t>
  </si>
  <si>
    <t>NESHAP V</t>
  </si>
  <si>
    <t xml:space="preserve">NESHAP F, G, H, and I </t>
  </si>
  <si>
    <t>Number of respondents</t>
  </si>
  <si>
    <t>(I)</t>
  </si>
  <si>
    <t>(J)</t>
  </si>
  <si>
    <r>
      <t xml:space="preserve">Respondent reporting burden hours </t>
    </r>
    <r>
      <rPr>
        <b/>
        <vertAlign val="superscript"/>
        <sz val="10"/>
        <color theme="1"/>
        <rFont val="Times New Roman"/>
        <family val="1"/>
      </rPr>
      <t>a</t>
    </r>
  </si>
  <si>
    <r>
      <t xml:space="preserve">Respondent recordkeeping burden hours </t>
    </r>
    <r>
      <rPr>
        <b/>
        <vertAlign val="superscript"/>
        <sz val="10"/>
        <color theme="1"/>
        <rFont val="Times New Roman"/>
        <family val="1"/>
      </rPr>
      <t>a</t>
    </r>
  </si>
  <si>
    <r>
      <t xml:space="preserve">O&amp;M Costs </t>
    </r>
    <r>
      <rPr>
        <b/>
        <vertAlign val="superscript"/>
        <sz val="10"/>
        <color theme="1"/>
        <rFont val="Times New Roman"/>
        <family val="1"/>
      </rPr>
      <t>c</t>
    </r>
  </si>
  <si>
    <r>
      <t xml:space="preserve">Capital/ Startup costs </t>
    </r>
    <r>
      <rPr>
        <b/>
        <vertAlign val="superscript"/>
        <sz val="10"/>
        <color theme="1"/>
        <rFont val="Times New Roman"/>
        <family val="1"/>
      </rPr>
      <t>c</t>
    </r>
  </si>
  <si>
    <t>Table 9: Summary of Total Annual Responses for Referencing Subparts and the CAR</t>
  </si>
  <si>
    <t>Information Collection Activity</t>
  </si>
  <si>
    <t>Number of Respondents</t>
  </si>
  <si>
    <t>Number of Responses</t>
  </si>
  <si>
    <t>Notification of construction</t>
  </si>
  <si>
    <t>Notification of actual startup</t>
  </si>
  <si>
    <t>Notification of gap measurement</t>
  </si>
  <si>
    <t>Report of seal gap excess</t>
  </si>
  <si>
    <t>Subtotal</t>
  </si>
  <si>
    <t>Notification of IFR internal inspection</t>
  </si>
  <si>
    <t>Notification of EFR gap measurement</t>
  </si>
  <si>
    <t>IFR internal inspection report</t>
  </si>
  <si>
    <t>EFR 1st seal gap measurement</t>
  </si>
  <si>
    <t>EFR 2nd seal gap measurement</t>
  </si>
  <si>
    <t>CVS operating plan report</t>
  </si>
  <si>
    <t>Report of IFR failure</t>
  </si>
  <si>
    <t>Notification of IFR delay of repair/emptying</t>
  </si>
  <si>
    <t>EFR 1st seal gap measurement report</t>
  </si>
  <si>
    <t>EFR 2nd seal gap measurement report</t>
  </si>
  <si>
    <t>Notification of refill</t>
  </si>
  <si>
    <t>Notification of reconstruction/modification</t>
  </si>
  <si>
    <t>Notification of initial/repeat performance test</t>
  </si>
  <si>
    <t>Semiannual report</t>
  </si>
  <si>
    <t>Initial performance test report</t>
  </si>
  <si>
    <t>Repeat performance test report</t>
  </si>
  <si>
    <t>Notification of construction/modification</t>
  </si>
  <si>
    <t>Initial emission test</t>
  </si>
  <si>
    <t>Monitoring performance test</t>
  </si>
  <si>
    <t>Notification of anticipated startup</t>
  </si>
  <si>
    <t>Notification of emission test</t>
  </si>
  <si>
    <t>Report of emission test</t>
  </si>
  <si>
    <t>Notification of performance test</t>
  </si>
  <si>
    <t>Report of performance test</t>
  </si>
  <si>
    <t>Report facilities below cut-off</t>
  </si>
  <si>
    <t>Quarterly parameter excesses</t>
  </si>
  <si>
    <t>Annual IFR internal inspections and EFR seal gap measurements</t>
  </si>
  <si>
    <t>Notification of construction/reconstruction</t>
  </si>
  <si>
    <t>Notification of control installation and refill at 1st IFR degassing</t>
  </si>
  <si>
    <t>Annual inspection report</t>
  </si>
  <si>
    <t>Supplemental delay report</t>
  </si>
  <si>
    <t>Quarterly emission report</t>
  </si>
  <si>
    <t>Initial performance test</t>
  </si>
  <si>
    <t>Reference method 21/22 test</t>
  </si>
  <si>
    <t>Application for alternative</t>
  </si>
  <si>
    <t>Initial report</t>
  </si>
  <si>
    <t>Complete reports (new respondents; see Table G-12)</t>
  </si>
  <si>
    <t>Complete reports (existing respondents; see Table G-13)</t>
  </si>
  <si>
    <t>CAR Provisions</t>
  </si>
  <si>
    <t>Complete forms (see Table 6)</t>
  </si>
  <si>
    <t>CAR Direct Final Standards</t>
  </si>
  <si>
    <t>Write report (see Table 7)</t>
  </si>
  <si>
    <t>Number of Existing Respondents That Keep Records But Do Not Submit Reports</t>
  </si>
  <si>
    <t>Total Annual  Responses E=(BxC)+D</t>
  </si>
  <si>
    <t>Total responses (all subparts)</t>
  </si>
  <si>
    <r>
      <t xml:space="preserve">CAR </t>
    </r>
    <r>
      <rPr>
        <vertAlign val="superscript"/>
        <sz val="10"/>
        <color rgb="FF000000"/>
        <rFont val="Times New Roman"/>
        <family val="1"/>
      </rPr>
      <t>d</t>
    </r>
  </si>
  <si>
    <r>
      <t xml:space="preserve">CAR Revisions </t>
    </r>
    <r>
      <rPr>
        <vertAlign val="superscript"/>
        <sz val="10"/>
        <color rgb="FF000000"/>
        <rFont val="Times New Roman"/>
        <family val="1"/>
      </rPr>
      <t>e</t>
    </r>
  </si>
  <si>
    <r>
      <t xml:space="preserve">TOTAL </t>
    </r>
    <r>
      <rPr>
        <b/>
        <vertAlign val="superscript"/>
        <sz val="10"/>
        <color rgb="FF000000"/>
        <rFont val="Times New Roman"/>
        <family val="1"/>
      </rPr>
      <t>f</t>
    </r>
  </si>
  <si>
    <r>
      <rPr>
        <vertAlign val="superscript"/>
        <sz val="10"/>
        <color theme="1"/>
        <rFont val="Times New Roman"/>
        <family val="1"/>
      </rPr>
      <t>f</t>
    </r>
    <r>
      <rPr>
        <sz val="10"/>
        <color theme="1"/>
        <rFont val="Times New Roman"/>
        <family val="1"/>
      </rPr>
      <t xml:space="preserve">  Burden and cost totals have been rounded to 3 significant figures. Figures may not add exactly due to rounding. </t>
    </r>
  </si>
  <si>
    <t>Report review: New plant</t>
  </si>
  <si>
    <r>
      <t xml:space="preserve">Vapor recovery </t>
    </r>
    <r>
      <rPr>
        <vertAlign val="superscript"/>
        <sz val="10"/>
        <color theme="1"/>
        <rFont val="Times New Roman"/>
        <family val="1"/>
      </rPr>
      <t>c</t>
    </r>
  </si>
  <si>
    <t>Report review: Existing plant</t>
  </si>
  <si>
    <t>Notification of reconstruction</t>
  </si>
  <si>
    <t>Notification of modification</t>
  </si>
  <si>
    <r>
      <t xml:space="preserve">Notification of seal gap measurement </t>
    </r>
    <r>
      <rPr>
        <vertAlign val="superscript"/>
        <sz val="10"/>
        <color theme="1"/>
        <rFont val="Times New Roman"/>
        <family val="1"/>
      </rPr>
      <t>d</t>
    </r>
  </si>
  <si>
    <r>
      <t xml:space="preserve">Report of gap excesses </t>
    </r>
    <r>
      <rPr>
        <vertAlign val="superscript"/>
        <sz val="10"/>
        <color theme="1"/>
        <rFont val="Times New Roman"/>
        <family val="1"/>
      </rPr>
      <t>d, e</t>
    </r>
  </si>
  <si>
    <r>
      <t>Table F-1: Average Annual EPA Burden and Cost for Subpart Ka</t>
    </r>
    <r>
      <rPr>
        <b/>
        <vertAlign val="superscript"/>
        <sz val="12"/>
        <color theme="1"/>
        <rFont val="Times New Roman"/>
        <family val="1"/>
      </rPr>
      <t>a</t>
    </r>
  </si>
  <si>
    <t>Person-hours per respondent per year 
(C=AxB)</t>
  </si>
  <si>
    <r>
      <t xml:space="preserve">Respondents per year </t>
    </r>
    <r>
      <rPr>
        <b/>
        <vertAlign val="superscript"/>
        <sz val="10"/>
        <color theme="1"/>
        <rFont val="Times New Roman"/>
        <family val="1"/>
      </rPr>
      <t>a</t>
    </r>
  </si>
  <si>
    <r>
      <t>c</t>
    </r>
    <r>
      <rPr>
        <sz val="10"/>
        <color theme="1"/>
        <rFont val="Times New Roman"/>
        <family val="1"/>
      </rPr>
      <t xml:space="preserve">  One-time only activity required at start of construction.  Any new storage vessel being constructed would be subject to NSPS Subpart Kb.</t>
    </r>
  </si>
  <si>
    <r>
      <rPr>
        <vertAlign val="superscript"/>
        <sz val="10"/>
        <color theme="1"/>
        <rFont val="Times New Roman"/>
        <family val="1"/>
      </rPr>
      <t>f</t>
    </r>
    <r>
      <rPr>
        <sz val="10"/>
        <color theme="1"/>
        <rFont val="Times New Roman"/>
        <family val="1"/>
      </rPr>
      <t xml:space="preserve">  Totals have been rounded to 3 significant figures. Figures may not add exactly due to rounding. </t>
    </r>
  </si>
  <si>
    <t>Person-hours per occurrence</t>
  </si>
  <si>
    <t>Table F-2: Average Annual EPA Burden and Cost for Subpart Kb</t>
  </si>
  <si>
    <t>Notification of initial inspection</t>
  </si>
  <si>
    <r>
      <t xml:space="preserve">IFR failure report </t>
    </r>
    <r>
      <rPr>
        <vertAlign val="superscript"/>
        <sz val="10"/>
        <color theme="1"/>
        <rFont val="Times New Roman"/>
        <family val="1"/>
      </rPr>
      <t>c</t>
    </r>
  </si>
  <si>
    <r>
      <t xml:space="preserve">Notification of IFR delay of repair/emptying </t>
    </r>
    <r>
      <rPr>
        <vertAlign val="superscript"/>
        <sz val="10"/>
        <color theme="1"/>
        <rFont val="Times New Roman"/>
        <family val="1"/>
      </rPr>
      <t>d</t>
    </r>
  </si>
  <si>
    <r>
      <t xml:space="preserve">Notification of refill </t>
    </r>
    <r>
      <rPr>
        <vertAlign val="superscript"/>
        <sz val="10"/>
        <color theme="1"/>
        <rFont val="Times New Roman"/>
        <family val="1"/>
      </rPr>
      <t>e</t>
    </r>
  </si>
  <si>
    <t>Table F-3: Average Annual EPA Burden and Cost for Subpart VV</t>
  </si>
  <si>
    <t>Notification of reconstruction/ modification</t>
  </si>
  <si>
    <t>Notification of initial/repeat test</t>
  </si>
  <si>
    <t>Review test results</t>
  </si>
  <si>
    <t>Semiannual emission report</t>
  </si>
  <si>
    <r>
      <t xml:space="preserve">Total cost per year ($) </t>
    </r>
    <r>
      <rPr>
        <b/>
        <vertAlign val="superscript"/>
        <sz val="10"/>
        <color theme="1"/>
        <rFont val="Times New Roman"/>
        <family val="1"/>
      </rPr>
      <t>b</t>
    </r>
  </si>
  <si>
    <r>
      <t xml:space="preserve">Notification of construction </t>
    </r>
    <r>
      <rPr>
        <vertAlign val="superscript"/>
        <sz val="10"/>
        <color theme="1"/>
        <rFont val="Times New Roman"/>
        <family val="1"/>
      </rPr>
      <t>c</t>
    </r>
  </si>
  <si>
    <r>
      <t xml:space="preserve">Notification of reconstruction/ modification </t>
    </r>
    <r>
      <rPr>
        <vertAlign val="superscript"/>
        <sz val="10"/>
        <color theme="1"/>
        <rFont val="Times New Roman"/>
        <family val="1"/>
      </rPr>
      <t>c</t>
    </r>
  </si>
  <si>
    <r>
      <t xml:space="preserve">Notification of initial/repeat test </t>
    </r>
    <r>
      <rPr>
        <vertAlign val="superscript"/>
        <sz val="10"/>
        <color theme="1"/>
        <rFont val="Times New Roman"/>
        <family val="1"/>
      </rPr>
      <t>d</t>
    </r>
  </si>
  <si>
    <r>
      <t xml:space="preserve">Review test results </t>
    </r>
    <r>
      <rPr>
        <vertAlign val="superscript"/>
        <sz val="10"/>
        <color theme="1"/>
        <rFont val="Times New Roman"/>
        <family val="1"/>
      </rPr>
      <t>d</t>
    </r>
  </si>
  <si>
    <r>
      <t>d</t>
    </r>
    <r>
      <rPr>
        <sz val="10"/>
        <color theme="1"/>
        <rFont val="Times New Roman"/>
        <family val="1"/>
      </rPr>
      <t xml:space="preserve">  Assume 20 percent of initial performance tests must be repeated due to failure.</t>
    </r>
  </si>
  <si>
    <r>
      <rPr>
        <vertAlign val="superscript"/>
        <sz val="10"/>
        <color theme="1"/>
        <rFont val="Times New Roman"/>
        <family val="1"/>
      </rPr>
      <t>e</t>
    </r>
    <r>
      <rPr>
        <sz val="10"/>
        <color theme="1"/>
        <rFont val="Times New Roman"/>
        <family val="1"/>
      </rPr>
      <t xml:space="preserve">  Totals have been rounded to 3 significant figures. Figures may not add exactly due to rounding. </t>
    </r>
  </si>
  <si>
    <t>Table F-4: Average Annual EPA Burden and Cost for Subpart VVa</t>
  </si>
  <si>
    <t>Table F-5: Average Annual EPA Burden and Cost for Subpart DDD</t>
  </si>
  <si>
    <t>Notification of construction/ modification</t>
  </si>
  <si>
    <r>
      <t xml:space="preserve">Repeat performance test </t>
    </r>
    <r>
      <rPr>
        <vertAlign val="superscript"/>
        <sz val="10"/>
        <color theme="1"/>
        <rFont val="Times New Roman"/>
        <family val="1"/>
      </rPr>
      <t>c</t>
    </r>
  </si>
  <si>
    <r>
      <t>c</t>
    </r>
    <r>
      <rPr>
        <sz val="10"/>
        <color theme="1"/>
        <rFont val="Times New Roman"/>
        <family val="1"/>
      </rPr>
      <t xml:space="preserve">  Assume 20 percent of initial performance tests must be repeated due to failure.</t>
    </r>
  </si>
  <si>
    <r>
      <rPr>
        <vertAlign val="superscript"/>
        <sz val="10"/>
        <color theme="1"/>
        <rFont val="Times New Roman"/>
        <family val="1"/>
      </rPr>
      <t>d</t>
    </r>
    <r>
      <rPr>
        <sz val="10"/>
        <color theme="1"/>
        <rFont val="Times New Roman"/>
        <family val="1"/>
      </rPr>
      <t xml:space="preserve">  Totals have been rounded to 3 significant figures. Figures may not add exactly due to rounding. </t>
    </r>
  </si>
  <si>
    <t>Table F-6: Average Annual EPA Burden and Cost for Subpart III</t>
  </si>
  <si>
    <t>Table F-7: Average Annual EPA Burden and Cost for Subpart NNN</t>
  </si>
  <si>
    <t>Table F-8: Average Annual EPA Burden and Cost for Subpart RRR</t>
  </si>
  <si>
    <t>Table F-9: Average Annual EPA Burden and Cost for Subpart BB</t>
  </si>
  <si>
    <t>Quarterly report</t>
  </si>
  <si>
    <t>Table F-10: Average Annual EPA Burden and Cost for Subpart Y</t>
  </si>
  <si>
    <t>See NSPS Kb</t>
  </si>
  <si>
    <r>
      <t xml:space="preserve">Notification of control installation and refill at 1st IFR degassing </t>
    </r>
    <r>
      <rPr>
        <vertAlign val="superscript"/>
        <sz val="10"/>
        <color theme="1"/>
        <rFont val="Times New Roman"/>
        <family val="1"/>
      </rPr>
      <t>c</t>
    </r>
  </si>
  <si>
    <t>Annual IFR internal inspection and EFR seal gap measurement</t>
  </si>
  <si>
    <r>
      <t xml:space="preserve">Supplemental delay report </t>
    </r>
    <r>
      <rPr>
        <vertAlign val="superscript"/>
        <sz val="10"/>
        <color theme="1"/>
        <rFont val="Times New Roman"/>
        <family val="1"/>
      </rPr>
      <t>d</t>
    </r>
  </si>
  <si>
    <r>
      <t xml:space="preserve">Quarterly emission report </t>
    </r>
    <r>
      <rPr>
        <vertAlign val="superscript"/>
        <sz val="10"/>
        <color theme="1"/>
        <rFont val="Times New Roman"/>
        <family val="1"/>
      </rPr>
      <t>e</t>
    </r>
  </si>
  <si>
    <r>
      <t>a</t>
    </r>
    <r>
      <rPr>
        <sz val="10"/>
        <color theme="1"/>
        <rFont val="Times New Roman"/>
        <family val="1"/>
      </rPr>
      <t xml:space="preserve">  Estimate there will be 4 existing sources not covered by the HON.  The burden for all new sources is included in the NSPS subpart Kb regulation for storage vessels at 40 CFR Part 60.</t>
    </r>
  </si>
  <si>
    <r>
      <t>c</t>
    </r>
    <r>
      <rPr>
        <sz val="10"/>
        <color theme="1"/>
        <rFont val="Times New Roman"/>
        <family val="1"/>
      </rPr>
      <t xml:space="preserve">  We believe that all vessels have been degassed and that all controls have been installed, as they were to be installed within 10 years of promulgation.</t>
    </r>
  </si>
  <si>
    <r>
      <t>d</t>
    </r>
    <r>
      <rPr>
        <sz val="10"/>
        <color theme="1"/>
        <rFont val="Times New Roman"/>
        <family val="1"/>
      </rPr>
      <t xml:space="preserve">  Estimate two percent of existing sources will request delay of repair in the annual report.</t>
    </r>
  </si>
  <si>
    <r>
      <t>e</t>
    </r>
    <r>
      <rPr>
        <sz val="10"/>
        <color theme="1"/>
        <rFont val="Times New Roman"/>
        <family val="1"/>
      </rPr>
      <t xml:space="preserve">  Assume no sources will select the option to have a fixed roof vented to a control device, and thus have no quarterly reports of excess emissions.</t>
    </r>
  </si>
  <si>
    <t>Table F-11: Average Annual EPA Burden and Cost for Subpart V</t>
  </si>
  <si>
    <t>Table F-12: Average Annual EPA Burden and Cost for Sources Subject to the HON</t>
  </si>
  <si>
    <t>1.  Initial</t>
  </si>
  <si>
    <t>2.  Implementation plan or permit</t>
  </si>
  <si>
    <t>3.  Compliance status</t>
  </si>
  <si>
    <t>5.  Notification of construction/reconstruction</t>
  </si>
  <si>
    <t>6.  Notification of anticipated startup</t>
  </si>
  <si>
    <t>7.  Notification of actual startup</t>
  </si>
  <si>
    <t>8.  Notification of performance test</t>
  </si>
  <si>
    <t>9.  Review of test results</t>
  </si>
  <si>
    <t>Clerical hours per year
(E=Cx0.1)</t>
  </si>
  <si>
    <r>
      <t xml:space="preserve">Table G-1: Annual Respondent Burden and Cost for Subpart Ka </t>
    </r>
    <r>
      <rPr>
        <b/>
        <vertAlign val="superscript"/>
        <sz val="12"/>
        <color theme="1"/>
        <rFont val="Times New Roman"/>
        <family val="1"/>
      </rPr>
      <t>a</t>
    </r>
  </si>
  <si>
    <t>3.  Reporting requirements</t>
  </si>
  <si>
    <t>See 3B</t>
  </si>
  <si>
    <t>Vapor recovery information</t>
  </si>
  <si>
    <t>Measure seal gap</t>
  </si>
  <si>
    <t>See 4E</t>
  </si>
  <si>
    <t>E.  Write report</t>
  </si>
  <si>
    <t>Information on vapor recovery</t>
  </si>
  <si>
    <t>4.  Recordkeeping requirements</t>
  </si>
  <si>
    <t>B.  Plan activities</t>
  </si>
  <si>
    <t>C.  Implement activities</t>
  </si>
  <si>
    <t>D. Develop record system</t>
  </si>
  <si>
    <t>E. Time to enter information</t>
  </si>
  <si>
    <t>New tank seal gap measurements</t>
  </si>
  <si>
    <t>Technical hours per year
(C=AxB)</t>
  </si>
  <si>
    <t>Management hours per year
(D=Cx0.05)</t>
  </si>
  <si>
    <r>
      <t xml:space="preserve">A.  Familiarize with regulatory requirements </t>
    </r>
    <r>
      <rPr>
        <vertAlign val="superscript"/>
        <sz val="10"/>
        <color theme="1"/>
        <rFont val="Times New Roman"/>
        <family val="1"/>
      </rPr>
      <t>c</t>
    </r>
  </si>
  <si>
    <t>See 3A</t>
  </si>
  <si>
    <t>c  This ICR assumes all existing respondents will have to familiarize with the regulatory requirements each year.</t>
  </si>
  <si>
    <r>
      <t xml:space="preserve">Notification of gap measurement </t>
    </r>
    <r>
      <rPr>
        <vertAlign val="superscript"/>
        <sz val="10"/>
        <color theme="1"/>
        <rFont val="Times New Roman"/>
        <family val="1"/>
      </rPr>
      <t>d</t>
    </r>
  </si>
  <si>
    <r>
      <t xml:space="preserve">Report of seal gap excess </t>
    </r>
    <r>
      <rPr>
        <vertAlign val="superscript"/>
        <sz val="10"/>
        <color theme="1"/>
        <rFont val="Times New Roman"/>
        <family val="1"/>
      </rPr>
      <t>e</t>
    </r>
  </si>
  <si>
    <r>
      <t xml:space="preserve">Secondary seal gap measurements </t>
    </r>
    <r>
      <rPr>
        <vertAlign val="superscript"/>
        <sz val="10"/>
        <color theme="1"/>
        <rFont val="Times New Roman"/>
        <family val="1"/>
      </rPr>
      <t>d, e, f</t>
    </r>
  </si>
  <si>
    <r>
      <t xml:space="preserve">Primary seal gap measurements </t>
    </r>
    <r>
      <rPr>
        <vertAlign val="superscript"/>
        <sz val="10"/>
        <color theme="1"/>
        <rFont val="Times New Roman"/>
        <family val="1"/>
      </rPr>
      <t>d, e, g</t>
    </r>
  </si>
  <si>
    <r>
      <t xml:space="preserve">Fill/refill record </t>
    </r>
    <r>
      <rPr>
        <vertAlign val="superscript"/>
        <sz val="10"/>
        <color theme="1"/>
        <rFont val="Times New Roman"/>
        <family val="1"/>
      </rPr>
      <t>h, i</t>
    </r>
  </si>
  <si>
    <r>
      <t xml:space="preserve">TOTAL CAPITAL AND O&amp;M COST (rounded) </t>
    </r>
    <r>
      <rPr>
        <b/>
        <vertAlign val="superscript"/>
        <sz val="10"/>
        <color theme="1"/>
        <rFont val="Times New Roman"/>
        <family val="1"/>
      </rPr>
      <t>j</t>
    </r>
  </si>
  <si>
    <r>
      <t xml:space="preserve">GRAND TOTAL (rounded) </t>
    </r>
    <r>
      <rPr>
        <b/>
        <vertAlign val="superscript"/>
        <sz val="10"/>
        <color theme="1"/>
        <rFont val="Times New Roman"/>
        <family val="1"/>
      </rPr>
      <t>j</t>
    </r>
  </si>
  <si>
    <r>
      <t>f</t>
    </r>
    <r>
      <rPr>
        <sz val="10"/>
        <color theme="1"/>
        <rFont val="Times New Roman"/>
        <family val="1"/>
      </rPr>
      <t xml:space="preserve">  Estimate five hours to conduct secondary seal gap measurements annually for the average 50 tanks per respondent.</t>
    </r>
  </si>
  <si>
    <r>
      <t xml:space="preserve">g  </t>
    </r>
    <r>
      <rPr>
        <sz val="10"/>
        <color theme="1"/>
        <rFont val="Times New Roman"/>
        <family val="1"/>
      </rPr>
      <t>Estimate two hours to conduct primary seal measurements every five years for the average 50 tanks per respondent (10 tanks per respondent per year).</t>
    </r>
  </si>
  <si>
    <r>
      <t>h</t>
    </r>
    <r>
      <rPr>
        <sz val="10"/>
        <color theme="1"/>
        <rFont val="Times New Roman"/>
        <family val="1"/>
      </rPr>
      <t xml:space="preserve">  During any one year, a respondent would change liquid at approximately 20 percent of all facilities (35).</t>
    </r>
  </si>
  <si>
    <r>
      <rPr>
        <vertAlign val="superscript"/>
        <sz val="10"/>
        <color theme="1"/>
        <rFont val="Times New Roman"/>
        <family val="1"/>
      </rPr>
      <t>j</t>
    </r>
    <r>
      <rPr>
        <sz val="10"/>
        <color theme="1"/>
        <rFont val="Times New Roman"/>
        <family val="1"/>
      </rPr>
      <t xml:space="preserve">  Totals have been rounded to 3 significant figures. Figures may not add exactly due to rounding. </t>
    </r>
  </si>
  <si>
    <r>
      <t>i</t>
    </r>
    <r>
      <rPr>
        <sz val="10"/>
        <color theme="1"/>
        <rFont val="Times New Roman"/>
        <family val="1"/>
      </rPr>
      <t xml:space="preserve">  Estimate 0.2 hours per tank to record a liquid change at 20 percent of the average of 50 tanks per facility (10).</t>
    </r>
  </si>
  <si>
    <t>Table G-2: Annual Respondent Burden and Cost for Subpart Kb</t>
  </si>
  <si>
    <t>One-time-only requirements</t>
  </si>
  <si>
    <t>IFR internal inspection</t>
  </si>
  <si>
    <t>EFR gap measurement</t>
  </si>
  <si>
    <t>Initial inspection report</t>
  </si>
  <si>
    <t>Repeat requirements</t>
  </si>
  <si>
    <t>B.  Gather and record information</t>
  </si>
  <si>
    <t>Vessel volumes, liquid vapor pressures, flares</t>
  </si>
  <si>
    <t>113b(a) inspection</t>
  </si>
  <si>
    <t>113b(b) gap measurement</t>
  </si>
  <si>
    <t>C.  Develop record system</t>
  </si>
  <si>
    <t>D.  Time to enter information</t>
  </si>
  <si>
    <t>CVS parameter records</t>
  </si>
  <si>
    <t>E.  Train personnel</t>
  </si>
  <si>
    <t>F.  Audits</t>
  </si>
  <si>
    <r>
      <t xml:space="preserve">Notification of physical/ operational changes </t>
    </r>
    <r>
      <rPr>
        <vertAlign val="superscript"/>
        <sz val="10"/>
        <color theme="1"/>
        <rFont val="Times New Roman"/>
        <family val="1"/>
      </rPr>
      <t>d</t>
    </r>
  </si>
  <si>
    <r>
      <t xml:space="preserve">Notification of malfunction </t>
    </r>
    <r>
      <rPr>
        <vertAlign val="superscript"/>
        <sz val="10"/>
        <color theme="1"/>
        <rFont val="Times New Roman"/>
        <family val="1"/>
      </rPr>
      <t>d</t>
    </r>
  </si>
  <si>
    <r>
      <t xml:space="preserve">Internal IFR inspection </t>
    </r>
    <r>
      <rPr>
        <vertAlign val="superscript"/>
        <sz val="10"/>
        <color theme="1"/>
        <rFont val="Times New Roman"/>
        <family val="1"/>
      </rPr>
      <t>e</t>
    </r>
  </si>
  <si>
    <r>
      <t xml:space="preserve">Visual IFR inspection </t>
    </r>
    <r>
      <rPr>
        <vertAlign val="superscript"/>
        <sz val="10"/>
        <color theme="1"/>
        <rFont val="Times New Roman"/>
        <family val="1"/>
      </rPr>
      <t>e</t>
    </r>
  </si>
  <si>
    <r>
      <t xml:space="preserve">Notification of refill </t>
    </r>
    <r>
      <rPr>
        <vertAlign val="superscript"/>
        <sz val="10"/>
        <color theme="1"/>
        <rFont val="Times New Roman"/>
        <family val="1"/>
      </rPr>
      <t>h</t>
    </r>
  </si>
  <si>
    <r>
      <t xml:space="preserve">TOTAL CAPITAL AND O&amp;M COST (rounded) </t>
    </r>
    <r>
      <rPr>
        <b/>
        <vertAlign val="superscript"/>
        <sz val="10"/>
        <color theme="1"/>
        <rFont val="Times New Roman"/>
        <family val="1"/>
      </rPr>
      <t>i</t>
    </r>
  </si>
  <si>
    <r>
      <t xml:space="preserve">GRAND TOTAL (rounded) </t>
    </r>
    <r>
      <rPr>
        <b/>
        <vertAlign val="superscript"/>
        <sz val="10"/>
        <color theme="1"/>
        <rFont val="Times New Roman"/>
        <family val="1"/>
      </rPr>
      <t>i</t>
    </r>
  </si>
  <si>
    <r>
      <t>d</t>
    </r>
    <r>
      <rPr>
        <sz val="10"/>
        <color theme="1"/>
        <rFont val="Times New Roman"/>
        <family val="1"/>
      </rPr>
      <t xml:space="preserve">  The General Provision notifications of modification or malfunction will be covered by other notifications within the subpart.</t>
    </r>
  </si>
  <si>
    <r>
      <t xml:space="preserve">Report of IFR failure </t>
    </r>
    <r>
      <rPr>
        <vertAlign val="superscript"/>
        <sz val="10"/>
        <color theme="1"/>
        <rFont val="Times New Roman"/>
        <family val="1"/>
      </rPr>
      <t>e, f</t>
    </r>
  </si>
  <si>
    <r>
      <t xml:space="preserve">Notification of IFR delay of repair/emptying </t>
    </r>
    <r>
      <rPr>
        <vertAlign val="superscript"/>
        <sz val="10"/>
        <color theme="1"/>
        <rFont val="Times New Roman"/>
        <family val="1"/>
      </rPr>
      <t>e, f, g</t>
    </r>
  </si>
  <si>
    <r>
      <rPr>
        <vertAlign val="superscript"/>
        <sz val="10"/>
        <color theme="1"/>
        <rFont val="Times New Roman"/>
        <family val="1"/>
      </rPr>
      <t>i</t>
    </r>
    <r>
      <rPr>
        <sz val="10"/>
        <color theme="1"/>
        <rFont val="Times New Roman"/>
        <family val="1"/>
      </rPr>
      <t xml:space="preserve">  Totals have been rounded to 3 significant figures. Figures may not add exactly due to rounding. </t>
    </r>
  </si>
  <si>
    <t>Table G-3: Annual Respondent Burden and Cost for Subpart VV</t>
  </si>
  <si>
    <t>See 3E</t>
  </si>
  <si>
    <t>See 4C</t>
  </si>
  <si>
    <t>Records of operating parameters</t>
  </si>
  <si>
    <t>F.  Train personnel</t>
  </si>
  <si>
    <t>G.  Audits</t>
  </si>
  <si>
    <r>
      <t xml:space="preserve">Repeat performance test report </t>
    </r>
    <r>
      <rPr>
        <vertAlign val="superscript"/>
        <sz val="10"/>
        <color theme="1"/>
        <rFont val="Times New Roman"/>
        <family val="1"/>
      </rPr>
      <t>d</t>
    </r>
  </si>
  <si>
    <r>
      <t>d</t>
    </r>
    <r>
      <rPr>
        <sz val="10"/>
        <color theme="1"/>
        <rFont val="Times New Roman"/>
        <family val="1"/>
      </rPr>
      <t xml:space="preserve">  Assume 20 percent of performance tests must be repeated.</t>
    </r>
  </si>
  <si>
    <r>
      <t xml:space="preserve">TOTAL CAPITAL AND O&amp;M COST (rounded) </t>
    </r>
    <r>
      <rPr>
        <b/>
        <vertAlign val="superscript"/>
        <sz val="10"/>
        <color theme="1"/>
        <rFont val="Times New Roman"/>
        <family val="1"/>
      </rPr>
      <t>e</t>
    </r>
  </si>
  <si>
    <r>
      <t xml:space="preserve">GRAND TOTAL (rounded) </t>
    </r>
    <r>
      <rPr>
        <b/>
        <vertAlign val="superscript"/>
        <sz val="10"/>
        <color theme="1"/>
        <rFont val="Times New Roman"/>
        <family val="1"/>
      </rPr>
      <t>e</t>
    </r>
  </si>
  <si>
    <t>Table G-4: Annual Respondent Burden and Cost for Subpart VVa</t>
  </si>
  <si>
    <t>Subpart for Reporting Requirements</t>
  </si>
  <si>
    <r>
      <t xml:space="preserve">Notification of construction </t>
    </r>
    <r>
      <rPr>
        <vertAlign val="superscript"/>
        <sz val="10"/>
        <color theme="1"/>
        <rFont val="Times New Roman"/>
        <family val="1"/>
      </rPr>
      <t>e</t>
    </r>
  </si>
  <si>
    <r>
      <t xml:space="preserve">Notification of reconstruction/modification </t>
    </r>
    <r>
      <rPr>
        <vertAlign val="superscript"/>
        <sz val="10"/>
        <color theme="1"/>
        <rFont val="Times New Roman"/>
        <family val="1"/>
      </rPr>
      <t>e</t>
    </r>
  </si>
  <si>
    <r>
      <t xml:space="preserve">Notification of initial/repeat performance test </t>
    </r>
    <r>
      <rPr>
        <vertAlign val="superscript"/>
        <sz val="10"/>
        <color theme="1"/>
        <rFont val="Times New Roman"/>
        <family val="1"/>
      </rPr>
      <t>d</t>
    </r>
  </si>
  <si>
    <r>
      <t xml:space="preserve">Records of operating parameters - average facilities </t>
    </r>
    <r>
      <rPr>
        <vertAlign val="superscript"/>
        <sz val="10"/>
        <color theme="1"/>
        <rFont val="Times New Roman"/>
        <family val="1"/>
      </rPr>
      <t>f</t>
    </r>
  </si>
  <si>
    <r>
      <t xml:space="preserve">Records of operating parameters - small facilities </t>
    </r>
    <r>
      <rPr>
        <vertAlign val="superscript"/>
        <sz val="10"/>
        <color theme="1"/>
        <rFont val="Times New Roman"/>
        <family val="1"/>
      </rPr>
      <t>f</t>
    </r>
  </si>
  <si>
    <r>
      <t xml:space="preserve">TOTAL CAPITAL AND O&amp;M COST (rounded) </t>
    </r>
    <r>
      <rPr>
        <b/>
        <vertAlign val="superscript"/>
        <sz val="10"/>
        <color theme="1"/>
        <rFont val="Times New Roman"/>
        <family val="1"/>
      </rPr>
      <t>g</t>
    </r>
  </si>
  <si>
    <r>
      <t xml:space="preserve">GRAND TOTAL (rounded) </t>
    </r>
    <r>
      <rPr>
        <b/>
        <vertAlign val="superscript"/>
        <sz val="10"/>
        <color theme="1"/>
        <rFont val="Times New Roman"/>
        <family val="1"/>
      </rPr>
      <t>g</t>
    </r>
  </si>
  <si>
    <r>
      <t>f</t>
    </r>
    <r>
      <rPr>
        <sz val="10"/>
        <color theme="1"/>
        <rFont val="Times New Roman"/>
        <family val="1"/>
      </rPr>
      <t xml:space="preserve">  Assume 10 percent are small facilities that will record instrument readings manually while the other 90 percent use automated equipment to capture instrument readings electronically.</t>
    </r>
  </si>
  <si>
    <r>
      <rPr>
        <vertAlign val="superscript"/>
        <sz val="10"/>
        <color theme="1"/>
        <rFont val="Times New Roman"/>
        <family val="1"/>
      </rPr>
      <t>g</t>
    </r>
    <r>
      <rPr>
        <sz val="10"/>
        <color theme="1"/>
        <rFont val="Times New Roman"/>
        <family val="1"/>
      </rPr>
      <t xml:space="preserve">  Totals have been rounded to 3 significant figures. Figures may not add exactly due to rounding. </t>
    </r>
  </si>
  <si>
    <t>Table G-5: Annual Respondent Burden and Cost for Subpart DDD</t>
  </si>
  <si>
    <t>C.  Write report</t>
  </si>
  <si>
    <t>Records of operating parameters for control devices</t>
  </si>
  <si>
    <t>Records of operating conditions exceeding last performance test</t>
  </si>
  <si>
    <t>Records of startup, shutdown, malfunction, etc.</t>
  </si>
  <si>
    <t>Table G-6: Annual Respondent Burden and Cost for Subpart III</t>
  </si>
  <si>
    <t>Report review:</t>
  </si>
  <si>
    <t>Table G-7: Annual Respondent Burden and Cost for Subpart NNN</t>
  </si>
  <si>
    <t>Table G-8: Annual Respondent Burden and Cost for Subpart RRR</t>
  </si>
  <si>
    <t>Table G-9: Annual Respondent Burden and Cost for Subpart BB</t>
  </si>
  <si>
    <t>Vapor-tightness test tank truck and railcars</t>
  </si>
  <si>
    <t>Marine vessels</t>
  </si>
  <si>
    <t>Closed vent leak inspection</t>
  </si>
  <si>
    <t>D.  Develop record system</t>
  </si>
  <si>
    <t>E.  Time to enter information</t>
  </si>
  <si>
    <t>Facilities above cut-off</t>
  </si>
  <si>
    <r>
      <t>a</t>
    </r>
    <r>
      <rPr>
        <sz val="10"/>
        <color theme="1"/>
        <rFont val="Times New Roman"/>
        <family val="1"/>
      </rPr>
      <t xml:space="preserve">  We estimate an average of 54 existing facilities will be subject to the standard, and that no new sources will become subject over the next three years.  We estimate 3 tank truck/railcars and 131 marine vessels are subject to the standards.  We assume 50 percent of marine vessels (66) operate at negative pressure and do not conduct annual vapor-tightness tests.  We also assume all other transfer racks subject to subpart BB are complying with the HON.</t>
    </r>
  </si>
  <si>
    <r>
      <t>d</t>
    </r>
    <r>
      <rPr>
        <sz val="10"/>
        <color theme="1"/>
        <rFont val="Times New Roman"/>
        <family val="1"/>
      </rPr>
      <t xml:space="preserve">  For sources below the low quantity applicability for control requirements, a report is only required the first year of operation.  We assume existing sources previously have submitted this report.</t>
    </r>
  </si>
  <si>
    <r>
      <t xml:space="preserve">Report facilities below cut-off </t>
    </r>
    <r>
      <rPr>
        <vertAlign val="superscript"/>
        <sz val="10"/>
        <color theme="1"/>
        <rFont val="Times New Roman"/>
        <family val="1"/>
      </rPr>
      <t>d</t>
    </r>
  </si>
  <si>
    <r>
      <t xml:space="preserve">Facilities below cut-off </t>
    </r>
    <r>
      <rPr>
        <vertAlign val="superscript"/>
        <sz val="10"/>
        <color theme="1"/>
        <rFont val="Times New Roman"/>
        <family val="1"/>
      </rPr>
      <t>d</t>
    </r>
  </si>
  <si>
    <t>Table G-10: Annual Respondent Burden and Cost for Subpart Y</t>
  </si>
  <si>
    <t>See 3C</t>
  </si>
  <si>
    <t>Notification of construction/ reconstruction</t>
  </si>
  <si>
    <t>None expected</t>
  </si>
  <si>
    <t>Filing and maintaining records</t>
  </si>
  <si>
    <r>
      <t>d</t>
    </r>
    <r>
      <rPr>
        <sz val="10"/>
        <color theme="1"/>
        <rFont val="Times New Roman"/>
        <family val="1"/>
      </rPr>
      <t xml:space="preserve">  We believe that all vessels have been degassed and that all controls have been installed, as they were to be installed within 10 years of promulgation.</t>
    </r>
  </si>
  <si>
    <r>
      <t>e</t>
    </r>
    <r>
      <rPr>
        <sz val="10"/>
        <color theme="1"/>
        <rFont val="Times New Roman"/>
        <family val="1"/>
      </rPr>
      <t xml:space="preserve">  Estimate two percent of existing sources will request delay of repair in the annual report.</t>
    </r>
  </si>
  <si>
    <r>
      <t>f</t>
    </r>
    <r>
      <rPr>
        <sz val="10"/>
        <color theme="1"/>
        <rFont val="Times New Roman"/>
        <family val="1"/>
      </rPr>
      <t xml:space="preserve">  Assume no sources will select the option to have a fixed roof vented to a control device, and thus have no quarterly reports of excess emissions.</t>
    </r>
  </si>
  <si>
    <r>
      <t xml:space="preserve">Notification of control installation and refill at 1st IFR degassing </t>
    </r>
    <r>
      <rPr>
        <vertAlign val="superscript"/>
        <sz val="10"/>
        <color theme="1"/>
        <rFont val="Times New Roman"/>
        <family val="1"/>
      </rPr>
      <t>d</t>
    </r>
  </si>
  <si>
    <r>
      <t xml:space="preserve">Supplemental delay report </t>
    </r>
    <r>
      <rPr>
        <vertAlign val="superscript"/>
        <sz val="10"/>
        <color theme="1"/>
        <rFont val="Times New Roman"/>
        <family val="1"/>
      </rPr>
      <t>e</t>
    </r>
  </si>
  <si>
    <r>
      <t xml:space="preserve">Quarterly emission report </t>
    </r>
    <r>
      <rPr>
        <vertAlign val="superscript"/>
        <sz val="10"/>
        <color theme="1"/>
        <rFont val="Times New Roman"/>
        <family val="1"/>
      </rPr>
      <t>f</t>
    </r>
  </si>
  <si>
    <t>Table G-11: Annual Respondent Burden and Cost for Subpart V</t>
  </si>
  <si>
    <t>Record of operation, parameters, and emissions</t>
  </si>
  <si>
    <t>Record of leaks detected</t>
  </si>
  <si>
    <r>
      <t xml:space="preserve">Repeat performance test </t>
    </r>
    <r>
      <rPr>
        <vertAlign val="superscript"/>
        <sz val="10"/>
        <color theme="1"/>
        <rFont val="Times New Roman"/>
        <family val="1"/>
      </rPr>
      <t>d</t>
    </r>
  </si>
  <si>
    <t>Table G-12: Annual Respondent Burden and Cost for New Sources Subject to the HON</t>
  </si>
  <si>
    <t>7.  Complete reports</t>
  </si>
  <si>
    <t>Number of activities per year per respondent</t>
  </si>
  <si>
    <t>Estimated managerial hours per year
(F=Ex0.05)</t>
  </si>
  <si>
    <t>Estimated clerical hours per year
(G=Ex0.1)</t>
  </si>
  <si>
    <t>Estimated technical hours per year 
(E=CxD)</t>
  </si>
  <si>
    <t>1.  Familiarize with regulatory requirements</t>
  </si>
  <si>
    <t>See Attachment I for assumptions and further description of activities.</t>
  </si>
  <si>
    <t>Table G-13: Annual Respondent Burden and Cost for Existing Sources Subject to the HON</t>
  </si>
  <si>
    <t>Capital and O&amp;M Costs for Referencing Subparts</t>
  </si>
  <si>
    <t>Capital/ Startup Cost for One Respondent</t>
  </si>
  <si>
    <t>Annual O&amp;M Costs for One Respondent</t>
  </si>
  <si>
    <t>Number of Respondents with O&amp;M</t>
  </si>
  <si>
    <t>Total O&amp;M, 
(E X F)</t>
  </si>
  <si>
    <t>Total Capital/ Startup Cost, 
(B X C)</t>
  </si>
  <si>
    <t>Number of New Respondents with Capital/ Startup Costs</t>
  </si>
  <si>
    <t>NESHAP F</t>
  </si>
  <si>
    <t>NESHAP G</t>
  </si>
  <si>
    <t>NESHAP I</t>
  </si>
  <si>
    <t>CAR</t>
  </si>
  <si>
    <t>CAR Revisions</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</si>
  <si>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</si>
  <si>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</si>
  <si>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</si>
  <si>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</si>
  <si>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</si>
  <si>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</si>
  <si>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</si>
  <si>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Average</t>
  </si>
  <si>
    <t>Number of Respondents
(E=A+B+C-D)</t>
  </si>
  <si>
    <t>HON</t>
  </si>
  <si>
    <t xml:space="preserve">      </t>
  </si>
  <si>
    <r>
      <t>b</t>
    </r>
    <r>
      <rPr>
        <sz val="10"/>
        <color theme="1"/>
        <rFont val="Times New Roman"/>
        <family val="1"/>
      </rPr>
      <t xml:space="preserve">  This ICR assumes all existing respondents will have to familiarize with the regulatory requirements each year.</t>
    </r>
  </si>
  <si>
    <r>
      <t xml:space="preserve">GRAND TOTAL (rounded) </t>
    </r>
    <r>
      <rPr>
        <b/>
        <vertAlign val="superscript"/>
        <sz val="10"/>
        <color theme="1"/>
        <rFont val="Times New Roman"/>
        <family val="1"/>
      </rPr>
      <t>c</t>
    </r>
  </si>
  <si>
    <r>
      <t xml:space="preserve">TOTAL CAPITAL AND O&amp;M COST (rounded) </t>
    </r>
    <r>
      <rPr>
        <b/>
        <vertAlign val="superscript"/>
        <sz val="10"/>
        <color theme="1"/>
        <rFont val="Times New Roman"/>
        <family val="1"/>
      </rPr>
      <t>c</t>
    </r>
  </si>
  <si>
    <r>
      <t xml:space="preserve">D.  Gather existing information </t>
    </r>
    <r>
      <rPr>
        <vertAlign val="superscript"/>
        <sz val="10"/>
        <color theme="1"/>
        <rFont val="Times New Roman"/>
        <family val="1"/>
      </rPr>
      <t>d</t>
    </r>
  </si>
  <si>
    <t>hr/response</t>
  </si>
  <si>
    <t>Number of activities per respondent per year</t>
  </si>
  <si>
    <r>
      <t>a</t>
    </r>
    <r>
      <rPr>
        <sz val="10"/>
        <color theme="1"/>
        <rFont val="Times New Roman"/>
        <family val="1"/>
      </rPr>
      <t xml:space="preserve">  Estimate there will be 4 existing sources not covered by the HON.  The burden for all new sources is included in the NSPS Subpart Kb regulation for storage vessels at 40 CFR Part 60.</t>
    </r>
  </si>
  <si>
    <r>
      <t>a</t>
    </r>
    <r>
      <rPr>
        <sz val="10"/>
        <color theme="1"/>
        <rFont val="Times New Roman"/>
        <family val="1"/>
      </rPr>
      <t xml:space="preserve">  We estimate an average of 54 existing facilities will be subject to the standard, and that no new sources will become subject over the next three years.  We estimate 3 tank truck/railcars and 131 marine vessels are subject to the standards.  We assume 50 percent of marine vessels (66) operate at negative pressure and do not conduct annual vapor-tightness tests.  We also assume all other transfer racks subject to Subpart BB are complying with the HON.</t>
    </r>
  </si>
  <si>
    <t>See Table G-13</t>
  </si>
  <si>
    <r>
      <t xml:space="preserve">1.  Initial notification of Part 65 applicability, Title V modification </t>
    </r>
    <r>
      <rPr>
        <vertAlign val="superscript"/>
        <sz val="10"/>
        <color theme="1"/>
        <rFont val="Times New Roman"/>
        <family val="1"/>
      </rPr>
      <t>b</t>
    </r>
  </si>
  <si>
    <t>Private</t>
  </si>
  <si>
    <t>Agency</t>
  </si>
  <si>
    <t>Clerical</t>
  </si>
  <si>
    <t>Managerial</t>
  </si>
  <si>
    <t>Technical</t>
  </si>
  <si>
    <t>Labor Rates</t>
  </si>
  <si>
    <r>
      <rPr>
        <vertAlign val="superscript"/>
        <sz val="10"/>
        <color theme="1"/>
        <rFont val="Times New Roman"/>
        <family val="1"/>
      </rPr>
      <t>b</t>
    </r>
    <r>
      <rPr>
        <sz val="10"/>
        <color theme="1"/>
        <rFont val="Times New Roman"/>
        <family val="1"/>
      </rPr>
      <t xml:space="preserve">  Totals have been rounded to 3 significant figures. Figures may not add exactly due to rounding. </t>
    </r>
  </si>
  <si>
    <r>
      <rPr>
        <vertAlign val="superscript"/>
        <sz val="10"/>
        <color theme="1"/>
        <rFont val="Times New Roman"/>
        <family val="1"/>
      </rPr>
      <t>e</t>
    </r>
    <r>
      <rPr>
        <sz val="10"/>
        <color theme="1"/>
        <rFont val="Times New Roman"/>
        <family val="1"/>
      </rPr>
      <t xml:space="preserve">  This ICR assumes all existing respondents will have to familiarize with the regulatory requirements each year.</t>
    </r>
  </si>
  <si>
    <r>
      <rPr>
        <vertAlign val="superscript"/>
        <sz val="10"/>
        <color theme="1"/>
        <rFont val="Times New Roman"/>
        <family val="1"/>
      </rPr>
      <t>b</t>
    </r>
    <r>
      <rPr>
        <sz val="10"/>
        <color theme="1"/>
        <rFont val="Times New Roman"/>
        <family val="1"/>
      </rPr>
      <t xml:space="preserve">  This ICR assumes all existing respondents will have to familiarize with the regulatory requirements each year.</t>
    </r>
  </si>
  <si>
    <r>
      <rPr>
        <vertAlign val="superscript"/>
        <sz val="10"/>
        <color theme="1"/>
        <rFont val="Times New Roman"/>
        <family val="1"/>
      </rPr>
      <t>c</t>
    </r>
    <r>
      <rPr>
        <sz val="10"/>
        <color theme="1"/>
        <rFont val="Times New Roman"/>
        <family val="1"/>
      </rPr>
      <t xml:space="preserve">  This ICR assumes all existing respondents will have to familiarize with the regulatory requirements each year.</t>
    </r>
  </si>
  <si>
    <r>
      <rPr>
        <vertAlign val="superscript"/>
        <sz val="10"/>
        <color theme="1"/>
        <rFont val="Times New Roman"/>
        <family val="1"/>
      </rPr>
      <t xml:space="preserve">c </t>
    </r>
    <r>
      <rPr>
        <sz val="10"/>
        <color theme="1"/>
        <rFont val="Times New Roman"/>
        <family val="1"/>
      </rPr>
      <t xml:space="preserve"> This ICR assumes all existing respondents will have to familiarize with the regulatory requirements each year.</t>
    </r>
  </si>
  <si>
    <r>
      <rPr>
        <vertAlign val="superscript"/>
        <sz val="10"/>
        <color theme="1"/>
        <rFont val="Times New Roman"/>
        <family val="1"/>
      </rPr>
      <t>a</t>
    </r>
    <r>
      <rPr>
        <sz val="10"/>
        <color theme="1"/>
        <rFont val="Times New Roman"/>
        <family val="1"/>
      </rPr>
      <t xml:space="preserve">  This table provides estimates on a per-source basis, rather than a per-facility basis.  Therefore, estimates correlate to (as described in the footnote to the appropriate Table), but do not match, facility entries in the reference subpart burden tables (Tables F-1 through F-12, and G-1 through G-13).  For the purposes of this ICR, a source is defined as:</t>
    </r>
  </si>
  <si>
    <t>(B) Number of activities per year is based on the estimate of number of activities per year for the HON, with a reduction to reflect the consolidation of activities achieved through the CAR.</t>
  </si>
  <si>
    <t>(D) Estimated technical hours per year are the total technical hours for all facilities for each burden item, as estimated in Table 5.</t>
  </si>
  <si>
    <t>(E) Estimated managerial hours per year are assumed to be 5 percent of technical hours.</t>
  </si>
  <si>
    <t>(F) Estimated clerical hours per year are assumed to be 10 percent of technical hours.</t>
  </si>
  <si>
    <t>(A) Average hours per activity are back-calculated by dividing (C) by (B).</t>
  </si>
  <si>
    <r>
      <rPr>
        <vertAlign val="superscript"/>
        <sz val="10"/>
        <color theme="1"/>
        <rFont val="Times New Roman"/>
        <family val="1"/>
      </rPr>
      <t>a</t>
    </r>
    <r>
      <rPr>
        <sz val="10"/>
        <color theme="1"/>
        <rFont val="Times New Roman"/>
        <family val="1"/>
      </rPr>
      <t xml:space="preserve">  From Tables G-1 through G-13.</t>
    </r>
  </si>
  <si>
    <r>
      <rPr>
        <vertAlign val="superscript"/>
        <sz val="10"/>
        <color theme="1"/>
        <rFont val="Times New Roman"/>
        <family val="1"/>
      </rPr>
      <t>b</t>
    </r>
    <r>
      <rPr>
        <sz val="10"/>
        <color theme="1"/>
        <rFont val="Times New Roman"/>
        <family val="1"/>
      </rPr>
      <t xml:space="preserve">  From Tables F-1 through F-12.</t>
    </r>
  </si>
  <si>
    <r>
      <rPr>
        <vertAlign val="superscript"/>
        <sz val="10"/>
        <color theme="1"/>
        <rFont val="Times New Roman"/>
        <family val="1"/>
      </rPr>
      <t>c</t>
    </r>
    <r>
      <rPr>
        <sz val="10"/>
        <color theme="1"/>
        <rFont val="Times New Roman"/>
        <family val="1"/>
      </rPr>
      <t xml:space="preserve">  From Appendix J.</t>
    </r>
  </si>
  <si>
    <r>
      <rPr>
        <vertAlign val="superscript"/>
        <sz val="10"/>
        <color theme="1"/>
        <rFont val="Times New Roman"/>
        <family val="1"/>
      </rPr>
      <t>d</t>
    </r>
    <r>
      <rPr>
        <sz val="10"/>
        <color theme="1"/>
        <rFont val="Times New Roman"/>
        <family val="1"/>
      </rPr>
      <t xml:space="preserve">  From Tables 2 and 6.</t>
    </r>
  </si>
  <si>
    <r>
      <rPr>
        <vertAlign val="superscript"/>
        <sz val="10"/>
        <color theme="1"/>
        <rFont val="Times New Roman"/>
        <family val="1"/>
      </rPr>
      <t>e</t>
    </r>
    <r>
      <rPr>
        <sz val="10"/>
        <color theme="1"/>
        <rFont val="Times New Roman"/>
        <family val="1"/>
      </rPr>
      <t xml:space="preserve">  From Tables 3 and 7.</t>
    </r>
  </si>
  <si>
    <r>
      <t>a</t>
    </r>
    <r>
      <rPr>
        <sz val="10"/>
        <color theme="1"/>
        <rFont val="Times New Roman"/>
        <family val="1"/>
      </rPr>
      <t xml:space="preserve">  Assume that there will be no new source subject to the requirements of this regulation.  Similar new sources will be subject to NSPS Subpart Kb.  There are 10 existing sources with an average of 50 tanks per facility.</t>
    </r>
  </si>
  <si>
    <r>
      <t>e</t>
    </r>
    <r>
      <rPr>
        <sz val="10"/>
        <color theme="1"/>
        <rFont val="Times New Roman"/>
        <family val="1"/>
      </rPr>
      <t xml:space="preserve">  Assume that 3 percent of respondents submitting a notification of either primary or secondary gap measurement (11) will have excessive seal gaps (primary or secondary) requiring that a single report be filed once every three years. (11 x 0.03 = 0.33)</t>
    </r>
  </si>
  <si>
    <r>
      <t>d</t>
    </r>
    <r>
      <rPr>
        <sz val="10"/>
        <color theme="1"/>
        <rFont val="Times New Roman"/>
        <family val="1"/>
      </rPr>
      <t xml:space="preserve">  Estimate that 10 percent of respondents (1) will use a vapor recovery control system and 90 percent of respondents (9) will use a floating roof system.  Respondents using vapor recovery control are not required to do seal gap measurements.  All tanks using floating roof system (9) will perform a secondary seal gap measurement.  Twenty percent of respondents (2) will conduct a primary seal gap measurement.  Total respondents submitting a notification of either primary or secondary gap measurement: 9 + 2 = 11.</t>
    </r>
  </si>
  <si>
    <r>
      <rPr>
        <vertAlign val="superscript"/>
        <sz val="10"/>
        <color theme="1"/>
        <rFont val="Times New Roman"/>
        <family val="1"/>
      </rPr>
      <t xml:space="preserve">c </t>
    </r>
    <r>
      <rPr>
        <sz val="10"/>
        <color theme="1"/>
        <rFont val="Times New Roman"/>
        <family val="1"/>
      </rPr>
      <t xml:space="preserve"> Assume 20 percent of initial performance tests must be repeated due to failure.</t>
    </r>
  </si>
  <si>
    <r>
      <t>d</t>
    </r>
    <r>
      <rPr>
        <sz val="10"/>
        <color theme="1"/>
        <rFont val="Times New Roman"/>
        <family val="1"/>
      </rPr>
      <t xml:space="preserve">  Estimate that 10 percent of respondents (1) will use a vapor recovery control system and 90 percent (9) will use a floating roof system.  Respondents using vapor recovery control are not required to do seal gap measurements.  All tanks using floating roof system (9) will perform a secondary seal gap measurement.  Twenty percent (2) will conduct a primary seal gap measurement.  Total respondents submitting a notification of either primary or secondary gap measurement: 9 + 2 = 11.</t>
    </r>
  </si>
  <si>
    <r>
      <t>e</t>
    </r>
    <r>
      <rPr>
        <sz val="10"/>
        <color theme="1"/>
        <rFont val="Times New Roman"/>
        <family val="1"/>
      </rPr>
      <t xml:space="preserve">  Assume that 3 percent of respondents submitting a notification of either primary or secondary gap measurement (11) will have excessive seal gaps (primary or secondary) requiring that a report be filed once every three years.</t>
    </r>
  </si>
  <si>
    <r>
      <t>e</t>
    </r>
    <r>
      <rPr>
        <sz val="10"/>
        <color theme="1"/>
        <rFont val="Times New Roman"/>
        <family val="1"/>
      </rPr>
      <t xml:space="preserve">  Estimate 3 new sources will be new due to construction while 2 new sources will be new due to reconstruction or modification.  </t>
    </r>
  </si>
  <si>
    <r>
      <t xml:space="preserve">Average hours per activity </t>
    </r>
    <r>
      <rPr>
        <b/>
        <vertAlign val="superscript"/>
        <sz val="10"/>
        <color theme="1"/>
        <rFont val="Times New Roman"/>
        <family val="1"/>
      </rPr>
      <t>a</t>
    </r>
  </si>
  <si>
    <r>
      <rPr>
        <vertAlign val="superscript"/>
        <sz val="10"/>
        <color theme="1"/>
        <rFont val="Times New Roman"/>
        <family val="1"/>
      </rPr>
      <t xml:space="preserve">a </t>
    </r>
    <r>
      <rPr>
        <sz val="10"/>
        <color theme="1"/>
        <rFont val="Times New Roman"/>
        <family val="1"/>
      </rPr>
      <t xml:space="preserve"> Average hours per activity are back-calculated by dividing (C) by (B).</t>
    </r>
  </si>
  <si>
    <r>
      <t xml:space="preserve">Estimated number of New Respondents </t>
    </r>
    <r>
      <rPr>
        <b/>
        <vertAlign val="superscript"/>
        <sz val="10"/>
        <color theme="1"/>
        <rFont val="Times New Roman"/>
        <family val="1"/>
      </rPr>
      <t>b</t>
    </r>
  </si>
  <si>
    <r>
      <t xml:space="preserve">Total cost per year ($) </t>
    </r>
    <r>
      <rPr>
        <b/>
        <vertAlign val="superscript"/>
        <sz val="10"/>
        <color theme="1"/>
        <rFont val="Times New Roman"/>
        <family val="1"/>
      </rPr>
      <t>c</t>
    </r>
  </si>
  <si>
    <r>
      <t xml:space="preserve">GRAND TOTAL (rounded) </t>
    </r>
    <r>
      <rPr>
        <b/>
        <vertAlign val="superscript"/>
        <sz val="10"/>
        <color theme="1"/>
        <rFont val="Times New Roman"/>
        <family val="1"/>
      </rPr>
      <t>d</t>
    </r>
  </si>
  <si>
    <r>
      <t xml:space="preserve">TOTAL CAPITAL AND O&amp;M COST (rounded) </t>
    </r>
    <r>
      <rPr>
        <b/>
        <vertAlign val="superscript"/>
        <sz val="10"/>
        <color theme="1"/>
        <rFont val="Times New Roman"/>
        <family val="1"/>
      </rPr>
      <t>d</t>
    </r>
  </si>
  <si>
    <r>
      <rPr>
        <vertAlign val="superscript"/>
        <sz val="10"/>
        <color theme="1"/>
        <rFont val="Times New Roman"/>
        <family val="1"/>
      </rPr>
      <t xml:space="preserve">d </t>
    </r>
    <r>
      <rPr>
        <sz val="10"/>
        <color theme="1"/>
        <rFont val="Times New Roman"/>
        <family val="1"/>
      </rPr>
      <t xml:space="preserve"> Totals have been rounded to 3 significant figures. Figures may not add exactly due to rounding. </t>
    </r>
  </si>
  <si>
    <r>
      <t xml:space="preserve">Number of activities per year per respondent </t>
    </r>
    <r>
      <rPr>
        <b/>
        <vertAlign val="superscript"/>
        <sz val="10"/>
        <color theme="1"/>
        <rFont val="Times New Roman"/>
        <family val="1"/>
      </rPr>
      <t>a</t>
    </r>
  </si>
  <si>
    <r>
      <t xml:space="preserve">Technical hours per year per respondent </t>
    </r>
    <r>
      <rPr>
        <b/>
        <vertAlign val="superscript"/>
        <sz val="10"/>
        <color theme="1"/>
        <rFont val="Times New Roman"/>
        <family val="1"/>
      </rPr>
      <t>a, b</t>
    </r>
  </si>
  <si>
    <r>
      <rPr>
        <vertAlign val="superscript"/>
        <sz val="10"/>
        <color theme="1"/>
        <rFont val="Times New Roman"/>
        <family val="1"/>
      </rPr>
      <t>a</t>
    </r>
    <r>
      <rPr>
        <sz val="10"/>
        <color theme="1"/>
        <rFont val="Times New Roman"/>
        <family val="1"/>
      </rPr>
      <t xml:space="preserve">  Average Hours per Activity (A) is back-calculated:  (A) = ((C) + (D))/(B).</t>
    </r>
  </si>
  <si>
    <r>
      <t xml:space="preserve">Technical hours per year per respondent for wastewater </t>
    </r>
    <r>
      <rPr>
        <b/>
        <vertAlign val="superscript"/>
        <sz val="10"/>
        <color theme="1"/>
        <rFont val="Times New Roman"/>
        <family val="1"/>
      </rPr>
      <t>a, c</t>
    </r>
  </si>
  <si>
    <r>
      <t xml:space="preserve">Total cost per year ($) </t>
    </r>
    <r>
      <rPr>
        <b/>
        <vertAlign val="superscript"/>
        <sz val="10"/>
        <color theme="1"/>
        <rFont val="Times New Roman"/>
        <family val="1"/>
      </rPr>
      <t>d</t>
    </r>
  </si>
  <si>
    <r>
      <t>TOTAL LABOR BURDEN AND COST (rounded)</t>
    </r>
    <r>
      <rPr>
        <sz val="10"/>
        <color theme="1"/>
        <rFont val="Times New Roman"/>
        <family val="1"/>
      </rPr>
      <t> </t>
    </r>
    <r>
      <rPr>
        <b/>
        <vertAlign val="superscript"/>
        <sz val="10"/>
        <color theme="1"/>
        <rFont val="Times New Roman"/>
        <family val="1"/>
      </rPr>
      <t>e</t>
    </r>
  </si>
  <si>
    <r>
      <t>TOTAL LABOR BURDEN AND COST (rounded)</t>
    </r>
    <r>
      <rPr>
        <sz val="10"/>
        <color theme="1"/>
        <rFont val="Times New Roman"/>
        <family val="1"/>
      </rPr>
      <t> </t>
    </r>
    <r>
      <rPr>
        <b/>
        <vertAlign val="superscript"/>
        <sz val="10"/>
        <color theme="1"/>
        <rFont val="Times New Roman"/>
        <family val="1"/>
      </rPr>
      <t>d</t>
    </r>
  </si>
  <si>
    <r>
      <t>TOTAL LABOR BURDEN AND COST (rounded)</t>
    </r>
    <r>
      <rPr>
        <sz val="10"/>
        <color theme="1"/>
        <rFont val="Times New Roman"/>
        <family val="1"/>
      </rPr>
      <t> </t>
    </r>
    <r>
      <rPr>
        <vertAlign val="superscript"/>
        <sz val="10"/>
        <color theme="1"/>
        <rFont val="Times New Roman"/>
        <family val="1"/>
      </rPr>
      <t>e</t>
    </r>
  </si>
  <si>
    <r>
      <t>TOTAL LABOR BURDEN AND COST (rounded)</t>
    </r>
    <r>
      <rPr>
        <sz val="10"/>
        <color theme="1"/>
        <rFont val="Times New Roman"/>
        <family val="1"/>
      </rPr>
      <t> </t>
    </r>
    <r>
      <rPr>
        <vertAlign val="superscript"/>
        <sz val="10"/>
        <color theme="1"/>
        <rFont val="Times New Roman"/>
        <family val="1"/>
      </rPr>
      <t>g</t>
    </r>
  </si>
  <si>
    <r>
      <t xml:space="preserve">TOTAL LABOR BURDEN AND COST (rounded) </t>
    </r>
    <r>
      <rPr>
        <b/>
        <vertAlign val="superscript"/>
        <sz val="10"/>
        <color theme="1"/>
        <rFont val="Times New Roman"/>
        <family val="1"/>
      </rPr>
      <t>e</t>
    </r>
  </si>
  <si>
    <r>
      <t>TOTAL LABOR BURDEN AND COST (rounded)</t>
    </r>
    <r>
      <rPr>
        <sz val="10"/>
        <color theme="1"/>
        <rFont val="Times New Roman"/>
        <family val="1"/>
      </rPr>
      <t> </t>
    </r>
    <r>
      <rPr>
        <vertAlign val="superscript"/>
        <sz val="10"/>
        <color theme="1"/>
        <rFont val="Times New Roman"/>
        <family val="1"/>
      </rPr>
      <t>i</t>
    </r>
  </si>
  <si>
    <r>
      <t xml:space="preserve">TOTAL LABOR BURDEN AND COST (rounded) </t>
    </r>
    <r>
      <rPr>
        <b/>
        <vertAlign val="superscript"/>
        <sz val="10"/>
        <color theme="1"/>
        <rFont val="Times New Roman"/>
        <family val="1"/>
      </rPr>
      <t>j</t>
    </r>
  </si>
  <si>
    <t>TOTAL (rounded)</t>
  </si>
  <si>
    <r>
      <t>TOTAL (rounded)</t>
    </r>
    <r>
      <rPr>
        <sz val="10"/>
        <color theme="1"/>
        <rFont val="Times New Roman"/>
        <family val="1"/>
      </rPr>
      <t> </t>
    </r>
    <r>
      <rPr>
        <b/>
        <vertAlign val="superscript"/>
        <sz val="10"/>
        <color theme="1"/>
        <rFont val="Times New Roman"/>
        <family val="1"/>
      </rPr>
      <t>d</t>
    </r>
  </si>
  <si>
    <r>
      <t xml:space="preserve">TOTAL (rounded) </t>
    </r>
    <r>
      <rPr>
        <b/>
        <vertAlign val="superscript"/>
        <sz val="10"/>
        <color theme="1"/>
        <rFont val="Times New Roman"/>
        <family val="1"/>
      </rPr>
      <t>f</t>
    </r>
  </si>
  <si>
    <r>
      <t>TOTAL (rounded)</t>
    </r>
    <r>
      <rPr>
        <sz val="10"/>
        <color theme="1"/>
        <rFont val="Times New Roman"/>
        <family val="1"/>
      </rPr>
      <t> </t>
    </r>
    <r>
      <rPr>
        <b/>
        <vertAlign val="superscript"/>
        <sz val="10"/>
        <color theme="1"/>
        <rFont val="Times New Roman"/>
        <family val="1"/>
      </rPr>
      <t>c</t>
    </r>
  </si>
  <si>
    <r>
      <t xml:space="preserve">TOTAL (rounded) </t>
    </r>
    <r>
      <rPr>
        <b/>
        <vertAlign val="superscript"/>
        <sz val="10"/>
        <color theme="1"/>
        <rFont val="Times New Roman"/>
        <family val="1"/>
      </rPr>
      <t>e</t>
    </r>
  </si>
  <si>
    <r>
      <t xml:space="preserve">TOTAL (rounded) </t>
    </r>
    <r>
      <rPr>
        <b/>
        <vertAlign val="superscript"/>
        <sz val="10"/>
        <color theme="1"/>
        <rFont val="Times New Roman"/>
        <family val="1"/>
      </rPr>
      <t>c</t>
    </r>
  </si>
  <si>
    <r>
      <t>TOTAL (rounded)</t>
    </r>
    <r>
      <rPr>
        <sz val="10"/>
        <color theme="1"/>
        <rFont val="Times New Roman"/>
        <family val="1"/>
      </rPr>
      <t> </t>
    </r>
    <r>
      <rPr>
        <vertAlign val="superscript"/>
        <sz val="10"/>
        <color theme="1"/>
        <rFont val="Times New Roman"/>
        <family val="1"/>
      </rPr>
      <t>f</t>
    </r>
  </si>
  <si>
    <r>
      <t>TOTAL LABOR BURDEN AND COST (rounded)</t>
    </r>
    <r>
      <rPr>
        <sz val="10"/>
        <color theme="1"/>
        <rFont val="Times New Roman"/>
        <family val="1"/>
      </rPr>
      <t> </t>
    </r>
    <r>
      <rPr>
        <vertAlign val="superscript"/>
        <sz val="10"/>
        <color theme="1"/>
        <rFont val="Times New Roman"/>
        <family val="1"/>
      </rPr>
      <t>c</t>
    </r>
  </si>
  <si>
    <r>
      <t xml:space="preserve">TOTAL LABOR BURDEN AND COST (rounded) </t>
    </r>
    <r>
      <rPr>
        <b/>
        <vertAlign val="superscript"/>
        <sz val="10"/>
        <color theme="1"/>
        <rFont val="Times New Roman"/>
        <family val="1"/>
      </rPr>
      <t>c</t>
    </r>
  </si>
  <si>
    <r>
      <t>TOTAL (rounded)</t>
    </r>
    <r>
      <rPr>
        <sz val="10"/>
        <color theme="1"/>
        <rFont val="Times New Roman"/>
        <family val="1"/>
      </rPr>
      <t> </t>
    </r>
    <r>
      <rPr>
        <vertAlign val="superscript"/>
        <sz val="10"/>
        <color theme="1"/>
        <rFont val="Times New Roman"/>
        <family val="1"/>
      </rPr>
      <t>b</t>
    </r>
  </si>
  <si>
    <r>
      <t>TOTAL (rounded)</t>
    </r>
    <r>
      <rPr>
        <sz val="10"/>
        <color theme="1"/>
        <rFont val="Times New Roman"/>
        <family val="1"/>
      </rPr>
      <t> </t>
    </r>
    <r>
      <rPr>
        <vertAlign val="superscript"/>
        <sz val="10"/>
        <color theme="1"/>
        <rFont val="Times New Roman"/>
        <family val="1"/>
      </rPr>
      <t>e</t>
    </r>
  </si>
  <si>
    <r>
      <t xml:space="preserve">4.  Review equipment leak monitoring </t>
    </r>
    <r>
      <rPr>
        <vertAlign val="superscript"/>
        <sz val="10"/>
        <color theme="1"/>
        <rFont val="Times New Roman"/>
        <family val="1"/>
      </rPr>
      <t>b</t>
    </r>
  </si>
  <si>
    <r>
      <t xml:space="preserve">10.  Review periodic reports </t>
    </r>
    <r>
      <rPr>
        <vertAlign val="superscript"/>
        <sz val="10"/>
        <color theme="1"/>
        <rFont val="Times New Roman"/>
        <family val="1"/>
      </rPr>
      <t>c</t>
    </r>
  </si>
  <si>
    <r>
      <rPr>
        <vertAlign val="superscript"/>
        <sz val="10"/>
        <color theme="1"/>
        <rFont val="Times New Roman"/>
        <family val="1"/>
      </rPr>
      <t>b</t>
    </r>
    <r>
      <rPr>
        <sz val="10"/>
        <color theme="1"/>
        <rFont val="Times New Roman"/>
        <family val="1"/>
      </rPr>
      <t xml:space="preserve">  We assume no new sources will opt to comply with the CAR at startup over the next 3 years.</t>
    </r>
  </si>
  <si>
    <t>Report review: New and Existing plants</t>
  </si>
  <si>
    <r>
      <t>g</t>
    </r>
    <r>
      <rPr>
        <sz val="10"/>
        <color theme="1"/>
        <rFont val="Times New Roman"/>
        <family val="1"/>
      </rPr>
      <t xml:space="preserve">  Estimate 10 percent of the 35 failed IFRs either are delayed in repair or are emptied, yielding 3.5 notifications per year.</t>
    </r>
  </si>
  <si>
    <t>Compliance with the CAR is a voluntary alternative. Sources may continue to comply with existing applicable rules or may choose to comply with the consolidated rule. All existing sources must be in compliance with the requirements of the CAR and/or its referencing Subparts within three years of the effective date (i.e., promulgation date) of the appropriate standard for the affected source. All new sources must be in compliance with the requirements of the CAR and/or its referencing Subparts upon startup or the promulgation date of standards for an affected source, whichever is later.   </t>
  </si>
  <si>
    <r>
      <t xml:space="preserve">Respondent burden costs </t>
    </r>
    <r>
      <rPr>
        <b/>
        <vertAlign val="superscript"/>
        <sz val="10"/>
        <color theme="1"/>
        <rFont val="Times New Roman"/>
        <family val="1"/>
      </rPr>
      <t>a</t>
    </r>
  </si>
  <si>
    <t>Notes for renewing this ICR:</t>
  </si>
  <si>
    <r>
      <t>a</t>
    </r>
    <r>
      <rPr>
        <sz val="10"/>
        <color theme="1"/>
        <rFont val="Times New Roman"/>
        <family val="1"/>
      </rPr>
      <t xml:space="preserve">  Assume 0 new sources per year and 67 existing sources subject to subpart V, but not the HON.</t>
    </r>
  </si>
  <si>
    <r>
      <rPr>
        <vertAlign val="superscript"/>
        <sz val="10"/>
        <color theme="1"/>
        <rFont val="Times New Roman"/>
        <family val="1"/>
      </rPr>
      <t>e</t>
    </r>
    <r>
      <rPr>
        <sz val="10"/>
        <color theme="1"/>
        <rFont val="Times New Roman"/>
        <family val="1"/>
      </rPr>
      <t xml:space="preserve">  Assume 3% of sources experience a startup, shutdown, or malfunction per year. </t>
    </r>
  </si>
  <si>
    <r>
      <t xml:space="preserve">Record of startup, shutdown, malfunction, etc. </t>
    </r>
    <r>
      <rPr>
        <vertAlign val="superscript"/>
        <sz val="10"/>
        <color theme="1"/>
        <rFont val="Times New Roman"/>
        <family val="1"/>
      </rPr>
      <t>e</t>
    </r>
  </si>
  <si>
    <r>
      <t>a</t>
    </r>
    <r>
      <rPr>
        <sz val="10"/>
        <color theme="1"/>
        <rFont val="Times New Roman"/>
        <family val="1"/>
      </rPr>
      <t xml:space="preserve">  Assume no new sources per year and 67 existing sources subject to Subpart V, but not the HON.</t>
    </r>
  </si>
  <si>
    <r>
      <t xml:space="preserve">NSPS Kb </t>
    </r>
    <r>
      <rPr>
        <b/>
        <vertAlign val="superscript"/>
        <sz val="10"/>
        <color theme="1"/>
        <rFont val="Times New Roman"/>
        <family val="1"/>
      </rPr>
      <t>a</t>
    </r>
  </si>
  <si>
    <t xml:space="preserve">Note to EPA: </t>
  </si>
  <si>
    <t>of whether 5% or 25% of affected sources complied with CAR.</t>
  </si>
  <si>
    <t xml:space="preserve">The number of affected sources under each reference subpart were adjusted to reflect the revised inventory of </t>
  </si>
  <si>
    <t xml:space="preserve">facilities under each subpart. </t>
  </si>
  <si>
    <t>No updates, retained prior estimate.</t>
  </si>
  <si>
    <r>
      <rPr>
        <vertAlign val="superscript"/>
        <sz val="10"/>
        <color theme="1"/>
        <rFont val="Times New Roman"/>
        <family val="1"/>
      </rPr>
      <t>a</t>
    </r>
    <r>
      <rPr>
        <sz val="10"/>
        <color theme="1"/>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</si>
  <si>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rPr>
        <vertAlign val="superscript"/>
        <sz val="11"/>
        <color theme="1"/>
        <rFont val="Calibri"/>
        <family val="2"/>
        <scheme val="minor"/>
      </rPr>
      <t>b</t>
    </r>
    <r>
      <rPr>
        <sz val="11"/>
        <color theme="1"/>
        <rFont val="Calibri"/>
        <family val="2"/>
        <scheme val="minor"/>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</si>
  <si>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rPr>
        <vertAlign val="superscript"/>
        <sz val="10"/>
        <color theme="1"/>
        <rFont val="Times New Roman"/>
        <family val="1"/>
      </rPr>
      <t>b</t>
    </r>
    <r>
      <rPr>
        <sz val="10"/>
        <color theme="1"/>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</si>
  <si>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rPr>
        <vertAlign val="superscript"/>
        <sz val="10"/>
        <color theme="1"/>
        <rFont val="Times New Roman"/>
        <family val="1"/>
      </rPr>
      <t xml:space="preserve">b </t>
    </r>
    <r>
      <rPr>
        <sz val="10"/>
        <color theme="1"/>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</si>
  <si>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rPr>
        <vertAlign val="superscript"/>
        <sz val="10"/>
        <color theme="1"/>
        <rFont val="Times New Roman"/>
        <family val="1"/>
      </rPr>
      <t>d</t>
    </r>
    <r>
      <rPr>
        <sz val="10"/>
        <color theme="1"/>
        <rFont val="Times New Roman"/>
        <family val="1"/>
      </rPr>
      <t xml:space="preserve">  We estimate 10 percent of the 210 SOCMI facilities, which equals 21 facilities, will opt to comply with the CAR and must submit periodic reports each year.</t>
    </r>
  </si>
  <si>
    <t>(C) Technical hours per year per respondent are the total technical hours for a burden item as estimated in Table 5, divided by 21 facilities.</t>
  </si>
  <si>
    <r>
      <t>a</t>
    </r>
    <r>
      <rPr>
        <sz val="10"/>
        <color theme="1"/>
        <rFont val="Times New Roman"/>
        <family val="1"/>
      </rPr>
      <t xml:space="preserve">  We have assumed that the average number of respondents that will be subject to revised requirements will be 385 per year.  This is based on our estimate of 3,500 existing IFR storage vessels subject to the NSPS.</t>
    </r>
  </si>
  <si>
    <r>
      <rPr>
        <vertAlign val="superscript"/>
        <sz val="10"/>
        <color theme="1"/>
        <rFont val="Times New Roman"/>
        <family val="1"/>
      </rPr>
      <t>b</t>
    </r>
    <r>
      <rPr>
        <sz val="10"/>
        <color theme="1"/>
        <rFont val="Times New Roman"/>
        <family val="1"/>
      </rPr>
      <t xml:space="preserve">  There are 189 existing sources out of the 210 total that will continue to comply with the HON.</t>
    </r>
  </si>
  <si>
    <r>
      <rPr>
        <vertAlign val="superscript"/>
        <sz val="10"/>
        <color theme="1"/>
        <rFont val="Times New Roman"/>
        <family val="1"/>
      </rPr>
      <t>c</t>
    </r>
    <r>
      <rPr>
        <sz val="10"/>
        <color theme="1"/>
        <rFont val="Times New Roman"/>
        <family val="1"/>
      </rPr>
      <t xml:space="preserve">  The 189 existing sources complying with the HON file semi-annual reports.</t>
    </r>
  </si>
  <si>
    <r>
      <rPr>
        <vertAlign val="superscript"/>
        <sz val="10"/>
        <color theme="1"/>
        <rFont val="Times New Roman"/>
        <family val="1"/>
      </rPr>
      <t>c</t>
    </r>
    <r>
      <rPr>
        <sz val="10"/>
        <color theme="1"/>
        <rFont val="Times New Roman"/>
        <family val="1"/>
      </rPr>
      <t xml:space="preserve">  The 21 facilities complying with the CAR will still be required to comply with HON requirements for wastewater.</t>
    </r>
  </si>
  <si>
    <r>
      <rPr>
        <vertAlign val="superscript"/>
        <sz val="10"/>
        <color theme="1"/>
        <rFont val="Times New Roman"/>
        <family val="1"/>
      </rPr>
      <t>c</t>
    </r>
    <r>
      <rPr>
        <sz val="10"/>
        <color theme="1"/>
        <rFont val="Times New Roman"/>
        <family val="1"/>
      </rPr>
      <t xml:space="preserve">  Estimate no new sources will be constructed and no existing sources will be modified/reconstructed. </t>
    </r>
  </si>
  <si>
    <t> Assumptions included in ICR No. 1854.07 add: “Compliance with the CAR is a voluntary alternative.  Sources may continue to comply with existing applicable rules or may choose to comply with the consolidated rule.  When preparing renewals for the CAR, or the referencing subparts, estimates are made of the percentage of existing sources that will opt to comply with the CAR in lieu of the referencing subparts.  Because the CAR is designed for, although not limited to, SOCMI facilities, the number of facilities opting to comply with the CAR is based on the estimated number of SOCMI facilities.  It is estimated that 10 percent of non-Hazardous Organic NESHAP (HON) sources will opt to comply with the CAR if the per-source burden of complying with the CAR is less than the per-source burden of complying with the referencing subpart.  For those referencing subparts for which the per-source burden of complying with the CAR is higher than the per-source burden of complying with the referencing subpart (subparts Ka, Kb, Y, VV, VVa, III, NNN, RRR, and DDD), it is estimated that 5 percent of sources will opt to comply with the CAR.  It is also estimated that 10 percent of HON sources will opt to comply with the CAR. It is assumed that all new sources will initially comply with the appropriate referencing subpart.“</t>
  </si>
  <si>
    <t>No updates, adjusted prior estimate assuming same growth rate.</t>
  </si>
  <si>
    <t>No updates, retained prior estimate but set growth rate to 0.</t>
  </si>
  <si>
    <t>Updated based on recent proposed rulemaking; we assume only 10% of these sources will comply with CAR.</t>
  </si>
  <si>
    <t xml:space="preserve">To do so, we back calculated the number of affected sources per facility using the prior ICR assumptions </t>
  </si>
  <si>
    <t xml:space="preserve">For e.g., for subpart DDD, we took 3 process vents/5%/78 respondents to estimate 0.77 process vents per facility. </t>
  </si>
  <si>
    <t xml:space="preserve">Then we applied 0.77 process vents x 93 facilities (revised inventory) x 5% complying with CAR = 4 affected sources. </t>
  </si>
  <si>
    <t>For subparts BB, V, and HON sources, we divided by 25% to match the assumptions in the previous ICR but adjusted the new estimates by 10% based on feedback from OAQPS.</t>
  </si>
  <si>
    <r>
      <rPr>
        <vertAlign val="superscript"/>
        <sz val="10"/>
        <rFont val="Times New Roman"/>
        <family val="1"/>
      </rPr>
      <t xml:space="preserve">b </t>
    </r>
    <r>
      <rPr>
        <sz val="10"/>
        <rFont val="Times New Roman"/>
        <family val="1"/>
      </rPr>
      <t xml:space="preserve"> Based on the number of sources per facility from the most recently approved CAR ICR. Because the CAR is designed for, although not limited to, SOCMI facilities, the number of facilities opting to comply with the CAR is based on the estimated number of SOCMI facilities.  It is estimated that 10 percent of non-Hazardous Organic NESHAP (HON) sources will opt to comply with the CAR if the per-source burden of complying with the CAR is less than the per-source burden of complying with the referencing subpart.  For those referencing subparts for which the per-source burden of complying with the CAR is higher than the per-source burden of complying with the referencing subpart (subparts Ka, Kb, Y, VV, VVa, III, NNN, RRR, and DDD), it is estimated that 5 percent of sources will opt to comply with the CAR.  It is also estimated that 10 percent of HON sources will opt to comply with the CAR. Numbers of sources are rounded to the nearest whole number.</t>
    </r>
  </si>
  <si>
    <r>
      <rPr>
        <vertAlign val="superscript"/>
        <sz val="10"/>
        <color theme="1"/>
        <rFont val="Times New Roman"/>
        <family val="1"/>
      </rPr>
      <t xml:space="preserve">c </t>
    </r>
    <r>
      <rPr>
        <sz val="10"/>
        <color theme="1"/>
        <rFont val="Times New Roman"/>
        <family val="1"/>
      </rPr>
      <t xml:space="preserve"> We estimate 94 equipment leak sources will comply with the CAR (63 from the HON, 23 from subpart VV and 8 from subpart V - see Table 4).  Reports for equipment leaks will be submitted semiannually (94 x 2 = 188 per year).  See Attachment C for assumptions and further description of activities.</t>
    </r>
  </si>
  <si>
    <r>
      <t>-</t>
    </r>
    <r>
      <rPr>
        <sz val="7"/>
        <color theme="1"/>
        <rFont val="Times New Roman"/>
        <family val="1"/>
      </rPr>
      <t xml:space="preserve"> </t>
    </r>
    <r>
      <rPr>
        <sz val="10"/>
        <color theme="1"/>
        <rFont val="Times New Roman"/>
        <family val="1"/>
      </rPr>
      <t>process vents - 181</t>
    </r>
  </si>
  <si>
    <r>
      <t>-</t>
    </r>
    <r>
      <rPr>
        <sz val="7"/>
        <color theme="1"/>
        <rFont val="Times New Roman"/>
        <family val="1"/>
      </rPr>
      <t xml:space="preserve"> </t>
    </r>
    <r>
      <rPr>
        <sz val="10"/>
        <color theme="1"/>
        <rFont val="Times New Roman"/>
        <family val="1"/>
      </rPr>
      <t>storage vessels - 411</t>
    </r>
  </si>
  <si>
    <r>
      <t>-</t>
    </r>
    <r>
      <rPr>
        <sz val="7"/>
        <color theme="1"/>
        <rFont val="Times New Roman"/>
        <family val="1"/>
      </rPr>
      <t xml:space="preserve"> </t>
    </r>
    <r>
      <rPr>
        <sz val="10"/>
        <color theme="1"/>
        <rFont val="Times New Roman"/>
        <family val="1"/>
      </rPr>
      <t>transfer racks - 84</t>
    </r>
  </si>
  <si>
    <r>
      <t>-</t>
    </r>
    <r>
      <rPr>
        <sz val="7"/>
        <color theme="1"/>
        <rFont val="Times New Roman"/>
        <family val="1"/>
      </rPr>
      <t xml:space="preserve"> </t>
    </r>
    <r>
      <rPr>
        <sz val="10"/>
        <color theme="1"/>
        <rFont val="Times New Roman"/>
        <family val="1"/>
      </rPr>
      <t>equipment leaks with connector monitoring - 63</t>
    </r>
  </si>
  <si>
    <r>
      <t>-</t>
    </r>
    <r>
      <rPr>
        <sz val="7"/>
        <color theme="1"/>
        <rFont val="Times New Roman"/>
        <family val="1"/>
      </rPr>
      <t xml:space="preserve"> </t>
    </r>
    <r>
      <rPr>
        <sz val="10"/>
        <color theme="1"/>
        <rFont val="Times New Roman"/>
        <family val="1"/>
      </rPr>
      <t>equipment leaks without connector monitoring - 31</t>
    </r>
  </si>
  <si>
    <r>
      <t>-</t>
    </r>
    <r>
      <rPr>
        <sz val="7"/>
        <color theme="1"/>
        <rFont val="Times New Roman"/>
        <family val="1"/>
      </rPr>
      <t xml:space="preserve"> </t>
    </r>
    <r>
      <rPr>
        <sz val="10"/>
        <color theme="1"/>
        <rFont val="Times New Roman"/>
        <family val="1"/>
      </rPr>
      <t>facilities (used for inventory estimate) - 21</t>
    </r>
  </si>
  <si>
    <t>(G) Annual Cost is the sum of costs for technical, managerial, and clerical hours.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</si>
  <si>
    <r>
      <t xml:space="preserve">a </t>
    </r>
    <r>
      <rPr>
        <sz val="10"/>
        <color theme="1"/>
        <rFont val="Times New Roman"/>
        <family val="1"/>
      </rPr>
      <t xml:space="preserve"> All new sources are subject to subpart VVa.  There are an average of 170 existing sources per year that will be subject to subpart VV over the next three years.  These estimates do not include sources subject to both subpart VV and the HON, which we assume comply with the HON instead.</t>
    </r>
  </si>
  <si>
    <r>
      <t>a</t>
    </r>
    <r>
      <rPr>
        <sz val="10"/>
        <color theme="1"/>
        <rFont val="Times New Roman"/>
        <family val="1"/>
      </rPr>
      <t xml:space="preserve">  Assume there will be no new, modified, or reconstructed facilities each year and an average of 75 existing facilities over the next 3 years. Since Subpart VVa is more stringent than the HON and MON, no sources are assumed to be complying with the HON or MON instead of Subpart VVa.</t>
    </r>
  </si>
  <si>
    <r>
      <t>a</t>
    </r>
    <r>
      <rPr>
        <sz val="10"/>
        <color theme="1"/>
        <rFont val="Times New Roman"/>
        <family val="1"/>
      </rPr>
      <t xml:space="preserve">  We assume 5 new affected sources per year and an average of 88 existing affected sources over the next three years.</t>
    </r>
  </si>
  <si>
    <r>
      <t>a</t>
    </r>
    <r>
      <rPr>
        <sz val="10"/>
        <color theme="1"/>
        <rFont val="Times New Roman"/>
        <family val="1"/>
      </rPr>
      <t xml:space="preserve">  Assume no new affected sources per year and an average of 40 existing affected sources over the next three years.  This does not include sources subject to both subpart III and the HON, which are assumed to be complying with the HON.</t>
    </r>
  </si>
  <si>
    <r>
      <t>a</t>
    </r>
    <r>
      <rPr>
        <sz val="10"/>
        <color theme="1"/>
        <rFont val="Times New Roman"/>
        <family val="1"/>
      </rPr>
      <t xml:space="preserve">  Assume no new affected sources per year subject to subpart NNN and not the HON. We assume 136 existing affected sources over the next three years subject to subpart NNN and not the HON.  These estimates do not include sources subject to both Subpart NNN and the HON, which are assumed to be complying with the HON.</t>
    </r>
  </si>
  <si>
    <r>
      <rPr>
        <vertAlign val="superscript"/>
        <sz val="10"/>
        <color theme="1"/>
        <rFont val="Times New Roman"/>
        <family val="1"/>
      </rPr>
      <t>a</t>
    </r>
    <r>
      <rPr>
        <sz val="10"/>
        <color theme="1"/>
        <rFont val="Times New Roman"/>
        <family val="1"/>
      </rPr>
      <t xml:space="preserve">  Assume no new affected sources per year subject to subpart RRR and not the HON. Assume 74 existing affected sources over the next three years.  These estimates do not include sources subject to both Subpart RRR and the HON, which are assumed to be complying with the HON.</t>
    </r>
  </si>
  <si>
    <r>
      <rPr>
        <vertAlign val="superscript"/>
        <sz val="10"/>
        <color theme="1"/>
        <rFont val="Times New Roman"/>
        <family val="1"/>
      </rPr>
      <t>a</t>
    </r>
    <r>
      <rPr>
        <sz val="10"/>
        <color theme="1"/>
        <rFont val="Times New Roman"/>
        <family val="1"/>
      </rPr>
      <t xml:space="preserve">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</si>
  <si>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 xml:space="preserve">b  </t>
    </r>
    <r>
      <rPr>
        <sz val="10"/>
        <color theme="1"/>
        <rFont val="Times New Roman"/>
        <family val="1"/>
      </rPr>
      <t>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r>
      <rPr>
        <vertAlign val="superscript"/>
        <sz val="10"/>
        <color theme="1"/>
        <rFont val="Times New Roman"/>
        <family val="1"/>
      </rPr>
      <t>.</t>
    </r>
  </si>
  <si>
    <r>
      <t xml:space="preserve">b  </t>
    </r>
    <r>
      <rPr>
        <sz val="10"/>
        <color theme="1"/>
        <rFont val="Times New Roman"/>
        <family val="1"/>
      </rPr>
      <t>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</si>
  <si>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color theme="1"/>
        <rFont val="Times New Roman"/>
        <family val="1"/>
      </rPr>
      <t>c</t>
    </r>
    <r>
      <rPr>
        <sz val="10"/>
        <color theme="1"/>
        <rFont val="Times New Roman"/>
        <family val="1"/>
      </rPr>
      <t xml:space="preserve">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</si>
  <si>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color theme="1"/>
        <rFont val="Times New Roman"/>
        <family val="1"/>
      </rPr>
      <t xml:space="preserve">d </t>
    </r>
    <r>
      <rPr>
        <sz val="10"/>
        <color theme="1"/>
        <rFont val="Times New Roman"/>
        <family val="1"/>
      </rPr>
      <t xml:space="preserve">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</si>
  <si>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a</t>
    </r>
    <r>
      <rPr>
        <sz val="10"/>
        <color theme="1"/>
        <rFont val="Times New Roman"/>
        <family val="1"/>
      </rPr>
      <t xml:space="preserve">  All new sources are subject to Subpart VVa.  There is an average of 170 existing sources per year that will be subject to subpart VV over the next three years.  These estimates do not include sources subject to both subpart VV and the HON, which we assume comply with the HON instead.</t>
    </r>
  </si>
  <si>
    <r>
      <t>a</t>
    </r>
    <r>
      <rPr>
        <sz val="10"/>
        <color theme="1"/>
        <rFont val="Times New Roman"/>
        <family val="1"/>
      </rPr>
      <t xml:space="preserve">  Assume there will be an average of 0 new, modified, or reconstructed facilities each year and an average of 75 existing facilities over the next 3 years. Since Subpart VVa is more stringent than the HON and MON, no sources are assumed to be complying with the HON or MON instead of Subpart VVa.</t>
    </r>
  </si>
  <si>
    <r>
      <t>a</t>
    </r>
    <r>
      <rPr>
        <sz val="10"/>
        <color theme="1"/>
        <rFont val="Times New Roman"/>
        <family val="1"/>
      </rPr>
      <t xml:space="preserve">  Assume 5 new affected sources per year and an average of 88 existing affected sources over the next three years, for an overall total of 93 sources.</t>
    </r>
  </si>
  <si>
    <r>
      <t xml:space="preserve">a </t>
    </r>
    <r>
      <rPr>
        <sz val="10"/>
        <color theme="1"/>
        <rFont val="Times New Roman"/>
        <family val="1"/>
      </rPr>
      <t xml:space="preserve"> Assume no new affected sources per year and an average of 40 existing affected sources over the next three years.  This does not include sources subject to both Subpart III and the HON, which are assumed to be complying with the HON.</t>
    </r>
  </si>
  <si>
    <r>
      <t>a</t>
    </r>
    <r>
      <rPr>
        <sz val="10"/>
        <color theme="1"/>
        <rFont val="Times New Roman"/>
        <family val="1"/>
      </rPr>
      <t xml:space="preserve">  Assume no new affected sources per year subject to subpart NNN and not the HON, and 136 existing affected sources over the next three years.  These estimates do not include sources subject to both Subpart NNN and the HON, which are assumed to be complying with the HON.</t>
    </r>
  </si>
  <si>
    <r>
      <t>a</t>
    </r>
    <r>
      <rPr>
        <sz val="10"/>
        <color theme="1"/>
        <rFont val="Times New Roman"/>
        <family val="1"/>
      </rPr>
      <t xml:space="preserve">  Assume no new affected sources per year subject to subpart RRR and not the HON, and 74 existing affected sources over the next three years.  These estimates do not include sources subject to both Subpart RRR and the HON, which are assumed to be complying with the HON.</t>
    </r>
  </si>
  <si>
    <r>
      <rPr>
        <vertAlign val="superscript"/>
        <sz val="10"/>
        <color theme="1"/>
        <rFont val="Times New Roman"/>
        <family val="1"/>
      </rPr>
      <t>b</t>
    </r>
    <r>
      <rPr>
        <sz val="10"/>
        <color theme="1"/>
        <rFont val="Times New Roman"/>
        <family val="1"/>
      </rPr>
      <t xml:space="preserve">  We assume the number of new respondents will be 0.67 per year, or 1 in the three-year period of this ICR. </t>
    </r>
  </si>
  <si>
    <r>
      <rPr>
        <vertAlign val="superscript"/>
        <sz val="10"/>
        <color theme="1"/>
        <rFont val="Times New Roman"/>
        <family val="1"/>
      </rPr>
      <t>a</t>
    </r>
    <r>
      <rPr>
        <sz val="10"/>
        <color theme="1"/>
        <rFont val="Times New Roman"/>
        <family val="1"/>
      </rPr>
      <t xml:space="preserve">  We assume that 5% of new respondents use a CVS as control, and that 5% of all existing storage tanks use a CVS as control. (385 existing respondents x 11.3 tanks per respondent x 5% tanks with CVS = 218, rounded)</t>
    </r>
  </si>
  <si>
    <r>
      <t xml:space="preserve">NESHAP H </t>
    </r>
    <r>
      <rPr>
        <b/>
        <vertAlign val="superscript"/>
        <sz val="10"/>
        <color theme="1"/>
        <rFont val="Times New Roman"/>
        <family val="1"/>
      </rPr>
      <t>b</t>
    </r>
  </si>
  <si>
    <r>
      <rPr>
        <vertAlign val="superscript"/>
        <sz val="10"/>
        <color theme="1"/>
        <rFont val="Times New Roman"/>
        <family val="1"/>
      </rPr>
      <t>b</t>
    </r>
    <r>
      <rPr>
        <sz val="10"/>
        <color theme="1"/>
        <rFont val="Times New Roman"/>
        <family val="1"/>
      </rPr>
      <t xml:space="preserve">  We assume there will be one new respondent over the three-year period of this ICR (average of 0.67 new respondents per year) and that the new respondent will perform LDAR services in-house and will purchase 5 units to support the program.  The total annual capital/startup cost is 5 units x $1,400 = $7,000.</t>
    </r>
  </si>
  <si>
    <r>
      <t>e</t>
    </r>
    <r>
      <rPr>
        <sz val="10"/>
        <color theme="1"/>
        <rFont val="Times New Roman"/>
        <family val="1"/>
      </rPr>
      <t xml:space="preserve">  For each of the 3,500 IFRs associated with the 385 existing respondents, we estimate that 90 percent (385 x 0.9 = 347) will conduct an annual visual inspection, while 10 percent (385 x 0.1 = 39, rounded) will conduct an internal inspection.  These activities are required to generate the information for the IFR failure report and EFR primary and secondary seal gap reports, but do not require response.</t>
    </r>
  </si>
  <si>
    <r>
      <t>f</t>
    </r>
    <r>
      <rPr>
        <sz val="10"/>
        <color theme="1"/>
        <rFont val="Times New Roman"/>
        <family val="1"/>
      </rPr>
      <t xml:space="preserve">  We estimate that 90% of existing and new respondents ((385+0) x 0.9 = 347) will choose visual inspections. We estimate 10 percent failure rate for the 347 respondents choosing annual visual inspections, yielding 35 reports. (347 x 0.1 = 35 (rounded)).</t>
    </r>
  </si>
  <si>
    <r>
      <t>h</t>
    </r>
    <r>
      <rPr>
        <sz val="10"/>
        <color theme="1"/>
        <rFont val="Times New Roman"/>
        <family val="1"/>
      </rPr>
      <t xml:space="preserve">  We assumed degassing would occur every 20 years for maintenance in the absence of the internal inspection requirement. Without the internal inspection requirement, there would be 175 degassing and emptying events per year (3500/20).</t>
    </r>
  </si>
  <si>
    <r>
      <t>c</t>
    </r>
    <r>
      <rPr>
        <sz val="10"/>
        <color theme="1"/>
        <rFont val="Times New Roman"/>
        <family val="1"/>
      </rPr>
      <t xml:space="preserve">  We estimate that 90% of existing and new respondents ((385+0) x 0.9 = 347) will choose visual inspections. We estimate 10 percent failure rate for the 347 respondents choosing annual visual inspections, yielding 35 reports. (347 x 0.1 = 35 (rounded)).</t>
    </r>
  </si>
  <si>
    <r>
      <t>d</t>
    </r>
    <r>
      <rPr>
        <sz val="10"/>
        <color theme="1"/>
        <rFont val="Times New Roman"/>
        <family val="1"/>
      </rPr>
      <t xml:space="preserve">  Estimate 10 percent of failed IFRs either are delayed in repair or are emptied, yielding 3.5 notifications per year.</t>
    </r>
  </si>
  <si>
    <r>
      <t>e</t>
    </r>
    <r>
      <rPr>
        <sz val="10"/>
        <color theme="1"/>
        <rFont val="Times New Roman"/>
        <family val="1"/>
      </rPr>
      <t xml:space="preserve">  We assumed degassing would occur every 20 years for maintenance in the absence of the internal inspection requirement. Without the internal inspection requirement, there would be 175 degassing and emptying events per year (3500/20).</t>
    </r>
  </si>
  <si>
    <r>
      <rPr>
        <vertAlign val="superscript"/>
        <sz val="10"/>
        <color theme="1"/>
        <rFont val="Times New Roman"/>
        <family val="1"/>
      </rPr>
      <t>c</t>
    </r>
    <r>
      <rPr>
        <sz val="10"/>
        <color theme="1"/>
        <rFont val="Times New Roman"/>
        <family val="1"/>
      </rPr>
      <t xml:space="preserve"> Totals have been rounded to 3 significant figures. Figures may not add exactly due to rounding.</t>
    </r>
  </si>
  <si>
    <r>
      <t xml:space="preserve">Total for CAR and Referencing Subparts (rounded) </t>
    </r>
    <r>
      <rPr>
        <b/>
        <vertAlign val="superscript"/>
        <sz val="10"/>
        <color theme="1"/>
        <rFont val="Times New Roman"/>
        <family val="1"/>
      </rPr>
      <t>c</t>
    </r>
  </si>
  <si>
    <r>
      <rPr>
        <vertAlign val="superscript"/>
        <sz val="11"/>
        <color theme="1"/>
        <rFont val="Calibri"/>
        <family val="2"/>
        <scheme val="minor"/>
      </rPr>
      <t>b</t>
    </r>
    <r>
      <rPr>
        <sz val="11"/>
        <color theme="1"/>
        <rFont val="Calibri"/>
        <family val="2"/>
        <scheme val="minor"/>
      </rPr>
      <t xml:space="preserve">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</si>
  <si>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t>Estimated technical hours per year 
(E=Cx189+Dx21)</t>
  </si>
  <si>
    <t>ICR Summary Information</t>
  </si>
  <si>
    <t>Hours per Response</t>
  </si>
  <si>
    <t>Total Estimated Burden Hours</t>
  </si>
  <si>
    <t>Total Estimated Costs</t>
  </si>
  <si>
    <t>Annualized Capital O&amp;M</t>
  </si>
  <si>
    <t>Total Annual Responses</t>
  </si>
  <si>
    <t>Form Number</t>
  </si>
  <si>
    <t>Not Applicable</t>
  </si>
  <si>
    <t>Updated based on 1854.13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</si>
</sst>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1" formatCode="_(* #,##0_);_(* \(#,##0\);_(* &quot;-&quot;_);_(@_)"/>
    <numFmt numFmtId="164" formatCode="#,##0.0"/>
    <numFmt numFmtId="165" formatCode="0.0"/>
    <numFmt numFmtId="166" formatCode="&quot;$&quot;#,##0"/>
    <numFmt numFmtId="167" formatCode="&quot;$&quot;#,##0.00"/>
    <numFmt numFmtId="168" formatCode="&quot;$&quot;#,##0.0_);[Red]\(&quot;$&quot;#,##0.0\)"/>
  </numFmts>
  <fonts count="36" x14ac:knownFonts="1">
    <font>
      <sz val="11"/>
      <color theme="1"/>
      <name val="Calibri"/>
      <family val="2"/>
      <scheme val="minor"/>
    </font>
    <font>
      <b/>
      <sz val="12"/>
      <color rgb="FF000000"/>
      <name val="Times New Roman"/>
      <family val="1"/>
    </font>
    <font>
      <sz val="10"/>
      <color theme="1"/>
      <name val="Times New Roman"/>
      <family val="1"/>
    </font>
    <font>
      <sz val="12"/>
      <color rgb="FF000000"/>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sz val="10"/>
      <color rgb="FF000000"/>
      <name val="Times New Roman"/>
      <family val="1"/>
    </font>
    <font>
      <b/>
      <sz val="10"/>
      <color rgb="FF000000"/>
      <name val="Times New Roman"/>
      <family val="1"/>
    </font>
    <font>
      <b/>
      <sz val="11"/>
      <color theme="1"/>
      <name val="Times New Roman"/>
      <family val="1"/>
    </font>
    <font>
      <b/>
      <vertAlign val="superscript"/>
      <sz val="12"/>
      <color rgb="FF000000"/>
      <name val="Times New Roman"/>
      <family val="1"/>
    </font>
    <font>
      <b/>
      <vertAlign val="superscript"/>
      <sz val="10"/>
      <color rgb="FF000000"/>
      <name val="Times New Roman"/>
      <family val="1"/>
    </font>
    <font>
      <sz val="7"/>
      <color theme="1"/>
      <name val="Times New Roman"/>
      <family val="1"/>
    </font>
    <font>
      <b/>
      <sz val="11"/>
      <color theme="1"/>
      <name val="Calibri"/>
      <family val="2"/>
      <scheme val="minor"/>
    </font>
    <font>
      <vertAlign val="superscript"/>
      <sz val="10"/>
      <color rgb="FF000000"/>
      <name val="Times New Roman"/>
      <family val="1"/>
    </font>
    <font>
      <b/>
      <sz val="12"/>
      <color theme="1"/>
      <name val="Times New Roman"/>
      <family val="1"/>
    </font>
    <font>
      <b/>
      <vertAlign val="superscript"/>
      <sz val="12"/>
      <color theme="1"/>
      <name val="Times New Roman"/>
      <family val="1"/>
    </font>
    <font>
      <b/>
      <i/>
      <sz val="10"/>
      <color theme="1"/>
      <name val="Times New Roman"/>
      <family val="1"/>
    </font>
    <font>
      <sz val="9"/>
      <color rgb="FF000000"/>
      <name val="Times New Roman"/>
      <family val="1"/>
    </font>
    <font>
      <sz val="11"/>
      <color theme="1"/>
      <name val="Times New Roman"/>
      <family val="1"/>
    </font>
    <font>
      <sz val="11"/>
      <color rgb="FFFF0000"/>
      <name val="Calibri"/>
      <family val="2"/>
      <scheme val="minor"/>
    </font>
    <font>
      <sz val="10"/>
      <color rgb="FFFF0000"/>
      <name val="Times New Roman"/>
      <family val="1"/>
    </font>
    <font>
      <sz val="11"/>
      <color rgb="FF0070C0"/>
      <name val="Calibri"/>
      <family val="2"/>
      <scheme val="minor"/>
    </font>
    <font>
      <sz val="10"/>
      <name val="Times New Roman"/>
      <family val="1"/>
    </font>
    <font>
      <vertAlign val="superscript"/>
      <sz val="11"/>
      <color theme="1"/>
      <name val="Calibri"/>
      <family val="2"/>
      <scheme val="minor"/>
    </font>
    <font>
      <sz val="8"/>
      <name val="Calibri"/>
      <family val="2"/>
      <scheme val="minor"/>
    </font>
    <font>
      <sz val="10"/>
      <color rgb="FF0070C0"/>
      <name val="Times New Roman"/>
      <family val="1"/>
    </font>
    <font>
      <sz val="11"/>
      <color rgb="FF0070C0"/>
      <name val="Times New Roman"/>
      <family val="1"/>
    </font>
    <font>
      <sz val="9"/>
      <color rgb="FF0070C0"/>
      <name val="Times New Roman"/>
      <family val="1"/>
    </font>
    <font>
      <b/>
      <sz val="10"/>
      <name val="Times New Roman"/>
      <family val="1"/>
    </font>
    <font>
      <sz val="10"/>
      <color rgb="FF000000"/>
      <name val="Calibri"/>
      <family val="2"/>
    </font>
    <font>
      <sz val="12"/>
      <color theme="1"/>
      <name val="Times New Roman"/>
      <family val="1"/>
    </font>
    <font>
      <sz val="8"/>
      <color theme="1"/>
      <name val="Times New Roman"/>
      <family val="1"/>
    </font>
    <font>
      <b/>
      <sz val="14"/>
      <color theme="1"/>
      <name val="Calibri"/>
      <family val="2"/>
      <scheme val="minor"/>
    </font>
    <font>
      <sz val="12"/>
      <name val="Times New Roman"/>
      <family val="1"/>
    </font>
    <font>
      <vertAlign val="superscript"/>
      <sz val="10"/>
      <name val="Times New Roman"/>
      <family val="1"/>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95">
    <xf numFmtId="0" fontId="0" fillId="0" borderId="0" xfId="0"/>
    <xf numFmtId="0" fontId="1"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1" fillId="0" borderId="0" xfId="0" applyFont="1"/>
    <xf numFmtId="0" fontId="2" fillId="0" borderId="0" xfId="0" applyFont="1"/>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indent="1"/>
    </xf>
    <xf numFmtId="8" fontId="2" fillId="0" borderId="3" xfId="0" applyNumberFormat="1" applyFont="1" applyBorder="1" applyAlignment="1">
      <alignment horizontal="right" vertical="center" wrapText="1"/>
    </xf>
    <xf numFmtId="3" fontId="2" fillId="0" borderId="3" xfId="0" applyNumberFormat="1" applyFont="1" applyBorder="1" applyAlignment="1">
      <alignment horizontal="center" vertical="center" wrapText="1"/>
    </xf>
    <xf numFmtId="0" fontId="4" fillId="0" borderId="3" xfId="0" applyFont="1" applyBorder="1" applyAlignment="1">
      <alignment vertical="center" wrapText="1"/>
    </xf>
    <xf numFmtId="6" fontId="4" fillId="0" borderId="5" xfId="0" applyNumberFormat="1" applyFont="1" applyBorder="1" applyAlignment="1">
      <alignment horizontal="right" vertical="center" wrapText="1"/>
    </xf>
    <xf numFmtId="3" fontId="4" fillId="0" borderId="5" xfId="0" applyNumberFormat="1" applyFont="1" applyBorder="1" applyAlignment="1">
      <alignment vertical="center" wrapText="1"/>
    </xf>
    <xf numFmtId="0" fontId="4" fillId="0" borderId="5" xfId="0" applyFont="1" applyBorder="1" applyAlignment="1">
      <alignment vertical="center" wrapText="1"/>
    </xf>
    <xf numFmtId="0" fontId="9" fillId="0" borderId="0" xfId="0" applyFont="1"/>
    <xf numFmtId="0" fontId="1"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3" fontId="7" fillId="0" borderId="3" xfId="0" applyNumberFormat="1" applyFont="1" applyBorder="1" applyAlignment="1">
      <alignment horizontal="right" vertical="center" wrapText="1"/>
    </xf>
    <xf numFmtId="3" fontId="8" fillId="0" borderId="3" xfId="0" applyNumberFormat="1" applyFont="1" applyBorder="1" applyAlignment="1">
      <alignment horizontal="right" vertical="center" wrapText="1"/>
    </xf>
    <xf numFmtId="0" fontId="2" fillId="0" borderId="3" xfId="0" applyFont="1" applyBorder="1" applyAlignment="1">
      <alignment horizontal="left" vertical="center" wrapText="1"/>
    </xf>
    <xf numFmtId="0" fontId="4" fillId="0" borderId="0" xfId="0" applyFont="1" applyAlignment="1">
      <alignment vertical="center"/>
    </xf>
    <xf numFmtId="0" fontId="7" fillId="0" borderId="0" xfId="0" applyFont="1" applyAlignment="1">
      <alignment horizontal="center" vertical="center" wrapText="1"/>
    </xf>
    <xf numFmtId="0" fontId="4" fillId="0" borderId="0" xfId="0" applyFont="1"/>
    <xf numFmtId="6" fontId="4" fillId="0" borderId="3" xfId="0" applyNumberFormat="1" applyFont="1" applyBorder="1" applyAlignment="1">
      <alignment horizontal="right" vertical="center" wrapText="1"/>
    </xf>
    <xf numFmtId="0" fontId="4" fillId="0" borderId="0" xfId="0" applyFont="1" applyAlignment="1">
      <alignment horizontal="left" vertical="center" indent="1"/>
    </xf>
    <xf numFmtId="0" fontId="4" fillId="0" borderId="0" xfId="0" applyFont="1" applyAlignment="1">
      <alignment horizontal="center" vertical="center"/>
    </xf>
    <xf numFmtId="2" fontId="2" fillId="0" borderId="3"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15"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6" fontId="4" fillId="0" borderId="0" xfId="0" applyNumberFormat="1" applyFont="1" applyAlignment="1">
      <alignment horizontal="right" vertical="center" wrapText="1"/>
    </xf>
    <xf numFmtId="0" fontId="2" fillId="0" borderId="3" xfId="0" applyFont="1" applyBorder="1" applyAlignment="1">
      <alignment horizontal="right" vertical="center" wrapText="1"/>
    </xf>
    <xf numFmtId="0" fontId="17" fillId="0" borderId="3" xfId="0" applyFont="1" applyBorder="1" applyAlignment="1">
      <alignment vertical="center" wrapText="1"/>
    </xf>
    <xf numFmtId="0" fontId="2" fillId="0" borderId="0" xfId="0" applyFont="1" applyAlignment="1">
      <alignment horizontal="left" vertical="center"/>
    </xf>
    <xf numFmtId="0" fontId="4" fillId="0" borderId="0" xfId="0" applyFont="1" applyAlignment="1">
      <alignment horizontal="left" vertical="center"/>
    </xf>
    <xf numFmtId="0" fontId="15" fillId="0" borderId="0" xfId="0" applyFont="1" applyAlignment="1">
      <alignment vertical="center"/>
    </xf>
    <xf numFmtId="0" fontId="7" fillId="0" borderId="3" xfId="0" applyFont="1" applyBorder="1" applyAlignment="1">
      <alignment vertical="center"/>
    </xf>
    <xf numFmtId="0" fontId="7" fillId="0" borderId="3" xfId="0" applyFont="1" applyBorder="1" applyAlignment="1">
      <alignment horizontal="center" vertical="center"/>
    </xf>
    <xf numFmtId="3" fontId="7" fillId="0" borderId="3" xfId="0" applyNumberFormat="1" applyFont="1" applyBorder="1" applyAlignment="1">
      <alignment horizontal="center" vertical="center"/>
    </xf>
    <xf numFmtId="6" fontId="7" fillId="0" borderId="3" xfId="0" applyNumberFormat="1" applyFont="1" applyBorder="1" applyAlignment="1">
      <alignment horizontal="center" vertical="center"/>
    </xf>
    <xf numFmtId="0" fontId="8" fillId="0" borderId="3" xfId="0" applyFont="1" applyBorder="1" applyAlignment="1">
      <alignment vertical="center"/>
    </xf>
    <xf numFmtId="0" fontId="2" fillId="0" borderId="0" xfId="0" applyFont="1" applyAlignment="1">
      <alignment vertical="center"/>
    </xf>
    <xf numFmtId="0" fontId="1" fillId="0" borderId="0" xfId="0" applyFont="1" applyAlignment="1">
      <alignment horizontal="left" vertical="center"/>
    </xf>
    <xf numFmtId="1" fontId="7" fillId="0" borderId="3" xfId="0" applyNumberFormat="1" applyFont="1" applyBorder="1" applyAlignment="1">
      <alignment horizontal="center" vertical="center"/>
    </xf>
    <xf numFmtId="3" fontId="8" fillId="0" borderId="3" xfId="0" applyNumberFormat="1" applyFont="1" applyBorder="1" applyAlignment="1">
      <alignment horizontal="center" vertical="center"/>
    </xf>
    <xf numFmtId="6" fontId="2" fillId="0" borderId="3" xfId="0" applyNumberFormat="1" applyFont="1" applyBorder="1" applyAlignment="1">
      <alignment horizontal="right" vertical="center" wrapText="1"/>
    </xf>
    <xf numFmtId="3"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166" fontId="8" fillId="0" borderId="3" xfId="0" applyNumberFormat="1" applyFont="1" applyBorder="1" applyAlignment="1">
      <alignment horizontal="center" vertical="center"/>
    </xf>
    <xf numFmtId="0" fontId="15" fillId="0" borderId="0" xfId="0" applyFont="1" applyAlignment="1">
      <alignment horizontal="left" vertical="center"/>
    </xf>
    <xf numFmtId="0" fontId="2" fillId="0" borderId="3" xfId="0" applyFont="1" applyBorder="1" applyAlignment="1">
      <alignment horizontal="left" vertical="center" wrapText="1" indent="2"/>
    </xf>
    <xf numFmtId="0" fontId="2" fillId="0" borderId="3" xfId="0" applyFont="1" applyBorder="1" applyAlignment="1">
      <alignment vertical="center"/>
    </xf>
    <xf numFmtId="0" fontId="2" fillId="0" borderId="3" xfId="0" applyFont="1" applyBorder="1" applyAlignment="1">
      <alignment horizontal="left" vertical="center" wrapText="1" indent="4"/>
    </xf>
    <xf numFmtId="0" fontId="2" fillId="0" borderId="3" xfId="0" applyFont="1" applyBorder="1" applyAlignment="1">
      <alignment horizontal="center" vertical="center"/>
    </xf>
    <xf numFmtId="0" fontId="8" fillId="0" borderId="3" xfId="0" applyFont="1" applyBorder="1" applyAlignment="1">
      <alignment horizontal="center" vertical="center"/>
    </xf>
    <xf numFmtId="0" fontId="19" fillId="0" borderId="0" xfId="0" applyFont="1"/>
    <xf numFmtId="6" fontId="2" fillId="0" borderId="0" xfId="0" applyNumberFormat="1" applyFont="1"/>
    <xf numFmtId="0" fontId="2" fillId="0" borderId="0" xfId="0" applyFont="1" applyAlignment="1">
      <alignment horizontal="center"/>
    </xf>
    <xf numFmtId="0" fontId="19" fillId="0" borderId="0" xfId="0" applyFont="1" applyAlignment="1">
      <alignment horizontal="center"/>
    </xf>
    <xf numFmtId="6" fontId="2" fillId="0" borderId="0" xfId="0" applyNumberFormat="1" applyFont="1" applyAlignment="1">
      <alignment horizontal="center"/>
    </xf>
    <xf numFmtId="0" fontId="18" fillId="0" borderId="0" xfId="0" applyFont="1" applyAlignment="1">
      <alignment horizontal="center" vertical="center" wrapText="1"/>
    </xf>
    <xf numFmtId="0" fontId="1" fillId="0" borderId="3" xfId="0" applyFont="1" applyBorder="1" applyAlignment="1">
      <alignment vertical="center" wrapText="1"/>
    </xf>
    <xf numFmtId="0" fontId="18" fillId="0" borderId="3" xfId="0" applyFont="1" applyBorder="1" applyAlignment="1">
      <alignment vertical="center" wrapText="1"/>
    </xf>
    <xf numFmtId="0" fontId="7" fillId="0" borderId="3" xfId="0" applyFont="1" applyBorder="1" applyAlignment="1">
      <alignment vertical="center" wrapText="1"/>
    </xf>
    <xf numFmtId="0" fontId="18" fillId="0" borderId="3" xfId="0" applyFont="1" applyBorder="1" applyAlignment="1">
      <alignment horizontal="center" vertical="center" wrapText="1"/>
    </xf>
    <xf numFmtId="0" fontId="13" fillId="0" borderId="0" xfId="0" applyFont="1"/>
    <xf numFmtId="1" fontId="0" fillId="0" borderId="0" xfId="0" applyNumberFormat="1"/>
    <xf numFmtId="6" fontId="4" fillId="0" borderId="3" xfId="0" applyNumberFormat="1" applyFont="1" applyBorder="1"/>
    <xf numFmtId="166" fontId="0" fillId="0" borderId="0" xfId="0" applyNumberFormat="1"/>
    <xf numFmtId="164" fontId="7" fillId="0" borderId="3"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0" fontId="20" fillId="0" borderId="0" xfId="0" applyFont="1"/>
    <xf numFmtId="0" fontId="22" fillId="0" borderId="0" xfId="0" applyFont="1"/>
    <xf numFmtId="167" fontId="0" fillId="0" borderId="3" xfId="0" applyNumberFormat="1" applyBorder="1"/>
    <xf numFmtId="0" fontId="21" fillId="0" borderId="0" xfId="0" applyFont="1"/>
    <xf numFmtId="0" fontId="23" fillId="0" borderId="0" xfId="0" applyFont="1"/>
    <xf numFmtId="167" fontId="2" fillId="0" borderId="0" xfId="0" applyNumberFormat="1" applyFont="1"/>
    <xf numFmtId="0" fontId="2" fillId="0" borderId="3" xfId="0" applyFont="1" applyBorder="1"/>
    <xf numFmtId="0" fontId="2" fillId="0" borderId="0" xfId="0" quotePrefix="1" applyFont="1" applyAlignment="1">
      <alignment horizontal="left" vertical="center" indent="1"/>
    </xf>
    <xf numFmtId="164" fontId="2" fillId="0" borderId="0" xfId="0" applyNumberFormat="1" applyFont="1"/>
    <xf numFmtId="1" fontId="8" fillId="0" borderId="3" xfId="0" applyNumberFormat="1" applyFont="1" applyBorder="1" applyAlignment="1">
      <alignment horizontal="center" vertical="center"/>
    </xf>
    <xf numFmtId="0" fontId="23" fillId="0" borderId="3" xfId="0" applyFont="1" applyBorder="1" applyAlignment="1">
      <alignment horizontal="center"/>
    </xf>
    <xf numFmtId="0" fontId="23" fillId="0" borderId="3" xfId="0" applyFont="1" applyBorder="1" applyAlignment="1">
      <alignment horizontal="center" vertical="center"/>
    </xf>
    <xf numFmtId="3" fontId="23" fillId="0" borderId="3" xfId="0" applyNumberFormat="1" applyFont="1" applyBorder="1" applyAlignment="1">
      <alignment horizontal="center" vertical="center"/>
    </xf>
    <xf numFmtId="0" fontId="2" fillId="0" borderId="0" xfId="0" applyFont="1" applyAlignment="1">
      <alignment horizontal="left" indent="2"/>
    </xf>
    <xf numFmtId="0" fontId="1" fillId="0" borderId="0" xfId="0" applyFont="1" applyAlignment="1">
      <alignment horizontal="center" vertical="center" wrapText="1"/>
    </xf>
    <xf numFmtId="0" fontId="21" fillId="0" borderId="9" xfId="0" applyFont="1" applyBorder="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3" fontId="8" fillId="0" borderId="0" xfId="0" applyNumberFormat="1" applyFont="1" applyAlignment="1">
      <alignment horizontal="center" vertical="center"/>
    </xf>
    <xf numFmtId="3" fontId="7" fillId="0" borderId="0" xfId="0" applyNumberFormat="1" applyFont="1" applyAlignment="1">
      <alignment horizontal="center" vertical="center"/>
    </xf>
    <xf numFmtId="1" fontId="8" fillId="0" borderId="0" xfId="0" applyNumberFormat="1" applyFont="1" applyAlignment="1">
      <alignment horizontal="center" vertical="center"/>
    </xf>
    <xf numFmtId="1" fontId="2" fillId="0" borderId="0" xfId="0" applyNumberFormat="1" applyFont="1"/>
    <xf numFmtId="1" fontId="23" fillId="0" borderId="3" xfId="0" applyNumberFormat="1" applyFont="1" applyBorder="1" applyAlignment="1">
      <alignment horizontal="center" vertical="center"/>
    </xf>
    <xf numFmtId="0" fontId="6" fillId="0" borderId="0" xfId="0" applyFont="1" applyAlignment="1">
      <alignment vertical="top" wrapText="1"/>
    </xf>
    <xf numFmtId="3" fontId="2" fillId="0" borderId="0" xfId="0" applyNumberFormat="1" applyFont="1"/>
    <xf numFmtId="0" fontId="26" fillId="0" borderId="0" xfId="0" applyFont="1"/>
    <xf numFmtId="0" fontId="26" fillId="0" borderId="0" xfId="0" quotePrefix="1" applyFont="1" applyAlignment="1">
      <alignment horizontal="left" vertical="center" indent="1"/>
    </xf>
    <xf numFmtId="165" fontId="23" fillId="0" borderId="3" xfId="0" applyNumberFormat="1" applyFont="1" applyBorder="1" applyAlignment="1">
      <alignment horizontal="center" vertical="center"/>
    </xf>
    <xf numFmtId="165" fontId="7" fillId="0" borderId="3" xfId="0" applyNumberFormat="1" applyFont="1" applyBorder="1" applyAlignment="1">
      <alignment horizontal="center" vertical="center"/>
    </xf>
    <xf numFmtId="0" fontId="27" fillId="0" borderId="0" xfId="0" applyFont="1"/>
    <xf numFmtId="3" fontId="26" fillId="0" borderId="0" xfId="0" applyNumberFormat="1" applyFont="1"/>
    <xf numFmtId="0" fontId="28" fillId="0" borderId="0" xfId="0" applyFont="1" applyAlignment="1">
      <alignment horizontal="left" vertical="center"/>
    </xf>
    <xf numFmtId="0" fontId="20" fillId="0" borderId="9" xfId="0" applyFont="1" applyBorder="1" applyAlignment="1">
      <alignment wrapText="1"/>
    </xf>
    <xf numFmtId="0" fontId="20" fillId="0" borderId="0" xfId="0" applyFont="1" applyAlignment="1">
      <alignment wrapText="1"/>
    </xf>
    <xf numFmtId="1" fontId="2" fillId="0" borderId="0" xfId="0" applyNumberFormat="1" applyFont="1" applyAlignment="1">
      <alignment horizontal="center" vertical="center"/>
    </xf>
    <xf numFmtId="0" fontId="23" fillId="0" borderId="3" xfId="0" applyFont="1" applyBorder="1" applyAlignment="1">
      <alignment horizontal="center" vertical="center" wrapText="1"/>
    </xf>
    <xf numFmtId="0" fontId="13" fillId="0" borderId="3" xfId="0" applyFont="1" applyBorder="1"/>
    <xf numFmtId="0" fontId="23" fillId="0" borderId="0" xfId="0" applyFont="1" applyAlignment="1">
      <alignment horizontal="center"/>
    </xf>
    <xf numFmtId="0" fontId="2" fillId="0" borderId="3" xfId="0" applyFont="1" applyBorder="1" applyAlignment="1">
      <alignment horizontal="center"/>
    </xf>
    <xf numFmtId="0" fontId="30" fillId="0" borderId="0" xfId="0" applyFont="1"/>
    <xf numFmtId="0" fontId="2" fillId="0" borderId="0" xfId="0" applyFont="1" applyAlignment="1">
      <alignment vertical="top" wrapText="1"/>
    </xf>
    <xf numFmtId="0" fontId="6" fillId="0" borderId="0" xfId="0" applyFont="1" applyAlignment="1">
      <alignment vertical="top"/>
    </xf>
    <xf numFmtId="0" fontId="31" fillId="0" borderId="0" xfId="0" applyFont="1" applyAlignment="1">
      <alignment vertical="center"/>
    </xf>
    <xf numFmtId="0" fontId="32" fillId="0" borderId="0" xfId="0" applyFont="1" applyAlignment="1">
      <alignment vertical="center"/>
    </xf>
    <xf numFmtId="6" fontId="19" fillId="0" borderId="0" xfId="0" applyNumberFormat="1" applyFont="1"/>
    <xf numFmtId="0" fontId="33" fillId="0" borderId="0" xfId="0" applyFont="1"/>
    <xf numFmtId="167" fontId="2" fillId="0" borderId="3" xfId="0" applyNumberFormat="1" applyFont="1" applyBorder="1" applyAlignment="1">
      <alignment horizontal="right" vertical="center" wrapText="1"/>
    </xf>
    <xf numFmtId="168" fontId="19" fillId="0" borderId="0" xfId="0" applyNumberFormat="1" applyFont="1"/>
    <xf numFmtId="0" fontId="4" fillId="0" borderId="3" xfId="0" applyFont="1" applyBorder="1"/>
    <xf numFmtId="6" fontId="2" fillId="0" borderId="3" xfId="0" applyNumberFormat="1" applyFont="1" applyBorder="1" applyAlignment="1">
      <alignment horizontal="center"/>
    </xf>
    <xf numFmtId="6" fontId="2" fillId="0" borderId="3" xfId="0" applyNumberFormat="1" applyFont="1" applyBorder="1"/>
    <xf numFmtId="1" fontId="23" fillId="0" borderId="0" xfId="0" applyNumberFormat="1" applyFont="1" applyAlignment="1">
      <alignment horizontal="center"/>
    </xf>
    <xf numFmtId="6" fontId="26" fillId="0" borderId="0" xfId="0" applyNumberFormat="1" applyFont="1"/>
    <xf numFmtId="0" fontId="7" fillId="0" borderId="0" xfId="0" applyFont="1" applyAlignment="1">
      <alignment horizontal="left" vertical="center"/>
    </xf>
    <xf numFmtId="0" fontId="0" fillId="0" borderId="0" xfId="0" applyAlignment="1">
      <alignment horizontal="left"/>
    </xf>
    <xf numFmtId="0" fontId="26" fillId="0" borderId="0" xfId="0" applyFont="1" applyAlignment="1">
      <alignment horizontal="left" vertical="center"/>
    </xf>
    <xf numFmtId="2" fontId="18" fillId="0" borderId="3" xfId="0" applyNumberFormat="1" applyFont="1" applyBorder="1" applyAlignment="1">
      <alignment horizontal="center" vertical="center" wrapText="1"/>
    </xf>
    <xf numFmtId="1" fontId="18" fillId="0" borderId="3" xfId="0" applyNumberFormat="1" applyFont="1" applyBorder="1" applyAlignment="1">
      <alignment horizontal="center" vertical="center" wrapText="1"/>
    </xf>
    <xf numFmtId="0" fontId="21" fillId="0" borderId="0" xfId="0" quotePrefix="1" applyFont="1" applyAlignment="1">
      <alignment horizontal="left" vertical="center" indent="1"/>
    </xf>
    <xf numFmtId="2" fontId="23" fillId="0" borderId="3" xfId="0" applyNumberFormat="1" applyFont="1" applyBorder="1" applyAlignment="1">
      <alignment horizontal="center" vertical="center"/>
    </xf>
    <xf numFmtId="1" fontId="18" fillId="0" borderId="0" xfId="0" applyNumberFormat="1"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left" vertical="center" wrapText="1"/>
    </xf>
    <xf numFmtId="2" fontId="7" fillId="0" borderId="3" xfId="0" applyNumberFormat="1" applyFont="1" applyBorder="1" applyAlignment="1">
      <alignment horizontal="center" vertical="center"/>
    </xf>
    <xf numFmtId="1" fontId="2" fillId="0" borderId="3" xfId="0" applyNumberFormat="1" applyFont="1" applyBorder="1" applyAlignment="1">
      <alignment horizontal="center"/>
    </xf>
    <xf numFmtId="2" fontId="2" fillId="0" borderId="3" xfId="0" applyNumberFormat="1" applyFont="1" applyBorder="1" applyAlignment="1">
      <alignment horizontal="center"/>
    </xf>
    <xf numFmtId="1" fontId="23" fillId="0" borderId="3" xfId="0" applyNumberFormat="1" applyFont="1" applyBorder="1" applyAlignment="1">
      <alignment horizontal="center" vertical="center" wrapText="1"/>
    </xf>
    <xf numFmtId="0" fontId="29" fillId="0" borderId="3" xfId="0" applyFont="1" applyBorder="1" applyAlignment="1">
      <alignment horizontal="center" vertical="center" wrapText="1"/>
    </xf>
    <xf numFmtId="41" fontId="0" fillId="0" borderId="0" xfId="0" applyNumberFormat="1"/>
    <xf numFmtId="6" fontId="0" fillId="0" borderId="0" xfId="0" applyNumberFormat="1"/>
    <xf numFmtId="0" fontId="0" fillId="0" borderId="0" xfId="0" applyAlignment="1">
      <alignment horizontal="center"/>
    </xf>
    <xf numFmtId="0" fontId="31" fillId="0" borderId="0" xfId="0" applyFont="1" applyAlignment="1">
      <alignment horizontal="left" vertical="top" wrapText="1"/>
    </xf>
    <xf numFmtId="0" fontId="34" fillId="0" borderId="0" xfId="0" applyFont="1" applyAlignment="1">
      <alignment horizontal="left" vertical="top" wrapText="1"/>
    </xf>
    <xf numFmtId="0" fontId="1" fillId="0" borderId="3" xfId="0" applyFont="1" applyBorder="1" applyAlignment="1">
      <alignment horizontal="center" vertical="center" wrapText="1"/>
    </xf>
    <xf numFmtId="0" fontId="18" fillId="0" borderId="3" xfId="0" applyFont="1" applyBorder="1" applyAlignment="1">
      <alignment vertical="center" wrapText="1"/>
    </xf>
    <xf numFmtId="0" fontId="4" fillId="0" borderId="3" xfId="0" applyFont="1" applyBorder="1" applyAlignment="1">
      <alignment horizontal="center"/>
    </xf>
    <xf numFmtId="0" fontId="4" fillId="2" borderId="3" xfId="0" applyFont="1" applyFill="1" applyBorder="1" applyAlignment="1">
      <alignment horizontal="center"/>
    </xf>
    <xf numFmtId="0" fontId="2" fillId="0" borderId="0" xfId="0" applyFont="1" applyAlignment="1">
      <alignment horizontal="left" vertical="top"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3" fontId="4" fillId="0" borderId="6"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0" fontId="2" fillId="0" borderId="0" xfId="0" applyFont="1" applyAlignment="1">
      <alignment horizontal="left" wrapText="1"/>
    </xf>
    <xf numFmtId="0" fontId="4" fillId="0" borderId="3" xfId="0" applyFont="1" applyBorder="1" applyAlignment="1">
      <alignment horizontal="center" vertical="center" wrapText="1"/>
    </xf>
    <xf numFmtId="1" fontId="4" fillId="0" borderId="3" xfId="0" applyNumberFormat="1" applyFont="1" applyBorder="1" applyAlignment="1">
      <alignment horizontal="center" vertical="center" wrapText="1"/>
    </xf>
    <xf numFmtId="0" fontId="23" fillId="0" borderId="0" xfId="0" applyFont="1" applyAlignment="1">
      <alignment horizontal="left" vertical="top" wrapText="1"/>
    </xf>
    <xf numFmtId="0" fontId="26" fillId="0" borderId="0" xfId="0" applyFont="1" applyAlignment="1">
      <alignment horizontal="left" vertical="center" wrapText="1"/>
    </xf>
    <xf numFmtId="0" fontId="6" fillId="0" borderId="0" xfId="0" applyFont="1" applyAlignment="1">
      <alignment horizontal="left" vertical="top" wrapText="1"/>
    </xf>
    <xf numFmtId="0" fontId="8" fillId="0" borderId="3" xfId="0" applyFont="1" applyBorder="1" applyAlignment="1">
      <alignment horizontal="center" vertical="center" wrapText="1"/>
    </xf>
    <xf numFmtId="0" fontId="23" fillId="0" borderId="0" xfId="0" applyFont="1" applyAlignment="1">
      <alignment horizontal="left" vertical="top" wrapText="1" indent="2"/>
    </xf>
    <xf numFmtId="0" fontId="2" fillId="0" borderId="0" xfId="0" applyFont="1" applyAlignment="1">
      <alignment horizontal="left" vertical="top" indent="2"/>
    </xf>
    <xf numFmtId="0" fontId="2" fillId="0" borderId="0" xfId="0" applyFont="1" applyAlignment="1">
      <alignment horizontal="left" vertical="top" wrapText="1" indent="2"/>
    </xf>
    <xf numFmtId="3" fontId="4" fillId="0" borderId="3" xfId="0" applyNumberFormat="1" applyFont="1" applyBorder="1" applyAlignment="1">
      <alignment horizontal="center" vertical="center" wrapText="1"/>
    </xf>
    <xf numFmtId="0" fontId="2" fillId="0" borderId="0" xfId="0" applyFont="1" applyAlignment="1">
      <alignment horizontal="left" vertical="top"/>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vertical="center" wrapText="1"/>
    </xf>
    <xf numFmtId="165" fontId="4" fillId="0" borderId="3" xfId="0" applyNumberFormat="1" applyFont="1" applyBorder="1" applyAlignment="1">
      <alignment horizontal="center" vertical="center" wrapText="1"/>
    </xf>
    <xf numFmtId="0" fontId="6" fillId="0" borderId="0" xfId="0" applyFont="1" applyAlignment="1">
      <alignment vertical="top" wrapText="1"/>
    </xf>
    <xf numFmtId="0" fontId="6" fillId="0" borderId="0" xfId="0" applyFont="1" applyAlignment="1">
      <alignment horizontal="left" vertical="top"/>
    </xf>
    <xf numFmtId="1" fontId="4" fillId="0" borderId="6"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0" fontId="8" fillId="0" borderId="3"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13" fillId="0" borderId="3" xfId="0" applyFont="1" applyBorder="1" applyAlignment="1">
      <alignment horizontal="center"/>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FF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1CC94-3529-40DB-8E42-42FC132661EA}">
  <dimension ref="A1:B8"/>
  <sheetViews>
    <sheetView tabSelected="1" workbookViewId="0">
      <selection activeCell="D4" sqref="D4"/>
    </sheetView>
  </sheetViews>
  <sheetFormatPr defaultRowHeight="15" x14ac:dyDescent="0.25"/>
  <cols>
    <col min="1" max="1" width="27.7109375" bestFit="1" customWidth="1"/>
    <col min="2" max="2" width="14.28515625" bestFit="1" customWidth="1"/>
  </cols>
  <sheetData>
    <row r="1" spans="1:2" x14ac:dyDescent="0.25">
      <c r="A1" s="154" t="s">
        <v>553</v>
      </c>
      <c r="B1" s="154"/>
    </row>
    <row r="2" spans="1:2" x14ac:dyDescent="0.25">
      <c r="A2" t="s">
        <v>554</v>
      </c>
      <c r="B2" s="152">
        <f>'Table 8'!L19</f>
        <v>326.54547011841288</v>
      </c>
    </row>
    <row r="3" spans="1:2" x14ac:dyDescent="0.25">
      <c r="A3" t="s">
        <v>144</v>
      </c>
      <c r="B3" s="152">
        <f>'Table 8'!B19</f>
        <v>1346.0333333333333</v>
      </c>
    </row>
    <row r="4" spans="1:2" x14ac:dyDescent="0.25">
      <c r="A4" t="s">
        <v>555</v>
      </c>
      <c r="B4" s="152">
        <f>'Table 8'!F19</f>
        <v>1220000</v>
      </c>
    </row>
    <row r="5" spans="1:2" x14ac:dyDescent="0.25">
      <c r="A5" t="s">
        <v>556</v>
      </c>
      <c r="B5" s="153">
        <f>ROUND('Table 8'!G19+'Table 8'!J19+'Table 8'!K19,-6)</f>
        <v>219000000</v>
      </c>
    </row>
    <row r="6" spans="1:2" x14ac:dyDescent="0.25">
      <c r="A6" t="s">
        <v>557</v>
      </c>
      <c r="B6" s="153">
        <f>ROUND('Table 8'!J19+'Table 8'!K19,-5)</f>
        <v>65200000</v>
      </c>
    </row>
    <row r="7" spans="1:2" x14ac:dyDescent="0.25">
      <c r="A7" t="s">
        <v>558</v>
      </c>
      <c r="B7" s="152">
        <f>'Table 8'!C19</f>
        <v>3736.08</v>
      </c>
    </row>
    <row r="8" spans="1:2" x14ac:dyDescent="0.25">
      <c r="A8" t="s">
        <v>559</v>
      </c>
      <c r="B8" t="s">
        <v>560</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1"/>
  <sheetViews>
    <sheetView workbookViewId="0">
      <selection activeCell="A2" sqref="A2"/>
    </sheetView>
  </sheetViews>
  <sheetFormatPr defaultColWidth="9.140625" defaultRowHeight="15" x14ac:dyDescent="0.25"/>
  <cols>
    <col min="1" max="1" width="44" style="63" customWidth="1"/>
    <col min="2" max="2" width="9.5703125" style="63" customWidth="1"/>
    <col min="3" max="4" width="9.140625" style="63"/>
    <col min="5" max="5" width="11.140625" style="63" customWidth="1"/>
    <col min="6" max="16384" width="9.140625" style="63"/>
  </cols>
  <sheetData>
    <row r="1" spans="1:10" ht="15.75" x14ac:dyDescent="0.25">
      <c r="A1" s="1" t="s">
        <v>96</v>
      </c>
    </row>
    <row r="2" spans="1:10" s="6" customFormat="1" ht="12.75" x14ac:dyDescent="0.2">
      <c r="F2" s="86">
        <f>Labor!A5</f>
        <v>130.28</v>
      </c>
      <c r="G2" s="86">
        <f>Labor!B5</f>
        <v>163.16999999999999</v>
      </c>
      <c r="H2" s="86">
        <f>Labor!C5</f>
        <v>65.709999999999994</v>
      </c>
      <c r="I2" s="86"/>
    </row>
    <row r="3" spans="1:10" s="6" customFormat="1" ht="12.75" x14ac:dyDescent="0.2">
      <c r="A3" s="168" t="s">
        <v>11</v>
      </c>
      <c r="B3" s="7" t="s">
        <v>19</v>
      </c>
      <c r="C3" s="7" t="s">
        <v>20</v>
      </c>
      <c r="D3" s="7" t="s">
        <v>21</v>
      </c>
      <c r="E3" s="7" t="s">
        <v>22</v>
      </c>
      <c r="F3" s="21" t="s">
        <v>23</v>
      </c>
      <c r="G3" s="7" t="s">
        <v>24</v>
      </c>
      <c r="H3" s="7" t="s">
        <v>25</v>
      </c>
      <c r="I3" s="7" t="s">
        <v>26</v>
      </c>
    </row>
    <row r="4" spans="1:10" s="6" customFormat="1" ht="76.5" x14ac:dyDescent="0.2">
      <c r="A4" s="168"/>
      <c r="B4" s="8" t="s">
        <v>88</v>
      </c>
      <c r="C4" s="8" t="s">
        <v>89</v>
      </c>
      <c r="D4" s="8" t="s">
        <v>90</v>
      </c>
      <c r="E4" s="8" t="s">
        <v>81</v>
      </c>
      <c r="F4" s="8" t="s">
        <v>91</v>
      </c>
      <c r="G4" s="8" t="s">
        <v>92</v>
      </c>
      <c r="H4" s="8" t="s">
        <v>93</v>
      </c>
      <c r="I4" s="8" t="s">
        <v>94</v>
      </c>
    </row>
    <row r="5" spans="1:10" s="6" customFormat="1" ht="12.75" x14ac:dyDescent="0.2">
      <c r="A5" s="9" t="s">
        <v>97</v>
      </c>
      <c r="B5" s="10" t="s">
        <v>98</v>
      </c>
      <c r="C5" s="10"/>
      <c r="D5" s="10"/>
      <c r="E5" s="10"/>
      <c r="F5" s="10"/>
      <c r="G5" s="10"/>
      <c r="H5" s="10"/>
      <c r="I5" s="39"/>
    </row>
    <row r="6" spans="1:10" s="6" customFormat="1" ht="12.75" x14ac:dyDescent="0.2">
      <c r="A6" s="9" t="s">
        <v>99</v>
      </c>
      <c r="B6" s="10" t="s">
        <v>98</v>
      </c>
      <c r="C6" s="10"/>
      <c r="D6" s="10"/>
      <c r="E6" s="10"/>
      <c r="F6" s="10"/>
      <c r="G6" s="10"/>
      <c r="H6" s="10"/>
      <c r="I6" s="39"/>
    </row>
    <row r="7" spans="1:10" s="6" customFormat="1" ht="25.5" x14ac:dyDescent="0.2">
      <c r="A7" s="24" t="s">
        <v>100</v>
      </c>
      <c r="B7" s="10" t="s">
        <v>98</v>
      </c>
      <c r="C7" s="10"/>
      <c r="D7" s="10"/>
      <c r="E7" s="10"/>
      <c r="F7" s="10"/>
      <c r="G7" s="10"/>
      <c r="H7" s="10"/>
      <c r="I7" s="39"/>
    </row>
    <row r="8" spans="1:10" s="6" customFormat="1" ht="12.75" x14ac:dyDescent="0.2">
      <c r="A8" s="9" t="s">
        <v>101</v>
      </c>
      <c r="B8" s="10"/>
      <c r="C8" s="10"/>
      <c r="D8" s="10"/>
      <c r="E8" s="10"/>
      <c r="F8" s="10"/>
      <c r="G8" s="10"/>
      <c r="H8" s="10"/>
      <c r="I8" s="39"/>
    </row>
    <row r="9" spans="1:10" s="6" customFormat="1" ht="15.75" x14ac:dyDescent="0.2">
      <c r="A9" s="11" t="s">
        <v>108</v>
      </c>
      <c r="B9" s="10">
        <v>0.5</v>
      </c>
      <c r="C9" s="10">
        <v>1</v>
      </c>
      <c r="D9" s="10">
        <f>+B9*C9</f>
        <v>0.5</v>
      </c>
      <c r="E9" s="10">
        <v>6</v>
      </c>
      <c r="F9" s="10">
        <f>+D9*E9</f>
        <v>3</v>
      </c>
      <c r="G9" s="10">
        <f>+F9*0.05</f>
        <v>0.15000000000000002</v>
      </c>
      <c r="H9" s="10">
        <f>+F9*0.1</f>
        <v>0.30000000000000004</v>
      </c>
      <c r="I9" s="12">
        <f>+$F$2*F9+$G$2*G9+$H$2*H9</f>
        <v>435.02850000000007</v>
      </c>
      <c r="J9" s="84"/>
    </row>
    <row r="10" spans="1:10" s="6" customFormat="1" ht="12.75" x14ac:dyDescent="0.2">
      <c r="A10" s="11" t="s">
        <v>102</v>
      </c>
      <c r="B10" s="10" t="s">
        <v>98</v>
      </c>
      <c r="C10" s="10"/>
      <c r="D10" s="10"/>
      <c r="E10" s="10"/>
      <c r="F10" s="10"/>
      <c r="G10" s="10"/>
      <c r="H10" s="10"/>
      <c r="I10" s="39"/>
    </row>
    <row r="11" spans="1:10" s="6" customFormat="1" ht="12.75" x14ac:dyDescent="0.2">
      <c r="A11" s="11" t="s">
        <v>103</v>
      </c>
      <c r="B11" s="10" t="s">
        <v>98</v>
      </c>
      <c r="C11" s="10"/>
      <c r="D11" s="10"/>
      <c r="E11" s="10"/>
      <c r="F11" s="10"/>
      <c r="G11" s="10"/>
      <c r="H11" s="10"/>
      <c r="I11" s="39"/>
    </row>
    <row r="12" spans="1:10" s="6" customFormat="1" ht="12.75" x14ac:dyDescent="0.2">
      <c r="A12" s="11" t="s">
        <v>104</v>
      </c>
      <c r="B12" s="10" t="s">
        <v>98</v>
      </c>
      <c r="C12" s="10"/>
      <c r="D12" s="10"/>
      <c r="E12" s="10"/>
      <c r="F12" s="10"/>
      <c r="G12" s="10"/>
      <c r="H12" s="10"/>
      <c r="I12" s="39"/>
    </row>
    <row r="13" spans="1:10" s="6" customFormat="1" ht="15.75" x14ac:dyDescent="0.2">
      <c r="A13" s="11" t="s">
        <v>105</v>
      </c>
      <c r="B13" s="10">
        <v>0.5</v>
      </c>
      <c r="C13" s="10">
        <v>1</v>
      </c>
      <c r="D13" s="10">
        <f>+B13*C13</f>
        <v>0.5</v>
      </c>
      <c r="E13" s="10">
        <v>6</v>
      </c>
      <c r="F13" s="10">
        <f>+D13*E13</f>
        <v>3</v>
      </c>
      <c r="G13" s="10">
        <f>+F13*0.05</f>
        <v>0.15000000000000002</v>
      </c>
      <c r="H13" s="10">
        <f>+F13*0.1</f>
        <v>0.30000000000000004</v>
      </c>
      <c r="I13" s="12">
        <f>+$F$2*F13+$G$2*G13+$H$2*H13</f>
        <v>435.02850000000007</v>
      </c>
    </row>
    <row r="14" spans="1:10" s="6" customFormat="1" ht="13.5" x14ac:dyDescent="0.2">
      <c r="A14" s="40" t="s">
        <v>106</v>
      </c>
      <c r="B14" s="10"/>
      <c r="C14" s="10"/>
      <c r="D14" s="9"/>
      <c r="E14" s="10"/>
      <c r="F14" s="169">
        <f>SUM(F9:H13)</f>
        <v>6.9</v>
      </c>
      <c r="G14" s="169"/>
      <c r="H14" s="169"/>
      <c r="I14" s="28">
        <f>SUM(I9:I13)</f>
        <v>870.05700000000013</v>
      </c>
    </row>
    <row r="15" spans="1:10" s="6" customFormat="1" ht="12.75" x14ac:dyDescent="0.2">
      <c r="A15" s="9" t="s">
        <v>110</v>
      </c>
      <c r="B15" s="10"/>
      <c r="C15" s="10"/>
      <c r="D15" s="10"/>
      <c r="E15" s="10"/>
      <c r="F15" s="10"/>
      <c r="G15" s="10"/>
      <c r="H15" s="10"/>
      <c r="I15" s="39"/>
    </row>
    <row r="16" spans="1:10" s="6" customFormat="1" ht="12.75" x14ac:dyDescent="0.2">
      <c r="A16" s="11" t="s">
        <v>109</v>
      </c>
      <c r="B16" s="10" t="s">
        <v>111</v>
      </c>
      <c r="C16" s="10"/>
      <c r="D16" s="10"/>
      <c r="E16" s="10"/>
      <c r="F16" s="10"/>
      <c r="G16" s="10"/>
      <c r="H16" s="10"/>
      <c r="I16" s="39"/>
    </row>
    <row r="17" spans="1:9" s="6" customFormat="1" ht="13.5" x14ac:dyDescent="0.2">
      <c r="A17" s="40" t="s">
        <v>107</v>
      </c>
      <c r="B17" s="8"/>
      <c r="C17" s="8"/>
      <c r="D17" s="14"/>
      <c r="E17" s="8"/>
      <c r="F17" s="168">
        <f>SUM(F15:H16)</f>
        <v>0</v>
      </c>
      <c r="G17" s="168"/>
      <c r="H17" s="168"/>
      <c r="I17" s="28">
        <f>SUM(I15:I16)</f>
        <v>0</v>
      </c>
    </row>
    <row r="18" spans="1:9" s="6" customFormat="1" ht="15.75" x14ac:dyDescent="0.2">
      <c r="A18" s="14" t="s">
        <v>472</v>
      </c>
      <c r="B18" s="14"/>
      <c r="C18" s="14"/>
      <c r="D18" s="14"/>
      <c r="E18" s="14"/>
      <c r="F18" s="169">
        <f>F14+F17</f>
        <v>6.9</v>
      </c>
      <c r="G18" s="168"/>
      <c r="H18" s="168"/>
      <c r="I18" s="28">
        <f>+I14+I17</f>
        <v>870.05700000000013</v>
      </c>
    </row>
    <row r="19" spans="1:9" s="6" customFormat="1" ht="15.75" x14ac:dyDescent="0.2">
      <c r="A19" s="14" t="s">
        <v>409</v>
      </c>
      <c r="B19" s="14"/>
      <c r="C19" s="14"/>
      <c r="D19" s="14"/>
      <c r="E19" s="14"/>
      <c r="F19" s="54"/>
      <c r="G19" s="54"/>
      <c r="H19" s="54"/>
      <c r="I19" s="28">
        <f>'Capital and O&amp;M Costs'!G38</f>
        <v>0</v>
      </c>
    </row>
    <row r="20" spans="1:9" s="6" customFormat="1" ht="15.75" x14ac:dyDescent="0.2">
      <c r="A20" s="14" t="s">
        <v>408</v>
      </c>
      <c r="B20" s="14"/>
      <c r="C20" s="14"/>
      <c r="D20" s="14"/>
      <c r="E20" s="14"/>
      <c r="F20" s="54"/>
      <c r="G20" s="54"/>
      <c r="H20" s="54"/>
      <c r="I20" s="28">
        <f>ROUND(I18+I19,0)</f>
        <v>870</v>
      </c>
    </row>
    <row r="21" spans="1:9" s="6" customFormat="1" ht="12.75" x14ac:dyDescent="0.2"/>
    <row r="22" spans="1:9" s="6" customFormat="1" ht="12.75" x14ac:dyDescent="0.2">
      <c r="A22" s="42" t="s">
        <v>27</v>
      </c>
    </row>
    <row r="23" spans="1:9" s="6" customFormat="1" ht="71.25" customHeight="1" x14ac:dyDescent="0.2">
      <c r="A23" s="161" t="s">
        <v>528</v>
      </c>
      <c r="B23" s="161"/>
      <c r="C23" s="161"/>
      <c r="D23" s="161"/>
      <c r="E23" s="161"/>
      <c r="F23" s="161"/>
      <c r="G23" s="161"/>
      <c r="H23" s="161"/>
      <c r="I23" s="161"/>
    </row>
    <row r="24" spans="1:9" s="6" customFormat="1" ht="21" customHeight="1" x14ac:dyDescent="0.2">
      <c r="A24" s="172" t="s">
        <v>407</v>
      </c>
      <c r="B24" s="172"/>
      <c r="C24" s="172"/>
      <c r="D24" s="172"/>
      <c r="E24" s="172"/>
      <c r="F24" s="172"/>
      <c r="G24" s="172"/>
      <c r="H24" s="172"/>
      <c r="I24" s="172"/>
    </row>
    <row r="25" spans="1:9" s="6" customFormat="1" ht="17.25" customHeight="1" x14ac:dyDescent="0.2">
      <c r="A25" s="161" t="s">
        <v>116</v>
      </c>
      <c r="B25" s="161"/>
      <c r="C25" s="161"/>
      <c r="D25" s="161"/>
      <c r="E25" s="161"/>
      <c r="F25" s="161"/>
      <c r="G25" s="161"/>
      <c r="H25" s="161"/>
      <c r="I25" s="161"/>
    </row>
    <row r="26" spans="1:9" s="6" customFormat="1" ht="12.75" x14ac:dyDescent="0.2"/>
    <row r="27" spans="1:9" s="6" customFormat="1" ht="12.75" x14ac:dyDescent="0.2"/>
    <row r="28" spans="1:9" s="6" customFormat="1" ht="12.75" x14ac:dyDescent="0.2"/>
    <row r="29" spans="1:9" s="6" customFormat="1" ht="12.75" x14ac:dyDescent="0.2"/>
    <row r="30" spans="1:9" s="6" customFormat="1" ht="12.75" x14ac:dyDescent="0.2"/>
    <row r="31" spans="1:9" s="6" customFormat="1" ht="12.75" x14ac:dyDescent="0.2"/>
    <row r="32" spans="1:9" s="6" customFormat="1" ht="12.75" x14ac:dyDescent="0.2"/>
    <row r="33" s="6" customFormat="1" ht="12.75" x14ac:dyDescent="0.2"/>
    <row r="34" s="6" customFormat="1" ht="12.75" x14ac:dyDescent="0.2"/>
    <row r="35" s="6" customFormat="1" ht="12.75" x14ac:dyDescent="0.2"/>
    <row r="36" s="6" customFormat="1" ht="12.75" x14ac:dyDescent="0.2"/>
    <row r="37" s="6" customFormat="1" ht="12.75" x14ac:dyDescent="0.2"/>
    <row r="38" s="6" customFormat="1" ht="12.75" x14ac:dyDescent="0.2"/>
    <row r="39" s="6" customFormat="1" ht="12.75" x14ac:dyDescent="0.2"/>
    <row r="40" s="6" customFormat="1" ht="12.75" x14ac:dyDescent="0.2"/>
    <row r="41" s="6" customFormat="1" ht="12.75" x14ac:dyDescent="0.2"/>
    <row r="42" s="6" customFormat="1" ht="12.75" x14ac:dyDescent="0.2"/>
    <row r="43" s="6" customFormat="1" ht="12.75" x14ac:dyDescent="0.2"/>
    <row r="44" s="6" customFormat="1" ht="12.75" x14ac:dyDescent="0.2"/>
    <row r="45" s="6" customFormat="1" ht="12.75" x14ac:dyDescent="0.2"/>
    <row r="46" s="6" customFormat="1" ht="12.75" x14ac:dyDescent="0.2"/>
    <row r="47" s="6" customFormat="1" ht="12.75" x14ac:dyDescent="0.2"/>
    <row r="48" s="6" customFormat="1" ht="12.75" x14ac:dyDescent="0.2"/>
    <row r="49" s="6" customFormat="1" ht="12.75" x14ac:dyDescent="0.2"/>
    <row r="50" s="6" customFormat="1" ht="12.75" x14ac:dyDescent="0.2"/>
    <row r="51" s="6" customFormat="1" ht="12.75" x14ac:dyDescent="0.2"/>
  </sheetData>
  <mergeCells count="7">
    <mergeCell ref="A24:I24"/>
    <mergeCell ref="A25:I25"/>
    <mergeCell ref="A3:A4"/>
    <mergeCell ref="F14:H14"/>
    <mergeCell ref="F17:H17"/>
    <mergeCell ref="F18:H18"/>
    <mergeCell ref="A23:I2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7"/>
  <sheetViews>
    <sheetView zoomScaleNormal="100" workbookViewId="0">
      <selection activeCell="A2" sqref="A2"/>
    </sheetView>
  </sheetViews>
  <sheetFormatPr defaultRowHeight="15" x14ac:dyDescent="0.25"/>
  <cols>
    <col min="1" max="1" width="19.5703125" customWidth="1"/>
    <col min="2" max="2" width="10.85546875" customWidth="1"/>
    <col min="3" max="3" width="10.5703125" customWidth="1"/>
    <col min="4" max="4" width="10.42578125" customWidth="1"/>
    <col min="5" max="5" width="12.7109375" customWidth="1"/>
    <col min="6" max="6" width="10.42578125" customWidth="1"/>
    <col min="7" max="7" width="12.28515625" customWidth="1"/>
    <col min="9" max="9" width="13.140625" customWidth="1"/>
    <col min="10" max="10" width="13" customWidth="1"/>
    <col min="11" max="11" width="13.140625" customWidth="1"/>
    <col min="12" max="12" width="14" customWidth="1"/>
    <col min="14" max="14" width="9.42578125" bestFit="1" customWidth="1"/>
  </cols>
  <sheetData>
    <row r="1" spans="1:11" ht="15.75" x14ac:dyDescent="0.25">
      <c r="A1" s="43" t="s">
        <v>117</v>
      </c>
    </row>
    <row r="2" spans="1:11" x14ac:dyDescent="0.25">
      <c r="A2" s="73"/>
      <c r="B2" s="81"/>
    </row>
    <row r="3" spans="1:11" x14ac:dyDescent="0.25">
      <c r="A3" s="168" t="s">
        <v>118</v>
      </c>
      <c r="B3" s="7" t="s">
        <v>19</v>
      </c>
      <c r="C3" s="7" t="s">
        <v>20</v>
      </c>
      <c r="D3" s="7" t="s">
        <v>21</v>
      </c>
      <c r="E3" s="7" t="s">
        <v>22</v>
      </c>
      <c r="F3" s="21" t="s">
        <v>23</v>
      </c>
      <c r="G3" s="7" t="s">
        <v>24</v>
      </c>
      <c r="H3" s="7" t="s">
        <v>25</v>
      </c>
      <c r="I3" s="7" t="s">
        <v>26</v>
      </c>
      <c r="J3" s="7" t="s">
        <v>136</v>
      </c>
      <c r="K3" s="7" t="s">
        <v>137</v>
      </c>
    </row>
    <row r="4" spans="1:11" ht="79.5" customHeight="1" x14ac:dyDescent="0.25">
      <c r="A4" s="168"/>
      <c r="B4" s="8" t="s">
        <v>135</v>
      </c>
      <c r="C4" s="8" t="s">
        <v>119</v>
      </c>
      <c r="D4" s="8" t="s">
        <v>138</v>
      </c>
      <c r="E4" s="8" t="s">
        <v>139</v>
      </c>
      <c r="F4" s="8" t="s">
        <v>120</v>
      </c>
      <c r="G4" s="8" t="s">
        <v>482</v>
      </c>
      <c r="H4" s="8" t="s">
        <v>121</v>
      </c>
      <c r="I4" s="8" t="s">
        <v>122</v>
      </c>
      <c r="J4" s="8" t="s">
        <v>140</v>
      </c>
      <c r="K4" s="8" t="s">
        <v>141</v>
      </c>
    </row>
    <row r="5" spans="1:11" x14ac:dyDescent="0.25">
      <c r="A5" s="44" t="s">
        <v>123</v>
      </c>
      <c r="B5" s="45">
        <f>'Number of Respondents'!F9</f>
        <v>10</v>
      </c>
      <c r="C5" s="45">
        <f>+'Table 9'!E10</f>
        <v>11.33</v>
      </c>
      <c r="D5" s="51">
        <f>'Table G-1'!F20</f>
        <v>41.77375</v>
      </c>
      <c r="E5" s="46">
        <f>'Table G-1'!F31</f>
        <v>2638.1</v>
      </c>
      <c r="F5" s="46">
        <f t="shared" ref="F5:F15" si="0">+D5+E5</f>
        <v>2679.8737499999997</v>
      </c>
      <c r="G5" s="47">
        <f>'Table G-1'!I20+'Table G-1'!I31</f>
        <v>337919.2630875</v>
      </c>
      <c r="H5" s="51">
        <f>SUM('Table F-1'!F5:H11)</f>
        <v>6.7045000000000003</v>
      </c>
      <c r="I5" s="47">
        <f>SUM('Table F-1'!I5:I11)</f>
        <v>356.40539000000001</v>
      </c>
      <c r="J5" s="47">
        <f>+'Capital and O&amp;M Costs'!G5</f>
        <v>0</v>
      </c>
      <c r="K5" s="47">
        <f>+'Capital and O&amp;M Costs'!D5</f>
        <v>0</v>
      </c>
    </row>
    <row r="6" spans="1:11" x14ac:dyDescent="0.25">
      <c r="A6" s="44" t="s">
        <v>124</v>
      </c>
      <c r="B6" s="45">
        <f>'Number of Respondents'!F14</f>
        <v>385</v>
      </c>
      <c r="C6" s="46">
        <f>+'Table 9'!E25</f>
        <v>983.17000000000007</v>
      </c>
      <c r="D6" s="46">
        <f>+'Table G-2'!F31</f>
        <v>13515.121999999999</v>
      </c>
      <c r="E6" s="46">
        <f>+'Table G-2'!F43</f>
        <v>40183.990000000005</v>
      </c>
      <c r="F6" s="46">
        <f>+D6+E6</f>
        <v>53699.112000000008</v>
      </c>
      <c r="G6" s="47">
        <f>+'Table G-2'!I31+'Table G-2'!I43</f>
        <v>6771201.2013600003</v>
      </c>
      <c r="H6" s="46">
        <f>SUM('Table F-2'!F5:H13)</f>
        <v>245.9436</v>
      </c>
      <c r="I6" s="47">
        <f>SUM('Table F-2'!I5:I13)</f>
        <v>13074.147912</v>
      </c>
      <c r="J6" s="47">
        <f>+'Capital and O&amp;M Costs'!G7</f>
        <v>293658.75</v>
      </c>
      <c r="K6" s="47">
        <f>+'Capital and O&amp;M Costs'!D7</f>
        <v>0</v>
      </c>
    </row>
    <row r="7" spans="1:11" x14ac:dyDescent="0.25">
      <c r="A7" s="44" t="s">
        <v>125</v>
      </c>
      <c r="B7" s="45">
        <f>'Number of Respondents'!F19</f>
        <v>170</v>
      </c>
      <c r="C7" s="45">
        <f>+'Table 9'!E32</f>
        <v>340</v>
      </c>
      <c r="D7" s="46">
        <f>+'Table G-3'!F20</f>
        <v>1759.5</v>
      </c>
      <c r="E7" s="46">
        <f>+'Table G-3'!F30</f>
        <v>15640</v>
      </c>
      <c r="F7" s="46">
        <f t="shared" si="0"/>
        <v>17399.5</v>
      </c>
      <c r="G7" s="47">
        <f>+'Table G-3'!I20+'Table G-3'!I30</f>
        <v>2193993.7350000003</v>
      </c>
      <c r="H7" s="46">
        <f>SUM('Table F-3'!F5:H12)</f>
        <v>782</v>
      </c>
      <c r="I7" s="47">
        <f>SUM('Table F-3'!I5:I12)</f>
        <v>41570.439999999995</v>
      </c>
      <c r="J7" s="47">
        <f>+'Capital and O&amp;M Costs'!G9</f>
        <v>0</v>
      </c>
      <c r="K7" s="47">
        <f>+'Capital and O&amp;M Costs'!D9</f>
        <v>0</v>
      </c>
    </row>
    <row r="8" spans="1:11" x14ac:dyDescent="0.25">
      <c r="A8" s="44" t="s">
        <v>126</v>
      </c>
      <c r="B8" s="45">
        <f>'Number of Respondents'!F24</f>
        <v>75</v>
      </c>
      <c r="C8" s="45">
        <f>+'Table 9'!E41</f>
        <v>150</v>
      </c>
      <c r="D8" s="46">
        <f>+'Table G-4'!F20</f>
        <v>862.5</v>
      </c>
      <c r="E8" s="46">
        <f>+'Table G-4'!F31</f>
        <v>7717.0749999999989</v>
      </c>
      <c r="F8" s="46">
        <f t="shared" si="0"/>
        <v>8579.5749999999989</v>
      </c>
      <c r="G8" s="47">
        <f>+'Table G-4'!I20+'Table G-4'!I31</f>
        <v>1081843.37475</v>
      </c>
      <c r="H8" s="46">
        <f>SUM('Table F-4'!F5:H12)</f>
        <v>422.625</v>
      </c>
      <c r="I8" s="47">
        <f>SUM('Table F-4'!I5:I12)</f>
        <v>22466.377499999999</v>
      </c>
      <c r="J8" s="47">
        <f>+'Capital and O&amp;M Costs'!G11</f>
        <v>0</v>
      </c>
      <c r="K8" s="47">
        <f>+'Capital and O&amp;M Costs'!D11</f>
        <v>0</v>
      </c>
    </row>
    <row r="9" spans="1:11" x14ac:dyDescent="0.25">
      <c r="A9" s="44" t="s">
        <v>127</v>
      </c>
      <c r="B9" s="45">
        <f>'Number of Respondents'!F29</f>
        <v>93</v>
      </c>
      <c r="C9" s="45">
        <f>+'Table 9'!E49</f>
        <v>198</v>
      </c>
      <c r="D9" s="46">
        <f>+'Table G-5'!F17</f>
        <v>3229.2</v>
      </c>
      <c r="E9" s="46">
        <f>+'Table G-5'!F22</f>
        <v>1005.1</v>
      </c>
      <c r="F9" s="46">
        <f t="shared" si="0"/>
        <v>4234.3</v>
      </c>
      <c r="G9" s="47">
        <f>+'Table G-5'!I17+'Table G-5'!I22</f>
        <v>533924.97899999993</v>
      </c>
      <c r="H9" s="51">
        <f>SUM('Table F-5'!F5:H11)</f>
        <v>483</v>
      </c>
      <c r="I9" s="47">
        <f>SUM('Table F-5'!I5:I11)</f>
        <v>25675.860000000004</v>
      </c>
      <c r="J9" s="47">
        <f>+'Capital and O&amp;M Costs'!G13</f>
        <v>651000</v>
      </c>
      <c r="K9" s="47">
        <f>+'Capital and O&amp;M Costs'!D13</f>
        <v>150000</v>
      </c>
    </row>
    <row r="10" spans="1:11" x14ac:dyDescent="0.25">
      <c r="A10" s="44" t="s">
        <v>128</v>
      </c>
      <c r="B10" s="45">
        <f>'Number of Respondents'!F34</f>
        <v>40</v>
      </c>
      <c r="C10" s="51">
        <f>+'Table 9'!E57</f>
        <v>80</v>
      </c>
      <c r="D10" s="51">
        <f>+'Table G-6'!F17</f>
        <v>322</v>
      </c>
      <c r="E10" s="51">
        <f>+'Table G-6'!F22</f>
        <v>439.3</v>
      </c>
      <c r="F10" s="51">
        <f t="shared" si="0"/>
        <v>761.3</v>
      </c>
      <c r="G10" s="47">
        <f>+'Table G-6'!I17+'Table G-6'!I22</f>
        <v>95996.28899999999</v>
      </c>
      <c r="H10" s="51">
        <f>SUM('Table F-6'!F5:H12)</f>
        <v>184</v>
      </c>
      <c r="I10" s="47">
        <f>SUM('Table F-6'!I5:I12)</f>
        <v>9781.2800000000007</v>
      </c>
      <c r="J10" s="47">
        <f>+'Capital and O&amp;M Costs'!G15</f>
        <v>54000</v>
      </c>
      <c r="K10" s="47">
        <f>+'Capital and O&amp;M Costs'!D15</f>
        <v>0</v>
      </c>
    </row>
    <row r="11" spans="1:11" x14ac:dyDescent="0.25">
      <c r="A11" s="44" t="s">
        <v>129</v>
      </c>
      <c r="B11" s="46">
        <f>'Number of Respondents'!F39</f>
        <v>136</v>
      </c>
      <c r="C11" s="46">
        <f>+'Table 9'!E65</f>
        <v>272</v>
      </c>
      <c r="D11" s="46">
        <f>+'Table G-7'!F17</f>
        <v>1094.8</v>
      </c>
      <c r="E11" s="46">
        <f>+'Table G-7'!F22</f>
        <v>1446.7</v>
      </c>
      <c r="F11" s="46">
        <f t="shared" si="0"/>
        <v>2541.5</v>
      </c>
      <c r="G11" s="47">
        <f>+'Table G-7'!I17+'Table G-7'!I22</f>
        <v>320470.995</v>
      </c>
      <c r="H11" s="46">
        <f>SUM('Table F-7'!F5:H11)</f>
        <v>625.6</v>
      </c>
      <c r="I11" s="47">
        <f>SUM('Table F-7'!I5:I11)</f>
        <v>33256.351999999999</v>
      </c>
      <c r="J11" s="47">
        <f>+'Capital and O&amp;M Costs'!G17</f>
        <v>183600</v>
      </c>
      <c r="K11" s="47">
        <f>+'Capital and O&amp;M Costs'!D17</f>
        <v>0</v>
      </c>
    </row>
    <row r="12" spans="1:11" x14ac:dyDescent="0.25">
      <c r="A12" s="44" t="s">
        <v>130</v>
      </c>
      <c r="B12" s="45">
        <f>'Number of Respondents'!F44</f>
        <v>74</v>
      </c>
      <c r="C12" s="45">
        <f>+'Table 9'!E73</f>
        <v>148</v>
      </c>
      <c r="D12" s="46">
        <f>+'Table G-8'!F17</f>
        <v>595.70000000000005</v>
      </c>
      <c r="E12" s="46">
        <f>+'Table G-8'!F22</f>
        <v>787.17500000000007</v>
      </c>
      <c r="F12" s="46">
        <f t="shared" si="0"/>
        <v>1382.875</v>
      </c>
      <c r="G12" s="47">
        <f>+'Table G-8'!I17+'Table G-8'!I22</f>
        <v>174373.92375000002</v>
      </c>
      <c r="H12" s="46">
        <f>SUM('Table F-8'!F5:H11)</f>
        <v>340.40000000000003</v>
      </c>
      <c r="I12" s="47">
        <f>SUM('Table F-8'!I5:I11)</f>
        <v>18095.367999999999</v>
      </c>
      <c r="J12" s="47">
        <f>+'Capital and O&amp;M Costs'!G19</f>
        <v>37000</v>
      </c>
      <c r="K12" s="47">
        <f>+'Capital and O&amp;M Costs'!D19</f>
        <v>0</v>
      </c>
    </row>
    <row r="13" spans="1:11" x14ac:dyDescent="0.25">
      <c r="A13" s="44" t="s">
        <v>131</v>
      </c>
      <c r="B13" s="45">
        <f>'Number of Respondents'!F49</f>
        <v>54</v>
      </c>
      <c r="C13" s="45">
        <f>+'Table 9'!E86</f>
        <v>216</v>
      </c>
      <c r="D13" s="46">
        <f>+'Table G-9'!F27</f>
        <v>7662.45</v>
      </c>
      <c r="E13" s="46">
        <f>+'Table G-9'!F37</f>
        <v>4843.8</v>
      </c>
      <c r="F13" s="46">
        <f t="shared" si="0"/>
        <v>12506.25</v>
      </c>
      <c r="G13" s="47">
        <f>+'Table G-9'!I27+'Table G-9'!I37</f>
        <v>1576978.3125</v>
      </c>
      <c r="H13" s="51">
        <f>SUM('Table F-9'!F5:H16)</f>
        <v>496.8</v>
      </c>
      <c r="I13" s="47">
        <f>SUM('Table F-9'!I5:I16)</f>
        <v>26409.456000000002</v>
      </c>
      <c r="J13" s="47">
        <f>+'Capital and O&amp;M Costs'!G21</f>
        <v>0</v>
      </c>
      <c r="K13" s="47">
        <f>+'Capital and O&amp;M Costs'!D21</f>
        <v>0</v>
      </c>
    </row>
    <row r="14" spans="1:11" x14ac:dyDescent="0.25">
      <c r="A14" s="44" t="s">
        <v>132</v>
      </c>
      <c r="B14" s="45">
        <f>'Number of Respondents'!F54</f>
        <v>4</v>
      </c>
      <c r="C14" s="45">
        <f>+'Table 9'!E98</f>
        <v>8.08</v>
      </c>
      <c r="D14" s="51">
        <f>+'Table G-10'!F24</f>
        <v>59.984000000000002</v>
      </c>
      <c r="E14" s="51">
        <f>+'Table G-10'!F34</f>
        <v>9.2000000000000011</v>
      </c>
      <c r="F14" s="51">
        <f t="shared" si="0"/>
        <v>69.183999999999997</v>
      </c>
      <c r="G14" s="47">
        <f>+'Table G-10'!I24+'Table G-10'!I34</f>
        <v>8463.6955200000011</v>
      </c>
      <c r="H14" s="51">
        <f>SUM('Table F-10'!F5:H15)</f>
        <v>9.2000000000000011</v>
      </c>
      <c r="I14" s="47">
        <f>SUM('Table F-10'!I5:I15)</f>
        <v>489.06400000000002</v>
      </c>
      <c r="J14" s="47">
        <f>+'Capital and O&amp;M Costs'!G23</f>
        <v>0</v>
      </c>
      <c r="K14" s="47">
        <f>+'Capital and O&amp;M Costs'!D23</f>
        <v>0</v>
      </c>
    </row>
    <row r="15" spans="1:11" x14ac:dyDescent="0.25">
      <c r="A15" s="44" t="s">
        <v>133</v>
      </c>
      <c r="B15" s="45">
        <f>'Number of Respondents'!F59</f>
        <v>67</v>
      </c>
      <c r="C15" s="51">
        <f>+'Table 9'!E110</f>
        <v>134</v>
      </c>
      <c r="D15" s="46">
        <f>+'Table G-11'!F24</f>
        <v>4700.05</v>
      </c>
      <c r="E15" s="46">
        <f>+'Table G-11'!F36</f>
        <v>4418.415</v>
      </c>
      <c r="F15" s="46">
        <f t="shared" si="0"/>
        <v>9118.4650000000001</v>
      </c>
      <c r="G15" s="47">
        <f>+'Table G-11'!I24+'Table G-11'!I36</f>
        <v>1149794.8264500001</v>
      </c>
      <c r="H15" s="51">
        <f>SUM('Table F-11'!F5:H11)</f>
        <v>308.2</v>
      </c>
      <c r="I15" s="47">
        <f>SUM('Table F-11'!I5:I11)</f>
        <v>16383.644</v>
      </c>
      <c r="J15" s="47">
        <f>+'Capital and O&amp;M Costs'!G25</f>
        <v>0</v>
      </c>
      <c r="K15" s="47">
        <f>+'Capital and O&amp;M Costs'!D25</f>
        <v>0</v>
      </c>
    </row>
    <row r="16" spans="1:11" x14ac:dyDescent="0.25">
      <c r="A16" s="44" t="s">
        <v>134</v>
      </c>
      <c r="B16" s="45">
        <f>'Number of Respondents'!F64</f>
        <v>210.99999999999997</v>
      </c>
      <c r="C16" s="46">
        <f>+'Table 9'!E114</f>
        <v>1084.3333333333335</v>
      </c>
      <c r="D16" s="46">
        <f>+SUM('Table G-12'!F5:H11)+SUM('Table G-13'!F5:H11)</f>
        <v>852875.22833333339</v>
      </c>
      <c r="E16" s="46">
        <f>+SUM('Table G-12'!F12:H13)+SUM('Table G-13'!F12:H13)</f>
        <v>145779.86499999999</v>
      </c>
      <c r="F16" s="46">
        <f>+D16+E16</f>
        <v>998655.09333333338</v>
      </c>
      <c r="G16" s="47">
        <f>SUM('Table G-12'!I5:I13)+SUM('Table G-13'!I5:I13)</f>
        <v>125925631.09280001</v>
      </c>
      <c r="H16" s="46">
        <f>SUM('Table F-12'!D5:F15)</f>
        <v>3325.2249999999999</v>
      </c>
      <c r="I16" s="47">
        <f>SUM('Table F-12'!G5:G15)</f>
        <v>176766.06949999998</v>
      </c>
      <c r="J16" s="47">
        <f>+'Capital and O&amp;M Costs'!G27+'Capital and O&amp;M Costs'!G29+'Capital and O&amp;M Costs'!G31+'Capital and O&amp;M Costs'!G33</f>
        <v>58025000</v>
      </c>
      <c r="K16" s="47">
        <f>+'Capital and O&amp;M Costs'!D27+'Capital and O&amp;M Costs'!D29+'Capital and O&amp;M Costs'!D31+'Capital and O&amp;M Costs'!D33</f>
        <v>23666.666666666664</v>
      </c>
    </row>
    <row r="17" spans="1:12" ht="15.75" x14ac:dyDescent="0.25">
      <c r="A17" s="44" t="s">
        <v>196</v>
      </c>
      <c r="B17" s="51">
        <f>+'Table 9'!B116</f>
        <v>21.033333333333335</v>
      </c>
      <c r="C17" s="46">
        <f>+'Table 9'!E117</f>
        <v>105.16666666666667</v>
      </c>
      <c r="D17" s="46">
        <f>SUM('Table 6'!E5:G11)</f>
        <v>98784.344500000007</v>
      </c>
      <c r="E17" s="46">
        <f>SUM('Table 6'!E12:G13)</f>
        <v>9653.5975666666673</v>
      </c>
      <c r="F17" s="46">
        <f>+D17+E17</f>
        <v>108437.94206666667</v>
      </c>
      <c r="G17" s="47">
        <f>SUM('Table 6'!H5:H13)</f>
        <v>13673505.878361998</v>
      </c>
      <c r="H17" s="46">
        <f>+SUM('Table 2'!F6:H8)</f>
        <v>1177.7533333333336</v>
      </c>
      <c r="I17" s="47">
        <f>+SUM('Table 2'!I6:I8)</f>
        <v>62608.343066666668</v>
      </c>
      <c r="J17" s="47">
        <f>+'Capital and O&amp;M Costs'!G35</f>
        <v>5784166.666666667</v>
      </c>
      <c r="K17" s="47">
        <f>+'Capital and O&amp;M Costs'!D35</f>
        <v>0</v>
      </c>
    </row>
    <row r="18" spans="1:12" ht="15.75" x14ac:dyDescent="0.25">
      <c r="A18" s="44" t="s">
        <v>197</v>
      </c>
      <c r="B18" s="45">
        <f>+'Table 9'!B119</f>
        <v>6</v>
      </c>
      <c r="C18" s="46">
        <f>+'Table 9'!E120</f>
        <v>6</v>
      </c>
      <c r="D18" s="51">
        <f>+'Table 7'!F14</f>
        <v>6.9</v>
      </c>
      <c r="E18" s="45">
        <f>+'Table 7'!F17</f>
        <v>0</v>
      </c>
      <c r="F18" s="51">
        <f>+D18+E18</f>
        <v>6.9</v>
      </c>
      <c r="G18" s="47">
        <f>+'Table 7'!I18</f>
        <v>870.05700000000013</v>
      </c>
      <c r="H18" s="51">
        <f>SUM('Table 3'!F5:H5)</f>
        <v>6.9</v>
      </c>
      <c r="I18" s="47">
        <f>+'Table 3'!I5</f>
        <v>366.798</v>
      </c>
      <c r="J18" s="47">
        <f>+'Capital and O&amp;M Costs'!G37</f>
        <v>0</v>
      </c>
      <c r="K18" s="47">
        <f>+'Capital and O&amp;M Costs'!D37</f>
        <v>0</v>
      </c>
      <c r="L18" t="s">
        <v>411</v>
      </c>
    </row>
    <row r="19" spans="1:12" ht="15.75" x14ac:dyDescent="0.25">
      <c r="A19" s="48" t="s">
        <v>198</v>
      </c>
      <c r="B19" s="52">
        <f>SUM(B5:B18)</f>
        <v>1346.0333333333333</v>
      </c>
      <c r="C19" s="52">
        <f>SUM(C5:C18)</f>
        <v>3736.08</v>
      </c>
      <c r="D19" s="52">
        <f>ROUND(SUM(D5:D18),-3)</f>
        <v>986000</v>
      </c>
      <c r="E19" s="52">
        <f>ROUND(SUM(E5:E18),-3)</f>
        <v>235000</v>
      </c>
      <c r="F19" s="52">
        <f>ROUND(SUM(F5:F18),-4)</f>
        <v>1220000</v>
      </c>
      <c r="G19" s="56">
        <f>ROUND(SUM(G5:G18),-6)</f>
        <v>154000000</v>
      </c>
      <c r="H19" s="52">
        <f>ROUND(SUM(H5:H18),-1)</f>
        <v>8410</v>
      </c>
      <c r="I19" s="56">
        <f>ROUND(SUM(I5:I18),-3)</f>
        <v>447000</v>
      </c>
      <c r="J19" s="56">
        <f>ROUND(SUM(J5:J18),-5)</f>
        <v>65000000</v>
      </c>
      <c r="K19" s="56">
        <f>ROUND(SUM(K5:K18),-3)</f>
        <v>174000</v>
      </c>
      <c r="L19" s="74">
        <f>F19/C19</f>
        <v>326.54547011841288</v>
      </c>
    </row>
    <row r="20" spans="1:12" x14ac:dyDescent="0.25">
      <c r="J20" s="76"/>
    </row>
    <row r="21" spans="1:12" x14ac:dyDescent="0.25">
      <c r="A21" s="25" t="s">
        <v>27</v>
      </c>
      <c r="I21" s="76"/>
      <c r="L21" s="76">
        <f>ROUND(J19+K19,-5)</f>
        <v>65200000</v>
      </c>
    </row>
    <row r="22" spans="1:12" ht="15.75" x14ac:dyDescent="0.25">
      <c r="A22" s="49" t="s">
        <v>434</v>
      </c>
      <c r="L22" s="76">
        <f>ROUND(L21+G19,-6)</f>
        <v>219000000</v>
      </c>
    </row>
    <row r="23" spans="1:12" ht="15.75" x14ac:dyDescent="0.25">
      <c r="A23" s="49" t="s">
        <v>435</v>
      </c>
    </row>
    <row r="24" spans="1:12" ht="15.75" x14ac:dyDescent="0.25">
      <c r="A24" s="49" t="s">
        <v>436</v>
      </c>
    </row>
    <row r="25" spans="1:12" ht="15.75" x14ac:dyDescent="0.25">
      <c r="A25" s="49" t="s">
        <v>437</v>
      </c>
    </row>
    <row r="26" spans="1:12" ht="15.75" x14ac:dyDescent="0.25">
      <c r="A26" s="49" t="s">
        <v>438</v>
      </c>
    </row>
    <row r="27" spans="1:12" ht="16.5" x14ac:dyDescent="0.25">
      <c r="A27" s="6" t="s">
        <v>199</v>
      </c>
    </row>
  </sheetData>
  <mergeCells count="1">
    <mergeCell ref="A3:A4"/>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83"/>
  <sheetViews>
    <sheetView workbookViewId="0">
      <pane ySplit="4" topLeftCell="A5" activePane="bottomLeft" state="frozen"/>
      <selection pane="bottomLeft" activeCell="A2" sqref="A2"/>
    </sheetView>
  </sheetViews>
  <sheetFormatPr defaultColWidth="9.140625" defaultRowHeight="15" x14ac:dyDescent="0.25"/>
  <cols>
    <col min="1" max="1" width="43.140625" style="63" customWidth="1"/>
    <col min="2" max="2" width="11.140625" style="63" customWidth="1"/>
    <col min="3" max="3" width="9.140625" style="63"/>
    <col min="4" max="4" width="17.42578125" style="63" customWidth="1"/>
    <col min="5" max="7" width="11" style="63" customWidth="1"/>
    <col min="8" max="16384" width="9.140625" style="63"/>
  </cols>
  <sheetData>
    <row r="1" spans="1:7" ht="15.75" x14ac:dyDescent="0.25">
      <c r="A1" s="50" t="s">
        <v>142</v>
      </c>
    </row>
    <row r="2" spans="1:7" x14ac:dyDescent="0.25">
      <c r="A2" s="18"/>
    </row>
    <row r="3" spans="1:7" s="6" customFormat="1" ht="12.75" x14ac:dyDescent="0.2">
      <c r="A3" s="7" t="s">
        <v>19</v>
      </c>
      <c r="B3" s="7" t="s">
        <v>20</v>
      </c>
      <c r="C3" s="7" t="s">
        <v>21</v>
      </c>
      <c r="D3" s="7" t="s">
        <v>22</v>
      </c>
      <c r="E3" s="21" t="s">
        <v>23</v>
      </c>
      <c r="F3" s="97"/>
      <c r="G3" s="97"/>
    </row>
    <row r="4" spans="1:7" s="6" customFormat="1" ht="58.5" customHeight="1" x14ac:dyDescent="0.2">
      <c r="A4" s="8" t="s">
        <v>143</v>
      </c>
      <c r="B4" s="8" t="s">
        <v>144</v>
      </c>
      <c r="C4" s="8" t="s">
        <v>145</v>
      </c>
      <c r="D4" s="8" t="s">
        <v>193</v>
      </c>
      <c r="E4" s="8" t="s">
        <v>194</v>
      </c>
      <c r="F4" s="98"/>
      <c r="G4" s="98"/>
    </row>
    <row r="5" spans="1:7" s="6" customFormat="1" ht="12.75" x14ac:dyDescent="0.2">
      <c r="A5" s="182" t="s">
        <v>123</v>
      </c>
      <c r="B5" s="182"/>
      <c r="C5" s="182"/>
      <c r="D5" s="182"/>
      <c r="E5" s="182"/>
      <c r="F5" s="36"/>
      <c r="G5" s="36"/>
    </row>
    <row r="6" spans="1:7" s="6" customFormat="1" ht="12.75" x14ac:dyDescent="0.2">
      <c r="A6" s="59" t="s">
        <v>146</v>
      </c>
      <c r="B6" s="45">
        <f>'Table G-1'!E15</f>
        <v>0</v>
      </c>
      <c r="C6" s="45">
        <v>1</v>
      </c>
      <c r="D6" s="45">
        <v>0</v>
      </c>
      <c r="E6" s="45">
        <f>+B6*C6+D6</f>
        <v>0</v>
      </c>
      <c r="F6" s="99"/>
      <c r="G6" s="99"/>
    </row>
    <row r="7" spans="1:7" s="6" customFormat="1" ht="12.75" x14ac:dyDescent="0.2">
      <c r="A7" s="59" t="s">
        <v>147</v>
      </c>
      <c r="B7" s="45">
        <f>'Table G-1'!E16</f>
        <v>0</v>
      </c>
      <c r="C7" s="45">
        <v>1</v>
      </c>
      <c r="D7" s="45">
        <v>0</v>
      </c>
      <c r="E7" s="45">
        <f t="shared" ref="E7:E9" si="0">+B7*C7+D7</f>
        <v>0</v>
      </c>
      <c r="F7" s="99"/>
      <c r="G7" s="99"/>
    </row>
    <row r="8" spans="1:7" s="6" customFormat="1" ht="12.75" x14ac:dyDescent="0.2">
      <c r="A8" s="9" t="s">
        <v>148</v>
      </c>
      <c r="B8" s="91">
        <f>'Table G-1'!E17</f>
        <v>11</v>
      </c>
      <c r="C8" s="45">
        <v>1</v>
      </c>
      <c r="D8" s="45">
        <v>0</v>
      </c>
      <c r="E8" s="45">
        <f t="shared" si="0"/>
        <v>11</v>
      </c>
      <c r="F8" s="99"/>
      <c r="G8" s="99"/>
    </row>
    <row r="9" spans="1:7" s="6" customFormat="1" ht="12.75" x14ac:dyDescent="0.2">
      <c r="A9" s="9" t="s">
        <v>149</v>
      </c>
      <c r="B9" s="91">
        <f>'Table G-1'!E18</f>
        <v>0.32999999999999996</v>
      </c>
      <c r="C9" s="45">
        <v>1</v>
      </c>
      <c r="D9" s="45">
        <v>0</v>
      </c>
      <c r="E9" s="45">
        <f t="shared" si="0"/>
        <v>0.32999999999999996</v>
      </c>
      <c r="F9" s="99"/>
      <c r="G9" s="99"/>
    </row>
    <row r="10" spans="1:7" s="6" customFormat="1" ht="12.75" x14ac:dyDescent="0.2">
      <c r="A10" s="59"/>
      <c r="B10" s="59"/>
      <c r="C10" s="59"/>
      <c r="D10" s="7" t="s">
        <v>150</v>
      </c>
      <c r="E10" s="62">
        <f>SUM(E6:E9)</f>
        <v>11.33</v>
      </c>
      <c r="F10" s="100"/>
      <c r="G10" s="100"/>
    </row>
    <row r="11" spans="1:7" s="6" customFormat="1" ht="12.75" x14ac:dyDescent="0.2">
      <c r="A11" s="182" t="s">
        <v>124</v>
      </c>
      <c r="B11" s="182"/>
      <c r="C11" s="182"/>
      <c r="D11" s="182"/>
      <c r="E11" s="182"/>
      <c r="F11" s="36"/>
      <c r="G11" s="36"/>
    </row>
    <row r="12" spans="1:7" s="6" customFormat="1" ht="12.75" x14ac:dyDescent="0.2">
      <c r="A12" s="59" t="s">
        <v>146</v>
      </c>
      <c r="B12" s="92">
        <f>'Table G-2'!E11</f>
        <v>0</v>
      </c>
      <c r="C12" s="45">
        <v>1</v>
      </c>
      <c r="D12" s="45">
        <v>0</v>
      </c>
      <c r="E12" s="45">
        <f t="shared" ref="E12:E24" si="1">+B12*C12+D12</f>
        <v>0</v>
      </c>
      <c r="F12" s="99"/>
      <c r="G12" s="99"/>
    </row>
    <row r="13" spans="1:7" s="6" customFormat="1" ht="12.75" x14ac:dyDescent="0.2">
      <c r="A13" s="59" t="s">
        <v>147</v>
      </c>
      <c r="B13" s="92">
        <f>'Table G-2'!E12</f>
        <v>0</v>
      </c>
      <c r="C13" s="45">
        <v>1</v>
      </c>
      <c r="D13" s="45">
        <v>0</v>
      </c>
      <c r="E13" s="45">
        <f t="shared" si="1"/>
        <v>0</v>
      </c>
      <c r="F13" s="99"/>
      <c r="G13" s="99"/>
    </row>
    <row r="14" spans="1:7" s="6" customFormat="1" ht="12.75" x14ac:dyDescent="0.2">
      <c r="A14" s="9" t="s">
        <v>151</v>
      </c>
      <c r="B14" s="105">
        <f>'Table G-2'!E16</f>
        <v>0</v>
      </c>
      <c r="C14" s="45">
        <v>1</v>
      </c>
      <c r="D14" s="45">
        <v>0</v>
      </c>
      <c r="E14" s="51">
        <f t="shared" si="1"/>
        <v>0</v>
      </c>
      <c r="F14" s="99"/>
      <c r="G14" s="99"/>
    </row>
    <row r="15" spans="1:7" s="6" customFormat="1" ht="12.75" x14ac:dyDescent="0.2">
      <c r="A15" s="9" t="s">
        <v>152</v>
      </c>
      <c r="B15" s="92">
        <f>'Table G-2'!E17</f>
        <v>0</v>
      </c>
      <c r="C15" s="45">
        <v>1</v>
      </c>
      <c r="D15" s="45">
        <v>0</v>
      </c>
      <c r="E15" s="45">
        <f t="shared" si="1"/>
        <v>0</v>
      </c>
      <c r="F15" s="99"/>
      <c r="G15" s="99"/>
    </row>
    <row r="16" spans="1:7" s="6" customFormat="1" ht="12.75" x14ac:dyDescent="0.2">
      <c r="A16" s="9" t="s">
        <v>153</v>
      </c>
      <c r="B16" s="105">
        <f>'Table G-2'!E19</f>
        <v>0</v>
      </c>
      <c r="C16" s="45">
        <v>1</v>
      </c>
      <c r="D16" s="45">
        <v>0</v>
      </c>
      <c r="E16" s="51">
        <f t="shared" si="1"/>
        <v>0</v>
      </c>
      <c r="F16" s="99"/>
      <c r="G16" s="99"/>
    </row>
    <row r="17" spans="1:7" s="6" customFormat="1" ht="12.75" x14ac:dyDescent="0.2">
      <c r="A17" s="9" t="s">
        <v>154</v>
      </c>
      <c r="B17" s="92">
        <f>'Table G-2'!E20</f>
        <v>0</v>
      </c>
      <c r="C17" s="45">
        <v>1</v>
      </c>
      <c r="D17" s="45">
        <v>0</v>
      </c>
      <c r="E17" s="45">
        <f t="shared" si="1"/>
        <v>0</v>
      </c>
      <c r="F17" s="99"/>
      <c r="G17" s="99"/>
    </row>
    <row r="18" spans="1:7" s="6" customFormat="1" ht="12.75" x14ac:dyDescent="0.2">
      <c r="A18" s="9" t="s">
        <v>155</v>
      </c>
      <c r="B18" s="92">
        <f>'Table G-2'!E21</f>
        <v>0</v>
      </c>
      <c r="C18" s="45">
        <v>1</v>
      </c>
      <c r="D18" s="45">
        <v>0</v>
      </c>
      <c r="E18" s="45">
        <f t="shared" si="1"/>
        <v>0</v>
      </c>
      <c r="F18" s="99"/>
      <c r="G18" s="99"/>
    </row>
    <row r="19" spans="1:7" s="6" customFormat="1" ht="12.75" x14ac:dyDescent="0.2">
      <c r="A19" s="9" t="s">
        <v>156</v>
      </c>
      <c r="B19" s="92">
        <f>'Table G-2'!E22</f>
        <v>0</v>
      </c>
      <c r="C19" s="45">
        <v>1</v>
      </c>
      <c r="D19" s="45">
        <v>0</v>
      </c>
      <c r="E19" s="45">
        <f t="shared" si="1"/>
        <v>0</v>
      </c>
      <c r="F19" s="99"/>
      <c r="G19" s="99"/>
    </row>
    <row r="20" spans="1:7" s="6" customFormat="1" ht="12.75" x14ac:dyDescent="0.2">
      <c r="A20" s="9" t="s">
        <v>157</v>
      </c>
      <c r="B20" s="110">
        <f>'Table G-2'!E26</f>
        <v>34.700000000000003</v>
      </c>
      <c r="C20" s="45">
        <v>1</v>
      </c>
      <c r="D20" s="45">
        <v>0</v>
      </c>
      <c r="E20" s="111">
        <f t="shared" si="1"/>
        <v>34.700000000000003</v>
      </c>
      <c r="F20" s="99"/>
      <c r="G20" s="99"/>
    </row>
    <row r="21" spans="1:7" s="6" customFormat="1" ht="12.75" x14ac:dyDescent="0.2">
      <c r="A21" s="9" t="s">
        <v>158</v>
      </c>
      <c r="B21" s="110">
        <f>'Table G-2'!E27</f>
        <v>3.4700000000000006</v>
      </c>
      <c r="C21" s="45">
        <v>1</v>
      </c>
      <c r="D21" s="45">
        <v>0</v>
      </c>
      <c r="E21" s="111">
        <f t="shared" si="1"/>
        <v>3.4700000000000006</v>
      </c>
      <c r="F21" s="99"/>
      <c r="G21" s="99"/>
    </row>
    <row r="22" spans="1:7" s="6" customFormat="1" ht="12.75" x14ac:dyDescent="0.2">
      <c r="A22" s="9" t="s">
        <v>159</v>
      </c>
      <c r="B22" s="92">
        <f>'Table G-2'!E28</f>
        <v>385</v>
      </c>
      <c r="C22" s="45">
        <v>1</v>
      </c>
      <c r="D22" s="45">
        <v>0</v>
      </c>
      <c r="E22" s="45">
        <f t="shared" si="1"/>
        <v>385</v>
      </c>
      <c r="F22" s="99"/>
      <c r="G22" s="99"/>
    </row>
    <row r="23" spans="1:7" s="6" customFormat="1" ht="12.75" x14ac:dyDescent="0.2">
      <c r="A23" s="9" t="s">
        <v>160</v>
      </c>
      <c r="B23" s="92">
        <f>'Table G-2'!E29</f>
        <v>385</v>
      </c>
      <c r="C23" s="45">
        <v>1</v>
      </c>
      <c r="D23" s="45">
        <v>0</v>
      </c>
      <c r="E23" s="45">
        <f t="shared" si="1"/>
        <v>385</v>
      </c>
      <c r="F23" s="99"/>
      <c r="G23" s="99"/>
    </row>
    <row r="24" spans="1:7" s="6" customFormat="1" ht="12.75" x14ac:dyDescent="0.2">
      <c r="A24" s="9" t="s">
        <v>161</v>
      </c>
      <c r="B24" s="105">
        <f>'Table G-2'!E30</f>
        <v>175</v>
      </c>
      <c r="C24" s="45">
        <v>1</v>
      </c>
      <c r="D24" s="45">
        <v>0</v>
      </c>
      <c r="E24" s="51">
        <f t="shared" si="1"/>
        <v>175</v>
      </c>
      <c r="F24" s="99"/>
      <c r="G24" s="99"/>
    </row>
    <row r="25" spans="1:7" s="6" customFormat="1" ht="12.75" x14ac:dyDescent="0.2">
      <c r="A25" s="9"/>
      <c r="B25" s="59"/>
      <c r="C25" s="59"/>
      <c r="D25" s="7" t="s">
        <v>150</v>
      </c>
      <c r="E25" s="52">
        <f>SUM(E12:E24)</f>
        <v>983.17000000000007</v>
      </c>
      <c r="F25" s="101"/>
      <c r="G25" s="101"/>
    </row>
    <row r="26" spans="1:7" s="6" customFormat="1" ht="12.75" x14ac:dyDescent="0.2">
      <c r="A26" s="182" t="s">
        <v>125</v>
      </c>
      <c r="B26" s="182"/>
      <c r="C26" s="182"/>
      <c r="D26" s="182"/>
      <c r="E26" s="182"/>
      <c r="F26" s="36"/>
      <c r="G26" s="36"/>
    </row>
    <row r="27" spans="1:7" s="6" customFormat="1" ht="12.75" x14ac:dyDescent="0.2">
      <c r="A27" s="9" t="s">
        <v>146</v>
      </c>
      <c r="B27" s="92">
        <f>'Table G-3'!E15</f>
        <v>0</v>
      </c>
      <c r="C27" s="45">
        <v>1</v>
      </c>
      <c r="D27" s="45">
        <v>0</v>
      </c>
      <c r="E27" s="45">
        <f t="shared" ref="E27:E31" si="2">+B27*C27+D27</f>
        <v>0</v>
      </c>
      <c r="F27" s="99"/>
      <c r="G27" s="99"/>
    </row>
    <row r="28" spans="1:7" s="6" customFormat="1" ht="12.75" x14ac:dyDescent="0.2">
      <c r="A28" s="9" t="s">
        <v>162</v>
      </c>
      <c r="B28" s="92">
        <f>'Table G-3'!E16</f>
        <v>0</v>
      </c>
      <c r="C28" s="45">
        <v>1</v>
      </c>
      <c r="D28" s="45">
        <v>0</v>
      </c>
      <c r="E28" s="45">
        <f t="shared" si="2"/>
        <v>0</v>
      </c>
      <c r="F28" s="99"/>
      <c r="G28" s="99"/>
    </row>
    <row r="29" spans="1:7" s="6" customFormat="1" ht="12.75" x14ac:dyDescent="0.2">
      <c r="A29" s="9" t="s">
        <v>147</v>
      </c>
      <c r="B29" s="92">
        <f>'Table G-3'!E17</f>
        <v>0</v>
      </c>
      <c r="C29" s="45">
        <v>1</v>
      </c>
      <c r="D29" s="45">
        <v>0</v>
      </c>
      <c r="E29" s="45">
        <f t="shared" si="2"/>
        <v>0</v>
      </c>
      <c r="F29" s="99"/>
      <c r="G29" s="99"/>
    </row>
    <row r="30" spans="1:7" s="6" customFormat="1" ht="12.75" x14ac:dyDescent="0.2">
      <c r="A30" s="9" t="s">
        <v>163</v>
      </c>
      <c r="B30" s="92">
        <f>'Table G-3'!E18</f>
        <v>0</v>
      </c>
      <c r="C30" s="45">
        <v>1</v>
      </c>
      <c r="D30" s="45">
        <v>0</v>
      </c>
      <c r="E30" s="45">
        <f t="shared" si="2"/>
        <v>0</v>
      </c>
      <c r="F30" s="99"/>
      <c r="G30" s="99"/>
    </row>
    <row r="31" spans="1:7" s="6" customFormat="1" ht="12.75" x14ac:dyDescent="0.2">
      <c r="A31" s="9" t="s">
        <v>164</v>
      </c>
      <c r="B31" s="92">
        <f>'Table G-3'!E19</f>
        <v>170</v>
      </c>
      <c r="C31" s="45">
        <v>2</v>
      </c>
      <c r="D31" s="45">
        <v>0</v>
      </c>
      <c r="E31" s="45">
        <f t="shared" si="2"/>
        <v>340</v>
      </c>
      <c r="F31" s="99"/>
      <c r="G31" s="99"/>
    </row>
    <row r="32" spans="1:7" s="6" customFormat="1" ht="12.75" x14ac:dyDescent="0.2">
      <c r="A32" s="44"/>
      <c r="B32" s="45"/>
      <c r="C32" s="45"/>
      <c r="D32" s="7" t="s">
        <v>150</v>
      </c>
      <c r="E32" s="62">
        <f>SUM(E27:E31)</f>
        <v>340</v>
      </c>
      <c r="F32" s="100"/>
      <c r="G32" s="100"/>
    </row>
    <row r="33" spans="1:7" s="6" customFormat="1" ht="12.75" x14ac:dyDescent="0.2">
      <c r="A33" s="182" t="s">
        <v>126</v>
      </c>
      <c r="B33" s="182"/>
      <c r="C33" s="182"/>
      <c r="D33" s="182"/>
      <c r="E33" s="182"/>
      <c r="F33" s="36"/>
      <c r="G33" s="36"/>
    </row>
    <row r="34" spans="1:7" s="6" customFormat="1" ht="12.75" x14ac:dyDescent="0.2">
      <c r="A34" s="44" t="s">
        <v>165</v>
      </c>
      <c r="B34" s="92">
        <f>'Table G-4'!E10</f>
        <v>0</v>
      </c>
      <c r="C34" s="45">
        <v>1</v>
      </c>
      <c r="D34" s="45">
        <v>0</v>
      </c>
      <c r="E34" s="45">
        <f t="shared" ref="E34:E40" si="3">+B34*C34+D34</f>
        <v>0</v>
      </c>
      <c r="F34" s="99"/>
      <c r="G34" s="99"/>
    </row>
    <row r="35" spans="1:7" s="6" customFormat="1" ht="12.75" x14ac:dyDescent="0.2">
      <c r="A35" s="44" t="s">
        <v>166</v>
      </c>
      <c r="B35" s="92">
        <f>'Table G-4'!E11</f>
        <v>0</v>
      </c>
      <c r="C35" s="45">
        <v>1</v>
      </c>
      <c r="D35" s="45">
        <v>0</v>
      </c>
      <c r="E35" s="45">
        <f t="shared" si="3"/>
        <v>0</v>
      </c>
      <c r="F35" s="99"/>
      <c r="G35" s="99"/>
    </row>
    <row r="36" spans="1:7" s="6" customFormat="1" ht="12.75" x14ac:dyDescent="0.2">
      <c r="A36" s="44" t="s">
        <v>146</v>
      </c>
      <c r="B36" s="92">
        <f>'Table G-4'!E15</f>
        <v>0</v>
      </c>
      <c r="C36" s="45">
        <v>1</v>
      </c>
      <c r="D36" s="45">
        <v>0</v>
      </c>
      <c r="E36" s="45">
        <f t="shared" si="3"/>
        <v>0</v>
      </c>
      <c r="F36" s="99"/>
      <c r="G36" s="99"/>
    </row>
    <row r="37" spans="1:7" s="6" customFormat="1" ht="12.75" x14ac:dyDescent="0.2">
      <c r="A37" s="44" t="s">
        <v>162</v>
      </c>
      <c r="B37" s="92">
        <f>'Table G-4'!E16</f>
        <v>0</v>
      </c>
      <c r="C37" s="45">
        <v>1</v>
      </c>
      <c r="D37" s="45">
        <v>0</v>
      </c>
      <c r="E37" s="45">
        <f t="shared" si="3"/>
        <v>0</v>
      </c>
      <c r="F37" s="99"/>
      <c r="G37" s="99"/>
    </row>
    <row r="38" spans="1:7" s="6" customFormat="1" ht="12.75" x14ac:dyDescent="0.2">
      <c r="A38" s="44" t="s">
        <v>147</v>
      </c>
      <c r="B38" s="92">
        <f>'Table G-4'!E17</f>
        <v>0</v>
      </c>
      <c r="C38" s="45">
        <v>1</v>
      </c>
      <c r="D38" s="45">
        <v>0</v>
      </c>
      <c r="E38" s="45">
        <f t="shared" si="3"/>
        <v>0</v>
      </c>
      <c r="F38" s="99"/>
      <c r="G38" s="99"/>
    </row>
    <row r="39" spans="1:7" s="6" customFormat="1" ht="12.75" x14ac:dyDescent="0.2">
      <c r="A39" s="44" t="s">
        <v>163</v>
      </c>
      <c r="B39" s="92">
        <f>'Table G-4'!E18</f>
        <v>0</v>
      </c>
      <c r="C39" s="45">
        <v>1</v>
      </c>
      <c r="D39" s="45">
        <v>0</v>
      </c>
      <c r="E39" s="45">
        <f t="shared" si="3"/>
        <v>0</v>
      </c>
      <c r="F39" s="99"/>
      <c r="G39" s="99"/>
    </row>
    <row r="40" spans="1:7" s="6" customFormat="1" ht="12.75" x14ac:dyDescent="0.2">
      <c r="A40" s="9" t="s">
        <v>164</v>
      </c>
      <c r="B40" s="92">
        <f>'Table G-4'!E19</f>
        <v>75</v>
      </c>
      <c r="C40" s="45">
        <v>2</v>
      </c>
      <c r="D40" s="45">
        <v>0</v>
      </c>
      <c r="E40" s="45">
        <f t="shared" si="3"/>
        <v>150</v>
      </c>
      <c r="F40" s="99"/>
      <c r="G40" s="99"/>
    </row>
    <row r="41" spans="1:7" s="6" customFormat="1" ht="12.75" x14ac:dyDescent="0.2">
      <c r="A41" s="59"/>
      <c r="B41" s="45"/>
      <c r="C41" s="45"/>
      <c r="D41" s="7" t="s">
        <v>150</v>
      </c>
      <c r="E41" s="52">
        <f>SUM(E34:E40)</f>
        <v>150</v>
      </c>
      <c r="F41" s="101"/>
      <c r="G41" s="101"/>
    </row>
    <row r="42" spans="1:7" s="6" customFormat="1" ht="12.75" x14ac:dyDescent="0.2">
      <c r="A42" s="182" t="s">
        <v>127</v>
      </c>
      <c r="B42" s="182"/>
      <c r="C42" s="182"/>
      <c r="D42" s="182"/>
      <c r="E42" s="182"/>
      <c r="F42" s="36"/>
      <c r="G42" s="36"/>
    </row>
    <row r="43" spans="1:7" s="6" customFormat="1" ht="12.75" x14ac:dyDescent="0.2">
      <c r="A43" s="9" t="s">
        <v>165</v>
      </c>
      <c r="B43" s="92">
        <f>'Table G-5'!E10</f>
        <v>5</v>
      </c>
      <c r="C43" s="45">
        <v>1</v>
      </c>
      <c r="D43" s="45">
        <v>0</v>
      </c>
      <c r="E43" s="45">
        <f t="shared" ref="E43:E48" si="4">+B43*C43+D43</f>
        <v>5</v>
      </c>
      <c r="F43" s="99"/>
      <c r="G43" s="99"/>
    </row>
    <row r="44" spans="1:7" s="6" customFormat="1" ht="12.75" x14ac:dyDescent="0.2">
      <c r="A44" s="9" t="s">
        <v>166</v>
      </c>
      <c r="B44" s="92">
        <f>'Table G-5'!E11</f>
        <v>1</v>
      </c>
      <c r="C44" s="45">
        <v>1</v>
      </c>
      <c r="D44" s="45">
        <v>0</v>
      </c>
      <c r="E44" s="45">
        <f t="shared" si="4"/>
        <v>1</v>
      </c>
      <c r="F44" s="99"/>
      <c r="G44" s="99"/>
    </row>
    <row r="45" spans="1:7" s="6" customFormat="1" ht="12.75" x14ac:dyDescent="0.2">
      <c r="A45" s="9" t="s">
        <v>167</v>
      </c>
      <c r="B45" s="92">
        <f>'Table G-5'!E13</f>
        <v>5</v>
      </c>
      <c r="C45" s="45">
        <v>1</v>
      </c>
      <c r="D45" s="45">
        <v>0</v>
      </c>
      <c r="E45" s="45">
        <f t="shared" si="4"/>
        <v>5</v>
      </c>
      <c r="F45" s="99"/>
      <c r="G45" s="99"/>
    </row>
    <row r="46" spans="1:7" s="6" customFormat="1" ht="12.75" x14ac:dyDescent="0.2">
      <c r="A46" s="9" t="s">
        <v>147</v>
      </c>
      <c r="B46" s="92">
        <f>'Table G-5'!E14</f>
        <v>5</v>
      </c>
      <c r="C46" s="45">
        <v>1</v>
      </c>
      <c r="D46" s="45">
        <v>0</v>
      </c>
      <c r="E46" s="45">
        <f t="shared" si="4"/>
        <v>5</v>
      </c>
      <c r="F46" s="99"/>
      <c r="G46" s="99"/>
    </row>
    <row r="47" spans="1:7" s="6" customFormat="1" ht="12.75" x14ac:dyDescent="0.2">
      <c r="A47" s="9" t="s">
        <v>163</v>
      </c>
      <c r="B47" s="92">
        <f>'Table G-5'!E15</f>
        <v>6</v>
      </c>
      <c r="C47" s="45">
        <v>1</v>
      </c>
      <c r="D47" s="45">
        <v>0</v>
      </c>
      <c r="E47" s="45">
        <f t="shared" si="4"/>
        <v>6</v>
      </c>
      <c r="F47" s="99"/>
      <c r="G47" s="99"/>
    </row>
    <row r="48" spans="1:7" s="6" customFormat="1" ht="12.75" x14ac:dyDescent="0.2">
      <c r="A48" s="9" t="s">
        <v>164</v>
      </c>
      <c r="B48" s="92">
        <f>'Table G-5'!E16</f>
        <v>88</v>
      </c>
      <c r="C48" s="45">
        <v>2</v>
      </c>
      <c r="D48" s="45">
        <v>0</v>
      </c>
      <c r="E48" s="45">
        <f t="shared" si="4"/>
        <v>176</v>
      </c>
      <c r="F48" s="99"/>
      <c r="G48" s="99"/>
    </row>
    <row r="49" spans="1:7" s="6" customFormat="1" ht="12.75" x14ac:dyDescent="0.2">
      <c r="A49" s="44"/>
      <c r="B49" s="45"/>
      <c r="C49" s="45"/>
      <c r="D49" s="7" t="s">
        <v>150</v>
      </c>
      <c r="E49" s="62">
        <f>SUM(E43:E48)</f>
        <v>198</v>
      </c>
      <c r="F49" s="100"/>
      <c r="G49" s="100"/>
    </row>
    <row r="50" spans="1:7" s="6" customFormat="1" ht="12.75" x14ac:dyDescent="0.2">
      <c r="A50" s="182" t="s">
        <v>128</v>
      </c>
      <c r="B50" s="182"/>
      <c r="C50" s="182"/>
      <c r="D50" s="182"/>
      <c r="E50" s="182"/>
      <c r="F50" s="36"/>
      <c r="G50" s="36"/>
    </row>
    <row r="51" spans="1:7" s="6" customFormat="1" ht="12.75" x14ac:dyDescent="0.2">
      <c r="A51" s="9" t="s">
        <v>165</v>
      </c>
      <c r="B51" s="92">
        <f>'Table G-6'!E10</f>
        <v>0</v>
      </c>
      <c r="C51" s="45">
        <v>1</v>
      </c>
      <c r="D51" s="45">
        <v>0</v>
      </c>
      <c r="E51" s="45">
        <f t="shared" ref="E51:E56" si="5">+B51*C51+D51</f>
        <v>0</v>
      </c>
      <c r="F51" s="99"/>
      <c r="G51" s="99"/>
    </row>
    <row r="52" spans="1:7" s="6" customFormat="1" ht="12.75" x14ac:dyDescent="0.2">
      <c r="A52" s="9" t="s">
        <v>166</v>
      </c>
      <c r="B52" s="92">
        <f>'Table G-6'!E11</f>
        <v>0</v>
      </c>
      <c r="C52" s="45">
        <v>1</v>
      </c>
      <c r="D52" s="45">
        <v>0</v>
      </c>
      <c r="E52" s="45">
        <f t="shared" si="5"/>
        <v>0</v>
      </c>
      <c r="F52" s="99"/>
      <c r="G52" s="99"/>
    </row>
    <row r="53" spans="1:7" s="6" customFormat="1" ht="12.75" x14ac:dyDescent="0.2">
      <c r="A53" s="9" t="s">
        <v>167</v>
      </c>
      <c r="B53" s="92">
        <f>'Table G-6'!E13</f>
        <v>0</v>
      </c>
      <c r="C53" s="45">
        <v>1</v>
      </c>
      <c r="D53" s="45">
        <v>0</v>
      </c>
      <c r="E53" s="45">
        <f t="shared" si="5"/>
        <v>0</v>
      </c>
      <c r="F53" s="99"/>
      <c r="G53" s="99"/>
    </row>
    <row r="54" spans="1:7" s="6" customFormat="1" ht="12.75" x14ac:dyDescent="0.2">
      <c r="A54" s="9" t="s">
        <v>147</v>
      </c>
      <c r="B54" s="92">
        <f>'Table G-6'!E14</f>
        <v>0</v>
      </c>
      <c r="C54" s="45">
        <v>1</v>
      </c>
      <c r="D54" s="45">
        <v>0</v>
      </c>
      <c r="E54" s="45">
        <f t="shared" si="5"/>
        <v>0</v>
      </c>
      <c r="F54" s="99"/>
      <c r="G54" s="99"/>
    </row>
    <row r="55" spans="1:7" s="6" customFormat="1" ht="12.75" x14ac:dyDescent="0.2">
      <c r="A55" s="9" t="s">
        <v>163</v>
      </c>
      <c r="B55" s="92">
        <f>'Table G-6'!E15</f>
        <v>0</v>
      </c>
      <c r="C55" s="45">
        <v>1</v>
      </c>
      <c r="D55" s="45">
        <v>0</v>
      </c>
      <c r="E55" s="45">
        <f t="shared" si="5"/>
        <v>0</v>
      </c>
      <c r="F55" s="99"/>
      <c r="G55" s="99"/>
    </row>
    <row r="56" spans="1:7" s="6" customFormat="1" ht="12.75" x14ac:dyDescent="0.2">
      <c r="A56" s="9" t="s">
        <v>164</v>
      </c>
      <c r="B56" s="92">
        <f>'Table G-6'!E16</f>
        <v>40</v>
      </c>
      <c r="C56" s="45">
        <v>2</v>
      </c>
      <c r="D56" s="45">
        <v>0</v>
      </c>
      <c r="E56" s="45">
        <f t="shared" si="5"/>
        <v>80</v>
      </c>
      <c r="F56" s="99"/>
      <c r="G56" s="99"/>
    </row>
    <row r="57" spans="1:7" s="6" customFormat="1" ht="12.75" x14ac:dyDescent="0.2">
      <c r="A57" s="44"/>
      <c r="B57" s="45"/>
      <c r="C57" s="45"/>
      <c r="D57" s="7" t="s">
        <v>150</v>
      </c>
      <c r="E57" s="62">
        <f>SUM(E51:E56)</f>
        <v>80</v>
      </c>
      <c r="F57" s="100"/>
      <c r="G57" s="100"/>
    </row>
    <row r="58" spans="1:7" s="6" customFormat="1" ht="12.75" x14ac:dyDescent="0.2">
      <c r="A58" s="182" t="s">
        <v>129</v>
      </c>
      <c r="B58" s="182"/>
      <c r="C58" s="182"/>
      <c r="D58" s="182"/>
      <c r="E58" s="182"/>
      <c r="F58" s="36"/>
      <c r="G58" s="36"/>
    </row>
    <row r="59" spans="1:7" s="6" customFormat="1" ht="12.75" x14ac:dyDescent="0.2">
      <c r="A59" s="9" t="s">
        <v>165</v>
      </c>
      <c r="B59" s="92">
        <f>'Table G-7'!E10</f>
        <v>0</v>
      </c>
      <c r="C59" s="45">
        <v>1</v>
      </c>
      <c r="D59" s="45">
        <v>0</v>
      </c>
      <c r="E59" s="45">
        <f t="shared" ref="E59:E64" si="6">+B59*C59+D59</f>
        <v>0</v>
      </c>
      <c r="F59" s="99"/>
      <c r="G59" s="99"/>
    </row>
    <row r="60" spans="1:7" s="6" customFormat="1" ht="12.75" x14ac:dyDescent="0.2">
      <c r="A60" s="9" t="s">
        <v>166</v>
      </c>
      <c r="B60" s="92">
        <f>'Table G-7'!E11</f>
        <v>0</v>
      </c>
      <c r="C60" s="45">
        <v>1</v>
      </c>
      <c r="D60" s="45">
        <v>0</v>
      </c>
      <c r="E60" s="45">
        <f t="shared" si="6"/>
        <v>0</v>
      </c>
      <c r="F60" s="99"/>
      <c r="G60" s="99"/>
    </row>
    <row r="61" spans="1:7" s="6" customFormat="1" ht="12.75" x14ac:dyDescent="0.2">
      <c r="A61" s="9" t="s">
        <v>167</v>
      </c>
      <c r="B61" s="92">
        <f>'Table G-7'!E13</f>
        <v>0</v>
      </c>
      <c r="C61" s="45">
        <v>1</v>
      </c>
      <c r="D61" s="45">
        <v>0</v>
      </c>
      <c r="E61" s="45">
        <f t="shared" si="6"/>
        <v>0</v>
      </c>
      <c r="F61" s="99"/>
      <c r="G61" s="99"/>
    </row>
    <row r="62" spans="1:7" s="6" customFormat="1" ht="12.75" x14ac:dyDescent="0.2">
      <c r="A62" s="9" t="s">
        <v>147</v>
      </c>
      <c r="B62" s="92">
        <f>'Table G-7'!E14</f>
        <v>0</v>
      </c>
      <c r="C62" s="45">
        <v>1</v>
      </c>
      <c r="D62" s="45">
        <v>0</v>
      </c>
      <c r="E62" s="45">
        <f t="shared" si="6"/>
        <v>0</v>
      </c>
      <c r="F62" s="99"/>
      <c r="G62" s="99"/>
    </row>
    <row r="63" spans="1:7" s="6" customFormat="1" ht="12.75" x14ac:dyDescent="0.2">
      <c r="A63" s="9" t="s">
        <v>163</v>
      </c>
      <c r="B63" s="92">
        <f>'Table G-7'!E15</f>
        <v>0</v>
      </c>
      <c r="C63" s="45">
        <v>1</v>
      </c>
      <c r="D63" s="45">
        <v>0</v>
      </c>
      <c r="E63" s="45">
        <f t="shared" si="6"/>
        <v>0</v>
      </c>
      <c r="F63" s="99"/>
      <c r="G63" s="99"/>
    </row>
    <row r="64" spans="1:7" s="6" customFormat="1" ht="12.75" x14ac:dyDescent="0.2">
      <c r="A64" s="9" t="s">
        <v>164</v>
      </c>
      <c r="B64" s="93">
        <f>'Table G-7'!E16</f>
        <v>136</v>
      </c>
      <c r="C64" s="45">
        <v>2</v>
      </c>
      <c r="D64" s="45">
        <v>0</v>
      </c>
      <c r="E64" s="46">
        <f t="shared" si="6"/>
        <v>272</v>
      </c>
      <c r="F64" s="102"/>
      <c r="G64" s="102"/>
    </row>
    <row r="65" spans="1:7" s="6" customFormat="1" ht="12.75" x14ac:dyDescent="0.2">
      <c r="A65" s="44"/>
      <c r="B65" s="45"/>
      <c r="C65" s="45"/>
      <c r="D65" s="7" t="s">
        <v>150</v>
      </c>
      <c r="E65" s="52">
        <f>SUM(E59:E64)</f>
        <v>272</v>
      </c>
      <c r="F65" s="101"/>
      <c r="G65" s="101"/>
    </row>
    <row r="66" spans="1:7" s="6" customFormat="1" ht="12.75" x14ac:dyDescent="0.2">
      <c r="A66" s="182" t="s">
        <v>130</v>
      </c>
      <c r="B66" s="182"/>
      <c r="C66" s="182"/>
      <c r="D66" s="182"/>
      <c r="E66" s="182"/>
      <c r="F66" s="36"/>
      <c r="G66" s="36"/>
    </row>
    <row r="67" spans="1:7" s="6" customFormat="1" ht="12.75" x14ac:dyDescent="0.2">
      <c r="A67" s="9" t="s">
        <v>165</v>
      </c>
      <c r="B67" s="92">
        <f>'Table G-8'!E10</f>
        <v>0</v>
      </c>
      <c r="C67" s="45">
        <v>1</v>
      </c>
      <c r="D67" s="45">
        <v>0</v>
      </c>
      <c r="E67" s="45">
        <f t="shared" ref="E67:E72" si="7">+B67*C67+D67</f>
        <v>0</v>
      </c>
      <c r="F67" s="99"/>
      <c r="G67" s="99"/>
    </row>
    <row r="68" spans="1:7" s="6" customFormat="1" ht="12.75" x14ac:dyDescent="0.2">
      <c r="A68" s="9" t="s">
        <v>166</v>
      </c>
      <c r="B68" s="92">
        <f>'Table G-8'!E11</f>
        <v>0</v>
      </c>
      <c r="C68" s="45">
        <v>1</v>
      </c>
      <c r="D68" s="45">
        <v>0</v>
      </c>
      <c r="E68" s="45">
        <f t="shared" si="7"/>
        <v>0</v>
      </c>
      <c r="F68" s="99"/>
      <c r="G68" s="99"/>
    </row>
    <row r="69" spans="1:7" s="6" customFormat="1" ht="12.75" x14ac:dyDescent="0.2">
      <c r="A69" s="9" t="s">
        <v>167</v>
      </c>
      <c r="B69" s="92">
        <f>'Table G-8'!E13</f>
        <v>0</v>
      </c>
      <c r="C69" s="45">
        <v>1</v>
      </c>
      <c r="D69" s="45">
        <v>0</v>
      </c>
      <c r="E69" s="45">
        <f t="shared" si="7"/>
        <v>0</v>
      </c>
      <c r="F69" s="99"/>
      <c r="G69" s="99"/>
    </row>
    <row r="70" spans="1:7" s="6" customFormat="1" ht="12.75" x14ac:dyDescent="0.2">
      <c r="A70" s="9" t="s">
        <v>147</v>
      </c>
      <c r="B70" s="92">
        <f>'Table G-8'!E14</f>
        <v>0</v>
      </c>
      <c r="C70" s="45">
        <v>1</v>
      </c>
      <c r="D70" s="45">
        <v>0</v>
      </c>
      <c r="E70" s="45">
        <f t="shared" si="7"/>
        <v>0</v>
      </c>
      <c r="F70" s="99"/>
      <c r="G70" s="99"/>
    </row>
    <row r="71" spans="1:7" s="6" customFormat="1" ht="12.75" x14ac:dyDescent="0.2">
      <c r="A71" s="9" t="s">
        <v>163</v>
      </c>
      <c r="B71" s="92">
        <f>'Table G-8'!E15</f>
        <v>0</v>
      </c>
      <c r="C71" s="45">
        <v>1</v>
      </c>
      <c r="D71" s="45">
        <v>0</v>
      </c>
      <c r="E71" s="45">
        <f t="shared" si="7"/>
        <v>0</v>
      </c>
      <c r="F71" s="99"/>
      <c r="G71" s="99"/>
    </row>
    <row r="72" spans="1:7" s="6" customFormat="1" ht="12.75" x14ac:dyDescent="0.2">
      <c r="A72" s="9" t="s">
        <v>164</v>
      </c>
      <c r="B72" s="92">
        <f>'Table G-8'!E16</f>
        <v>74</v>
      </c>
      <c r="C72" s="45">
        <v>2</v>
      </c>
      <c r="D72" s="45">
        <v>0</v>
      </c>
      <c r="E72" s="45">
        <f t="shared" si="7"/>
        <v>148</v>
      </c>
      <c r="F72" s="99"/>
      <c r="G72" s="99"/>
    </row>
    <row r="73" spans="1:7" s="6" customFormat="1" ht="12.75" x14ac:dyDescent="0.2">
      <c r="A73" s="44"/>
      <c r="B73" s="45"/>
      <c r="C73" s="45"/>
      <c r="D73" s="7" t="s">
        <v>150</v>
      </c>
      <c r="E73" s="62">
        <f>SUM(E67:E72)</f>
        <v>148</v>
      </c>
      <c r="F73" s="100"/>
      <c r="G73" s="100"/>
    </row>
    <row r="74" spans="1:7" s="6" customFormat="1" ht="12.75" x14ac:dyDescent="0.2">
      <c r="A74" s="182" t="s">
        <v>131</v>
      </c>
      <c r="B74" s="182"/>
      <c r="C74" s="182"/>
      <c r="D74" s="182"/>
      <c r="E74" s="182"/>
      <c r="F74" s="36"/>
      <c r="G74" s="36"/>
    </row>
    <row r="75" spans="1:7" s="6" customFormat="1" ht="12.75" x14ac:dyDescent="0.2">
      <c r="A75" s="9" t="s">
        <v>168</v>
      </c>
      <c r="B75" s="92">
        <f>'Table G-9'!E10</f>
        <v>0</v>
      </c>
      <c r="C75" s="45">
        <v>1</v>
      </c>
      <c r="D75" s="45">
        <v>0</v>
      </c>
      <c r="E75" s="45">
        <f t="shared" ref="E75:E85" si="8">+B75*C75+D75</f>
        <v>0</v>
      </c>
      <c r="F75" s="99"/>
      <c r="G75" s="99"/>
    </row>
    <row r="76" spans="1:7" s="6" customFormat="1" ht="12.75" x14ac:dyDescent="0.2">
      <c r="A76" s="9" t="s">
        <v>169</v>
      </c>
      <c r="B76" s="92">
        <f>'Table G-9'!E11</f>
        <v>0</v>
      </c>
      <c r="C76" s="45">
        <v>1</v>
      </c>
      <c r="D76" s="45">
        <v>0</v>
      </c>
      <c r="E76" s="45">
        <f t="shared" si="8"/>
        <v>0</v>
      </c>
      <c r="F76" s="99"/>
      <c r="G76" s="99"/>
    </row>
    <row r="77" spans="1:7" s="6" customFormat="1" ht="12.75" x14ac:dyDescent="0.2">
      <c r="A77" s="9" t="s">
        <v>146</v>
      </c>
      <c r="B77" s="92">
        <f>'Table G-9'!E18</f>
        <v>0</v>
      </c>
      <c r="C77" s="45">
        <v>1</v>
      </c>
      <c r="D77" s="45">
        <v>0</v>
      </c>
      <c r="E77" s="45">
        <f t="shared" si="8"/>
        <v>0</v>
      </c>
      <c r="F77" s="99"/>
      <c r="G77" s="99"/>
    </row>
    <row r="78" spans="1:7" s="6" customFormat="1" ht="12.75" x14ac:dyDescent="0.2">
      <c r="A78" s="9" t="s">
        <v>170</v>
      </c>
      <c r="B78" s="92">
        <f>'Table G-9'!E19</f>
        <v>0</v>
      </c>
      <c r="C78" s="45">
        <v>1</v>
      </c>
      <c r="D78" s="45">
        <v>0</v>
      </c>
      <c r="E78" s="45">
        <f t="shared" si="8"/>
        <v>0</v>
      </c>
      <c r="F78" s="99"/>
      <c r="G78" s="99"/>
    </row>
    <row r="79" spans="1:7" s="6" customFormat="1" ht="12.75" x14ac:dyDescent="0.2">
      <c r="A79" s="9" t="s">
        <v>147</v>
      </c>
      <c r="B79" s="92">
        <f>'Table G-9'!E20</f>
        <v>0</v>
      </c>
      <c r="C79" s="45">
        <v>1</v>
      </c>
      <c r="D79" s="45">
        <v>0</v>
      </c>
      <c r="E79" s="45">
        <f t="shared" si="8"/>
        <v>0</v>
      </c>
      <c r="F79" s="99"/>
      <c r="G79" s="99"/>
    </row>
    <row r="80" spans="1:7" s="6" customFormat="1" ht="12.75" x14ac:dyDescent="0.2">
      <c r="A80" s="9" t="s">
        <v>171</v>
      </c>
      <c r="B80" s="92">
        <f>'Table G-9'!E21</f>
        <v>0</v>
      </c>
      <c r="C80" s="45">
        <v>1</v>
      </c>
      <c r="D80" s="45">
        <v>0</v>
      </c>
      <c r="E80" s="45">
        <f t="shared" si="8"/>
        <v>0</v>
      </c>
      <c r="F80" s="99"/>
      <c r="G80" s="99"/>
    </row>
    <row r="81" spans="1:7" s="6" customFormat="1" ht="12.75" x14ac:dyDescent="0.2">
      <c r="A81" s="9" t="s">
        <v>172</v>
      </c>
      <c r="B81" s="92">
        <f>'Table G-9'!E22</f>
        <v>0</v>
      </c>
      <c r="C81" s="45">
        <v>1</v>
      </c>
      <c r="D81" s="45">
        <v>0</v>
      </c>
      <c r="E81" s="45">
        <f t="shared" si="8"/>
        <v>0</v>
      </c>
      <c r="F81" s="99"/>
      <c r="G81" s="99"/>
    </row>
    <row r="82" spans="1:7" s="6" customFormat="1" ht="12.75" x14ac:dyDescent="0.2">
      <c r="A82" s="9" t="s">
        <v>173</v>
      </c>
      <c r="B82" s="92">
        <f>'Table G-9'!E23</f>
        <v>0</v>
      </c>
      <c r="C82" s="45">
        <v>1</v>
      </c>
      <c r="D82" s="45">
        <v>0</v>
      </c>
      <c r="E82" s="45">
        <f t="shared" si="8"/>
        <v>0</v>
      </c>
      <c r="F82" s="99"/>
      <c r="G82" s="99"/>
    </row>
    <row r="83" spans="1:7" s="6" customFormat="1" ht="12.75" x14ac:dyDescent="0.2">
      <c r="A83" s="9" t="s">
        <v>174</v>
      </c>
      <c r="B83" s="92">
        <f>'Table G-9'!E24</f>
        <v>0</v>
      </c>
      <c r="C83" s="45">
        <v>1</v>
      </c>
      <c r="D83" s="45">
        <v>0</v>
      </c>
      <c r="E83" s="45">
        <f t="shared" si="8"/>
        <v>0</v>
      </c>
      <c r="F83" s="99"/>
      <c r="G83" s="99"/>
    </row>
    <row r="84" spans="1:7" s="6" customFormat="1" ht="12.75" x14ac:dyDescent="0.2">
      <c r="A84" s="9" t="s">
        <v>175</v>
      </c>
      <c r="B84" s="92">
        <f>'Table G-9'!E25</f>
        <v>0</v>
      </c>
      <c r="C84" s="45">
        <v>1</v>
      </c>
      <c r="D84" s="45">
        <v>0</v>
      </c>
      <c r="E84" s="45">
        <f t="shared" si="8"/>
        <v>0</v>
      </c>
      <c r="F84" s="99"/>
      <c r="G84" s="99"/>
    </row>
    <row r="85" spans="1:7" s="6" customFormat="1" ht="12.75" x14ac:dyDescent="0.2">
      <c r="A85" s="9" t="s">
        <v>176</v>
      </c>
      <c r="B85" s="92">
        <f>'Table G-9'!E26</f>
        <v>54</v>
      </c>
      <c r="C85" s="45">
        <v>4</v>
      </c>
      <c r="D85" s="45">
        <v>0</v>
      </c>
      <c r="E85" s="45">
        <f t="shared" si="8"/>
        <v>216</v>
      </c>
      <c r="F85" s="99"/>
      <c r="G85" s="99"/>
    </row>
    <row r="86" spans="1:7" s="6" customFormat="1" ht="12.75" x14ac:dyDescent="0.2">
      <c r="A86" s="44"/>
      <c r="B86" s="45"/>
      <c r="C86" s="45"/>
      <c r="D86" s="7" t="s">
        <v>150</v>
      </c>
      <c r="E86" s="62">
        <f>SUM(E75:E85)</f>
        <v>216</v>
      </c>
      <c r="F86" s="100"/>
      <c r="G86" s="100"/>
    </row>
    <row r="87" spans="1:7" s="6" customFormat="1" ht="12.75" x14ac:dyDescent="0.2">
      <c r="A87" s="182" t="s">
        <v>132</v>
      </c>
      <c r="B87" s="182"/>
      <c r="C87" s="182"/>
      <c r="D87" s="182"/>
      <c r="E87" s="182"/>
      <c r="F87" s="36"/>
      <c r="G87" s="36"/>
    </row>
    <row r="88" spans="1:7" s="6" customFormat="1" ht="25.5" x14ac:dyDescent="0.2">
      <c r="A88" s="9" t="s">
        <v>177</v>
      </c>
      <c r="B88" s="92">
        <f>'Table G-10'!E12</f>
        <v>4</v>
      </c>
      <c r="C88" s="45">
        <v>1</v>
      </c>
      <c r="D88" s="45">
        <v>0</v>
      </c>
      <c r="E88" s="45">
        <f t="shared" ref="E88:E97" si="9">+B88*C88+D88</f>
        <v>4</v>
      </c>
      <c r="F88" s="99"/>
      <c r="G88" s="99"/>
    </row>
    <row r="89" spans="1:7" s="6" customFormat="1" ht="12.75" x14ac:dyDescent="0.2">
      <c r="A89" s="9" t="s">
        <v>178</v>
      </c>
      <c r="B89" s="92">
        <f>'Table G-10'!E15</f>
        <v>0</v>
      </c>
      <c r="C89" s="45">
        <v>1</v>
      </c>
      <c r="D89" s="45">
        <v>0</v>
      </c>
      <c r="E89" s="45">
        <f t="shared" si="9"/>
        <v>0</v>
      </c>
      <c r="F89" s="99"/>
      <c r="G89" s="99"/>
    </row>
    <row r="90" spans="1:7" s="6" customFormat="1" ht="12.75" x14ac:dyDescent="0.2">
      <c r="A90" s="9" t="s">
        <v>170</v>
      </c>
      <c r="B90" s="92">
        <f>'Table G-10'!E16</f>
        <v>0</v>
      </c>
      <c r="C90" s="45">
        <v>1</v>
      </c>
      <c r="D90" s="45">
        <v>0</v>
      </c>
      <c r="E90" s="45">
        <f t="shared" si="9"/>
        <v>0</v>
      </c>
      <c r="F90" s="99"/>
      <c r="G90" s="99"/>
    </row>
    <row r="91" spans="1:7" s="6" customFormat="1" ht="12.75" x14ac:dyDescent="0.2">
      <c r="A91" s="9" t="s">
        <v>147</v>
      </c>
      <c r="B91" s="92">
        <f>'Table G-10'!E17</f>
        <v>0</v>
      </c>
      <c r="C91" s="45">
        <v>1</v>
      </c>
      <c r="D91" s="45">
        <v>0</v>
      </c>
      <c r="E91" s="45">
        <f t="shared" si="9"/>
        <v>0</v>
      </c>
      <c r="F91" s="99"/>
      <c r="G91" s="99"/>
    </row>
    <row r="92" spans="1:7" s="6" customFormat="1" ht="12.75" x14ac:dyDescent="0.2">
      <c r="A92" s="9" t="s">
        <v>171</v>
      </c>
      <c r="B92" s="92">
        <f>'Table G-10'!E18</f>
        <v>0</v>
      </c>
      <c r="C92" s="45">
        <v>1</v>
      </c>
      <c r="D92" s="45">
        <v>0</v>
      </c>
      <c r="E92" s="45">
        <f t="shared" si="9"/>
        <v>0</v>
      </c>
      <c r="F92" s="99"/>
      <c r="G92" s="99"/>
    </row>
    <row r="93" spans="1:7" s="6" customFormat="1" ht="12.75" x14ac:dyDescent="0.2">
      <c r="A93" s="9" t="s">
        <v>172</v>
      </c>
      <c r="B93" s="92">
        <f>'Table G-10'!E19</f>
        <v>0</v>
      </c>
      <c r="C93" s="45">
        <v>1</v>
      </c>
      <c r="D93" s="45">
        <v>0</v>
      </c>
      <c r="E93" s="45">
        <f t="shared" si="9"/>
        <v>0</v>
      </c>
      <c r="F93" s="99"/>
      <c r="G93" s="99"/>
    </row>
    <row r="94" spans="1:7" s="6" customFormat="1" ht="25.5" x14ac:dyDescent="0.2">
      <c r="A94" s="9" t="s">
        <v>179</v>
      </c>
      <c r="B94" s="92">
        <f>'Table G-10'!E20</f>
        <v>0</v>
      </c>
      <c r="C94" s="45">
        <v>1</v>
      </c>
      <c r="D94" s="45">
        <v>0</v>
      </c>
      <c r="E94" s="45">
        <f t="shared" si="9"/>
        <v>0</v>
      </c>
      <c r="F94" s="99"/>
      <c r="G94" s="99"/>
    </row>
    <row r="95" spans="1:7" s="6" customFormat="1" ht="12.75" x14ac:dyDescent="0.2">
      <c r="A95" s="9" t="s">
        <v>180</v>
      </c>
      <c r="B95" s="92">
        <f>'Table G-10'!E21</f>
        <v>4</v>
      </c>
      <c r="C95" s="45">
        <v>1</v>
      </c>
      <c r="D95" s="45">
        <v>0</v>
      </c>
      <c r="E95" s="45">
        <f t="shared" si="9"/>
        <v>4</v>
      </c>
      <c r="F95" s="99"/>
      <c r="G95" s="99"/>
    </row>
    <row r="96" spans="1:7" s="6" customFormat="1" ht="12.75" x14ac:dyDescent="0.2">
      <c r="A96" s="9" t="s">
        <v>181</v>
      </c>
      <c r="B96" s="92">
        <f>'Table G-10'!E22</f>
        <v>0.08</v>
      </c>
      <c r="C96" s="45">
        <v>1</v>
      </c>
      <c r="D96" s="45">
        <v>0</v>
      </c>
      <c r="E96" s="45">
        <f t="shared" si="9"/>
        <v>0.08</v>
      </c>
      <c r="F96" s="99"/>
      <c r="G96" s="99"/>
    </row>
    <row r="97" spans="1:7" s="6" customFormat="1" ht="12.75" x14ac:dyDescent="0.2">
      <c r="A97" s="9" t="s">
        <v>182</v>
      </c>
      <c r="B97" s="92">
        <f>'Table G-10'!E23</f>
        <v>0</v>
      </c>
      <c r="C97" s="45">
        <v>4</v>
      </c>
      <c r="D97" s="45">
        <v>0</v>
      </c>
      <c r="E97" s="45">
        <f t="shared" si="9"/>
        <v>0</v>
      </c>
      <c r="F97" s="99"/>
      <c r="G97" s="99"/>
    </row>
    <row r="98" spans="1:7" s="6" customFormat="1" ht="12.75" x14ac:dyDescent="0.2">
      <c r="A98" s="44"/>
      <c r="B98" s="45"/>
      <c r="C98" s="45"/>
      <c r="D98" s="7" t="s">
        <v>150</v>
      </c>
      <c r="E98" s="62">
        <f>SUM(E88:E97)</f>
        <v>8.08</v>
      </c>
      <c r="F98" s="100"/>
      <c r="G98" s="100"/>
    </row>
    <row r="99" spans="1:7" s="6" customFormat="1" ht="12.75" x14ac:dyDescent="0.2">
      <c r="A99" s="182" t="s">
        <v>133</v>
      </c>
      <c r="B99" s="182"/>
      <c r="C99" s="182"/>
      <c r="D99" s="182"/>
      <c r="E99" s="182"/>
      <c r="F99" s="36"/>
      <c r="G99" s="36"/>
    </row>
    <row r="100" spans="1:7" s="6" customFormat="1" ht="12.75" x14ac:dyDescent="0.2">
      <c r="A100" s="9" t="s">
        <v>165</v>
      </c>
      <c r="B100" s="92">
        <f>'Table G-11'!E10</f>
        <v>0</v>
      </c>
      <c r="C100" s="45">
        <v>1</v>
      </c>
      <c r="D100" s="45">
        <v>0</v>
      </c>
      <c r="E100" s="45">
        <f t="shared" ref="E100:E109" si="10">+B100*C100+D100</f>
        <v>0</v>
      </c>
      <c r="F100" s="99"/>
      <c r="G100" s="99"/>
    </row>
    <row r="101" spans="1:7" s="6" customFormat="1" ht="12.75" x14ac:dyDescent="0.2">
      <c r="A101" s="9" t="s">
        <v>184</v>
      </c>
      <c r="B101" s="92">
        <f>'Table G-11'!E11</f>
        <v>0</v>
      </c>
      <c r="C101" s="45">
        <v>1</v>
      </c>
      <c r="D101" s="45">
        <v>0</v>
      </c>
      <c r="E101" s="45">
        <f t="shared" si="10"/>
        <v>0</v>
      </c>
      <c r="F101" s="99"/>
      <c r="G101" s="99"/>
    </row>
    <row r="102" spans="1:7" s="6" customFormat="1" ht="12.75" x14ac:dyDescent="0.2">
      <c r="A102" s="9" t="s">
        <v>166</v>
      </c>
      <c r="B102" s="92">
        <f>'Table G-11'!E12</f>
        <v>0</v>
      </c>
      <c r="C102" s="45">
        <v>1</v>
      </c>
      <c r="D102" s="45">
        <v>0</v>
      </c>
      <c r="E102" s="45">
        <f t="shared" si="10"/>
        <v>0</v>
      </c>
      <c r="F102" s="99"/>
      <c r="G102" s="99"/>
    </row>
    <row r="103" spans="1:7" s="6" customFormat="1" ht="12.75" x14ac:dyDescent="0.2">
      <c r="A103" s="9" t="s">
        <v>178</v>
      </c>
      <c r="B103" s="92">
        <f>'Table G-11'!E16</f>
        <v>0</v>
      </c>
      <c r="C103" s="45">
        <v>1</v>
      </c>
      <c r="D103" s="45">
        <v>0</v>
      </c>
      <c r="E103" s="45">
        <f t="shared" si="10"/>
        <v>0</v>
      </c>
      <c r="F103" s="99"/>
      <c r="G103" s="99"/>
    </row>
    <row r="104" spans="1:7" s="6" customFormat="1" ht="12.75" x14ac:dyDescent="0.2">
      <c r="A104" s="9" t="s">
        <v>170</v>
      </c>
      <c r="B104" s="92">
        <f>'Table G-11'!E17</f>
        <v>0</v>
      </c>
      <c r="C104" s="45">
        <v>1</v>
      </c>
      <c r="D104" s="45">
        <v>0</v>
      </c>
      <c r="E104" s="45">
        <f t="shared" si="10"/>
        <v>0</v>
      </c>
      <c r="F104" s="99"/>
      <c r="G104" s="99"/>
    </row>
    <row r="105" spans="1:7" s="6" customFormat="1" ht="12.75" x14ac:dyDescent="0.2">
      <c r="A105" s="9" t="s">
        <v>147</v>
      </c>
      <c r="B105" s="92">
        <f>'Table G-11'!E18</f>
        <v>0</v>
      </c>
      <c r="C105" s="45">
        <v>1</v>
      </c>
      <c r="D105" s="45">
        <v>0</v>
      </c>
      <c r="E105" s="45">
        <f t="shared" si="10"/>
        <v>0</v>
      </c>
      <c r="F105" s="99"/>
      <c r="G105" s="99"/>
    </row>
    <row r="106" spans="1:7" s="6" customFormat="1" ht="12.75" x14ac:dyDescent="0.2">
      <c r="A106" s="9" t="s">
        <v>163</v>
      </c>
      <c r="B106" s="92">
        <f>'Table G-11'!E19</f>
        <v>0</v>
      </c>
      <c r="C106" s="45">
        <v>1</v>
      </c>
      <c r="D106" s="45">
        <v>0</v>
      </c>
      <c r="E106" s="45">
        <f t="shared" si="10"/>
        <v>0</v>
      </c>
      <c r="F106" s="99"/>
      <c r="G106" s="99"/>
    </row>
    <row r="107" spans="1:7" s="6" customFormat="1" ht="12.75" x14ac:dyDescent="0.2">
      <c r="A107" s="9" t="s">
        <v>185</v>
      </c>
      <c r="B107" s="92">
        <f>'Table G-11'!E21</f>
        <v>0</v>
      </c>
      <c r="C107" s="45">
        <v>1</v>
      </c>
      <c r="D107" s="45">
        <v>0</v>
      </c>
      <c r="E107" s="45">
        <f t="shared" si="10"/>
        <v>0</v>
      </c>
      <c r="F107" s="99"/>
      <c r="G107" s="99"/>
    </row>
    <row r="108" spans="1:7" s="6" customFormat="1" ht="12.75" x14ac:dyDescent="0.2">
      <c r="A108" s="9" t="s">
        <v>186</v>
      </c>
      <c r="B108" s="92">
        <f>'Table G-11'!E22</f>
        <v>0</v>
      </c>
      <c r="C108" s="45">
        <v>1</v>
      </c>
      <c r="D108" s="45">
        <v>0</v>
      </c>
      <c r="E108" s="45">
        <f t="shared" si="10"/>
        <v>0</v>
      </c>
      <c r="F108" s="99"/>
      <c r="G108" s="99"/>
    </row>
    <row r="109" spans="1:7" s="6" customFormat="1" ht="12.75" x14ac:dyDescent="0.2">
      <c r="A109" s="9" t="s">
        <v>164</v>
      </c>
      <c r="B109" s="92">
        <f>'Table G-11'!E23</f>
        <v>67</v>
      </c>
      <c r="C109" s="45">
        <v>2</v>
      </c>
      <c r="D109" s="45">
        <v>0</v>
      </c>
      <c r="E109" s="45">
        <f t="shared" si="10"/>
        <v>134</v>
      </c>
      <c r="F109" s="99"/>
      <c r="G109" s="99"/>
    </row>
    <row r="110" spans="1:7" s="6" customFormat="1" ht="12.75" x14ac:dyDescent="0.2">
      <c r="A110" s="44"/>
      <c r="B110" s="45"/>
      <c r="C110" s="45"/>
      <c r="D110" s="7" t="s">
        <v>150</v>
      </c>
      <c r="E110" s="90">
        <f>SUM(E100:E109)</f>
        <v>134</v>
      </c>
      <c r="F110" s="103"/>
      <c r="G110" s="103"/>
    </row>
    <row r="111" spans="1:7" s="6" customFormat="1" ht="12.95" customHeight="1" x14ac:dyDescent="0.2">
      <c r="A111" s="182" t="s">
        <v>134</v>
      </c>
      <c r="B111" s="182"/>
      <c r="C111" s="182"/>
      <c r="D111" s="182"/>
      <c r="E111" s="182"/>
      <c r="F111" s="36"/>
      <c r="G111" s="36"/>
    </row>
    <row r="112" spans="1:7" s="6" customFormat="1" ht="12.75" x14ac:dyDescent="0.2">
      <c r="A112" s="44" t="s">
        <v>187</v>
      </c>
      <c r="B112" s="142">
        <f>'Table G-12'!E11</f>
        <v>0.66666666666666663</v>
      </c>
      <c r="C112" s="45">
        <v>49</v>
      </c>
      <c r="D112" s="45">
        <v>0</v>
      </c>
      <c r="E112" s="147">
        <f>+B112*C112+D112</f>
        <v>32.666666666666664</v>
      </c>
      <c r="F112" s="99"/>
      <c r="G112" s="99"/>
    </row>
    <row r="113" spans="1:7" s="6" customFormat="1" ht="12.75" x14ac:dyDescent="0.2">
      <c r="A113" s="44" t="s">
        <v>188</v>
      </c>
      <c r="B113" s="105">
        <f>'Number of Respondents'!C64</f>
        <v>210.33333333333334</v>
      </c>
      <c r="C113" s="45">
        <v>5</v>
      </c>
      <c r="D113" s="45">
        <v>0</v>
      </c>
      <c r="E113" s="147">
        <f t="shared" ref="E113" si="11">+B113*C113+D113</f>
        <v>1051.6666666666667</v>
      </c>
      <c r="F113" s="99"/>
      <c r="G113" s="99"/>
    </row>
    <row r="114" spans="1:7" s="6" customFormat="1" ht="12.75" x14ac:dyDescent="0.2">
      <c r="A114" s="44"/>
      <c r="B114" s="45"/>
      <c r="C114" s="45"/>
      <c r="D114" s="7" t="s">
        <v>150</v>
      </c>
      <c r="E114" s="52">
        <f>SUM(E112:E113)</f>
        <v>1084.3333333333335</v>
      </c>
      <c r="F114" s="101"/>
      <c r="G114" s="101"/>
    </row>
    <row r="115" spans="1:7" s="6" customFormat="1" ht="12.95" customHeight="1" x14ac:dyDescent="0.2">
      <c r="A115" s="182" t="s">
        <v>189</v>
      </c>
      <c r="B115" s="182"/>
      <c r="C115" s="182"/>
      <c r="D115" s="182"/>
      <c r="E115" s="182"/>
      <c r="F115" s="36"/>
      <c r="G115" s="36"/>
    </row>
    <row r="116" spans="1:7" s="6" customFormat="1" ht="12.75" x14ac:dyDescent="0.2">
      <c r="A116" s="44" t="s">
        <v>190</v>
      </c>
      <c r="B116" s="105">
        <f>'Number of Respondents'!C64*0.1</f>
        <v>21.033333333333335</v>
      </c>
      <c r="C116" s="45">
        <v>5</v>
      </c>
      <c r="D116" s="45">
        <v>0</v>
      </c>
      <c r="E116" s="51">
        <f>+B116*C116+D116</f>
        <v>105.16666666666667</v>
      </c>
      <c r="F116" s="99"/>
      <c r="G116" s="99"/>
    </row>
    <row r="117" spans="1:7" s="6" customFormat="1" ht="12.75" x14ac:dyDescent="0.2">
      <c r="A117" s="44"/>
      <c r="B117" s="45"/>
      <c r="C117" s="45"/>
      <c r="D117" s="7" t="s">
        <v>150</v>
      </c>
      <c r="E117" s="52">
        <f>E116</f>
        <v>105.16666666666667</v>
      </c>
      <c r="F117" s="101"/>
      <c r="G117" s="101"/>
    </row>
    <row r="118" spans="1:7" s="6" customFormat="1" ht="12.95" customHeight="1" x14ac:dyDescent="0.2">
      <c r="A118" s="182" t="s">
        <v>191</v>
      </c>
      <c r="B118" s="182"/>
      <c r="C118" s="182"/>
      <c r="D118" s="182"/>
      <c r="E118" s="182"/>
      <c r="F118" s="36"/>
      <c r="G118" s="36"/>
    </row>
    <row r="119" spans="1:7" s="6" customFormat="1" ht="12.75" x14ac:dyDescent="0.2">
      <c r="A119" s="44" t="s">
        <v>192</v>
      </c>
      <c r="B119" s="45">
        <f>'Table 7'!E13</f>
        <v>6</v>
      </c>
      <c r="C119" s="45">
        <v>1</v>
      </c>
      <c r="D119" s="45">
        <v>0</v>
      </c>
      <c r="E119" s="46">
        <f t="shared" ref="E119" si="12">+B119*C119+D119</f>
        <v>6</v>
      </c>
      <c r="F119" s="102"/>
      <c r="G119" s="102"/>
    </row>
    <row r="120" spans="1:7" s="6" customFormat="1" ht="12.75" x14ac:dyDescent="0.2">
      <c r="A120" s="44"/>
      <c r="B120" s="45"/>
      <c r="C120" s="45"/>
      <c r="D120" s="7" t="s">
        <v>150</v>
      </c>
      <c r="E120" s="52">
        <f>E119</f>
        <v>6</v>
      </c>
      <c r="F120" s="101"/>
      <c r="G120" s="101"/>
    </row>
    <row r="121" spans="1:7" s="6" customFormat="1" ht="15" customHeight="1" x14ac:dyDescent="0.2">
      <c r="A121" s="44"/>
      <c r="B121" s="179" t="s">
        <v>195</v>
      </c>
      <c r="C121" s="180"/>
      <c r="D121" s="181"/>
      <c r="E121" s="52">
        <f>E10+E25+E32+E41+E49+E57+E65+E73+E86+E98+E110+E114+E117+E120</f>
        <v>3736.08</v>
      </c>
      <c r="F121" s="101"/>
      <c r="G121" s="101"/>
    </row>
    <row r="122" spans="1:7" s="6" customFormat="1" ht="12.75" x14ac:dyDescent="0.2"/>
    <row r="123" spans="1:7" s="6" customFormat="1" ht="12.75" x14ac:dyDescent="0.2"/>
    <row r="124" spans="1:7" s="6" customFormat="1" ht="12.75" x14ac:dyDescent="0.2"/>
    <row r="125" spans="1:7" s="6" customFormat="1" ht="12.75" x14ac:dyDescent="0.2"/>
    <row r="126" spans="1:7" s="6" customFormat="1" ht="12.75" x14ac:dyDescent="0.2"/>
    <row r="127" spans="1:7" s="6" customFormat="1" ht="12.75" x14ac:dyDescent="0.2"/>
    <row r="128" spans="1:7" s="6" customFormat="1" ht="12.75" x14ac:dyDescent="0.2"/>
    <row r="129" s="6" customFormat="1" ht="12.75" x14ac:dyDescent="0.2"/>
    <row r="130" s="6" customFormat="1" ht="12.75" x14ac:dyDescent="0.2"/>
    <row r="131" s="6" customFormat="1" ht="12.75" x14ac:dyDescent="0.2"/>
    <row r="132" s="6" customFormat="1" ht="12.75" x14ac:dyDescent="0.2"/>
    <row r="133" s="6" customFormat="1" ht="12.75" x14ac:dyDescent="0.2"/>
    <row r="134" s="6" customFormat="1" ht="12.75" x14ac:dyDescent="0.2"/>
    <row r="135" s="6" customFormat="1" ht="12.75" x14ac:dyDescent="0.2"/>
    <row r="136" s="6" customFormat="1" ht="12.75" x14ac:dyDescent="0.2"/>
    <row r="137" s="6" customFormat="1" ht="12.75" x14ac:dyDescent="0.2"/>
    <row r="138" s="6" customFormat="1" ht="12.75" x14ac:dyDescent="0.2"/>
    <row r="139" s="6" customFormat="1" ht="12.75" x14ac:dyDescent="0.2"/>
    <row r="140" s="6" customFormat="1" ht="12.75" x14ac:dyDescent="0.2"/>
    <row r="141" s="6" customFormat="1" ht="12.75" x14ac:dyDescent="0.2"/>
    <row r="142" s="6" customFormat="1" ht="12.75" x14ac:dyDescent="0.2"/>
    <row r="143" s="6" customFormat="1" ht="12.75" x14ac:dyDescent="0.2"/>
    <row r="144" s="6" customFormat="1" ht="12.75" x14ac:dyDescent="0.2"/>
    <row r="145" s="6" customFormat="1" ht="12.75" x14ac:dyDescent="0.2"/>
    <row r="146" s="6" customFormat="1" ht="12.75" x14ac:dyDescent="0.2"/>
    <row r="147" s="6" customFormat="1" ht="12.75" x14ac:dyDescent="0.2"/>
    <row r="148" s="6" customFormat="1" ht="12.75" x14ac:dyDescent="0.2"/>
    <row r="149" s="6" customFormat="1" ht="12.75" x14ac:dyDescent="0.2"/>
    <row r="150" s="6" customFormat="1" ht="12.75" x14ac:dyDescent="0.2"/>
    <row r="151" s="6" customFormat="1" ht="12.75" x14ac:dyDescent="0.2"/>
    <row r="152" s="6" customFormat="1" ht="12.75" x14ac:dyDescent="0.2"/>
    <row r="153" s="6" customFormat="1" ht="12.75" x14ac:dyDescent="0.2"/>
    <row r="154" s="6" customFormat="1" ht="12.75" x14ac:dyDescent="0.2"/>
    <row r="155" s="6" customFormat="1" ht="12.75" x14ac:dyDescent="0.2"/>
    <row r="156" s="6" customFormat="1" ht="12.75" x14ac:dyDescent="0.2"/>
    <row r="157" s="6" customFormat="1" ht="12.75" x14ac:dyDescent="0.2"/>
    <row r="158" s="6" customFormat="1" ht="12.75" x14ac:dyDescent="0.2"/>
    <row r="159" s="6" customFormat="1" ht="12.75" x14ac:dyDescent="0.2"/>
    <row r="160" s="6" customFormat="1" ht="12.75" x14ac:dyDescent="0.2"/>
    <row r="161" s="6" customFormat="1" ht="12.75" x14ac:dyDescent="0.2"/>
    <row r="162" s="6" customFormat="1" ht="12.75" x14ac:dyDescent="0.2"/>
    <row r="163" s="6" customFormat="1" ht="12.75" x14ac:dyDescent="0.2"/>
    <row r="164" s="6" customFormat="1" ht="12.75" x14ac:dyDescent="0.2"/>
    <row r="165" s="6" customFormat="1" ht="12.75" x14ac:dyDescent="0.2"/>
    <row r="166" s="6" customFormat="1" ht="12.75" x14ac:dyDescent="0.2"/>
    <row r="167" s="6" customFormat="1" ht="12.75" x14ac:dyDescent="0.2"/>
    <row r="168" s="6" customFormat="1" ht="12.75" x14ac:dyDescent="0.2"/>
    <row r="169" s="6" customFormat="1" ht="12.75" x14ac:dyDescent="0.2"/>
    <row r="170" s="6" customFormat="1" ht="12.75" x14ac:dyDescent="0.2"/>
    <row r="171" s="6" customFormat="1" ht="12.75" x14ac:dyDescent="0.2"/>
    <row r="172" s="6" customFormat="1" ht="12.75" x14ac:dyDescent="0.2"/>
    <row r="173" s="6" customFormat="1" ht="12.75" x14ac:dyDescent="0.2"/>
    <row r="174" s="6" customFormat="1" ht="12.75" x14ac:dyDescent="0.2"/>
    <row r="175" s="6" customFormat="1" ht="12.75" x14ac:dyDescent="0.2"/>
    <row r="176" s="6" customFormat="1" ht="12.75" x14ac:dyDescent="0.2"/>
    <row r="177" s="6" customFormat="1" ht="12.75" x14ac:dyDescent="0.2"/>
    <row r="178" s="6" customFormat="1" ht="12.75" x14ac:dyDescent="0.2"/>
    <row r="179" s="6" customFormat="1" ht="12.75" x14ac:dyDescent="0.2"/>
    <row r="180" s="6" customFormat="1" ht="12.75" x14ac:dyDescent="0.2"/>
    <row r="181" s="6" customFormat="1" ht="12.75" x14ac:dyDescent="0.2"/>
    <row r="182" s="6" customFormat="1" ht="12.75" x14ac:dyDescent="0.2"/>
    <row r="183" s="6" customFormat="1" ht="12.75" x14ac:dyDescent="0.2"/>
  </sheetData>
  <mergeCells count="15">
    <mergeCell ref="B121:D121"/>
    <mergeCell ref="A74:E74"/>
    <mergeCell ref="A5:E5"/>
    <mergeCell ref="A11:E11"/>
    <mergeCell ref="A26:E26"/>
    <mergeCell ref="A33:E33"/>
    <mergeCell ref="A42:E42"/>
    <mergeCell ref="A50:E50"/>
    <mergeCell ref="A58:E58"/>
    <mergeCell ref="A66:E66"/>
    <mergeCell ref="A87:E87"/>
    <mergeCell ref="A99:E99"/>
    <mergeCell ref="A111:E111"/>
    <mergeCell ref="A115:E115"/>
    <mergeCell ref="A118:E118"/>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0"/>
  <sheetViews>
    <sheetView workbookViewId="0">
      <selection activeCell="A2" sqref="A2"/>
    </sheetView>
  </sheetViews>
  <sheetFormatPr defaultColWidth="9.140625" defaultRowHeight="15" x14ac:dyDescent="0.25"/>
  <cols>
    <col min="1" max="1" width="42.85546875" style="63" customWidth="1"/>
    <col min="2" max="2" width="11.28515625" style="63" customWidth="1"/>
    <col min="3" max="3" width="10.5703125" style="63" customWidth="1"/>
    <col min="4" max="4" width="9.28515625" style="63" customWidth="1"/>
    <col min="5" max="5" width="11.28515625" style="63" customWidth="1"/>
    <col min="6" max="6" width="9.140625" style="63"/>
    <col min="7" max="7" width="10" style="63" customWidth="1"/>
    <col min="8" max="16384" width="9.140625" style="63"/>
  </cols>
  <sheetData>
    <row r="1" spans="1:14" ht="18.75" x14ac:dyDescent="0.25">
      <c r="A1" s="35" t="s">
        <v>207</v>
      </c>
    </row>
    <row r="2" spans="1:14" s="6" customFormat="1" ht="12.75" x14ac:dyDescent="0.2">
      <c r="F2" s="86">
        <f>Labor!$A$10</f>
        <v>54.51</v>
      </c>
      <c r="G2" s="86">
        <f>Labor!$B$10</f>
        <v>73.459999999999994</v>
      </c>
      <c r="H2" s="86">
        <f>Labor!$C$10</f>
        <v>29.5</v>
      </c>
      <c r="I2" s="86"/>
    </row>
    <row r="3" spans="1:14" s="6" customFormat="1" ht="12.75" x14ac:dyDescent="0.2">
      <c r="A3" s="168" t="s">
        <v>11</v>
      </c>
      <c r="B3" s="7" t="s">
        <v>19</v>
      </c>
      <c r="C3" s="7" t="s">
        <v>20</v>
      </c>
      <c r="D3" s="7" t="s">
        <v>21</v>
      </c>
      <c r="E3" s="7" t="s">
        <v>22</v>
      </c>
      <c r="F3" s="21" t="s">
        <v>23</v>
      </c>
      <c r="G3" s="7" t="s">
        <v>24</v>
      </c>
      <c r="H3" s="7" t="s">
        <v>25</v>
      </c>
      <c r="I3" s="7" t="s">
        <v>26</v>
      </c>
    </row>
    <row r="4" spans="1:14" s="6" customFormat="1" ht="63.75" x14ac:dyDescent="0.2">
      <c r="A4" s="168"/>
      <c r="B4" s="8" t="s">
        <v>212</v>
      </c>
      <c r="C4" s="8" t="s">
        <v>89</v>
      </c>
      <c r="D4" s="8" t="s">
        <v>208</v>
      </c>
      <c r="E4" s="8" t="s">
        <v>209</v>
      </c>
      <c r="F4" s="8" t="s">
        <v>91</v>
      </c>
      <c r="G4" s="8" t="s">
        <v>92</v>
      </c>
      <c r="H4" s="8" t="s">
        <v>93</v>
      </c>
      <c r="I4" s="8" t="s">
        <v>223</v>
      </c>
    </row>
    <row r="5" spans="1:14" s="6" customFormat="1" ht="15" customHeight="1" x14ac:dyDescent="0.2">
      <c r="A5" s="9" t="s">
        <v>200</v>
      </c>
      <c r="B5" s="10"/>
      <c r="C5" s="10"/>
      <c r="D5" s="10"/>
      <c r="E5" s="10">
        <v>0</v>
      </c>
      <c r="F5" s="10"/>
      <c r="G5" s="10"/>
      <c r="H5" s="10"/>
      <c r="I5" s="9" t="s">
        <v>15</v>
      </c>
    </row>
    <row r="6" spans="1:14" s="6" customFormat="1" ht="15" customHeight="1" x14ac:dyDescent="0.2">
      <c r="A6" s="11" t="s">
        <v>201</v>
      </c>
      <c r="B6" s="10" t="s">
        <v>98</v>
      </c>
      <c r="C6" s="10"/>
      <c r="D6" s="10"/>
      <c r="E6" s="10"/>
      <c r="F6" s="10"/>
      <c r="G6" s="10"/>
      <c r="H6" s="10"/>
      <c r="I6" s="39"/>
    </row>
    <row r="7" spans="1:14" s="6" customFormat="1" ht="15" customHeight="1" x14ac:dyDescent="0.2">
      <c r="A7" s="9" t="s">
        <v>202</v>
      </c>
      <c r="B7" s="10"/>
      <c r="C7" s="10"/>
      <c r="D7" s="10"/>
      <c r="E7" s="10"/>
      <c r="F7" s="10"/>
      <c r="G7" s="10"/>
      <c r="H7" s="10"/>
      <c r="I7" s="39"/>
    </row>
    <row r="8" spans="1:14" s="6" customFormat="1" ht="15" customHeight="1" x14ac:dyDescent="0.2">
      <c r="A8" s="11" t="s">
        <v>203</v>
      </c>
      <c r="B8" s="10">
        <v>2</v>
      </c>
      <c r="C8" s="10">
        <v>1</v>
      </c>
      <c r="D8" s="10">
        <f t="shared" ref="D8:D11" si="0">+B8*C8</f>
        <v>2</v>
      </c>
      <c r="E8" s="10">
        <f>'Number of Respondents'!B9</f>
        <v>0</v>
      </c>
      <c r="F8" s="10">
        <f>+D8*E8</f>
        <v>0</v>
      </c>
      <c r="G8" s="10">
        <f>+F8*0.05</f>
        <v>0</v>
      </c>
      <c r="H8" s="10">
        <f>+F8*0.1</f>
        <v>0</v>
      </c>
      <c r="I8" s="53">
        <f>+$F$2*F8+$G$2*G8+$H$2*H8</f>
        <v>0</v>
      </c>
    </row>
    <row r="9" spans="1:14" s="6" customFormat="1" ht="15" customHeight="1" x14ac:dyDescent="0.2">
      <c r="A9" s="11" t="s">
        <v>204</v>
      </c>
      <c r="B9" s="10">
        <v>2</v>
      </c>
      <c r="C9" s="10">
        <v>1</v>
      </c>
      <c r="D9" s="10">
        <f t="shared" si="0"/>
        <v>2</v>
      </c>
      <c r="E9" s="10">
        <f>'Number of Respondents'!B9</f>
        <v>0</v>
      </c>
      <c r="F9" s="10">
        <f t="shared" ref="F9:F11" si="1">+D9*E9</f>
        <v>0</v>
      </c>
      <c r="G9" s="10">
        <f t="shared" ref="G9:G11" si="2">+F9*0.05</f>
        <v>0</v>
      </c>
      <c r="H9" s="10">
        <f t="shared" ref="H9:H11" si="3">+F9*0.1</f>
        <v>0</v>
      </c>
      <c r="I9" s="53">
        <f t="shared" ref="I9:I11" si="4">+$F$2*F9+$G$2*G9+$H$2*H9</f>
        <v>0</v>
      </c>
    </row>
    <row r="10" spans="1:14" s="6" customFormat="1" ht="15" customHeight="1" x14ac:dyDescent="0.2">
      <c r="A10" s="11" t="s">
        <v>205</v>
      </c>
      <c r="B10" s="10">
        <v>0.5</v>
      </c>
      <c r="C10" s="10">
        <v>1</v>
      </c>
      <c r="D10" s="10">
        <f>+B10*C10</f>
        <v>0.5</v>
      </c>
      <c r="E10" s="10">
        <f>'Number of Respondents'!C9*(0.9+0.2)</f>
        <v>11</v>
      </c>
      <c r="F10" s="10">
        <f t="shared" si="1"/>
        <v>5.5</v>
      </c>
      <c r="G10" s="31">
        <f t="shared" si="2"/>
        <v>0.27500000000000002</v>
      </c>
      <c r="H10" s="10">
        <f t="shared" si="3"/>
        <v>0.55000000000000004</v>
      </c>
      <c r="I10" s="12">
        <f t="shared" si="4"/>
        <v>336.23150000000004</v>
      </c>
      <c r="J10" s="84"/>
    </row>
    <row r="11" spans="1:14" s="6" customFormat="1" ht="15" customHeight="1" x14ac:dyDescent="0.2">
      <c r="A11" s="11" t="s">
        <v>206</v>
      </c>
      <c r="B11" s="10">
        <v>1</v>
      </c>
      <c r="C11" s="10">
        <v>1</v>
      </c>
      <c r="D11" s="10">
        <f t="shared" si="0"/>
        <v>1</v>
      </c>
      <c r="E11" s="10">
        <f>E10*0.03</f>
        <v>0.32999999999999996</v>
      </c>
      <c r="F11" s="10">
        <f t="shared" si="1"/>
        <v>0.32999999999999996</v>
      </c>
      <c r="G11" s="31">
        <f t="shared" si="2"/>
        <v>1.6499999999999997E-2</v>
      </c>
      <c r="H11" s="31">
        <f t="shared" si="3"/>
        <v>3.2999999999999995E-2</v>
      </c>
      <c r="I11" s="12">
        <f t="shared" si="4"/>
        <v>20.17389</v>
      </c>
      <c r="J11" s="84"/>
    </row>
    <row r="12" spans="1:14" s="6" customFormat="1" ht="15.75" x14ac:dyDescent="0.2">
      <c r="A12" s="14" t="s">
        <v>471</v>
      </c>
      <c r="B12" s="14"/>
      <c r="C12" s="14"/>
      <c r="D12" s="14"/>
      <c r="E12" s="14"/>
      <c r="F12" s="183">
        <f>SUM(F5:H11)</f>
        <v>6.7045000000000003</v>
      </c>
      <c r="G12" s="183"/>
      <c r="H12" s="183"/>
      <c r="I12" s="28">
        <f>ROUND(SUM(I8:I11),0)</f>
        <v>356</v>
      </c>
    </row>
    <row r="13" spans="1:14" s="6" customFormat="1" ht="12.75" x14ac:dyDescent="0.2"/>
    <row r="14" spans="1:14" s="6" customFormat="1" ht="12.75" x14ac:dyDescent="0.2">
      <c r="A14" s="42" t="s">
        <v>27</v>
      </c>
    </row>
    <row r="15" spans="1:14" s="6" customFormat="1" ht="35.25" customHeight="1" x14ac:dyDescent="0.2">
      <c r="A15" s="172" t="s">
        <v>439</v>
      </c>
      <c r="B15" s="172"/>
      <c r="C15" s="172"/>
      <c r="D15" s="172"/>
      <c r="E15" s="172"/>
      <c r="F15" s="172"/>
      <c r="G15" s="172"/>
      <c r="H15" s="172"/>
      <c r="I15" s="172"/>
      <c r="N15" s="84"/>
    </row>
    <row r="16" spans="1:14" s="6" customFormat="1" ht="56.45" customHeight="1" x14ac:dyDescent="0.2">
      <c r="A16" s="161" t="s">
        <v>496</v>
      </c>
      <c r="B16" s="161"/>
      <c r="C16" s="161"/>
      <c r="D16" s="161"/>
      <c r="E16" s="161"/>
      <c r="F16" s="161"/>
      <c r="G16" s="161"/>
      <c r="H16" s="161"/>
      <c r="I16" s="161"/>
    </row>
    <row r="17" spans="1:9" s="6" customFormat="1" ht="15.75" x14ac:dyDescent="0.2">
      <c r="A17" s="172" t="s">
        <v>210</v>
      </c>
      <c r="B17" s="172"/>
      <c r="C17" s="172"/>
      <c r="D17" s="172"/>
      <c r="E17" s="172"/>
      <c r="F17" s="172"/>
      <c r="G17" s="172"/>
      <c r="H17" s="172"/>
      <c r="I17" s="172"/>
    </row>
    <row r="18" spans="1:9" s="6" customFormat="1" ht="60.75" customHeight="1" x14ac:dyDescent="0.2">
      <c r="A18" s="172" t="s">
        <v>441</v>
      </c>
      <c r="B18" s="172"/>
      <c r="C18" s="172"/>
      <c r="D18" s="172"/>
      <c r="E18" s="172"/>
      <c r="F18" s="172"/>
      <c r="G18" s="172"/>
      <c r="H18" s="172"/>
      <c r="I18" s="172"/>
    </row>
    <row r="19" spans="1:9" s="6" customFormat="1" ht="31.5" customHeight="1" x14ac:dyDescent="0.2">
      <c r="A19" s="172" t="s">
        <v>440</v>
      </c>
      <c r="B19" s="172"/>
      <c r="C19" s="172"/>
      <c r="D19" s="172"/>
      <c r="E19" s="172"/>
      <c r="F19" s="172"/>
      <c r="G19" s="172"/>
      <c r="H19" s="172"/>
      <c r="I19" s="172"/>
    </row>
    <row r="20" spans="1:9" s="6" customFormat="1" ht="21.75" customHeight="1" x14ac:dyDescent="0.2">
      <c r="A20" s="161" t="s">
        <v>211</v>
      </c>
      <c r="B20" s="161"/>
      <c r="C20" s="161"/>
      <c r="D20" s="161"/>
      <c r="E20" s="161"/>
      <c r="F20" s="161"/>
      <c r="G20" s="161"/>
      <c r="H20" s="161"/>
      <c r="I20" s="161"/>
    </row>
  </sheetData>
  <mergeCells count="8">
    <mergeCell ref="A18:I18"/>
    <mergeCell ref="A19:I19"/>
    <mergeCell ref="A20:I20"/>
    <mergeCell ref="A3:A4"/>
    <mergeCell ref="F12:H12"/>
    <mergeCell ref="A15:I15"/>
    <mergeCell ref="A16:I16"/>
    <mergeCell ref="A17:I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2"/>
  <sheetViews>
    <sheetView workbookViewId="0">
      <selection activeCell="A2" sqref="A2"/>
    </sheetView>
  </sheetViews>
  <sheetFormatPr defaultRowHeight="15" x14ac:dyDescent="0.25"/>
  <cols>
    <col min="1" max="1" width="43.85546875" customWidth="1"/>
    <col min="2" max="2" width="10" customWidth="1"/>
    <col min="3" max="3" width="10.85546875" customWidth="1"/>
    <col min="9" max="9" width="10.28515625" bestFit="1" customWidth="1"/>
  </cols>
  <sheetData>
    <row r="1" spans="1:15" ht="15.75" x14ac:dyDescent="0.25">
      <c r="A1" s="35" t="s">
        <v>213</v>
      </c>
    </row>
    <row r="2" spans="1:15" s="6" customFormat="1" ht="12.75" x14ac:dyDescent="0.2">
      <c r="F2" s="86">
        <f>Labor!$A$10</f>
        <v>54.51</v>
      </c>
      <c r="G2" s="86">
        <f>Labor!$B$10</f>
        <v>73.459999999999994</v>
      </c>
      <c r="H2" s="86">
        <f>Labor!$C$10</f>
        <v>29.5</v>
      </c>
      <c r="I2" s="86"/>
    </row>
    <row r="3" spans="1:15" s="6" customFormat="1" ht="12.75" x14ac:dyDescent="0.2">
      <c r="A3" s="168" t="s">
        <v>11</v>
      </c>
      <c r="B3" s="7" t="s">
        <v>19</v>
      </c>
      <c r="C3" s="7" t="s">
        <v>20</v>
      </c>
      <c r="D3" s="7" t="s">
        <v>21</v>
      </c>
      <c r="E3" s="7" t="s">
        <v>22</v>
      </c>
      <c r="F3" s="21" t="s">
        <v>23</v>
      </c>
      <c r="G3" s="7" t="s">
        <v>24</v>
      </c>
      <c r="H3" s="7" t="s">
        <v>25</v>
      </c>
      <c r="I3" s="7" t="s">
        <v>26</v>
      </c>
    </row>
    <row r="4" spans="1:15" s="6" customFormat="1" ht="63.75" x14ac:dyDescent="0.2">
      <c r="A4" s="168"/>
      <c r="B4" s="8" t="s">
        <v>212</v>
      </c>
      <c r="C4" s="8" t="s">
        <v>89</v>
      </c>
      <c r="D4" s="8" t="s">
        <v>208</v>
      </c>
      <c r="E4" s="8" t="s">
        <v>209</v>
      </c>
      <c r="F4" s="8" t="s">
        <v>91</v>
      </c>
      <c r="G4" s="8" t="s">
        <v>92</v>
      </c>
      <c r="H4" s="8" t="s">
        <v>93</v>
      </c>
      <c r="I4" s="8" t="s">
        <v>223</v>
      </c>
    </row>
    <row r="5" spans="1:15" s="6" customFormat="1" ht="15" customHeight="1" x14ac:dyDescent="0.2">
      <c r="A5" s="9" t="s">
        <v>200</v>
      </c>
      <c r="B5" s="10"/>
      <c r="C5" s="10"/>
      <c r="D5" s="10"/>
      <c r="E5" s="10"/>
      <c r="F5" s="10"/>
      <c r="G5" s="10"/>
      <c r="H5" s="10"/>
      <c r="I5" s="9" t="s">
        <v>15</v>
      </c>
    </row>
    <row r="6" spans="1:15" s="6" customFormat="1" ht="15" customHeight="1" x14ac:dyDescent="0.2">
      <c r="A6" s="11" t="s">
        <v>146</v>
      </c>
      <c r="B6" s="10">
        <v>2</v>
      </c>
      <c r="C6" s="10">
        <v>1</v>
      </c>
      <c r="D6" s="10">
        <f>+B6*C6</f>
        <v>2</v>
      </c>
      <c r="E6" s="10">
        <f>'Number of Respondents'!$B$14</f>
        <v>0</v>
      </c>
      <c r="F6" s="10">
        <f>+D6*E6</f>
        <v>0</v>
      </c>
      <c r="G6" s="10">
        <f>+F6*0.05</f>
        <v>0</v>
      </c>
      <c r="H6" s="10">
        <f>+F6*0.1</f>
        <v>0</v>
      </c>
      <c r="I6" s="12">
        <f>+$F$2*F6+$G$2*G6+$H$2*H6</f>
        <v>0</v>
      </c>
      <c r="J6" s="84"/>
    </row>
    <row r="7" spans="1:15" s="6" customFormat="1" ht="15" customHeight="1" x14ac:dyDescent="0.2">
      <c r="A7" s="11" t="s">
        <v>170</v>
      </c>
      <c r="B7" s="10">
        <v>1</v>
      </c>
      <c r="C7" s="10">
        <v>1</v>
      </c>
      <c r="D7" s="10">
        <f t="shared" ref="D7:D13" si="0">+B7*C7</f>
        <v>1</v>
      </c>
      <c r="E7" s="10">
        <f>'Number of Respondents'!$B$14</f>
        <v>0</v>
      </c>
      <c r="F7" s="10">
        <f t="shared" ref="F7:F9" si="1">+D7*E7</f>
        <v>0</v>
      </c>
      <c r="G7" s="10">
        <f t="shared" ref="G7:G13" si="2">+F7*0.05</f>
        <v>0</v>
      </c>
      <c r="H7" s="10">
        <f t="shared" ref="H7:H9" si="3">+F7*0.1</f>
        <v>0</v>
      </c>
      <c r="I7" s="12">
        <f t="shared" ref="I7:I9" si="4">+$F$2*F7+$G$2*G7+$H$2*H7</f>
        <v>0</v>
      </c>
    </row>
    <row r="8" spans="1:15" s="6" customFormat="1" ht="15" customHeight="1" x14ac:dyDescent="0.2">
      <c r="A8" s="11" t="s">
        <v>147</v>
      </c>
      <c r="B8" s="10">
        <v>1</v>
      </c>
      <c r="C8" s="10">
        <v>1</v>
      </c>
      <c r="D8" s="10">
        <f t="shared" si="0"/>
        <v>1</v>
      </c>
      <c r="E8" s="10">
        <f>'Number of Respondents'!$B$14</f>
        <v>0</v>
      </c>
      <c r="F8" s="10">
        <f t="shared" si="1"/>
        <v>0</v>
      </c>
      <c r="G8" s="10">
        <f t="shared" si="2"/>
        <v>0</v>
      </c>
      <c r="H8" s="10">
        <f t="shared" si="3"/>
        <v>0</v>
      </c>
      <c r="I8" s="12">
        <f t="shared" si="4"/>
        <v>0</v>
      </c>
    </row>
    <row r="9" spans="1:15" s="6" customFormat="1" ht="15" customHeight="1" x14ac:dyDescent="0.2">
      <c r="A9" s="11" t="s">
        <v>214</v>
      </c>
      <c r="B9" s="10">
        <v>1</v>
      </c>
      <c r="C9" s="10">
        <v>1</v>
      </c>
      <c r="D9" s="10">
        <f t="shared" si="0"/>
        <v>1</v>
      </c>
      <c r="E9" s="10">
        <f>'Number of Respondents'!$B$14</f>
        <v>0</v>
      </c>
      <c r="F9" s="10">
        <f t="shared" si="1"/>
        <v>0</v>
      </c>
      <c r="G9" s="10">
        <f t="shared" si="2"/>
        <v>0</v>
      </c>
      <c r="H9" s="10">
        <f t="shared" si="3"/>
        <v>0</v>
      </c>
      <c r="I9" s="12">
        <f t="shared" si="4"/>
        <v>0</v>
      </c>
    </row>
    <row r="10" spans="1:15" s="6" customFormat="1" ht="15" customHeight="1" x14ac:dyDescent="0.2">
      <c r="A10" s="9" t="s">
        <v>479</v>
      </c>
      <c r="B10" s="10"/>
      <c r="C10" s="10"/>
      <c r="D10" s="10"/>
      <c r="E10" s="10"/>
      <c r="F10" s="10"/>
      <c r="G10" s="10"/>
      <c r="H10" s="10"/>
      <c r="I10" s="9" t="s">
        <v>15</v>
      </c>
    </row>
    <row r="11" spans="1:15" s="6" customFormat="1" ht="15" customHeight="1" x14ac:dyDescent="0.2">
      <c r="A11" s="11" t="s">
        <v>215</v>
      </c>
      <c r="B11" s="10">
        <v>1</v>
      </c>
      <c r="C11" s="10">
        <v>1</v>
      </c>
      <c r="D11" s="10">
        <f t="shared" si="0"/>
        <v>1</v>
      </c>
      <c r="E11" s="33">
        <f>'Table G-2'!E26</f>
        <v>34.700000000000003</v>
      </c>
      <c r="F11" s="10">
        <f t="shared" ref="F11" si="5">+D11*E11</f>
        <v>34.700000000000003</v>
      </c>
      <c r="G11" s="10">
        <f t="shared" si="2"/>
        <v>1.7350000000000003</v>
      </c>
      <c r="H11" s="10">
        <f t="shared" ref="H11" si="6">+F11*0.1</f>
        <v>3.4700000000000006</v>
      </c>
      <c r="I11" s="12">
        <f t="shared" ref="I11" si="7">+$F$2*F11+$G$2*G11+$H$2*H11</f>
        <v>2121.3151000000003</v>
      </c>
    </row>
    <row r="12" spans="1:15" s="6" customFormat="1" ht="15" customHeight="1" x14ac:dyDescent="0.2">
      <c r="A12" s="11" t="s">
        <v>216</v>
      </c>
      <c r="B12" s="10">
        <v>1.2</v>
      </c>
      <c r="C12" s="10">
        <v>1</v>
      </c>
      <c r="D12" s="10">
        <f t="shared" si="0"/>
        <v>1.2</v>
      </c>
      <c r="E12" s="32">
        <f>E11*0.1</f>
        <v>3.4700000000000006</v>
      </c>
      <c r="F12" s="32">
        <f t="shared" ref="F12:F13" si="8">+D12*E12</f>
        <v>4.1640000000000006</v>
      </c>
      <c r="G12" s="31">
        <f t="shared" si="2"/>
        <v>0.20820000000000005</v>
      </c>
      <c r="H12" s="32">
        <f t="shared" ref="H12:H13" si="9">+F12*0.1</f>
        <v>0.4164000000000001</v>
      </c>
      <c r="I12" s="12">
        <f t="shared" ref="I12:I13" si="10">+$F$2*F12+$G$2*G12+$H$2*H12</f>
        <v>254.55781200000004</v>
      </c>
    </row>
    <row r="13" spans="1:15" s="6" customFormat="1" ht="15" customHeight="1" x14ac:dyDescent="0.25">
      <c r="A13" s="11" t="s">
        <v>217</v>
      </c>
      <c r="B13" s="10">
        <v>1</v>
      </c>
      <c r="C13" s="10">
        <v>1</v>
      </c>
      <c r="D13" s="10">
        <f t="shared" si="0"/>
        <v>1</v>
      </c>
      <c r="E13" s="33">
        <f>'Table G-2'!E30</f>
        <v>175</v>
      </c>
      <c r="F13" s="33">
        <f t="shared" si="8"/>
        <v>175</v>
      </c>
      <c r="G13" s="32">
        <f t="shared" si="2"/>
        <v>8.75</v>
      </c>
      <c r="H13" s="32">
        <f t="shared" si="9"/>
        <v>17.5</v>
      </c>
      <c r="I13" s="12">
        <f t="shared" si="10"/>
        <v>10698.275</v>
      </c>
      <c r="J13" s="84"/>
      <c r="K13"/>
    </row>
    <row r="14" spans="1:15" s="6" customFormat="1" ht="15.75" x14ac:dyDescent="0.2">
      <c r="A14" s="14" t="s">
        <v>467</v>
      </c>
      <c r="B14" s="14"/>
      <c r="C14" s="14"/>
      <c r="D14" s="14"/>
      <c r="E14" s="14"/>
      <c r="F14" s="177">
        <f>ROUND(SUM(F6:H13),0)</f>
        <v>246</v>
      </c>
      <c r="G14" s="177"/>
      <c r="H14" s="177"/>
      <c r="I14" s="28">
        <f>+ROUND(SUM(I6:I13),-2)</f>
        <v>13100</v>
      </c>
      <c r="K14" s="122"/>
    </row>
    <row r="15" spans="1:15" s="6" customFormat="1" ht="12.75" x14ac:dyDescent="0.2"/>
    <row r="16" spans="1:15" s="6" customFormat="1" ht="12.75" x14ac:dyDescent="0.2">
      <c r="A16" s="25" t="s">
        <v>27</v>
      </c>
      <c r="B16" s="84"/>
      <c r="L16" s="104"/>
      <c r="M16" s="104"/>
      <c r="N16" s="104"/>
      <c r="O16" s="104"/>
    </row>
    <row r="17" spans="1:10" s="6" customFormat="1" ht="33.6" customHeight="1" x14ac:dyDescent="0.2">
      <c r="A17" s="172" t="s">
        <v>500</v>
      </c>
      <c r="B17" s="172"/>
      <c r="C17" s="172"/>
      <c r="D17" s="172"/>
      <c r="E17" s="172"/>
      <c r="F17" s="172"/>
      <c r="G17" s="172"/>
      <c r="H17" s="172"/>
      <c r="I17" s="172"/>
      <c r="J17" s="84"/>
    </row>
    <row r="18" spans="1:10" s="6" customFormat="1" ht="57" customHeight="1" x14ac:dyDescent="0.2">
      <c r="A18" s="161" t="s">
        <v>496</v>
      </c>
      <c r="B18" s="161"/>
      <c r="C18" s="161"/>
      <c r="D18" s="161"/>
      <c r="E18" s="161"/>
      <c r="F18" s="161"/>
      <c r="G18" s="161"/>
      <c r="H18" s="161"/>
      <c r="I18" s="161"/>
    </row>
    <row r="19" spans="1:10" s="6" customFormat="1" ht="33.75" customHeight="1" x14ac:dyDescent="0.2">
      <c r="A19" s="172" t="s">
        <v>546</v>
      </c>
      <c r="B19" s="172"/>
      <c r="C19" s="172"/>
      <c r="D19" s="172"/>
      <c r="E19" s="172"/>
      <c r="F19" s="172"/>
      <c r="G19" s="172"/>
      <c r="H19" s="172"/>
      <c r="I19" s="172"/>
      <c r="J19" s="84"/>
    </row>
    <row r="20" spans="1:10" s="6" customFormat="1" ht="15.75" x14ac:dyDescent="0.2">
      <c r="A20" s="172" t="s">
        <v>547</v>
      </c>
      <c r="B20" s="172"/>
      <c r="C20" s="172"/>
      <c r="D20" s="172"/>
      <c r="E20" s="172"/>
      <c r="F20" s="172"/>
      <c r="G20" s="172"/>
      <c r="H20" s="172"/>
      <c r="I20" s="172"/>
      <c r="J20" s="84"/>
    </row>
    <row r="21" spans="1:10" s="6" customFormat="1" ht="33" customHeight="1" x14ac:dyDescent="0.2">
      <c r="A21" s="184" t="s">
        <v>548</v>
      </c>
      <c r="B21" s="184"/>
      <c r="C21" s="184"/>
      <c r="D21" s="184"/>
      <c r="E21" s="184"/>
      <c r="F21" s="184"/>
      <c r="G21" s="184"/>
      <c r="H21" s="184"/>
      <c r="I21" s="184"/>
      <c r="J21" s="108"/>
    </row>
    <row r="22" spans="1:10" s="6" customFormat="1" ht="18.75" customHeight="1" x14ac:dyDescent="0.2">
      <c r="A22" s="161" t="s">
        <v>211</v>
      </c>
      <c r="B22" s="161"/>
      <c r="C22" s="161"/>
      <c r="D22" s="161"/>
      <c r="E22" s="161"/>
      <c r="F22" s="161"/>
      <c r="G22" s="161"/>
      <c r="H22" s="161"/>
      <c r="I22" s="161"/>
    </row>
  </sheetData>
  <mergeCells count="8">
    <mergeCell ref="A3:A4"/>
    <mergeCell ref="F14:H14"/>
    <mergeCell ref="A18:I18"/>
    <mergeCell ref="A22:I22"/>
    <mergeCell ref="A19:I19"/>
    <mergeCell ref="A20:I20"/>
    <mergeCell ref="A21:I21"/>
    <mergeCell ref="A17:I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3"/>
  <sheetViews>
    <sheetView workbookViewId="0"/>
  </sheetViews>
  <sheetFormatPr defaultRowHeight="15" x14ac:dyDescent="0.25"/>
  <cols>
    <col min="1" max="1" width="51.28515625" customWidth="1"/>
    <col min="2" max="2" width="10.140625" customWidth="1"/>
    <col min="3" max="3" width="10.5703125" customWidth="1"/>
    <col min="4" max="4" width="9.5703125" customWidth="1"/>
    <col min="5" max="5" width="10.85546875" customWidth="1"/>
    <col min="7" max="7" width="10.5703125" customWidth="1"/>
    <col min="9" max="9" width="11.28515625" bestFit="1" customWidth="1"/>
  </cols>
  <sheetData>
    <row r="1" spans="1:14" ht="15.75" x14ac:dyDescent="0.25">
      <c r="A1" s="35" t="s">
        <v>218</v>
      </c>
    </row>
    <row r="2" spans="1:14" s="6" customFormat="1" ht="12.75" x14ac:dyDescent="0.2">
      <c r="F2" s="86">
        <f>Labor!$A$10</f>
        <v>54.51</v>
      </c>
      <c r="G2" s="86">
        <f>Labor!$B$10</f>
        <v>73.459999999999994</v>
      </c>
      <c r="H2" s="86">
        <f>Labor!$C$10</f>
        <v>29.5</v>
      </c>
      <c r="I2" s="86"/>
    </row>
    <row r="3" spans="1:14" s="6" customFormat="1" ht="12.75" x14ac:dyDescent="0.2">
      <c r="A3" s="168" t="s">
        <v>11</v>
      </c>
      <c r="B3" s="7" t="s">
        <v>19</v>
      </c>
      <c r="C3" s="7" t="s">
        <v>20</v>
      </c>
      <c r="D3" s="7" t="s">
        <v>21</v>
      </c>
      <c r="E3" s="7" t="s">
        <v>22</v>
      </c>
      <c r="F3" s="21" t="s">
        <v>23</v>
      </c>
      <c r="G3" s="7" t="s">
        <v>24</v>
      </c>
      <c r="H3" s="7" t="s">
        <v>25</v>
      </c>
      <c r="I3" s="7" t="s">
        <v>26</v>
      </c>
    </row>
    <row r="4" spans="1:14" s="6" customFormat="1" ht="63.75" x14ac:dyDescent="0.2">
      <c r="A4" s="168"/>
      <c r="B4" s="8" t="s">
        <v>212</v>
      </c>
      <c r="C4" s="8" t="s">
        <v>89</v>
      </c>
      <c r="D4" s="8" t="s">
        <v>208</v>
      </c>
      <c r="E4" s="8" t="s">
        <v>209</v>
      </c>
      <c r="F4" s="8" t="s">
        <v>91</v>
      </c>
      <c r="G4" s="8" t="s">
        <v>92</v>
      </c>
      <c r="H4" s="8" t="s">
        <v>93</v>
      </c>
      <c r="I4" s="8" t="s">
        <v>223</v>
      </c>
    </row>
    <row r="5" spans="1:14" s="6" customFormat="1" ht="15" customHeight="1" x14ac:dyDescent="0.2">
      <c r="A5" s="9" t="s">
        <v>200</v>
      </c>
      <c r="B5" s="10"/>
      <c r="C5" s="10"/>
      <c r="D5" s="10"/>
      <c r="E5" s="10"/>
      <c r="F5" s="10"/>
      <c r="G5" s="10"/>
      <c r="H5" s="10"/>
      <c r="I5" s="9" t="s">
        <v>15</v>
      </c>
    </row>
    <row r="6" spans="1:14" s="6" customFormat="1" ht="15" customHeight="1" x14ac:dyDescent="0.2">
      <c r="A6" s="11" t="s">
        <v>146</v>
      </c>
      <c r="B6" s="10">
        <v>8</v>
      </c>
      <c r="C6" s="10">
        <v>1</v>
      </c>
      <c r="D6" s="10">
        <f>B6*C6</f>
        <v>8</v>
      </c>
      <c r="E6" s="10">
        <f>'Number of Respondents'!$B$19</f>
        <v>0</v>
      </c>
      <c r="F6" s="10">
        <f>D6*E6</f>
        <v>0</v>
      </c>
      <c r="G6" s="10">
        <f>F6*0.05</f>
        <v>0</v>
      </c>
      <c r="H6" s="10">
        <f>F6*0.1</f>
        <v>0</v>
      </c>
      <c r="I6" s="53">
        <f>$F$2*F6+$G$2*G6+$H$2*H6</f>
        <v>0</v>
      </c>
    </row>
    <row r="7" spans="1:14" s="6" customFormat="1" ht="15" customHeight="1" x14ac:dyDescent="0.2">
      <c r="A7" s="11" t="s">
        <v>219</v>
      </c>
      <c r="B7" s="10">
        <v>2</v>
      </c>
      <c r="C7" s="10">
        <v>1</v>
      </c>
      <c r="D7" s="10">
        <f t="shared" ref="D7:D12" si="0">B7*C7</f>
        <v>2</v>
      </c>
      <c r="E7" s="10">
        <f>'Number of Respondents'!$B$19</f>
        <v>0</v>
      </c>
      <c r="F7" s="10">
        <f t="shared" ref="F7:F10" si="1">D7*E7</f>
        <v>0</v>
      </c>
      <c r="G7" s="10">
        <f t="shared" ref="G7:G12" si="2">F7*0.05</f>
        <v>0</v>
      </c>
      <c r="H7" s="10">
        <f t="shared" ref="H7:H12" si="3">F7*0.1</f>
        <v>0</v>
      </c>
      <c r="I7" s="53">
        <f t="shared" ref="I7:I12" si="4">$F$2*F7+$G$2*G7+$H$2*H7</f>
        <v>0</v>
      </c>
    </row>
    <row r="8" spans="1:14" s="6" customFormat="1" ht="15" customHeight="1" x14ac:dyDescent="0.2">
      <c r="A8" s="11" t="s">
        <v>147</v>
      </c>
      <c r="B8" s="10">
        <v>0.5</v>
      </c>
      <c r="C8" s="10">
        <v>1</v>
      </c>
      <c r="D8" s="10">
        <f t="shared" si="0"/>
        <v>0.5</v>
      </c>
      <c r="E8" s="10">
        <f>'Number of Respondents'!$B$19</f>
        <v>0</v>
      </c>
      <c r="F8" s="10">
        <f t="shared" si="1"/>
        <v>0</v>
      </c>
      <c r="G8" s="10">
        <f t="shared" si="2"/>
        <v>0</v>
      </c>
      <c r="H8" s="10">
        <f t="shared" si="3"/>
        <v>0</v>
      </c>
      <c r="I8" s="53">
        <f t="shared" si="4"/>
        <v>0</v>
      </c>
    </row>
    <row r="9" spans="1:14" s="6" customFormat="1" ht="15" customHeight="1" x14ac:dyDescent="0.2">
      <c r="A9" s="11" t="s">
        <v>220</v>
      </c>
      <c r="B9" s="10">
        <v>0.5</v>
      </c>
      <c r="C9" s="10">
        <v>1</v>
      </c>
      <c r="D9" s="10">
        <f t="shared" si="0"/>
        <v>0.5</v>
      </c>
      <c r="E9" s="10">
        <f>'Number of Respondents'!$B$19</f>
        <v>0</v>
      </c>
      <c r="F9" s="10">
        <f t="shared" si="1"/>
        <v>0</v>
      </c>
      <c r="G9" s="10">
        <f t="shared" si="2"/>
        <v>0</v>
      </c>
      <c r="H9" s="10">
        <f t="shared" si="3"/>
        <v>0</v>
      </c>
      <c r="I9" s="53">
        <f t="shared" si="4"/>
        <v>0</v>
      </c>
    </row>
    <row r="10" spans="1:14" s="6" customFormat="1" ht="15" customHeight="1" x14ac:dyDescent="0.2">
      <c r="A10" s="11" t="s">
        <v>221</v>
      </c>
      <c r="B10" s="10">
        <v>2</v>
      </c>
      <c r="C10" s="10">
        <v>1</v>
      </c>
      <c r="D10" s="10">
        <f t="shared" si="0"/>
        <v>2</v>
      </c>
      <c r="E10" s="10">
        <f>'Number of Respondents'!$B$19</f>
        <v>0</v>
      </c>
      <c r="F10" s="10">
        <f t="shared" si="1"/>
        <v>0</v>
      </c>
      <c r="G10" s="10">
        <f t="shared" si="2"/>
        <v>0</v>
      </c>
      <c r="H10" s="10">
        <f t="shared" si="3"/>
        <v>0</v>
      </c>
      <c r="I10" s="53">
        <f t="shared" si="4"/>
        <v>0</v>
      </c>
    </row>
    <row r="11" spans="1:14" s="6" customFormat="1" ht="15" customHeight="1" x14ac:dyDescent="0.2">
      <c r="A11" s="9" t="s">
        <v>202</v>
      </c>
      <c r="B11" s="10"/>
      <c r="C11" s="10"/>
      <c r="D11" s="10"/>
      <c r="E11" s="10"/>
      <c r="F11" s="10"/>
      <c r="G11" s="10"/>
      <c r="H11" s="10"/>
      <c r="I11" s="9"/>
    </row>
    <row r="12" spans="1:14" s="6" customFormat="1" ht="15" customHeight="1" x14ac:dyDescent="0.2">
      <c r="A12" s="11" t="s">
        <v>222</v>
      </c>
      <c r="B12" s="10">
        <v>2</v>
      </c>
      <c r="C12" s="10">
        <v>2</v>
      </c>
      <c r="D12" s="10">
        <f t="shared" si="0"/>
        <v>4</v>
      </c>
      <c r="E12" s="10">
        <f>'Number of Respondents'!C19</f>
        <v>170</v>
      </c>
      <c r="F12" s="13">
        <f>D12*E12</f>
        <v>680</v>
      </c>
      <c r="G12" s="10">
        <f t="shared" si="2"/>
        <v>34</v>
      </c>
      <c r="H12" s="10">
        <f t="shared" si="3"/>
        <v>68</v>
      </c>
      <c r="I12" s="12">
        <f t="shared" si="4"/>
        <v>41570.439999999995</v>
      </c>
      <c r="J12" s="84"/>
      <c r="K12" s="84"/>
      <c r="L12" s="84"/>
      <c r="M12" s="84"/>
      <c r="N12" s="84"/>
    </row>
    <row r="13" spans="1:14" s="6" customFormat="1" ht="15" customHeight="1" x14ac:dyDescent="0.2">
      <c r="A13" s="55" t="s">
        <v>470</v>
      </c>
      <c r="B13" s="55"/>
      <c r="C13" s="55"/>
      <c r="D13" s="55"/>
      <c r="E13" s="55"/>
      <c r="F13" s="177">
        <f>ROUND(SUM(F6:H12),0)</f>
        <v>782</v>
      </c>
      <c r="G13" s="177"/>
      <c r="H13" s="177"/>
      <c r="I13" s="28">
        <f>ROUND(SUM(I5:I12),-2)</f>
        <v>41600</v>
      </c>
    </row>
    <row r="14" spans="1:14" s="6" customFormat="1" ht="12.75" x14ac:dyDescent="0.2"/>
    <row r="15" spans="1:14" s="6" customFormat="1" ht="12.75" x14ac:dyDescent="0.2">
      <c r="A15" s="42" t="s">
        <v>27</v>
      </c>
    </row>
    <row r="16" spans="1:14" s="6" customFormat="1" ht="36.75" customHeight="1" x14ac:dyDescent="0.2">
      <c r="A16" s="172" t="s">
        <v>522</v>
      </c>
      <c r="B16" s="172"/>
      <c r="C16" s="172"/>
      <c r="D16" s="172"/>
      <c r="E16" s="172"/>
      <c r="F16" s="172"/>
      <c r="G16" s="172"/>
      <c r="H16" s="172"/>
      <c r="I16" s="172"/>
    </row>
    <row r="17" spans="1:9" s="6" customFormat="1" ht="57.6" customHeight="1" x14ac:dyDescent="0.2">
      <c r="A17" s="161" t="s">
        <v>496</v>
      </c>
      <c r="B17" s="161"/>
      <c r="C17" s="161"/>
      <c r="D17" s="161"/>
      <c r="E17" s="161"/>
      <c r="F17" s="161"/>
      <c r="G17" s="161"/>
      <c r="H17" s="161"/>
      <c r="I17" s="161"/>
    </row>
    <row r="18" spans="1:9" s="6" customFormat="1" ht="18.75" customHeight="1" x14ac:dyDescent="0.2">
      <c r="A18" s="161" t="s">
        <v>116</v>
      </c>
      <c r="B18" s="161"/>
      <c r="C18" s="161"/>
      <c r="D18" s="161"/>
      <c r="E18" s="161"/>
      <c r="F18" s="161"/>
      <c r="G18" s="161"/>
      <c r="H18" s="161"/>
      <c r="I18" s="161"/>
    </row>
    <row r="19" spans="1:9" s="6" customFormat="1" ht="12.75" x14ac:dyDescent="0.2"/>
    <row r="20" spans="1:9" s="6" customFormat="1" ht="12.75" x14ac:dyDescent="0.2"/>
    <row r="21" spans="1:9" s="6" customFormat="1" ht="12.75" x14ac:dyDescent="0.2"/>
    <row r="22" spans="1:9" s="6" customFormat="1" ht="12.75" x14ac:dyDescent="0.2"/>
    <row r="23" spans="1:9" s="6" customFormat="1" ht="12.75" x14ac:dyDescent="0.2"/>
  </sheetData>
  <mergeCells count="5">
    <mergeCell ref="A3:A4"/>
    <mergeCell ref="F13:H13"/>
    <mergeCell ref="A16:I16"/>
    <mergeCell ref="A17:I17"/>
    <mergeCell ref="A18:I18"/>
  </mergeCell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3"/>
  <sheetViews>
    <sheetView workbookViewId="0">
      <selection activeCell="A2" sqref="A2"/>
    </sheetView>
  </sheetViews>
  <sheetFormatPr defaultRowHeight="15" x14ac:dyDescent="0.25"/>
  <cols>
    <col min="1" max="1" width="44.7109375" customWidth="1"/>
    <col min="2" max="2" width="9.5703125" customWidth="1"/>
    <col min="3" max="3" width="11" customWidth="1"/>
    <col min="4" max="4" width="9.7109375" customWidth="1"/>
    <col min="5" max="5" width="10.85546875" customWidth="1"/>
    <col min="7" max="7" width="9.7109375" customWidth="1"/>
    <col min="9" max="9" width="11.42578125" customWidth="1"/>
  </cols>
  <sheetData>
    <row r="1" spans="1:10" ht="15.75" x14ac:dyDescent="0.25">
      <c r="A1" s="35" t="s">
        <v>230</v>
      </c>
    </row>
    <row r="2" spans="1:10" s="6" customFormat="1" ht="12.75" x14ac:dyDescent="0.2">
      <c r="F2" s="86">
        <f>Labor!$A$10</f>
        <v>54.51</v>
      </c>
      <c r="G2" s="86">
        <f>Labor!$B$10</f>
        <v>73.459999999999994</v>
      </c>
      <c r="H2" s="86">
        <f>Labor!$C$10</f>
        <v>29.5</v>
      </c>
      <c r="I2" s="86"/>
    </row>
    <row r="3" spans="1:10" s="6" customFormat="1" ht="12.75" x14ac:dyDescent="0.2">
      <c r="A3" s="168" t="s">
        <v>11</v>
      </c>
      <c r="B3" s="7" t="s">
        <v>19</v>
      </c>
      <c r="C3" s="7" t="s">
        <v>20</v>
      </c>
      <c r="D3" s="7" t="s">
        <v>21</v>
      </c>
      <c r="E3" s="7" t="s">
        <v>22</v>
      </c>
      <c r="F3" s="21" t="s">
        <v>23</v>
      </c>
      <c r="G3" s="7" t="s">
        <v>24</v>
      </c>
      <c r="H3" s="7" t="s">
        <v>25</v>
      </c>
      <c r="I3" s="7" t="s">
        <v>26</v>
      </c>
    </row>
    <row r="4" spans="1:10" s="6" customFormat="1" ht="63.75" x14ac:dyDescent="0.2">
      <c r="A4" s="168"/>
      <c r="B4" s="8" t="s">
        <v>212</v>
      </c>
      <c r="C4" s="8" t="s">
        <v>89</v>
      </c>
      <c r="D4" s="8" t="s">
        <v>208</v>
      </c>
      <c r="E4" s="8" t="s">
        <v>209</v>
      </c>
      <c r="F4" s="8" t="s">
        <v>91</v>
      </c>
      <c r="G4" s="8" t="s">
        <v>92</v>
      </c>
      <c r="H4" s="8" t="s">
        <v>93</v>
      </c>
      <c r="I4" s="8" t="s">
        <v>223</v>
      </c>
    </row>
    <row r="5" spans="1:10" s="6" customFormat="1" ht="15" customHeight="1" x14ac:dyDescent="0.2">
      <c r="A5" s="9" t="s">
        <v>200</v>
      </c>
      <c r="B5" s="10"/>
      <c r="C5" s="10"/>
      <c r="D5" s="10"/>
      <c r="E5" s="10"/>
      <c r="F5" s="10"/>
      <c r="G5" s="10"/>
      <c r="H5" s="10"/>
      <c r="I5" s="9" t="s">
        <v>15</v>
      </c>
    </row>
    <row r="6" spans="1:10" s="6" customFormat="1" ht="15" customHeight="1" x14ac:dyDescent="0.2">
      <c r="A6" s="11" t="s">
        <v>224</v>
      </c>
      <c r="B6" s="10">
        <v>8</v>
      </c>
      <c r="C6" s="10">
        <v>1</v>
      </c>
      <c r="D6" s="10">
        <f>B6*C6</f>
        <v>8</v>
      </c>
      <c r="E6" s="10">
        <f>E8*0.6</f>
        <v>0</v>
      </c>
      <c r="F6" s="10">
        <f>D6*E6</f>
        <v>0</v>
      </c>
      <c r="G6" s="10">
        <f>F6*0.05</f>
        <v>0</v>
      </c>
      <c r="H6" s="10">
        <f>F6*0.1</f>
        <v>0</v>
      </c>
      <c r="I6" s="12">
        <f>$F$2*F6+$G$2*G6+$H$2*H6</f>
        <v>0</v>
      </c>
    </row>
    <row r="7" spans="1:10" s="6" customFormat="1" ht="15" customHeight="1" x14ac:dyDescent="0.2">
      <c r="A7" s="11" t="s">
        <v>225</v>
      </c>
      <c r="B7" s="10">
        <v>2</v>
      </c>
      <c r="C7" s="10">
        <v>1</v>
      </c>
      <c r="D7" s="10">
        <f t="shared" ref="D7:D12" si="0">B7*C7</f>
        <v>2</v>
      </c>
      <c r="E7" s="10">
        <f>E8*0.4</f>
        <v>0</v>
      </c>
      <c r="F7" s="10">
        <f t="shared" ref="F7:F12" si="1">D7*E7</f>
        <v>0</v>
      </c>
      <c r="G7" s="10">
        <f t="shared" ref="G7:G12" si="2">F7*0.05</f>
        <v>0</v>
      </c>
      <c r="H7" s="10">
        <f t="shared" ref="H7:H12" si="3">F7*0.1</f>
        <v>0</v>
      </c>
      <c r="I7" s="12">
        <f t="shared" ref="I7:I12" si="4">$F$2*F7+$G$2*G7+$H$2*H7</f>
        <v>0</v>
      </c>
    </row>
    <row r="8" spans="1:10" s="6" customFormat="1" ht="15" customHeight="1" x14ac:dyDescent="0.2">
      <c r="A8" s="11" t="s">
        <v>147</v>
      </c>
      <c r="B8" s="10">
        <v>0.5</v>
      </c>
      <c r="C8" s="10">
        <v>1</v>
      </c>
      <c r="D8" s="10">
        <f t="shared" si="0"/>
        <v>0.5</v>
      </c>
      <c r="E8" s="10">
        <f>'Number of Respondents'!B24</f>
        <v>0</v>
      </c>
      <c r="F8" s="10">
        <f t="shared" si="1"/>
        <v>0</v>
      </c>
      <c r="G8" s="31">
        <f t="shared" si="2"/>
        <v>0</v>
      </c>
      <c r="H8" s="10">
        <f t="shared" si="3"/>
        <v>0</v>
      </c>
      <c r="I8" s="12">
        <f t="shared" si="4"/>
        <v>0</v>
      </c>
      <c r="J8" s="84"/>
    </row>
    <row r="9" spans="1:10" s="6" customFormat="1" ht="15" customHeight="1" x14ac:dyDescent="0.2">
      <c r="A9" s="11" t="s">
        <v>226</v>
      </c>
      <c r="B9" s="10">
        <v>0.5</v>
      </c>
      <c r="C9" s="10">
        <v>1</v>
      </c>
      <c r="D9" s="10">
        <f t="shared" si="0"/>
        <v>0.5</v>
      </c>
      <c r="E9" s="10">
        <f>E8+E8*0.2</f>
        <v>0</v>
      </c>
      <c r="F9" s="10">
        <f t="shared" si="1"/>
        <v>0</v>
      </c>
      <c r="G9" s="31">
        <f t="shared" si="2"/>
        <v>0</v>
      </c>
      <c r="H9" s="10">
        <f t="shared" si="3"/>
        <v>0</v>
      </c>
      <c r="I9" s="12">
        <f t="shared" si="4"/>
        <v>0</v>
      </c>
      <c r="J9" s="108"/>
    </row>
    <row r="10" spans="1:10" s="6" customFormat="1" ht="15" customHeight="1" x14ac:dyDescent="0.2">
      <c r="A10" s="11" t="s">
        <v>227</v>
      </c>
      <c r="B10" s="10">
        <v>2</v>
      </c>
      <c r="C10" s="10">
        <v>1</v>
      </c>
      <c r="D10" s="10">
        <f t="shared" si="0"/>
        <v>2</v>
      </c>
      <c r="E10" s="10">
        <f>E8+E8*0.2</f>
        <v>0</v>
      </c>
      <c r="F10" s="10">
        <f t="shared" si="1"/>
        <v>0</v>
      </c>
      <c r="G10" s="10">
        <f t="shared" si="2"/>
        <v>0</v>
      </c>
      <c r="H10" s="10">
        <f t="shared" si="3"/>
        <v>0</v>
      </c>
      <c r="I10" s="12">
        <f t="shared" si="4"/>
        <v>0</v>
      </c>
      <c r="J10" s="108"/>
    </row>
    <row r="11" spans="1:10" s="6" customFormat="1" ht="15" customHeight="1" x14ac:dyDescent="0.2">
      <c r="A11" s="9" t="s">
        <v>202</v>
      </c>
      <c r="B11" s="10"/>
      <c r="C11" s="10"/>
      <c r="D11" s="10"/>
      <c r="E11" s="10"/>
      <c r="F11" s="10"/>
      <c r="G11" s="10"/>
      <c r="H11" s="10"/>
      <c r="I11" s="9"/>
    </row>
    <row r="12" spans="1:10" s="6" customFormat="1" ht="15" customHeight="1" x14ac:dyDescent="0.2">
      <c r="A12" s="11" t="s">
        <v>222</v>
      </c>
      <c r="B12" s="10">
        <v>2.4500000000000002</v>
      </c>
      <c r="C12" s="10">
        <v>2</v>
      </c>
      <c r="D12" s="10">
        <f t="shared" si="0"/>
        <v>4.9000000000000004</v>
      </c>
      <c r="E12" s="10">
        <f>'Number of Respondents'!C24</f>
        <v>75</v>
      </c>
      <c r="F12" s="13">
        <f t="shared" si="1"/>
        <v>367.5</v>
      </c>
      <c r="G12" s="32">
        <f t="shared" si="2"/>
        <v>18.375</v>
      </c>
      <c r="H12" s="32">
        <f t="shared" si="3"/>
        <v>36.75</v>
      </c>
      <c r="I12" s="12">
        <f t="shared" si="4"/>
        <v>22466.377499999999</v>
      </c>
      <c r="J12" s="84"/>
    </row>
    <row r="13" spans="1:10" s="6" customFormat="1" ht="15.75" x14ac:dyDescent="0.2">
      <c r="A13" s="14" t="s">
        <v>469</v>
      </c>
      <c r="B13" s="14"/>
      <c r="C13" s="14"/>
      <c r="D13" s="14"/>
      <c r="E13" s="14"/>
      <c r="F13" s="177">
        <f>ROUND(SUM(F5:H12),0)</f>
        <v>423</v>
      </c>
      <c r="G13" s="177"/>
      <c r="H13" s="177"/>
      <c r="I13" s="28">
        <f>ROUND(SUM(I5:I12),-2)</f>
        <v>22500</v>
      </c>
    </row>
    <row r="14" spans="1:10" s="6" customFormat="1" ht="12.75" x14ac:dyDescent="0.2"/>
    <row r="15" spans="1:10" s="6" customFormat="1" ht="12.75" x14ac:dyDescent="0.2">
      <c r="A15" s="42" t="s">
        <v>27</v>
      </c>
      <c r="B15" s="84"/>
    </row>
    <row r="16" spans="1:10" s="6" customFormat="1" ht="33.75" customHeight="1" x14ac:dyDescent="0.2">
      <c r="A16" s="172" t="s">
        <v>523</v>
      </c>
      <c r="B16" s="172"/>
      <c r="C16" s="172"/>
      <c r="D16" s="172"/>
      <c r="E16" s="172"/>
      <c r="F16" s="172"/>
      <c r="G16" s="172"/>
      <c r="H16" s="172"/>
      <c r="I16" s="172"/>
    </row>
    <row r="17" spans="1:11" s="6" customFormat="1" ht="57" customHeight="1" x14ac:dyDescent="0.2">
      <c r="A17" s="161" t="s">
        <v>496</v>
      </c>
      <c r="B17" s="161"/>
      <c r="C17" s="161"/>
      <c r="D17" s="161"/>
      <c r="E17" s="161"/>
      <c r="F17" s="161"/>
      <c r="G17" s="161"/>
      <c r="H17" s="161"/>
      <c r="I17" s="161"/>
    </row>
    <row r="18" spans="1:11" s="6" customFormat="1" ht="18" customHeight="1" x14ac:dyDescent="0.2">
      <c r="A18" s="161" t="s">
        <v>504</v>
      </c>
      <c r="B18" s="161"/>
      <c r="C18" s="161"/>
      <c r="D18" s="161"/>
      <c r="E18" s="161"/>
      <c r="F18" s="161"/>
      <c r="G18" s="161"/>
      <c r="H18" s="161"/>
      <c r="I18" s="161"/>
      <c r="J18" s="84"/>
      <c r="K18" s="84"/>
    </row>
    <row r="19" spans="1:11" s="6" customFormat="1" ht="19.5" customHeight="1" x14ac:dyDescent="0.2">
      <c r="A19" s="172" t="s">
        <v>228</v>
      </c>
      <c r="B19" s="172"/>
      <c r="C19" s="172"/>
      <c r="D19" s="172"/>
      <c r="E19" s="172"/>
      <c r="F19" s="172"/>
      <c r="G19" s="172"/>
      <c r="H19" s="172"/>
      <c r="I19" s="172"/>
      <c r="J19" s="84"/>
      <c r="K19" s="84"/>
    </row>
    <row r="20" spans="1:11" s="6" customFormat="1" ht="20.25" customHeight="1" x14ac:dyDescent="0.2">
      <c r="A20" s="161" t="s">
        <v>229</v>
      </c>
      <c r="B20" s="161"/>
      <c r="C20" s="161"/>
      <c r="D20" s="161"/>
      <c r="E20" s="161"/>
      <c r="F20" s="161"/>
      <c r="G20" s="161"/>
      <c r="H20" s="161"/>
      <c r="I20" s="161"/>
    </row>
    <row r="21" spans="1:11" s="6" customFormat="1" ht="12.75" x14ac:dyDescent="0.2"/>
    <row r="22" spans="1:11" s="6" customFormat="1" ht="12.75" x14ac:dyDescent="0.2"/>
    <row r="23" spans="1:11" s="6" customFormat="1" ht="12.75" x14ac:dyDescent="0.2"/>
  </sheetData>
  <mergeCells count="7">
    <mergeCell ref="A19:I19"/>
    <mergeCell ref="A20:I20"/>
    <mergeCell ref="A3:A4"/>
    <mergeCell ref="F13:H13"/>
    <mergeCell ref="A17:I17"/>
    <mergeCell ref="A16:I16"/>
    <mergeCell ref="A18:I18"/>
  </mergeCells>
  <phoneticPr fontId="25" type="noConversion"/>
  <pageMargins left="0.7" right="0.7" top="0.75" bottom="0.75" header="0.3" footer="0.3"/>
  <pageSetup orientation="portrait"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2"/>
  <sheetViews>
    <sheetView workbookViewId="0">
      <selection activeCell="A2" sqref="A2"/>
    </sheetView>
  </sheetViews>
  <sheetFormatPr defaultRowHeight="15" x14ac:dyDescent="0.25"/>
  <cols>
    <col min="1" max="1" width="43.42578125" customWidth="1"/>
    <col min="2" max="2" width="10.42578125" customWidth="1"/>
    <col min="3" max="3" width="12" customWidth="1"/>
    <col min="4" max="4" width="9.5703125" customWidth="1"/>
    <col min="5" max="5" width="10.85546875" customWidth="1"/>
    <col min="7" max="7" width="10" customWidth="1"/>
    <col min="9" max="9" width="9.7109375" customWidth="1"/>
  </cols>
  <sheetData>
    <row r="1" spans="1:10" ht="15.75" x14ac:dyDescent="0.25">
      <c r="A1" s="35" t="s">
        <v>231</v>
      </c>
    </row>
    <row r="2" spans="1:10" s="6" customFormat="1" ht="12.75" x14ac:dyDescent="0.2">
      <c r="F2" s="86">
        <f>Labor!$A$10</f>
        <v>54.51</v>
      </c>
      <c r="G2" s="86">
        <f>Labor!$B$10</f>
        <v>73.459999999999994</v>
      </c>
      <c r="H2" s="86">
        <f>Labor!$C$10</f>
        <v>29.5</v>
      </c>
      <c r="I2" s="86"/>
    </row>
    <row r="3" spans="1:10" s="6" customFormat="1" ht="12.75" x14ac:dyDescent="0.2">
      <c r="A3" s="168" t="s">
        <v>11</v>
      </c>
      <c r="B3" s="7" t="s">
        <v>19</v>
      </c>
      <c r="C3" s="7" t="s">
        <v>20</v>
      </c>
      <c r="D3" s="7" t="s">
        <v>21</v>
      </c>
      <c r="E3" s="7" t="s">
        <v>22</v>
      </c>
      <c r="F3" s="21" t="s">
        <v>23</v>
      </c>
      <c r="G3" s="7" t="s">
        <v>24</v>
      </c>
      <c r="H3" s="7" t="s">
        <v>25</v>
      </c>
      <c r="I3" s="7" t="s">
        <v>26</v>
      </c>
    </row>
    <row r="4" spans="1:10" s="6" customFormat="1" ht="63.75" x14ac:dyDescent="0.2">
      <c r="A4" s="168"/>
      <c r="B4" s="8" t="s">
        <v>212</v>
      </c>
      <c r="C4" s="8" t="s">
        <v>89</v>
      </c>
      <c r="D4" s="8" t="s">
        <v>208</v>
      </c>
      <c r="E4" s="8" t="s">
        <v>209</v>
      </c>
      <c r="F4" s="8" t="s">
        <v>91</v>
      </c>
      <c r="G4" s="8" t="s">
        <v>92</v>
      </c>
      <c r="H4" s="8" t="s">
        <v>93</v>
      </c>
      <c r="I4" s="8" t="s">
        <v>223</v>
      </c>
    </row>
    <row r="5" spans="1:10" s="6" customFormat="1" ht="15" customHeight="1" x14ac:dyDescent="0.2">
      <c r="A5" s="9" t="s">
        <v>200</v>
      </c>
      <c r="B5" s="10"/>
      <c r="C5" s="10"/>
      <c r="D5" s="10"/>
      <c r="E5" s="10"/>
      <c r="F5" s="10"/>
      <c r="G5" s="10"/>
      <c r="H5" s="10"/>
      <c r="I5" s="9" t="s">
        <v>15</v>
      </c>
    </row>
    <row r="6" spans="1:10" s="6" customFormat="1" ht="15" customHeight="1" x14ac:dyDescent="0.2">
      <c r="A6" s="11" t="s">
        <v>232</v>
      </c>
      <c r="B6" s="10">
        <v>2</v>
      </c>
      <c r="C6" s="10">
        <v>1</v>
      </c>
      <c r="D6" s="10">
        <f>B6*C6</f>
        <v>2</v>
      </c>
      <c r="E6" s="10">
        <f>'Number of Respondents'!B$29</f>
        <v>5</v>
      </c>
      <c r="F6" s="10">
        <f>D6*E6</f>
        <v>10</v>
      </c>
      <c r="G6" s="10">
        <f>F6*0.05</f>
        <v>0.5</v>
      </c>
      <c r="H6" s="10">
        <f>F6*0.1</f>
        <v>1</v>
      </c>
      <c r="I6" s="12">
        <f>$F$2*F6+$G$2*G6+$H$2*H6</f>
        <v>611.33000000000004</v>
      </c>
      <c r="J6" s="84"/>
    </row>
    <row r="7" spans="1:10" s="6" customFormat="1" ht="15" customHeight="1" x14ac:dyDescent="0.2">
      <c r="A7" s="11" t="s">
        <v>147</v>
      </c>
      <c r="B7" s="10">
        <v>2</v>
      </c>
      <c r="C7" s="10">
        <v>1</v>
      </c>
      <c r="D7" s="10">
        <f t="shared" ref="D7:D11" si="0">B7*C7</f>
        <v>2</v>
      </c>
      <c r="E7" s="10">
        <f>'Number of Respondents'!B$29</f>
        <v>5</v>
      </c>
      <c r="F7" s="10">
        <f t="shared" ref="F7:F11" si="1">D7*E7</f>
        <v>10</v>
      </c>
      <c r="G7" s="10">
        <f t="shared" ref="G7:G11" si="2">F7*0.05</f>
        <v>0.5</v>
      </c>
      <c r="H7" s="10">
        <f t="shared" ref="H7:H11" si="3">F7*0.1</f>
        <v>1</v>
      </c>
      <c r="I7" s="12">
        <f t="shared" ref="I7:I11" si="4">$F$2*F7+$G$2*G7+$H$2*H7</f>
        <v>611.33000000000004</v>
      </c>
      <c r="J7" s="84"/>
    </row>
    <row r="8" spans="1:10" s="6" customFormat="1" ht="15" customHeight="1" x14ac:dyDescent="0.2">
      <c r="A8" s="11" t="s">
        <v>183</v>
      </c>
      <c r="B8" s="10">
        <v>8</v>
      </c>
      <c r="C8" s="10">
        <v>1</v>
      </c>
      <c r="D8" s="10">
        <f t="shared" si="0"/>
        <v>8</v>
      </c>
      <c r="E8" s="10">
        <f>'Number of Respondents'!B$29</f>
        <v>5</v>
      </c>
      <c r="F8" s="10">
        <f t="shared" si="1"/>
        <v>40</v>
      </c>
      <c r="G8" s="10">
        <f t="shared" si="2"/>
        <v>2</v>
      </c>
      <c r="H8" s="10">
        <f t="shared" si="3"/>
        <v>4</v>
      </c>
      <c r="I8" s="12">
        <f t="shared" si="4"/>
        <v>2445.3200000000002</v>
      </c>
      <c r="J8" s="84"/>
    </row>
    <row r="9" spans="1:10" s="6" customFormat="1" ht="15" customHeight="1" x14ac:dyDescent="0.2">
      <c r="A9" s="11" t="s">
        <v>233</v>
      </c>
      <c r="B9" s="10">
        <v>8</v>
      </c>
      <c r="C9" s="10">
        <v>1</v>
      </c>
      <c r="D9" s="10">
        <f t="shared" si="0"/>
        <v>8</v>
      </c>
      <c r="E9" s="10">
        <f>E8*0.2</f>
        <v>1</v>
      </c>
      <c r="F9" s="10">
        <f t="shared" si="1"/>
        <v>8</v>
      </c>
      <c r="G9" s="10">
        <f t="shared" si="2"/>
        <v>0.4</v>
      </c>
      <c r="H9" s="10">
        <f t="shared" si="3"/>
        <v>0.8</v>
      </c>
      <c r="I9" s="12">
        <f t="shared" si="4"/>
        <v>489.06400000000002</v>
      </c>
    </row>
    <row r="10" spans="1:10" s="6" customFormat="1" ht="15" customHeight="1" x14ac:dyDescent="0.2">
      <c r="A10" s="9" t="s">
        <v>202</v>
      </c>
      <c r="B10" s="10"/>
      <c r="C10" s="10"/>
      <c r="D10" s="10"/>
      <c r="E10" s="10"/>
      <c r="F10" s="10"/>
      <c r="G10" s="10"/>
      <c r="H10" s="10"/>
      <c r="I10" s="9"/>
    </row>
    <row r="11" spans="1:10" s="6" customFormat="1" ht="15" customHeight="1" x14ac:dyDescent="0.2">
      <c r="A11" s="11" t="s">
        <v>164</v>
      </c>
      <c r="B11" s="10">
        <v>2</v>
      </c>
      <c r="C11" s="10">
        <v>2</v>
      </c>
      <c r="D11" s="10">
        <f t="shared" si="0"/>
        <v>4</v>
      </c>
      <c r="E11" s="10">
        <f>'Number of Respondents'!C29</f>
        <v>88</v>
      </c>
      <c r="F11" s="10">
        <f t="shared" si="1"/>
        <v>352</v>
      </c>
      <c r="G11" s="10">
        <f t="shared" si="2"/>
        <v>17.600000000000001</v>
      </c>
      <c r="H11" s="10">
        <f t="shared" si="3"/>
        <v>35.200000000000003</v>
      </c>
      <c r="I11" s="12">
        <f t="shared" si="4"/>
        <v>21518.816000000003</v>
      </c>
      <c r="J11" s="84"/>
    </row>
    <row r="12" spans="1:10" s="6" customFormat="1" ht="15.75" x14ac:dyDescent="0.2">
      <c r="A12" s="14" t="s">
        <v>466</v>
      </c>
      <c r="B12" s="14"/>
      <c r="C12" s="14"/>
      <c r="D12" s="14"/>
      <c r="E12" s="14"/>
      <c r="F12" s="168">
        <f>ROUND(SUM(F5:H11),0)</f>
        <v>483</v>
      </c>
      <c r="G12" s="168"/>
      <c r="H12" s="168"/>
      <c r="I12" s="28">
        <f>ROUND(SUM(I5:I11),-2)</f>
        <v>25700</v>
      </c>
    </row>
    <row r="13" spans="1:10" s="6" customFormat="1" ht="12.75" x14ac:dyDescent="0.2"/>
    <row r="14" spans="1:10" s="6" customFormat="1" ht="12.75" x14ac:dyDescent="0.2">
      <c r="A14" s="25" t="s">
        <v>27</v>
      </c>
    </row>
    <row r="15" spans="1:10" s="6" customFormat="1" ht="18" customHeight="1" x14ac:dyDescent="0.2">
      <c r="A15" s="172" t="s">
        <v>524</v>
      </c>
      <c r="B15" s="172"/>
      <c r="C15" s="172"/>
      <c r="D15" s="172"/>
      <c r="E15" s="172"/>
      <c r="F15" s="172"/>
      <c r="G15" s="172"/>
      <c r="H15" s="172"/>
      <c r="I15" s="172"/>
    </row>
    <row r="16" spans="1:10" s="6" customFormat="1" ht="57.6" customHeight="1" x14ac:dyDescent="0.2">
      <c r="A16" s="161" t="s">
        <v>497</v>
      </c>
      <c r="B16" s="161"/>
      <c r="C16" s="161"/>
      <c r="D16" s="161"/>
      <c r="E16" s="161"/>
      <c r="F16" s="161"/>
      <c r="G16" s="161"/>
      <c r="H16" s="161"/>
      <c r="I16" s="161"/>
    </row>
    <row r="17" spans="1:11" s="6" customFormat="1" ht="20.25" customHeight="1" x14ac:dyDescent="0.2">
      <c r="A17" s="172" t="s">
        <v>234</v>
      </c>
      <c r="B17" s="172"/>
      <c r="C17" s="172"/>
      <c r="D17" s="172"/>
      <c r="E17" s="172"/>
      <c r="F17" s="172"/>
      <c r="G17" s="172"/>
      <c r="H17" s="172"/>
      <c r="I17" s="172"/>
      <c r="J17" s="84"/>
      <c r="K17" s="84"/>
    </row>
    <row r="18" spans="1:11" s="6" customFormat="1" ht="18.75" customHeight="1" x14ac:dyDescent="0.2">
      <c r="A18" s="161" t="s">
        <v>235</v>
      </c>
      <c r="B18" s="161"/>
      <c r="C18" s="161"/>
      <c r="D18" s="161"/>
      <c r="E18" s="161"/>
      <c r="F18" s="161"/>
      <c r="G18" s="161"/>
      <c r="H18" s="161"/>
      <c r="I18" s="161"/>
    </row>
    <row r="19" spans="1:11" s="6" customFormat="1" ht="12.75" x14ac:dyDescent="0.2"/>
    <row r="20" spans="1:11" s="6" customFormat="1" ht="12.75" x14ac:dyDescent="0.2"/>
    <row r="21" spans="1:11" s="6" customFormat="1" ht="12.75" x14ac:dyDescent="0.2"/>
    <row r="22" spans="1:11" s="6" customFormat="1" ht="12.75" x14ac:dyDescent="0.2"/>
  </sheetData>
  <mergeCells count="6">
    <mergeCell ref="A18:I18"/>
    <mergeCell ref="A3:A4"/>
    <mergeCell ref="F12:H12"/>
    <mergeCell ref="A15:I15"/>
    <mergeCell ref="A16:I16"/>
    <mergeCell ref="A17:I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2"/>
  <sheetViews>
    <sheetView workbookViewId="0">
      <selection activeCell="A2" sqref="A2"/>
    </sheetView>
  </sheetViews>
  <sheetFormatPr defaultRowHeight="15" x14ac:dyDescent="0.25"/>
  <cols>
    <col min="1" max="1" width="43.85546875" customWidth="1"/>
    <col min="2" max="2" width="10" customWidth="1"/>
    <col min="3" max="3" width="11" customWidth="1"/>
    <col min="4" max="4" width="9.7109375" customWidth="1"/>
    <col min="5" max="5" width="11" customWidth="1"/>
    <col min="7" max="7" width="10.7109375" customWidth="1"/>
    <col min="9" max="9" width="10.28515625" bestFit="1" customWidth="1"/>
  </cols>
  <sheetData>
    <row r="1" spans="1:10" ht="15.75" x14ac:dyDescent="0.25">
      <c r="A1" s="35" t="s">
        <v>236</v>
      </c>
    </row>
    <row r="2" spans="1:10" s="6" customFormat="1" ht="12.75" x14ac:dyDescent="0.2">
      <c r="F2" s="86">
        <f>Labor!$A$10</f>
        <v>54.51</v>
      </c>
      <c r="G2" s="86">
        <f>Labor!$B$10</f>
        <v>73.459999999999994</v>
      </c>
      <c r="H2" s="86">
        <f>Labor!$C$10</f>
        <v>29.5</v>
      </c>
      <c r="I2" s="86"/>
    </row>
    <row r="3" spans="1:10" s="6" customFormat="1" ht="12.75" x14ac:dyDescent="0.2">
      <c r="A3" s="168" t="s">
        <v>11</v>
      </c>
      <c r="B3" s="7" t="s">
        <v>19</v>
      </c>
      <c r="C3" s="7" t="s">
        <v>20</v>
      </c>
      <c r="D3" s="7" t="s">
        <v>21</v>
      </c>
      <c r="E3" s="7" t="s">
        <v>22</v>
      </c>
      <c r="F3" s="21" t="s">
        <v>23</v>
      </c>
      <c r="G3" s="7" t="s">
        <v>24</v>
      </c>
      <c r="H3" s="7" t="s">
        <v>25</v>
      </c>
      <c r="I3" s="7" t="s">
        <v>26</v>
      </c>
    </row>
    <row r="4" spans="1:10" s="6" customFormat="1" ht="63.75" x14ac:dyDescent="0.2">
      <c r="A4" s="168"/>
      <c r="B4" s="8" t="s">
        <v>212</v>
      </c>
      <c r="C4" s="8" t="s">
        <v>89</v>
      </c>
      <c r="D4" s="8" t="s">
        <v>208</v>
      </c>
      <c r="E4" s="8" t="s">
        <v>209</v>
      </c>
      <c r="F4" s="8" t="s">
        <v>91</v>
      </c>
      <c r="G4" s="8" t="s">
        <v>92</v>
      </c>
      <c r="H4" s="8" t="s">
        <v>93</v>
      </c>
      <c r="I4" s="8" t="s">
        <v>223</v>
      </c>
    </row>
    <row r="5" spans="1:10" s="6" customFormat="1" ht="15" customHeight="1" x14ac:dyDescent="0.2">
      <c r="A5" s="9" t="s">
        <v>200</v>
      </c>
      <c r="B5" s="10"/>
      <c r="C5" s="10"/>
      <c r="D5" s="10"/>
      <c r="E5" s="10"/>
      <c r="F5" s="10"/>
      <c r="G5" s="10"/>
      <c r="H5" s="10"/>
      <c r="I5" s="9" t="s">
        <v>15</v>
      </c>
    </row>
    <row r="6" spans="1:10" s="6" customFormat="1" ht="15" customHeight="1" x14ac:dyDescent="0.2">
      <c r="A6" s="11" t="s">
        <v>232</v>
      </c>
      <c r="B6" s="10">
        <v>2</v>
      </c>
      <c r="C6" s="10">
        <v>1</v>
      </c>
      <c r="D6" s="10">
        <f>B6*C6</f>
        <v>2</v>
      </c>
      <c r="E6" s="10">
        <f>'Number of Respondents'!B$34</f>
        <v>0</v>
      </c>
      <c r="F6" s="10">
        <f>D6*E6</f>
        <v>0</v>
      </c>
      <c r="G6" s="10">
        <f>F6*0.05</f>
        <v>0</v>
      </c>
      <c r="H6" s="10">
        <f>F6*0.1</f>
        <v>0</v>
      </c>
      <c r="I6" s="12">
        <f>$F$2*F6+$G$2*G6+$H$2*H6</f>
        <v>0</v>
      </c>
    </row>
    <row r="7" spans="1:10" s="6" customFormat="1" ht="15" customHeight="1" x14ac:dyDescent="0.2">
      <c r="A7" s="11" t="s">
        <v>170</v>
      </c>
      <c r="B7" s="10">
        <v>2</v>
      </c>
      <c r="C7" s="10">
        <v>1</v>
      </c>
      <c r="D7" s="10">
        <f t="shared" ref="D7:D12" si="0">B7*C7</f>
        <v>2</v>
      </c>
      <c r="E7" s="10">
        <f>'Number of Respondents'!B$34</f>
        <v>0</v>
      </c>
      <c r="F7" s="10">
        <f t="shared" ref="F7:F12" si="1">D7*E7</f>
        <v>0</v>
      </c>
      <c r="G7" s="10">
        <f t="shared" ref="G7:G12" si="2">F7*0.05</f>
        <v>0</v>
      </c>
      <c r="H7" s="10">
        <f t="shared" ref="H7:H12" si="3">F7*0.1</f>
        <v>0</v>
      </c>
      <c r="I7" s="12">
        <f t="shared" ref="I7:I12" si="4">$F$2*F7+$G$2*G7+$H$2*H7</f>
        <v>0</v>
      </c>
    </row>
    <row r="8" spans="1:10" s="6" customFormat="1" ht="15" customHeight="1" x14ac:dyDescent="0.2">
      <c r="A8" s="11" t="s">
        <v>147</v>
      </c>
      <c r="B8" s="10">
        <v>2</v>
      </c>
      <c r="C8" s="10">
        <v>1</v>
      </c>
      <c r="D8" s="10">
        <f t="shared" si="0"/>
        <v>2</v>
      </c>
      <c r="E8" s="10">
        <f>'Number of Respondents'!B$34</f>
        <v>0</v>
      </c>
      <c r="F8" s="10">
        <f t="shared" si="1"/>
        <v>0</v>
      </c>
      <c r="G8" s="10">
        <f t="shared" si="2"/>
        <v>0</v>
      </c>
      <c r="H8" s="10">
        <f t="shared" si="3"/>
        <v>0</v>
      </c>
      <c r="I8" s="12">
        <f t="shared" si="4"/>
        <v>0</v>
      </c>
    </row>
    <row r="9" spans="1:10" s="6" customFormat="1" ht="15" customHeight="1" x14ac:dyDescent="0.2">
      <c r="A9" s="11" t="s">
        <v>183</v>
      </c>
      <c r="B9" s="10">
        <v>8</v>
      </c>
      <c r="C9" s="10">
        <v>1</v>
      </c>
      <c r="D9" s="10">
        <f t="shared" si="0"/>
        <v>8</v>
      </c>
      <c r="E9" s="10">
        <f>'Number of Respondents'!B$34</f>
        <v>0</v>
      </c>
      <c r="F9" s="10">
        <f t="shared" si="1"/>
        <v>0</v>
      </c>
      <c r="G9" s="10">
        <f t="shared" si="2"/>
        <v>0</v>
      </c>
      <c r="H9" s="10">
        <f t="shared" si="3"/>
        <v>0</v>
      </c>
      <c r="I9" s="12">
        <f t="shared" si="4"/>
        <v>0</v>
      </c>
    </row>
    <row r="10" spans="1:10" s="6" customFormat="1" ht="15" customHeight="1" x14ac:dyDescent="0.2">
      <c r="A10" s="11" t="s">
        <v>233</v>
      </c>
      <c r="B10" s="10">
        <v>8</v>
      </c>
      <c r="C10" s="10">
        <v>1</v>
      </c>
      <c r="D10" s="10">
        <f t="shared" si="0"/>
        <v>8</v>
      </c>
      <c r="E10" s="10">
        <f>E9*0.2</f>
        <v>0</v>
      </c>
      <c r="F10" s="10">
        <f t="shared" si="1"/>
        <v>0</v>
      </c>
      <c r="G10" s="32">
        <f t="shared" si="2"/>
        <v>0</v>
      </c>
      <c r="H10" s="32">
        <f t="shared" si="3"/>
        <v>0</v>
      </c>
      <c r="I10" s="12">
        <f t="shared" si="4"/>
        <v>0</v>
      </c>
    </row>
    <row r="11" spans="1:10" s="6" customFormat="1" ht="15" customHeight="1" x14ac:dyDescent="0.2">
      <c r="A11" s="9" t="s">
        <v>202</v>
      </c>
      <c r="B11" s="10"/>
      <c r="C11" s="10"/>
      <c r="D11" s="10"/>
      <c r="E11" s="10"/>
      <c r="F11" s="10"/>
      <c r="G11" s="10"/>
      <c r="H11" s="10"/>
      <c r="I11" s="9"/>
    </row>
    <row r="12" spans="1:10" s="6" customFormat="1" ht="15" customHeight="1" x14ac:dyDescent="0.2">
      <c r="A12" s="11" t="s">
        <v>164</v>
      </c>
      <c r="B12" s="10">
        <v>2</v>
      </c>
      <c r="C12" s="10">
        <v>2</v>
      </c>
      <c r="D12" s="10">
        <f t="shared" si="0"/>
        <v>4</v>
      </c>
      <c r="E12" s="10">
        <f>'Number of Respondents'!C34</f>
        <v>40</v>
      </c>
      <c r="F12" s="10">
        <f t="shared" si="1"/>
        <v>160</v>
      </c>
      <c r="G12" s="10">
        <f t="shared" si="2"/>
        <v>8</v>
      </c>
      <c r="H12" s="10">
        <f t="shared" si="3"/>
        <v>16</v>
      </c>
      <c r="I12" s="12">
        <f t="shared" si="4"/>
        <v>9781.2800000000007</v>
      </c>
      <c r="J12" s="84"/>
    </row>
    <row r="13" spans="1:10" s="6" customFormat="1" ht="15.75" x14ac:dyDescent="0.2">
      <c r="A13" s="14" t="s">
        <v>466</v>
      </c>
      <c r="B13" s="14"/>
      <c r="C13" s="14"/>
      <c r="D13" s="14"/>
      <c r="E13" s="14"/>
      <c r="F13" s="168">
        <f>ROUND(SUM(F5:H12),0)</f>
        <v>184</v>
      </c>
      <c r="G13" s="168"/>
      <c r="H13" s="168"/>
      <c r="I13" s="28">
        <f>ROUND(SUM(I5:I12),-1)</f>
        <v>9780</v>
      </c>
    </row>
    <row r="14" spans="1:10" s="6" customFormat="1" ht="12.75" x14ac:dyDescent="0.2"/>
    <row r="15" spans="1:10" s="6" customFormat="1" ht="12.75" x14ac:dyDescent="0.2">
      <c r="A15" s="25" t="s">
        <v>27</v>
      </c>
    </row>
    <row r="16" spans="1:10" s="6" customFormat="1" ht="35.25" customHeight="1" x14ac:dyDescent="0.2">
      <c r="A16" s="172" t="s">
        <v>525</v>
      </c>
      <c r="B16" s="172"/>
      <c r="C16" s="172"/>
      <c r="D16" s="172"/>
      <c r="E16" s="172"/>
      <c r="F16" s="172"/>
      <c r="G16" s="172"/>
      <c r="H16" s="172"/>
      <c r="I16" s="172"/>
    </row>
    <row r="17" spans="1:9" s="6" customFormat="1" ht="57" customHeight="1" x14ac:dyDescent="0.2">
      <c r="A17" s="161" t="s">
        <v>496</v>
      </c>
      <c r="B17" s="161"/>
      <c r="C17" s="161"/>
      <c r="D17" s="161"/>
      <c r="E17" s="161"/>
      <c r="F17" s="161"/>
      <c r="G17" s="161"/>
      <c r="H17" s="161"/>
      <c r="I17" s="161"/>
    </row>
    <row r="18" spans="1:9" s="6" customFormat="1" ht="18" customHeight="1" x14ac:dyDescent="0.2">
      <c r="A18" s="185" t="s">
        <v>234</v>
      </c>
      <c r="B18" s="185"/>
      <c r="C18" s="185"/>
      <c r="D18" s="185"/>
      <c r="E18" s="185"/>
      <c r="F18" s="185"/>
      <c r="G18" s="185"/>
      <c r="H18" s="185"/>
      <c r="I18" s="185"/>
    </row>
    <row r="19" spans="1:9" s="6" customFormat="1" ht="15.75" x14ac:dyDescent="0.2">
      <c r="A19" s="178" t="s">
        <v>235</v>
      </c>
      <c r="B19" s="178"/>
      <c r="C19" s="178"/>
      <c r="D19" s="178"/>
      <c r="E19" s="178"/>
      <c r="F19" s="178"/>
      <c r="G19" s="178"/>
      <c r="H19" s="178"/>
      <c r="I19" s="178"/>
    </row>
    <row r="20" spans="1:9" s="6" customFormat="1" ht="12.75" x14ac:dyDescent="0.2"/>
    <row r="21" spans="1:9" s="6" customFormat="1" ht="12.75" x14ac:dyDescent="0.2"/>
    <row r="22" spans="1:9" s="6" customFormat="1" ht="12.75" x14ac:dyDescent="0.2"/>
    <row r="23" spans="1:9" s="6" customFormat="1" ht="12.75" x14ac:dyDescent="0.2"/>
    <row r="24" spans="1:9" s="6" customFormat="1" ht="12.75" x14ac:dyDescent="0.2"/>
    <row r="25" spans="1:9" s="6" customFormat="1" ht="12.75" x14ac:dyDescent="0.2"/>
    <row r="26" spans="1:9" s="6" customFormat="1" ht="12.75" x14ac:dyDescent="0.2"/>
    <row r="27" spans="1:9" s="6" customFormat="1" ht="12.75" x14ac:dyDescent="0.2"/>
    <row r="28" spans="1:9" s="6" customFormat="1" ht="12.75" x14ac:dyDescent="0.2"/>
    <row r="29" spans="1:9" s="6" customFormat="1" ht="12.75" x14ac:dyDescent="0.2"/>
    <row r="30" spans="1:9" s="6" customFormat="1" ht="12.75" x14ac:dyDescent="0.2"/>
    <row r="31" spans="1:9" s="6" customFormat="1" ht="12.75" x14ac:dyDescent="0.2"/>
    <row r="32" spans="1:9" s="6" customFormat="1" ht="12.75" x14ac:dyDescent="0.2"/>
  </sheetData>
  <mergeCells count="6">
    <mergeCell ref="A19:I19"/>
    <mergeCell ref="A3:A4"/>
    <mergeCell ref="F13:H13"/>
    <mergeCell ref="A16:I16"/>
    <mergeCell ref="A17:I17"/>
    <mergeCell ref="A18:I18"/>
  </mergeCells>
  <pageMargins left="0.7" right="0.7" top="0.75" bottom="0.75" header="0.3" footer="0.3"/>
  <pageSetup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
  <sheetViews>
    <sheetView workbookViewId="0">
      <selection activeCell="A2" sqref="A2"/>
    </sheetView>
  </sheetViews>
  <sheetFormatPr defaultRowHeight="15" x14ac:dyDescent="0.25"/>
  <cols>
    <col min="1" max="1" width="45.140625" customWidth="1"/>
    <col min="2" max="2" width="10" customWidth="1"/>
    <col min="3" max="3" width="11.42578125" customWidth="1"/>
    <col min="4" max="4" width="9.5703125" customWidth="1"/>
    <col min="5" max="5" width="10.85546875" customWidth="1"/>
    <col min="7" max="7" width="10.28515625" customWidth="1"/>
    <col min="9" max="9" width="10.85546875" customWidth="1"/>
  </cols>
  <sheetData>
    <row r="1" spans="1:10" ht="15.75" x14ac:dyDescent="0.25">
      <c r="A1" s="35" t="s">
        <v>237</v>
      </c>
    </row>
    <row r="2" spans="1:10" s="6" customFormat="1" ht="12.75" x14ac:dyDescent="0.2">
      <c r="F2" s="86">
        <f>Labor!$A$10</f>
        <v>54.51</v>
      </c>
      <c r="G2" s="86">
        <f>Labor!$B$10</f>
        <v>73.459999999999994</v>
      </c>
      <c r="H2" s="86">
        <f>Labor!$C$10</f>
        <v>29.5</v>
      </c>
      <c r="I2" s="86"/>
    </row>
    <row r="3" spans="1:10" s="6" customFormat="1" ht="12.75" x14ac:dyDescent="0.2">
      <c r="A3" s="168" t="s">
        <v>11</v>
      </c>
      <c r="B3" s="7" t="s">
        <v>19</v>
      </c>
      <c r="C3" s="7" t="s">
        <v>20</v>
      </c>
      <c r="D3" s="7" t="s">
        <v>21</v>
      </c>
      <c r="E3" s="7" t="s">
        <v>22</v>
      </c>
      <c r="F3" s="21" t="s">
        <v>23</v>
      </c>
      <c r="G3" s="7" t="s">
        <v>24</v>
      </c>
      <c r="H3" s="7" t="s">
        <v>25</v>
      </c>
      <c r="I3" s="7" t="s">
        <v>26</v>
      </c>
    </row>
    <row r="4" spans="1:10" s="6" customFormat="1" ht="63.75" x14ac:dyDescent="0.2">
      <c r="A4" s="168"/>
      <c r="B4" s="8" t="s">
        <v>212</v>
      </c>
      <c r="C4" s="8" t="s">
        <v>89</v>
      </c>
      <c r="D4" s="8" t="s">
        <v>208</v>
      </c>
      <c r="E4" s="8" t="s">
        <v>209</v>
      </c>
      <c r="F4" s="8" t="s">
        <v>91</v>
      </c>
      <c r="G4" s="8" t="s">
        <v>92</v>
      </c>
      <c r="H4" s="8" t="s">
        <v>93</v>
      </c>
      <c r="I4" s="8" t="s">
        <v>223</v>
      </c>
    </row>
    <row r="5" spans="1:10" s="6" customFormat="1" ht="15" customHeight="1" x14ac:dyDescent="0.2">
      <c r="A5" s="9" t="s">
        <v>200</v>
      </c>
      <c r="B5" s="10"/>
      <c r="C5" s="10"/>
      <c r="D5" s="10"/>
      <c r="E5" s="10"/>
      <c r="F5" s="10"/>
      <c r="G5" s="10"/>
      <c r="H5" s="10"/>
      <c r="I5" s="9" t="s">
        <v>15</v>
      </c>
    </row>
    <row r="6" spans="1:10" s="6" customFormat="1" ht="15" customHeight="1" x14ac:dyDescent="0.2">
      <c r="A6" s="11" t="s">
        <v>232</v>
      </c>
      <c r="B6" s="10">
        <v>2</v>
      </c>
      <c r="C6" s="10">
        <v>1</v>
      </c>
      <c r="D6" s="10">
        <f>B6*C6</f>
        <v>2</v>
      </c>
      <c r="E6" s="10">
        <f>'Number of Respondents'!B$39</f>
        <v>0</v>
      </c>
      <c r="F6" s="10">
        <f>D6*E6</f>
        <v>0</v>
      </c>
      <c r="G6" s="10">
        <f>F6*0.05</f>
        <v>0</v>
      </c>
      <c r="H6" s="10">
        <f>F6*0.1</f>
        <v>0</v>
      </c>
      <c r="I6" s="12">
        <f>$F$2*F6+$G$2*G6+$H$2*H6</f>
        <v>0</v>
      </c>
      <c r="J6" s="84"/>
    </row>
    <row r="7" spans="1:10" s="6" customFormat="1" ht="15" customHeight="1" x14ac:dyDescent="0.2">
      <c r="A7" s="11" t="s">
        <v>147</v>
      </c>
      <c r="B7" s="10">
        <v>2</v>
      </c>
      <c r="C7" s="10">
        <v>1</v>
      </c>
      <c r="D7" s="10">
        <f t="shared" ref="D7:D11" si="0">B7*C7</f>
        <v>2</v>
      </c>
      <c r="E7" s="10">
        <f>'Number of Respondents'!B$39</f>
        <v>0</v>
      </c>
      <c r="F7" s="10">
        <f t="shared" ref="F7:F11" si="1">D7*E7</f>
        <v>0</v>
      </c>
      <c r="G7" s="10">
        <f t="shared" ref="G7:G11" si="2">F7*0.05</f>
        <v>0</v>
      </c>
      <c r="H7" s="10">
        <f t="shared" ref="H7:H11" si="3">F7*0.1</f>
        <v>0</v>
      </c>
      <c r="I7" s="12">
        <f t="shared" ref="I7:I11" si="4">$F$2*F7+$G$2*G7+$H$2*H7</f>
        <v>0</v>
      </c>
    </row>
    <row r="8" spans="1:10" s="6" customFormat="1" ht="15" customHeight="1" x14ac:dyDescent="0.2">
      <c r="A8" s="11" t="s">
        <v>183</v>
      </c>
      <c r="B8" s="10">
        <v>8</v>
      </c>
      <c r="C8" s="10">
        <v>1</v>
      </c>
      <c r="D8" s="10">
        <f t="shared" si="0"/>
        <v>8</v>
      </c>
      <c r="E8" s="10">
        <f>'Number of Respondents'!B$39</f>
        <v>0</v>
      </c>
      <c r="F8" s="13">
        <f t="shared" si="1"/>
        <v>0</v>
      </c>
      <c r="G8" s="10">
        <f t="shared" si="2"/>
        <v>0</v>
      </c>
      <c r="H8" s="10">
        <f t="shared" si="3"/>
        <v>0</v>
      </c>
      <c r="I8" s="12">
        <f t="shared" si="4"/>
        <v>0</v>
      </c>
    </row>
    <row r="9" spans="1:10" s="6" customFormat="1" ht="15" customHeight="1" x14ac:dyDescent="0.2">
      <c r="A9" s="11" t="s">
        <v>233</v>
      </c>
      <c r="B9" s="10">
        <v>8</v>
      </c>
      <c r="C9" s="10">
        <v>1</v>
      </c>
      <c r="D9" s="10">
        <f t="shared" si="0"/>
        <v>8</v>
      </c>
      <c r="E9" s="33">
        <f>ROUND(E8*0.2,0)</f>
        <v>0</v>
      </c>
      <c r="F9" s="10">
        <f>D9*E9</f>
        <v>0</v>
      </c>
      <c r="G9" s="10">
        <f t="shared" si="2"/>
        <v>0</v>
      </c>
      <c r="H9" s="10">
        <f t="shared" si="3"/>
        <v>0</v>
      </c>
      <c r="I9" s="12">
        <f t="shared" si="4"/>
        <v>0</v>
      </c>
    </row>
    <row r="10" spans="1:10" s="6" customFormat="1" ht="15" customHeight="1" x14ac:dyDescent="0.2">
      <c r="A10" s="9" t="s">
        <v>202</v>
      </c>
      <c r="B10" s="10"/>
      <c r="C10" s="10"/>
      <c r="D10" s="10"/>
      <c r="E10" s="10"/>
      <c r="F10" s="10"/>
      <c r="G10" s="10"/>
      <c r="H10" s="10"/>
      <c r="I10" s="9"/>
    </row>
    <row r="11" spans="1:10" s="6" customFormat="1" ht="15" customHeight="1" x14ac:dyDescent="0.2">
      <c r="A11" s="11" t="s">
        <v>164</v>
      </c>
      <c r="B11" s="10">
        <v>2</v>
      </c>
      <c r="C11" s="10">
        <v>2</v>
      </c>
      <c r="D11" s="10">
        <f t="shared" si="0"/>
        <v>4</v>
      </c>
      <c r="E11" s="13">
        <f>'Number of Respondents'!C39</f>
        <v>136</v>
      </c>
      <c r="F11" s="13">
        <f t="shared" si="1"/>
        <v>544</v>
      </c>
      <c r="G11" s="10">
        <f t="shared" si="2"/>
        <v>27.200000000000003</v>
      </c>
      <c r="H11" s="10">
        <f t="shared" si="3"/>
        <v>54.400000000000006</v>
      </c>
      <c r="I11" s="12">
        <f t="shared" si="4"/>
        <v>33256.351999999999</v>
      </c>
      <c r="J11" s="84"/>
    </row>
    <row r="12" spans="1:10" s="6" customFormat="1" ht="15.75" x14ac:dyDescent="0.2">
      <c r="A12" s="14" t="s">
        <v>466</v>
      </c>
      <c r="B12" s="14"/>
      <c r="C12" s="14"/>
      <c r="D12" s="14"/>
      <c r="E12" s="14"/>
      <c r="F12" s="177">
        <f>ROUND(SUM(F5:H11),0)</f>
        <v>626</v>
      </c>
      <c r="G12" s="177"/>
      <c r="H12" s="177"/>
      <c r="I12" s="28">
        <f>ROUND(SUM(I5:I11),-2)</f>
        <v>33300</v>
      </c>
    </row>
    <row r="13" spans="1:10" s="6" customFormat="1" ht="12.75" x14ac:dyDescent="0.2"/>
    <row r="14" spans="1:10" s="6" customFormat="1" ht="12.75" x14ac:dyDescent="0.2">
      <c r="A14" s="25" t="s">
        <v>27</v>
      </c>
    </row>
    <row r="15" spans="1:10" s="6" customFormat="1" ht="43.5" customHeight="1" x14ac:dyDescent="0.2">
      <c r="A15" s="172" t="s">
        <v>526</v>
      </c>
      <c r="B15" s="172"/>
      <c r="C15" s="172"/>
      <c r="D15" s="172"/>
      <c r="E15" s="172"/>
      <c r="F15" s="172"/>
      <c r="G15" s="172"/>
      <c r="H15" s="172"/>
      <c r="I15" s="172"/>
    </row>
    <row r="16" spans="1:10" s="6" customFormat="1" ht="56.45" customHeight="1" x14ac:dyDescent="0.2">
      <c r="A16" s="161" t="s">
        <v>496</v>
      </c>
      <c r="B16" s="161"/>
      <c r="C16" s="161"/>
      <c r="D16" s="161"/>
      <c r="E16" s="161"/>
      <c r="F16" s="161"/>
      <c r="G16" s="161"/>
      <c r="H16" s="161"/>
      <c r="I16" s="161"/>
    </row>
    <row r="17" spans="1:11" s="6" customFormat="1" ht="20.25" customHeight="1" x14ac:dyDescent="0.2">
      <c r="A17" s="172" t="s">
        <v>234</v>
      </c>
      <c r="B17" s="172"/>
      <c r="C17" s="172"/>
      <c r="D17" s="172"/>
      <c r="E17" s="172"/>
      <c r="F17" s="172"/>
      <c r="G17" s="172"/>
      <c r="H17" s="172"/>
      <c r="I17" s="172"/>
      <c r="J17" s="84"/>
      <c r="K17" s="84"/>
    </row>
    <row r="18" spans="1:11" s="6" customFormat="1" ht="21" customHeight="1" x14ac:dyDescent="0.2">
      <c r="A18" s="161" t="s">
        <v>235</v>
      </c>
      <c r="B18" s="161"/>
      <c r="C18" s="161"/>
      <c r="D18" s="161"/>
      <c r="E18" s="161"/>
      <c r="F18" s="161"/>
      <c r="G18" s="161"/>
      <c r="H18" s="161"/>
      <c r="I18" s="161"/>
    </row>
    <row r="19" spans="1:11" s="6" customFormat="1" ht="12.75" x14ac:dyDescent="0.2"/>
    <row r="20" spans="1:11" s="6" customFormat="1" ht="12.75" x14ac:dyDescent="0.2"/>
    <row r="21" spans="1:11" s="6" customFormat="1" ht="12.75" x14ac:dyDescent="0.2"/>
  </sheetData>
  <mergeCells count="6">
    <mergeCell ref="A18:I18"/>
    <mergeCell ref="A3:A4"/>
    <mergeCell ref="F12:H12"/>
    <mergeCell ref="A15:I15"/>
    <mergeCell ref="A16:I16"/>
    <mergeCell ref="A17:I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5E73-015D-4C26-B3E3-1462F9EB08A4}">
  <dimension ref="A1:K8"/>
  <sheetViews>
    <sheetView workbookViewId="0">
      <selection activeCell="N3" sqref="N3"/>
    </sheetView>
  </sheetViews>
  <sheetFormatPr defaultRowHeight="15" x14ac:dyDescent="0.25"/>
  <sheetData>
    <row r="1" spans="1:11" ht="18.75" x14ac:dyDescent="0.3">
      <c r="A1" s="128" t="s">
        <v>483</v>
      </c>
    </row>
    <row r="2" spans="1:11" ht="110.25" customHeight="1" x14ac:dyDescent="0.25">
      <c r="A2" s="155" t="s">
        <v>481</v>
      </c>
      <c r="B2" s="155"/>
      <c r="C2" s="155"/>
      <c r="D2" s="155"/>
      <c r="E2" s="155"/>
      <c r="F2" s="155"/>
      <c r="G2" s="155"/>
      <c r="H2" s="155"/>
      <c r="I2" s="155"/>
      <c r="J2" s="155"/>
      <c r="K2" s="155"/>
    </row>
    <row r="3" spans="1:11" ht="198.75" customHeight="1" x14ac:dyDescent="0.25">
      <c r="A3" s="156" t="s">
        <v>505</v>
      </c>
      <c r="B3" s="156"/>
      <c r="C3" s="156"/>
      <c r="D3" s="156"/>
      <c r="E3" s="156"/>
      <c r="F3" s="156"/>
      <c r="G3" s="156"/>
      <c r="H3" s="156"/>
      <c r="I3" s="156"/>
      <c r="J3" s="156"/>
      <c r="K3" s="156"/>
    </row>
    <row r="4" spans="1:11" ht="15.75" x14ac:dyDescent="0.25">
      <c r="A4" s="125"/>
    </row>
    <row r="5" spans="1:11" ht="15.75" x14ac:dyDescent="0.25">
      <c r="A5" s="125"/>
    </row>
    <row r="6" spans="1:11" ht="15.75" x14ac:dyDescent="0.25">
      <c r="A6" s="125"/>
    </row>
    <row r="7" spans="1:11" ht="15.75" x14ac:dyDescent="0.25">
      <c r="A7" s="125"/>
    </row>
    <row r="8" spans="1:11" x14ac:dyDescent="0.25">
      <c r="A8" s="126"/>
    </row>
  </sheetData>
  <mergeCells count="2">
    <mergeCell ref="A2:K2"/>
    <mergeCell ref="A3:K3"/>
  </mergeCells>
  <pageMargins left="0.7" right="0.7" top="0.75" bottom="0.75" header="0.3" footer="0.3"/>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8"/>
  <sheetViews>
    <sheetView workbookViewId="0">
      <selection activeCell="A2" sqref="A2"/>
    </sheetView>
  </sheetViews>
  <sheetFormatPr defaultRowHeight="15" x14ac:dyDescent="0.25"/>
  <cols>
    <col min="1" max="1" width="41.7109375" customWidth="1"/>
    <col min="2" max="2" width="10" customWidth="1"/>
    <col min="3" max="3" width="11" customWidth="1"/>
    <col min="4" max="4" width="9.5703125" customWidth="1"/>
    <col min="5" max="5" width="10.5703125" customWidth="1"/>
    <col min="7" max="7" width="10.28515625" customWidth="1"/>
    <col min="9" max="9" width="10.140625" customWidth="1"/>
  </cols>
  <sheetData>
    <row r="1" spans="1:10" ht="15.75" x14ac:dyDescent="0.25">
      <c r="A1" s="35" t="s">
        <v>238</v>
      </c>
    </row>
    <row r="2" spans="1:10" x14ac:dyDescent="0.25">
      <c r="F2" s="86">
        <f>Labor!$A$10</f>
        <v>54.51</v>
      </c>
      <c r="G2" s="86">
        <f>Labor!$B$10</f>
        <v>73.459999999999994</v>
      </c>
      <c r="H2" s="86">
        <f>Labor!$C$10</f>
        <v>29.5</v>
      </c>
      <c r="I2" s="86"/>
    </row>
    <row r="3" spans="1:10" x14ac:dyDescent="0.25">
      <c r="A3" s="168" t="s">
        <v>11</v>
      </c>
      <c r="B3" s="7" t="s">
        <v>19</v>
      </c>
      <c r="C3" s="7" t="s">
        <v>20</v>
      </c>
      <c r="D3" s="7" t="s">
        <v>21</v>
      </c>
      <c r="E3" s="7" t="s">
        <v>22</v>
      </c>
      <c r="F3" s="21" t="s">
        <v>23</v>
      </c>
      <c r="G3" s="7" t="s">
        <v>24</v>
      </c>
      <c r="H3" s="7" t="s">
        <v>25</v>
      </c>
      <c r="I3" s="7" t="s">
        <v>26</v>
      </c>
    </row>
    <row r="4" spans="1:10" ht="63.75" x14ac:dyDescent="0.25">
      <c r="A4" s="168"/>
      <c r="B4" s="8" t="s">
        <v>212</v>
      </c>
      <c r="C4" s="8" t="s">
        <v>89</v>
      </c>
      <c r="D4" s="8" t="s">
        <v>208</v>
      </c>
      <c r="E4" s="8" t="s">
        <v>209</v>
      </c>
      <c r="F4" s="8" t="s">
        <v>91</v>
      </c>
      <c r="G4" s="8" t="s">
        <v>92</v>
      </c>
      <c r="H4" s="8" t="s">
        <v>93</v>
      </c>
      <c r="I4" s="8" t="s">
        <v>223</v>
      </c>
    </row>
    <row r="5" spans="1:10" ht="15" customHeight="1" x14ac:dyDescent="0.25">
      <c r="A5" s="9" t="s">
        <v>200</v>
      </c>
      <c r="B5" s="10"/>
      <c r="C5" s="10"/>
      <c r="D5" s="10"/>
      <c r="E5" s="10"/>
      <c r="F5" s="10"/>
      <c r="G5" s="10"/>
      <c r="H5" s="10"/>
      <c r="I5" s="9" t="s">
        <v>15</v>
      </c>
    </row>
    <row r="6" spans="1:10" ht="15" customHeight="1" x14ac:dyDescent="0.25">
      <c r="A6" s="11" t="s">
        <v>232</v>
      </c>
      <c r="B6" s="10">
        <v>2</v>
      </c>
      <c r="C6" s="10">
        <v>1</v>
      </c>
      <c r="D6" s="10">
        <f>B6*C6</f>
        <v>2</v>
      </c>
      <c r="E6" s="10">
        <f>'Number of Respondents'!B$44</f>
        <v>0</v>
      </c>
      <c r="F6" s="10">
        <f>D6*E6</f>
        <v>0</v>
      </c>
      <c r="G6" s="10">
        <f>F6*0.05</f>
        <v>0</v>
      </c>
      <c r="H6" s="10">
        <f>F6*0.1</f>
        <v>0</v>
      </c>
      <c r="I6" s="12">
        <f>$F$2*F6+$G$2*G6+$H$2*H6</f>
        <v>0</v>
      </c>
      <c r="J6" s="81"/>
    </row>
    <row r="7" spans="1:10" ht="15" customHeight="1" x14ac:dyDescent="0.25">
      <c r="A7" s="11" t="s">
        <v>147</v>
      </c>
      <c r="B7" s="10">
        <v>2</v>
      </c>
      <c r="C7" s="10">
        <v>1</v>
      </c>
      <c r="D7" s="10">
        <f t="shared" ref="D7:D11" si="0">B7*C7</f>
        <v>2</v>
      </c>
      <c r="E7" s="10">
        <f>'Number of Respondents'!B$44</f>
        <v>0</v>
      </c>
      <c r="F7" s="10">
        <f t="shared" ref="F7:F9" si="1">D7*E7</f>
        <v>0</v>
      </c>
      <c r="G7" s="10">
        <f t="shared" ref="G7:G11" si="2">F7*0.05</f>
        <v>0</v>
      </c>
      <c r="H7" s="10">
        <f t="shared" ref="H7:H11" si="3">F7*0.1</f>
        <v>0</v>
      </c>
      <c r="I7" s="12">
        <f t="shared" ref="I7:I11" si="4">$F$2*F7+$G$2*G7+$H$2*H7</f>
        <v>0</v>
      </c>
    </row>
    <row r="8" spans="1:10" ht="15" customHeight="1" x14ac:dyDescent="0.25">
      <c r="A8" s="11" t="s">
        <v>183</v>
      </c>
      <c r="B8" s="10">
        <v>8</v>
      </c>
      <c r="C8" s="10">
        <v>1</v>
      </c>
      <c r="D8" s="10">
        <f t="shared" si="0"/>
        <v>8</v>
      </c>
      <c r="E8" s="10">
        <f>'Number of Respondents'!B$44</f>
        <v>0</v>
      </c>
      <c r="F8" s="10">
        <f t="shared" si="1"/>
        <v>0</v>
      </c>
      <c r="G8" s="10">
        <f t="shared" si="2"/>
        <v>0</v>
      </c>
      <c r="H8" s="10">
        <f t="shared" si="3"/>
        <v>0</v>
      </c>
      <c r="I8" s="12">
        <f t="shared" si="4"/>
        <v>0</v>
      </c>
    </row>
    <row r="9" spans="1:10" ht="15" customHeight="1" x14ac:dyDescent="0.25">
      <c r="A9" s="11" t="s">
        <v>233</v>
      </c>
      <c r="B9" s="10">
        <v>8</v>
      </c>
      <c r="C9" s="10">
        <v>1</v>
      </c>
      <c r="D9" s="10">
        <f t="shared" si="0"/>
        <v>8</v>
      </c>
      <c r="E9" s="10">
        <f>E8*0.2</f>
        <v>0</v>
      </c>
      <c r="F9" s="10">
        <f t="shared" si="1"/>
        <v>0</v>
      </c>
      <c r="G9" s="10">
        <f t="shared" si="2"/>
        <v>0</v>
      </c>
      <c r="H9" s="10">
        <f t="shared" si="3"/>
        <v>0</v>
      </c>
      <c r="I9" s="12">
        <f t="shared" si="4"/>
        <v>0</v>
      </c>
    </row>
    <row r="10" spans="1:10" ht="15" customHeight="1" x14ac:dyDescent="0.25">
      <c r="A10" s="9" t="s">
        <v>202</v>
      </c>
      <c r="B10" s="10"/>
      <c r="C10" s="10"/>
      <c r="D10" s="10"/>
      <c r="E10" s="10"/>
      <c r="F10" s="10"/>
      <c r="G10" s="10"/>
      <c r="H10" s="10"/>
      <c r="I10" s="9"/>
    </row>
    <row r="11" spans="1:10" ht="15" customHeight="1" x14ac:dyDescent="0.25">
      <c r="A11" s="11" t="s">
        <v>164</v>
      </c>
      <c r="B11" s="10">
        <v>2</v>
      </c>
      <c r="C11" s="10">
        <v>2</v>
      </c>
      <c r="D11" s="10">
        <f t="shared" si="0"/>
        <v>4</v>
      </c>
      <c r="E11" s="10">
        <f>'Number of Respondents'!C44</f>
        <v>74</v>
      </c>
      <c r="F11" s="13">
        <f>D11*E11</f>
        <v>296</v>
      </c>
      <c r="G11" s="10">
        <f t="shared" si="2"/>
        <v>14.8</v>
      </c>
      <c r="H11" s="10">
        <f t="shared" si="3"/>
        <v>29.6</v>
      </c>
      <c r="I11" s="12">
        <f t="shared" si="4"/>
        <v>18095.367999999999</v>
      </c>
      <c r="J11" s="81"/>
    </row>
    <row r="12" spans="1:10" ht="15" customHeight="1" x14ac:dyDescent="0.25">
      <c r="A12" s="14" t="s">
        <v>466</v>
      </c>
      <c r="B12" s="14"/>
      <c r="C12" s="14"/>
      <c r="D12" s="14"/>
      <c r="E12" s="14"/>
      <c r="F12" s="177">
        <f>ROUND(SUM(F5:H11),-1)</f>
        <v>340</v>
      </c>
      <c r="G12" s="177"/>
      <c r="H12" s="177"/>
      <c r="I12" s="28">
        <f>ROUND(SUM(I5:I11),-2)</f>
        <v>18100</v>
      </c>
    </row>
    <row r="14" spans="1:10" x14ac:dyDescent="0.25">
      <c r="A14" s="25" t="s">
        <v>27</v>
      </c>
    </row>
    <row r="15" spans="1:10" ht="31.5" customHeight="1" x14ac:dyDescent="0.25">
      <c r="A15" s="161" t="s">
        <v>527</v>
      </c>
      <c r="B15" s="161"/>
      <c r="C15" s="161"/>
      <c r="D15" s="161"/>
      <c r="E15" s="161"/>
      <c r="F15" s="161"/>
      <c r="G15" s="161"/>
      <c r="H15" s="161"/>
      <c r="I15" s="161"/>
    </row>
    <row r="16" spans="1:10" ht="57" customHeight="1" x14ac:dyDescent="0.25">
      <c r="A16" s="161" t="s">
        <v>496</v>
      </c>
      <c r="B16" s="161"/>
      <c r="C16" s="161"/>
      <c r="D16" s="161"/>
      <c r="E16" s="161"/>
      <c r="F16" s="161"/>
      <c r="G16" s="161"/>
      <c r="H16" s="161"/>
      <c r="I16" s="161"/>
    </row>
    <row r="17" spans="1:9" ht="19.5" customHeight="1" x14ac:dyDescent="0.25">
      <c r="A17" s="161" t="s">
        <v>442</v>
      </c>
      <c r="B17" s="161"/>
      <c r="C17" s="161"/>
      <c r="D17" s="161"/>
      <c r="E17" s="161"/>
      <c r="F17" s="161"/>
      <c r="G17" s="161"/>
      <c r="H17" s="161"/>
      <c r="I17" s="161"/>
    </row>
    <row r="18" spans="1:9" ht="18.75" customHeight="1" x14ac:dyDescent="0.25">
      <c r="A18" s="161" t="s">
        <v>235</v>
      </c>
      <c r="B18" s="161"/>
      <c r="C18" s="161"/>
      <c r="D18" s="161"/>
      <c r="E18" s="161"/>
      <c r="F18" s="161"/>
      <c r="G18" s="161"/>
      <c r="H18" s="161"/>
      <c r="I18" s="161"/>
    </row>
  </sheetData>
  <mergeCells count="6">
    <mergeCell ref="A18:I18"/>
    <mergeCell ref="F12:H12"/>
    <mergeCell ref="A3:A4"/>
    <mergeCell ref="A15:I15"/>
    <mergeCell ref="A16:I16"/>
    <mergeCell ref="A17:I17"/>
  </mergeCells>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2"/>
  <sheetViews>
    <sheetView workbookViewId="0">
      <selection activeCell="A2" sqref="A2"/>
    </sheetView>
  </sheetViews>
  <sheetFormatPr defaultRowHeight="15" x14ac:dyDescent="0.25"/>
  <cols>
    <col min="1" max="1" width="42.85546875" customWidth="1"/>
    <col min="2" max="3" width="10.5703125" customWidth="1"/>
    <col min="4" max="4" width="10" customWidth="1"/>
    <col min="5" max="5" width="11" customWidth="1"/>
    <col min="7" max="7" width="10" customWidth="1"/>
    <col min="9" max="9" width="10.28515625" bestFit="1" customWidth="1"/>
  </cols>
  <sheetData>
    <row r="1" spans="1:9" ht="15.75" x14ac:dyDescent="0.25">
      <c r="A1" s="35" t="s">
        <v>239</v>
      </c>
    </row>
    <row r="2" spans="1:9" x14ac:dyDescent="0.25">
      <c r="F2" s="86">
        <f>Labor!$A$10</f>
        <v>54.51</v>
      </c>
      <c r="G2" s="86">
        <f>Labor!$B$10</f>
        <v>73.459999999999994</v>
      </c>
      <c r="H2" s="86">
        <f>Labor!$C$10</f>
        <v>29.5</v>
      </c>
      <c r="I2" s="86"/>
    </row>
    <row r="3" spans="1:9" x14ac:dyDescent="0.25">
      <c r="A3" s="168" t="s">
        <v>11</v>
      </c>
      <c r="B3" s="7" t="s">
        <v>19</v>
      </c>
      <c r="C3" s="7" t="s">
        <v>20</v>
      </c>
      <c r="D3" s="7" t="s">
        <v>21</v>
      </c>
      <c r="E3" s="7" t="s">
        <v>22</v>
      </c>
      <c r="F3" s="21" t="s">
        <v>23</v>
      </c>
      <c r="G3" s="7" t="s">
        <v>24</v>
      </c>
      <c r="H3" s="7" t="s">
        <v>25</v>
      </c>
      <c r="I3" s="7" t="s">
        <v>26</v>
      </c>
    </row>
    <row r="4" spans="1:9" ht="63.75" x14ac:dyDescent="0.25">
      <c r="A4" s="168"/>
      <c r="B4" s="8" t="s">
        <v>212</v>
      </c>
      <c r="C4" s="8" t="s">
        <v>89</v>
      </c>
      <c r="D4" s="8" t="s">
        <v>208</v>
      </c>
      <c r="E4" s="8" t="s">
        <v>209</v>
      </c>
      <c r="F4" s="8" t="s">
        <v>91</v>
      </c>
      <c r="G4" s="8" t="s">
        <v>92</v>
      </c>
      <c r="H4" s="8" t="s">
        <v>93</v>
      </c>
      <c r="I4" s="8" t="s">
        <v>223</v>
      </c>
    </row>
    <row r="5" spans="1:9" ht="15" customHeight="1" x14ac:dyDescent="0.25">
      <c r="A5" s="9" t="s">
        <v>200</v>
      </c>
      <c r="B5" s="10"/>
      <c r="C5" s="10"/>
      <c r="D5" s="10"/>
      <c r="E5" s="10"/>
      <c r="F5" s="10"/>
      <c r="G5" s="10"/>
      <c r="H5" s="10"/>
      <c r="I5" s="9" t="s">
        <v>15</v>
      </c>
    </row>
    <row r="6" spans="1:9" ht="15" customHeight="1" x14ac:dyDescent="0.25">
      <c r="A6" s="11" t="s">
        <v>146</v>
      </c>
      <c r="B6" s="10">
        <v>0.5</v>
      </c>
      <c r="C6" s="10">
        <v>1</v>
      </c>
      <c r="D6" s="10">
        <f>B6*C6</f>
        <v>0.5</v>
      </c>
      <c r="E6" s="10">
        <f>'Number of Respondents'!B$49</f>
        <v>0</v>
      </c>
      <c r="F6" s="10">
        <f>D6*E6</f>
        <v>0</v>
      </c>
      <c r="G6" s="10">
        <f>F6*0.05</f>
        <v>0</v>
      </c>
      <c r="H6" s="10">
        <f>F6*0.1</f>
        <v>0</v>
      </c>
      <c r="I6" s="53">
        <f>$F$2*F6+$G$2*G6+$H$2*H6</f>
        <v>0</v>
      </c>
    </row>
    <row r="7" spans="1:9" ht="15" customHeight="1" x14ac:dyDescent="0.25">
      <c r="A7" s="11" t="s">
        <v>170</v>
      </c>
      <c r="B7" s="10">
        <v>0.5</v>
      </c>
      <c r="C7" s="10">
        <v>1</v>
      </c>
      <c r="D7" s="10">
        <f t="shared" ref="D7:D16" si="0">B7*C7</f>
        <v>0.5</v>
      </c>
      <c r="E7" s="10">
        <f>'Number of Respondents'!B$49</f>
        <v>0</v>
      </c>
      <c r="F7" s="10">
        <f t="shared" ref="F7:F16" si="1">D7*E7</f>
        <v>0</v>
      </c>
      <c r="G7" s="10">
        <f t="shared" ref="G7:G16" si="2">F7*0.05</f>
        <v>0</v>
      </c>
      <c r="H7" s="10">
        <f t="shared" ref="H7:H16" si="3">F7*0.1</f>
        <v>0</v>
      </c>
      <c r="I7" s="53">
        <f t="shared" ref="I7:I16" si="4">$F$2*F7+$G$2*G7+$H$2*H7</f>
        <v>0</v>
      </c>
    </row>
    <row r="8" spans="1:9" ht="15" customHeight="1" x14ac:dyDescent="0.25">
      <c r="A8" s="11" t="s">
        <v>147</v>
      </c>
      <c r="B8" s="10">
        <v>0.5</v>
      </c>
      <c r="C8" s="10">
        <v>1</v>
      </c>
      <c r="D8" s="10">
        <f t="shared" si="0"/>
        <v>0.5</v>
      </c>
      <c r="E8" s="10">
        <f>'Number of Respondents'!B$49</f>
        <v>0</v>
      </c>
      <c r="F8" s="10">
        <f t="shared" si="1"/>
        <v>0</v>
      </c>
      <c r="G8" s="10">
        <f t="shared" si="2"/>
        <v>0</v>
      </c>
      <c r="H8" s="10">
        <f t="shared" si="3"/>
        <v>0</v>
      </c>
      <c r="I8" s="53">
        <f t="shared" si="4"/>
        <v>0</v>
      </c>
    </row>
    <row r="9" spans="1:9" ht="15" customHeight="1" x14ac:dyDescent="0.25">
      <c r="A9" s="11" t="s">
        <v>186</v>
      </c>
      <c r="B9" s="10">
        <v>8</v>
      </c>
      <c r="C9" s="10">
        <v>1</v>
      </c>
      <c r="D9" s="10">
        <f t="shared" si="0"/>
        <v>8</v>
      </c>
      <c r="E9" s="10">
        <f>'Number of Respondents'!B$49</f>
        <v>0</v>
      </c>
      <c r="F9" s="10">
        <f t="shared" si="1"/>
        <v>0</v>
      </c>
      <c r="G9" s="10">
        <f t="shared" si="2"/>
        <v>0</v>
      </c>
      <c r="H9" s="10">
        <f t="shared" si="3"/>
        <v>0</v>
      </c>
      <c r="I9" s="53">
        <f t="shared" si="4"/>
        <v>0</v>
      </c>
    </row>
    <row r="10" spans="1:9" ht="15" customHeight="1" x14ac:dyDescent="0.25">
      <c r="A10" s="11" t="s">
        <v>171</v>
      </c>
      <c r="B10" s="10">
        <v>0.5</v>
      </c>
      <c r="C10" s="10">
        <v>1</v>
      </c>
      <c r="D10" s="10">
        <f t="shared" si="0"/>
        <v>0.5</v>
      </c>
      <c r="E10" s="10">
        <f>'Number of Respondents'!B$49</f>
        <v>0</v>
      </c>
      <c r="F10" s="10">
        <f t="shared" si="1"/>
        <v>0</v>
      </c>
      <c r="G10" s="10">
        <f t="shared" si="2"/>
        <v>0</v>
      </c>
      <c r="H10" s="10">
        <f t="shared" si="3"/>
        <v>0</v>
      </c>
      <c r="I10" s="53">
        <f t="shared" si="4"/>
        <v>0</v>
      </c>
    </row>
    <row r="11" spans="1:9" ht="15" customHeight="1" x14ac:dyDescent="0.25">
      <c r="A11" s="11" t="s">
        <v>172</v>
      </c>
      <c r="B11" s="10">
        <v>4</v>
      </c>
      <c r="C11" s="10">
        <v>1</v>
      </c>
      <c r="D11" s="10">
        <f t="shared" si="0"/>
        <v>4</v>
      </c>
      <c r="E11" s="10">
        <f>'Number of Respondents'!B$49</f>
        <v>0</v>
      </c>
      <c r="F11" s="10">
        <f t="shared" si="1"/>
        <v>0</v>
      </c>
      <c r="G11" s="10">
        <f t="shared" si="2"/>
        <v>0</v>
      </c>
      <c r="H11" s="10">
        <f t="shared" si="3"/>
        <v>0</v>
      </c>
      <c r="I11" s="53">
        <f t="shared" si="4"/>
        <v>0</v>
      </c>
    </row>
    <row r="12" spans="1:9" ht="15" customHeight="1" x14ac:dyDescent="0.25">
      <c r="A12" s="11" t="s">
        <v>173</v>
      </c>
      <c r="B12" s="10">
        <v>0.5</v>
      </c>
      <c r="C12" s="10">
        <v>1</v>
      </c>
      <c r="D12" s="10">
        <f t="shared" si="0"/>
        <v>0.5</v>
      </c>
      <c r="E12" s="10">
        <f>'Number of Respondents'!B$49</f>
        <v>0</v>
      </c>
      <c r="F12" s="10">
        <f t="shared" si="1"/>
        <v>0</v>
      </c>
      <c r="G12" s="10">
        <f t="shared" si="2"/>
        <v>0</v>
      </c>
      <c r="H12" s="10">
        <f t="shared" si="3"/>
        <v>0</v>
      </c>
      <c r="I12" s="53">
        <f t="shared" si="4"/>
        <v>0</v>
      </c>
    </row>
    <row r="13" spans="1:9" ht="15" customHeight="1" x14ac:dyDescent="0.25">
      <c r="A13" s="11" t="s">
        <v>174</v>
      </c>
      <c r="B13" s="10">
        <v>8</v>
      </c>
      <c r="C13" s="10">
        <v>1</v>
      </c>
      <c r="D13" s="10">
        <f t="shared" si="0"/>
        <v>8</v>
      </c>
      <c r="E13" s="10">
        <f>'Number of Respondents'!B$49</f>
        <v>0</v>
      </c>
      <c r="F13" s="10">
        <f t="shared" si="1"/>
        <v>0</v>
      </c>
      <c r="G13" s="10">
        <f t="shared" si="2"/>
        <v>0</v>
      </c>
      <c r="H13" s="10">
        <f t="shared" si="3"/>
        <v>0</v>
      </c>
      <c r="I13" s="53">
        <f t="shared" si="4"/>
        <v>0</v>
      </c>
    </row>
    <row r="14" spans="1:9" ht="15" customHeight="1" x14ac:dyDescent="0.25">
      <c r="A14" s="11" t="s">
        <v>221</v>
      </c>
      <c r="B14" s="10">
        <v>8</v>
      </c>
      <c r="C14" s="10">
        <v>1</v>
      </c>
      <c r="D14" s="10">
        <f t="shared" si="0"/>
        <v>8</v>
      </c>
      <c r="E14" s="10">
        <f>'Number of Respondents'!B$49</f>
        <v>0</v>
      </c>
      <c r="F14" s="10">
        <f t="shared" si="1"/>
        <v>0</v>
      </c>
      <c r="G14" s="10">
        <f t="shared" si="2"/>
        <v>0</v>
      </c>
      <c r="H14" s="10">
        <f t="shared" si="3"/>
        <v>0</v>
      </c>
      <c r="I14" s="53">
        <f t="shared" si="4"/>
        <v>0</v>
      </c>
    </row>
    <row r="15" spans="1:9" ht="15" customHeight="1" x14ac:dyDescent="0.25">
      <c r="A15" s="9" t="s">
        <v>202</v>
      </c>
      <c r="B15" s="10"/>
      <c r="C15" s="10"/>
      <c r="D15" s="10"/>
      <c r="E15" s="10"/>
      <c r="F15" s="10"/>
      <c r="G15" s="10"/>
      <c r="H15" s="10"/>
      <c r="I15" s="9"/>
    </row>
    <row r="16" spans="1:9" ht="15" customHeight="1" x14ac:dyDescent="0.25">
      <c r="A16" s="11" t="s">
        <v>240</v>
      </c>
      <c r="B16" s="10">
        <v>2</v>
      </c>
      <c r="C16" s="10">
        <v>4</v>
      </c>
      <c r="D16" s="10">
        <f t="shared" si="0"/>
        <v>8</v>
      </c>
      <c r="E16" s="10">
        <f>'Number of Respondents'!C49</f>
        <v>54</v>
      </c>
      <c r="F16" s="10">
        <f t="shared" si="1"/>
        <v>432</v>
      </c>
      <c r="G16" s="10">
        <f t="shared" si="2"/>
        <v>21.6</v>
      </c>
      <c r="H16" s="10">
        <f t="shared" si="3"/>
        <v>43.2</v>
      </c>
      <c r="I16" s="12">
        <f t="shared" si="4"/>
        <v>26409.456000000002</v>
      </c>
    </row>
    <row r="17" spans="1:9" ht="15" customHeight="1" x14ac:dyDescent="0.25">
      <c r="A17" s="14" t="s">
        <v>468</v>
      </c>
      <c r="B17" s="14"/>
      <c r="C17" s="14"/>
      <c r="D17" s="14"/>
      <c r="E17" s="14"/>
      <c r="F17" s="168">
        <f>ROUND(SUM(F5:H16),0)</f>
        <v>497</v>
      </c>
      <c r="G17" s="168"/>
      <c r="H17" s="168"/>
      <c r="I17" s="28">
        <f>ROUND(SUM(I5:I16),-2)</f>
        <v>26400</v>
      </c>
    </row>
    <row r="19" spans="1:9" x14ac:dyDescent="0.25">
      <c r="A19" s="25" t="s">
        <v>27</v>
      </c>
    </row>
    <row r="20" spans="1:9" ht="46.5" customHeight="1" x14ac:dyDescent="0.25">
      <c r="A20" s="172" t="s">
        <v>414</v>
      </c>
      <c r="B20" s="172"/>
      <c r="C20" s="172"/>
      <c r="D20" s="172"/>
      <c r="E20" s="172"/>
      <c r="F20" s="172"/>
      <c r="G20" s="172"/>
      <c r="H20" s="172"/>
      <c r="I20" s="172"/>
    </row>
    <row r="21" spans="1:9" ht="57.6" customHeight="1" x14ac:dyDescent="0.25">
      <c r="A21" s="161" t="s">
        <v>496</v>
      </c>
      <c r="B21" s="161"/>
      <c r="C21" s="161"/>
      <c r="D21" s="161"/>
      <c r="E21" s="161"/>
      <c r="F21" s="161"/>
      <c r="G21" s="161"/>
      <c r="H21" s="161"/>
      <c r="I21" s="161"/>
    </row>
    <row r="22" spans="1:9" ht="18" customHeight="1" x14ac:dyDescent="0.25">
      <c r="A22" s="161" t="s">
        <v>116</v>
      </c>
      <c r="B22" s="161"/>
      <c r="C22" s="161"/>
      <c r="D22" s="161"/>
      <c r="E22" s="161"/>
      <c r="F22" s="161"/>
      <c r="G22" s="161"/>
      <c r="H22" s="161"/>
      <c r="I22" s="161"/>
    </row>
  </sheetData>
  <mergeCells count="5">
    <mergeCell ref="A3:A4"/>
    <mergeCell ref="F17:H17"/>
    <mergeCell ref="A20:I20"/>
    <mergeCell ref="A21:I21"/>
    <mergeCell ref="A22:I2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4"/>
  <sheetViews>
    <sheetView zoomScale="85" zoomScaleNormal="85" workbookViewId="0">
      <selection activeCell="A2" sqref="A2"/>
    </sheetView>
  </sheetViews>
  <sheetFormatPr defaultRowHeight="15" x14ac:dyDescent="0.25"/>
  <cols>
    <col min="1" max="1" width="55.28515625" customWidth="1"/>
    <col min="2" max="2" width="11.42578125" customWidth="1"/>
    <col min="3" max="3" width="10.7109375" customWidth="1"/>
    <col min="4" max="4" width="10" customWidth="1"/>
    <col min="5" max="5" width="10.5703125" customWidth="1"/>
    <col min="7" max="7" width="10.7109375" customWidth="1"/>
  </cols>
  <sheetData>
    <row r="1" spans="1:9" ht="15.75" x14ac:dyDescent="0.25">
      <c r="A1" s="35" t="s">
        <v>241</v>
      </c>
    </row>
    <row r="2" spans="1:9" x14ac:dyDescent="0.25">
      <c r="F2" s="86">
        <f>Labor!$A$10</f>
        <v>54.51</v>
      </c>
      <c r="G2" s="86">
        <f>Labor!$B$10</f>
        <v>73.459999999999994</v>
      </c>
      <c r="H2" s="86">
        <f>Labor!$C$10</f>
        <v>29.5</v>
      </c>
      <c r="I2" s="86"/>
    </row>
    <row r="3" spans="1:9" x14ac:dyDescent="0.25">
      <c r="A3" s="168" t="s">
        <v>11</v>
      </c>
      <c r="B3" s="7" t="s">
        <v>19</v>
      </c>
      <c r="C3" s="7" t="s">
        <v>20</v>
      </c>
      <c r="D3" s="7" t="s">
        <v>21</v>
      </c>
      <c r="E3" s="7" t="s">
        <v>22</v>
      </c>
      <c r="F3" s="21" t="s">
        <v>23</v>
      </c>
      <c r="G3" s="7" t="s">
        <v>24</v>
      </c>
      <c r="H3" s="7" t="s">
        <v>25</v>
      </c>
      <c r="I3" s="7" t="s">
        <v>26</v>
      </c>
    </row>
    <row r="4" spans="1:9" ht="71.25" customHeight="1" x14ac:dyDescent="0.25">
      <c r="A4" s="168"/>
      <c r="B4" s="8" t="s">
        <v>212</v>
      </c>
      <c r="C4" s="8" t="s">
        <v>89</v>
      </c>
      <c r="D4" s="8" t="s">
        <v>208</v>
      </c>
      <c r="E4" s="8" t="s">
        <v>209</v>
      </c>
      <c r="F4" s="8" t="s">
        <v>91</v>
      </c>
      <c r="G4" s="8" t="s">
        <v>92</v>
      </c>
      <c r="H4" s="8" t="s">
        <v>93</v>
      </c>
      <c r="I4" s="8" t="s">
        <v>223</v>
      </c>
    </row>
    <row r="5" spans="1:9" ht="15" customHeight="1" x14ac:dyDescent="0.25">
      <c r="A5" s="9" t="s">
        <v>200</v>
      </c>
      <c r="B5" s="10"/>
      <c r="C5" s="10"/>
      <c r="D5" s="10"/>
      <c r="E5" s="10"/>
      <c r="F5" s="10"/>
      <c r="G5" s="10"/>
      <c r="H5" s="10"/>
      <c r="I5" s="9" t="s">
        <v>15</v>
      </c>
    </row>
    <row r="6" spans="1:9" ht="15" customHeight="1" x14ac:dyDescent="0.25">
      <c r="A6" s="11" t="s">
        <v>146</v>
      </c>
      <c r="B6" s="10" t="s">
        <v>242</v>
      </c>
      <c r="C6" s="10"/>
      <c r="D6" s="10"/>
      <c r="E6" s="10"/>
      <c r="F6" s="10"/>
      <c r="G6" s="10"/>
      <c r="H6" s="10"/>
      <c r="I6" s="39"/>
    </row>
    <row r="7" spans="1:9" ht="15" customHeight="1" x14ac:dyDescent="0.25">
      <c r="A7" s="11" t="s">
        <v>170</v>
      </c>
      <c r="B7" s="10" t="s">
        <v>242</v>
      </c>
      <c r="C7" s="10"/>
      <c r="D7" s="10"/>
      <c r="E7" s="10"/>
      <c r="F7" s="10"/>
      <c r="G7" s="10"/>
      <c r="H7" s="10"/>
      <c r="I7" s="39"/>
    </row>
    <row r="8" spans="1:9" ht="15" customHeight="1" x14ac:dyDescent="0.25">
      <c r="A8" s="11" t="s">
        <v>147</v>
      </c>
      <c r="B8" s="10" t="s">
        <v>242</v>
      </c>
      <c r="C8" s="10"/>
      <c r="D8" s="10"/>
      <c r="E8" s="10"/>
      <c r="F8" s="10"/>
      <c r="G8" s="10"/>
      <c r="H8" s="10"/>
      <c r="I8" s="39"/>
    </row>
    <row r="9" spans="1:9" ht="15" customHeight="1" x14ac:dyDescent="0.25">
      <c r="A9" s="11" t="s">
        <v>173</v>
      </c>
      <c r="B9" s="10" t="s">
        <v>98</v>
      </c>
      <c r="C9" s="10"/>
      <c r="D9" s="10"/>
      <c r="E9" s="10"/>
      <c r="F9" s="10"/>
      <c r="G9" s="10"/>
      <c r="H9" s="10"/>
      <c r="I9" s="39"/>
    </row>
    <row r="10" spans="1:9" ht="15" customHeight="1" x14ac:dyDescent="0.25">
      <c r="A10" s="11" t="s">
        <v>174</v>
      </c>
      <c r="B10" s="10" t="s">
        <v>98</v>
      </c>
      <c r="C10" s="10"/>
      <c r="D10" s="10"/>
      <c r="E10" s="10"/>
      <c r="F10" s="10"/>
      <c r="G10" s="10"/>
      <c r="H10" s="10"/>
      <c r="I10" s="39"/>
    </row>
    <row r="11" spans="1:9" ht="17.25" customHeight="1" x14ac:dyDescent="0.25">
      <c r="A11" s="11" t="s">
        <v>243</v>
      </c>
      <c r="B11" s="10">
        <v>1</v>
      </c>
      <c r="C11" s="10">
        <v>1</v>
      </c>
      <c r="D11" s="10">
        <f>B11*C11</f>
        <v>1</v>
      </c>
      <c r="E11" s="10">
        <v>0</v>
      </c>
      <c r="F11" s="10">
        <f>D11*E11</f>
        <v>0</v>
      </c>
      <c r="G11" s="10">
        <f>F11*0.05</f>
        <v>0</v>
      </c>
      <c r="H11" s="10">
        <f>F11*0.1</f>
        <v>0</v>
      </c>
      <c r="I11" s="53">
        <f>$F$2*F11+$G$2*G11+$H$2*H11</f>
        <v>0</v>
      </c>
    </row>
    <row r="12" spans="1:9" ht="15" customHeight="1" x14ac:dyDescent="0.25">
      <c r="A12" s="9" t="s">
        <v>202</v>
      </c>
      <c r="B12" s="10"/>
      <c r="C12" s="10"/>
      <c r="D12" s="10"/>
      <c r="E12" s="10"/>
      <c r="F12" s="10"/>
      <c r="G12" s="10"/>
      <c r="H12" s="10"/>
      <c r="I12" s="9"/>
    </row>
    <row r="13" spans="1:9" ht="15" customHeight="1" x14ac:dyDescent="0.25">
      <c r="A13" s="11" t="s">
        <v>244</v>
      </c>
      <c r="B13" s="10">
        <v>2</v>
      </c>
      <c r="C13" s="10">
        <v>1</v>
      </c>
      <c r="D13" s="10">
        <f t="shared" ref="D13:D14" si="0">B13*C13</f>
        <v>2</v>
      </c>
      <c r="E13" s="10">
        <f>'Number of Respondents'!C54</f>
        <v>4</v>
      </c>
      <c r="F13" s="10">
        <f t="shared" ref="F13:F14" si="1">D13*E13</f>
        <v>8</v>
      </c>
      <c r="G13" s="10">
        <f t="shared" ref="G13:G14" si="2">F13*0.05</f>
        <v>0.4</v>
      </c>
      <c r="H13" s="10">
        <f t="shared" ref="H13:H14" si="3">F13*0.1</f>
        <v>0.8</v>
      </c>
      <c r="I13" s="12">
        <f t="shared" ref="I13:I14" si="4">$F$2*F13+$G$2*G13+$H$2*H13</f>
        <v>489.06400000000002</v>
      </c>
    </row>
    <row r="14" spans="1:9" ht="15" customHeight="1" x14ac:dyDescent="0.25">
      <c r="A14" s="11" t="s">
        <v>245</v>
      </c>
      <c r="B14" s="10">
        <v>1</v>
      </c>
      <c r="C14" s="10">
        <v>1</v>
      </c>
      <c r="D14" s="10">
        <f t="shared" si="0"/>
        <v>1</v>
      </c>
      <c r="E14" s="10">
        <f>ROUND(E13*0.02,0)</f>
        <v>0</v>
      </c>
      <c r="F14" s="10">
        <f t="shared" si="1"/>
        <v>0</v>
      </c>
      <c r="G14" s="10">
        <f t="shared" si="2"/>
        <v>0</v>
      </c>
      <c r="H14" s="10">
        <f t="shared" si="3"/>
        <v>0</v>
      </c>
      <c r="I14" s="53">
        <f t="shared" si="4"/>
        <v>0</v>
      </c>
    </row>
    <row r="15" spans="1:9" ht="15" customHeight="1" x14ac:dyDescent="0.25">
      <c r="A15" s="11" t="s">
        <v>246</v>
      </c>
      <c r="B15" s="10" t="s">
        <v>98</v>
      </c>
      <c r="C15" s="10"/>
      <c r="D15" s="10"/>
      <c r="E15" s="10"/>
      <c r="F15" s="10"/>
      <c r="G15" s="10"/>
      <c r="H15" s="10"/>
      <c r="I15" s="39"/>
    </row>
    <row r="16" spans="1:9" ht="15.75" x14ac:dyDescent="0.25">
      <c r="A16" s="14" t="s">
        <v>467</v>
      </c>
      <c r="B16" s="14"/>
      <c r="C16" s="14"/>
      <c r="D16" s="14"/>
      <c r="E16" s="14"/>
      <c r="F16" s="169">
        <f>SUM(F5:H15)</f>
        <v>9.2000000000000011</v>
      </c>
      <c r="G16" s="169"/>
      <c r="H16" s="169"/>
      <c r="I16" s="28">
        <f>ROUND(SUM(I5:I15),0)</f>
        <v>489</v>
      </c>
    </row>
    <row r="18" spans="1:9" x14ac:dyDescent="0.25">
      <c r="A18" s="42" t="s">
        <v>27</v>
      </c>
    </row>
    <row r="19" spans="1:9" ht="33" customHeight="1" x14ac:dyDescent="0.25">
      <c r="A19" s="172" t="s">
        <v>413</v>
      </c>
      <c r="B19" s="172"/>
      <c r="C19" s="172"/>
      <c r="D19" s="172"/>
      <c r="E19" s="172"/>
      <c r="F19" s="172"/>
      <c r="G19" s="172"/>
      <c r="H19" s="172"/>
      <c r="I19" s="172"/>
    </row>
    <row r="20" spans="1:9" ht="58.15" customHeight="1" x14ac:dyDescent="0.25">
      <c r="A20" s="161" t="s">
        <v>496</v>
      </c>
      <c r="B20" s="161"/>
      <c r="C20" s="161"/>
      <c r="D20" s="161"/>
      <c r="E20" s="161"/>
      <c r="F20" s="161"/>
      <c r="G20" s="161"/>
      <c r="H20" s="161"/>
      <c r="I20" s="161"/>
    </row>
    <row r="21" spans="1:9" ht="18" customHeight="1" x14ac:dyDescent="0.25">
      <c r="A21" s="172" t="s">
        <v>248</v>
      </c>
      <c r="B21" s="172"/>
      <c r="C21" s="172"/>
      <c r="D21" s="172"/>
      <c r="E21" s="172"/>
      <c r="F21" s="172"/>
      <c r="G21" s="172"/>
      <c r="H21" s="172"/>
      <c r="I21" s="172"/>
    </row>
    <row r="22" spans="1:9" ht="18" customHeight="1" x14ac:dyDescent="0.25">
      <c r="A22" s="172" t="s">
        <v>249</v>
      </c>
      <c r="B22" s="172"/>
      <c r="C22" s="172"/>
      <c r="D22" s="172"/>
      <c r="E22" s="172"/>
      <c r="F22" s="172"/>
      <c r="G22" s="172"/>
      <c r="H22" s="172"/>
      <c r="I22" s="172"/>
    </row>
    <row r="23" spans="1:9" ht="18" customHeight="1" x14ac:dyDescent="0.25">
      <c r="A23" s="172" t="s">
        <v>250</v>
      </c>
      <c r="B23" s="172"/>
      <c r="C23" s="172"/>
      <c r="D23" s="172"/>
      <c r="E23" s="172"/>
      <c r="F23" s="172"/>
      <c r="G23" s="172"/>
      <c r="H23" s="172"/>
      <c r="I23" s="172"/>
    </row>
    <row r="24" spans="1:9" ht="18" customHeight="1" x14ac:dyDescent="0.25">
      <c r="A24" s="161" t="s">
        <v>211</v>
      </c>
      <c r="B24" s="161"/>
      <c r="C24" s="161"/>
      <c r="D24" s="161"/>
      <c r="E24" s="161"/>
      <c r="F24" s="161"/>
      <c r="G24" s="161"/>
      <c r="H24" s="161"/>
      <c r="I24" s="161"/>
    </row>
  </sheetData>
  <mergeCells count="8">
    <mergeCell ref="A22:I22"/>
    <mergeCell ref="A23:I23"/>
    <mergeCell ref="A24:I24"/>
    <mergeCell ref="A3:A4"/>
    <mergeCell ref="F16:H16"/>
    <mergeCell ref="A19:I19"/>
    <mergeCell ref="A20:I20"/>
    <mergeCell ref="A21:I2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8"/>
  <sheetViews>
    <sheetView workbookViewId="0">
      <selection activeCell="A2" sqref="A2"/>
    </sheetView>
  </sheetViews>
  <sheetFormatPr defaultRowHeight="15" x14ac:dyDescent="0.25"/>
  <cols>
    <col min="1" max="1" width="44.140625" customWidth="1"/>
    <col min="2" max="2" width="10.140625" customWidth="1"/>
    <col min="3" max="3" width="10.7109375" customWidth="1"/>
    <col min="4" max="4" width="9.85546875" customWidth="1"/>
    <col min="5" max="5" width="11" customWidth="1"/>
    <col min="7" max="7" width="10" customWidth="1"/>
    <col min="9" max="9" width="10.28515625" bestFit="1" customWidth="1"/>
  </cols>
  <sheetData>
    <row r="1" spans="1:9" ht="15.75" x14ac:dyDescent="0.25">
      <c r="A1" s="35" t="s">
        <v>251</v>
      </c>
    </row>
    <row r="2" spans="1:9" x14ac:dyDescent="0.25">
      <c r="F2" s="86">
        <f>Labor!$A$10</f>
        <v>54.51</v>
      </c>
      <c r="G2" s="86">
        <f>Labor!$B$10</f>
        <v>73.459999999999994</v>
      </c>
      <c r="H2" s="86">
        <f>Labor!$C$10</f>
        <v>29.5</v>
      </c>
      <c r="I2" s="86"/>
    </row>
    <row r="3" spans="1:9" x14ac:dyDescent="0.25">
      <c r="A3" s="168" t="s">
        <v>11</v>
      </c>
      <c r="B3" s="7" t="s">
        <v>19</v>
      </c>
      <c r="C3" s="7" t="s">
        <v>20</v>
      </c>
      <c r="D3" s="7" t="s">
        <v>21</v>
      </c>
      <c r="E3" s="7" t="s">
        <v>22</v>
      </c>
      <c r="F3" s="21" t="s">
        <v>23</v>
      </c>
      <c r="G3" s="7" t="s">
        <v>24</v>
      </c>
      <c r="H3" s="7" t="s">
        <v>25</v>
      </c>
      <c r="I3" s="7" t="s">
        <v>26</v>
      </c>
    </row>
    <row r="4" spans="1:9" ht="64.5" customHeight="1" x14ac:dyDescent="0.25">
      <c r="A4" s="168"/>
      <c r="B4" s="8" t="s">
        <v>212</v>
      </c>
      <c r="C4" s="8" t="s">
        <v>89</v>
      </c>
      <c r="D4" s="8" t="s">
        <v>208</v>
      </c>
      <c r="E4" s="8" t="s">
        <v>209</v>
      </c>
      <c r="F4" s="8" t="s">
        <v>91</v>
      </c>
      <c r="G4" s="8" t="s">
        <v>92</v>
      </c>
      <c r="H4" s="8" t="s">
        <v>93</v>
      </c>
      <c r="I4" s="8" t="s">
        <v>223</v>
      </c>
    </row>
    <row r="5" spans="1:9" ht="15" customHeight="1" x14ac:dyDescent="0.25">
      <c r="A5" s="9" t="s">
        <v>200</v>
      </c>
      <c r="B5" s="10"/>
      <c r="C5" s="10"/>
      <c r="D5" s="10"/>
      <c r="E5" s="10"/>
      <c r="F5" s="10"/>
      <c r="G5" s="10"/>
      <c r="H5" s="10"/>
      <c r="I5" s="9" t="s">
        <v>15</v>
      </c>
    </row>
    <row r="6" spans="1:9" ht="15" customHeight="1" x14ac:dyDescent="0.25">
      <c r="A6" s="11" t="s">
        <v>146</v>
      </c>
      <c r="B6" s="10">
        <v>2</v>
      </c>
      <c r="C6" s="10">
        <v>1</v>
      </c>
      <c r="D6" s="10">
        <f>B6*C6</f>
        <v>2</v>
      </c>
      <c r="E6" s="10">
        <f>'Number of Respondents'!B$59</f>
        <v>0</v>
      </c>
      <c r="F6" s="10">
        <f>D6*E6</f>
        <v>0</v>
      </c>
      <c r="G6" s="10">
        <f>F6*0.05</f>
        <v>0</v>
      </c>
      <c r="H6" s="10">
        <f>F6*0.1</f>
        <v>0</v>
      </c>
      <c r="I6" s="53">
        <f>$F$2*F6+$G$2*G6+$H$2*H6</f>
        <v>0</v>
      </c>
    </row>
    <row r="7" spans="1:9" ht="15" customHeight="1" x14ac:dyDescent="0.25">
      <c r="A7" s="11" t="s">
        <v>170</v>
      </c>
      <c r="B7" s="10">
        <v>2</v>
      </c>
      <c r="C7" s="10">
        <v>1</v>
      </c>
      <c r="D7" s="10">
        <f t="shared" ref="D7:D11" si="0">B7*C7</f>
        <v>2</v>
      </c>
      <c r="E7" s="10">
        <f>'Number of Respondents'!B$59</f>
        <v>0</v>
      </c>
      <c r="F7" s="10">
        <f t="shared" ref="F7:F11" si="1">D7*E7</f>
        <v>0</v>
      </c>
      <c r="G7" s="10">
        <f t="shared" ref="G7:G11" si="2">F7*0.05</f>
        <v>0</v>
      </c>
      <c r="H7" s="10">
        <f t="shared" ref="H7:H11" si="3">F7*0.1</f>
        <v>0</v>
      </c>
      <c r="I7" s="53">
        <f t="shared" ref="I7:I11" si="4">$F$2*F7+$G$2*G7+$H$2*H7</f>
        <v>0</v>
      </c>
    </row>
    <row r="8" spans="1:9" ht="15" customHeight="1" x14ac:dyDescent="0.25">
      <c r="A8" s="11" t="s">
        <v>147</v>
      </c>
      <c r="B8" s="10">
        <v>2</v>
      </c>
      <c r="C8" s="10">
        <v>1</v>
      </c>
      <c r="D8" s="10">
        <f t="shared" si="0"/>
        <v>2</v>
      </c>
      <c r="E8" s="10">
        <f>'Number of Respondents'!B$59</f>
        <v>0</v>
      </c>
      <c r="F8" s="10">
        <f t="shared" si="1"/>
        <v>0</v>
      </c>
      <c r="G8" s="10">
        <f t="shared" si="2"/>
        <v>0</v>
      </c>
      <c r="H8" s="10">
        <f t="shared" si="3"/>
        <v>0</v>
      </c>
      <c r="I8" s="53">
        <f t="shared" si="4"/>
        <v>0</v>
      </c>
    </row>
    <row r="9" spans="1:9" ht="15" customHeight="1" x14ac:dyDescent="0.25">
      <c r="A9" s="11" t="s">
        <v>183</v>
      </c>
      <c r="B9" s="10">
        <v>8</v>
      </c>
      <c r="C9" s="10">
        <v>1</v>
      </c>
      <c r="D9" s="10">
        <f t="shared" si="0"/>
        <v>8</v>
      </c>
      <c r="E9" s="10">
        <f>'Number of Respondents'!B$59</f>
        <v>0</v>
      </c>
      <c r="F9" s="10">
        <f t="shared" si="1"/>
        <v>0</v>
      </c>
      <c r="G9" s="10">
        <f t="shared" si="2"/>
        <v>0</v>
      </c>
      <c r="H9" s="10">
        <f t="shared" si="3"/>
        <v>0</v>
      </c>
      <c r="I9" s="53">
        <f t="shared" si="4"/>
        <v>0</v>
      </c>
    </row>
    <row r="10" spans="1:9" ht="15" customHeight="1" x14ac:dyDescent="0.25">
      <c r="A10" s="11" t="s">
        <v>233</v>
      </c>
      <c r="B10" s="10">
        <v>8</v>
      </c>
      <c r="C10" s="10">
        <v>1</v>
      </c>
      <c r="D10" s="10">
        <f t="shared" si="0"/>
        <v>8</v>
      </c>
      <c r="E10" s="10">
        <f>E9*0.2</f>
        <v>0</v>
      </c>
      <c r="F10" s="10">
        <f t="shared" si="1"/>
        <v>0</v>
      </c>
      <c r="G10" s="10">
        <f t="shared" si="2"/>
        <v>0</v>
      </c>
      <c r="H10" s="10">
        <f t="shared" si="3"/>
        <v>0</v>
      </c>
      <c r="I10" s="53">
        <f t="shared" si="4"/>
        <v>0</v>
      </c>
    </row>
    <row r="11" spans="1:9" ht="15" customHeight="1" x14ac:dyDescent="0.25">
      <c r="A11" s="11" t="s">
        <v>164</v>
      </c>
      <c r="B11" s="10">
        <v>2</v>
      </c>
      <c r="C11" s="10">
        <v>2</v>
      </c>
      <c r="D11" s="10">
        <f t="shared" si="0"/>
        <v>4</v>
      </c>
      <c r="E11" s="10">
        <f>'Number of Respondents'!C59</f>
        <v>67</v>
      </c>
      <c r="F11" s="10">
        <f t="shared" si="1"/>
        <v>268</v>
      </c>
      <c r="G11" s="10">
        <f t="shared" si="2"/>
        <v>13.4</v>
      </c>
      <c r="H11" s="10">
        <f t="shared" si="3"/>
        <v>26.8</v>
      </c>
      <c r="I11" s="12">
        <f t="shared" si="4"/>
        <v>16383.644</v>
      </c>
    </row>
    <row r="12" spans="1:9" ht="15.75" x14ac:dyDescent="0.25">
      <c r="A12" s="14" t="s">
        <v>466</v>
      </c>
      <c r="B12" s="14"/>
      <c r="C12" s="14"/>
      <c r="D12" s="14"/>
      <c r="E12" s="14"/>
      <c r="F12" s="168">
        <f>ROUND(SUM(F5:H11),0)</f>
        <v>308</v>
      </c>
      <c r="G12" s="168"/>
      <c r="H12" s="168"/>
      <c r="I12" s="28">
        <f>ROUND(SUM(I5:I11),-2)</f>
        <v>16400</v>
      </c>
    </row>
    <row r="14" spans="1:9" x14ac:dyDescent="0.25">
      <c r="A14" s="42" t="s">
        <v>27</v>
      </c>
    </row>
    <row r="15" spans="1:9" ht="15.75" x14ac:dyDescent="0.25">
      <c r="A15" s="172" t="s">
        <v>487</v>
      </c>
      <c r="B15" s="172"/>
      <c r="C15" s="172"/>
      <c r="D15" s="172"/>
      <c r="E15" s="172"/>
      <c r="F15" s="172"/>
      <c r="G15" s="172"/>
      <c r="H15" s="172"/>
      <c r="I15" s="172"/>
    </row>
    <row r="16" spans="1:9" ht="57.6" customHeight="1" x14ac:dyDescent="0.25">
      <c r="A16" s="161" t="s">
        <v>496</v>
      </c>
      <c r="B16" s="161"/>
      <c r="C16" s="161"/>
      <c r="D16" s="161"/>
      <c r="E16" s="161"/>
      <c r="F16" s="161"/>
      <c r="G16" s="161"/>
      <c r="H16" s="161"/>
      <c r="I16" s="161"/>
    </row>
    <row r="17" spans="1:9" ht="18" customHeight="1" x14ac:dyDescent="0.25">
      <c r="A17" s="172" t="s">
        <v>234</v>
      </c>
      <c r="B17" s="172"/>
      <c r="C17" s="172"/>
      <c r="D17" s="172"/>
      <c r="E17" s="172"/>
      <c r="F17" s="172"/>
      <c r="G17" s="172"/>
      <c r="H17" s="172"/>
      <c r="I17" s="172"/>
    </row>
    <row r="18" spans="1:9" ht="18" customHeight="1" x14ac:dyDescent="0.25">
      <c r="A18" s="161" t="s">
        <v>235</v>
      </c>
      <c r="B18" s="161"/>
      <c r="C18" s="161"/>
      <c r="D18" s="161"/>
      <c r="E18" s="161"/>
      <c r="F18" s="161"/>
      <c r="G18" s="161"/>
      <c r="H18" s="161"/>
      <c r="I18" s="161"/>
    </row>
  </sheetData>
  <mergeCells count="6">
    <mergeCell ref="A18:I18"/>
    <mergeCell ref="F12:H12"/>
    <mergeCell ref="A3:A4"/>
    <mergeCell ref="A15:I15"/>
    <mergeCell ref="A16:I16"/>
    <mergeCell ref="A17:I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3"/>
  <sheetViews>
    <sheetView workbookViewId="0">
      <selection activeCell="A2" sqref="A2"/>
    </sheetView>
  </sheetViews>
  <sheetFormatPr defaultRowHeight="15" x14ac:dyDescent="0.25"/>
  <cols>
    <col min="1" max="1" width="43" customWidth="1"/>
    <col min="5" max="5" width="9.85546875" customWidth="1"/>
    <col min="7" max="7" width="11.42578125" customWidth="1"/>
  </cols>
  <sheetData>
    <row r="1" spans="1:14" ht="15.75" x14ac:dyDescent="0.25">
      <c r="A1" s="35" t="s">
        <v>252</v>
      </c>
    </row>
    <row r="2" spans="1:14" x14ac:dyDescent="0.25">
      <c r="D2" s="86">
        <f>Labor!$A$10</f>
        <v>54.51</v>
      </c>
      <c r="E2" s="86">
        <f>Labor!$B$10</f>
        <v>73.459999999999994</v>
      </c>
      <c r="F2" s="86">
        <f>Labor!$C$10</f>
        <v>29.5</v>
      </c>
      <c r="G2" s="86"/>
    </row>
    <row r="3" spans="1:14" x14ac:dyDescent="0.25">
      <c r="A3" s="162" t="s">
        <v>11</v>
      </c>
      <c r="B3" s="7" t="s">
        <v>19</v>
      </c>
      <c r="C3" s="7" t="s">
        <v>20</v>
      </c>
      <c r="D3" s="7" t="s">
        <v>21</v>
      </c>
      <c r="E3" s="7" t="s">
        <v>22</v>
      </c>
      <c r="F3" s="21" t="s">
        <v>23</v>
      </c>
      <c r="G3" s="7" t="s">
        <v>24</v>
      </c>
    </row>
    <row r="4" spans="1:14" ht="63.75" x14ac:dyDescent="0.25">
      <c r="A4" s="163"/>
      <c r="B4" s="8" t="s">
        <v>12</v>
      </c>
      <c r="C4" s="8" t="s">
        <v>13</v>
      </c>
      <c r="D4" s="21" t="s">
        <v>276</v>
      </c>
      <c r="E4" s="8" t="s">
        <v>277</v>
      </c>
      <c r="F4" s="8" t="s">
        <v>261</v>
      </c>
      <c r="G4" s="8" t="s">
        <v>94</v>
      </c>
    </row>
    <row r="5" spans="1:14" ht="15" customHeight="1" x14ac:dyDescent="0.25">
      <c r="A5" s="9" t="s">
        <v>346</v>
      </c>
      <c r="B5" s="10"/>
      <c r="C5" s="10"/>
      <c r="D5" s="10"/>
      <c r="E5" s="10"/>
      <c r="F5" s="10"/>
      <c r="G5" s="9" t="s">
        <v>15</v>
      </c>
    </row>
    <row r="6" spans="1:14" ht="15" customHeight="1" x14ac:dyDescent="0.25">
      <c r="A6" s="11" t="s">
        <v>253</v>
      </c>
      <c r="B6" s="10">
        <v>2</v>
      </c>
      <c r="C6" s="31">
        <f>'Number of Respondents'!B$64</f>
        <v>0.66666666666666663</v>
      </c>
      <c r="D6" s="31">
        <f>B6*C6</f>
        <v>1.3333333333333333</v>
      </c>
      <c r="E6" s="31">
        <f>D6*0.05</f>
        <v>6.6666666666666666E-2</v>
      </c>
      <c r="F6" s="31">
        <f>D6*0.1</f>
        <v>0.13333333333333333</v>
      </c>
      <c r="G6" s="12">
        <f>$D$2*D6+$E$2*E6+$F$2*F6</f>
        <v>81.510666666666665</v>
      </c>
    </row>
    <row r="7" spans="1:14" ht="15" customHeight="1" x14ac:dyDescent="0.25">
      <c r="A7" s="11" t="s">
        <v>254</v>
      </c>
      <c r="B7" s="10">
        <v>20</v>
      </c>
      <c r="C7" s="31">
        <f>'Number of Respondents'!B$64</f>
        <v>0.66666666666666663</v>
      </c>
      <c r="D7" s="31">
        <f t="shared" ref="D7:D15" si="0">B7*C7</f>
        <v>13.333333333333332</v>
      </c>
      <c r="E7" s="31">
        <f t="shared" ref="E7:E15" si="1">D7*0.05</f>
        <v>0.66666666666666663</v>
      </c>
      <c r="F7" s="31">
        <f t="shared" ref="F7:F15" si="2">D7*0.1</f>
        <v>1.3333333333333333</v>
      </c>
      <c r="G7" s="12">
        <f t="shared" ref="G7:G15" si="3">$D$2*D7+$E$2*E7+$F$2*F7</f>
        <v>815.10666666666668</v>
      </c>
    </row>
    <row r="8" spans="1:14" ht="15" customHeight="1" x14ac:dyDescent="0.25">
      <c r="A8" s="11" t="s">
        <v>255</v>
      </c>
      <c r="B8" s="10">
        <v>40</v>
      </c>
      <c r="C8" s="31">
        <f>'Number of Respondents'!B$64</f>
        <v>0.66666666666666663</v>
      </c>
      <c r="D8" s="31">
        <f t="shared" si="0"/>
        <v>26.666666666666664</v>
      </c>
      <c r="E8" s="31">
        <f t="shared" si="1"/>
        <v>1.3333333333333333</v>
      </c>
      <c r="F8" s="31">
        <f t="shared" si="2"/>
        <v>2.6666666666666665</v>
      </c>
      <c r="G8" s="12">
        <f t="shared" si="3"/>
        <v>1630.2133333333334</v>
      </c>
    </row>
    <row r="9" spans="1:14" ht="18" customHeight="1" x14ac:dyDescent="0.25">
      <c r="A9" s="11" t="s">
        <v>476</v>
      </c>
      <c r="B9" s="10">
        <v>7</v>
      </c>
      <c r="C9" s="33">
        <f>'Number of Respondents'!C64*0.9</f>
        <v>189.3</v>
      </c>
      <c r="D9" s="13">
        <f t="shared" si="0"/>
        <v>1325.1000000000001</v>
      </c>
      <c r="E9" s="33">
        <f t="shared" si="1"/>
        <v>66.25500000000001</v>
      </c>
      <c r="F9" s="33">
        <f t="shared" si="2"/>
        <v>132.51000000000002</v>
      </c>
      <c r="G9" s="12">
        <f t="shared" si="3"/>
        <v>81007.338300000003</v>
      </c>
      <c r="H9" s="115"/>
      <c r="I9" s="116"/>
      <c r="J9" s="116"/>
      <c r="K9" s="116"/>
      <c r="L9" s="116"/>
      <c r="M9" s="116"/>
      <c r="N9" s="116"/>
    </row>
    <row r="10" spans="1:14" ht="15" customHeight="1" x14ac:dyDescent="0.25">
      <c r="A10" s="11" t="s">
        <v>256</v>
      </c>
      <c r="B10" s="10">
        <v>2</v>
      </c>
      <c r="C10" s="31">
        <f>'Number of Respondents'!B$64</f>
        <v>0.66666666666666663</v>
      </c>
      <c r="D10" s="31">
        <f t="shared" si="0"/>
        <v>1.3333333333333333</v>
      </c>
      <c r="E10" s="31">
        <f t="shared" si="1"/>
        <v>6.6666666666666666E-2</v>
      </c>
      <c r="F10" s="31">
        <f t="shared" si="2"/>
        <v>0.13333333333333333</v>
      </c>
      <c r="G10" s="12">
        <f t="shared" si="3"/>
        <v>81.510666666666665</v>
      </c>
      <c r="H10" s="115"/>
      <c r="I10" s="116"/>
      <c r="J10" s="116"/>
      <c r="K10" s="116"/>
      <c r="L10" s="116"/>
      <c r="M10" s="116"/>
      <c r="N10" s="116"/>
    </row>
    <row r="11" spans="1:14" ht="15" customHeight="1" x14ac:dyDescent="0.25">
      <c r="A11" s="11" t="s">
        <v>257</v>
      </c>
      <c r="B11" s="10">
        <v>2</v>
      </c>
      <c r="C11" s="31">
        <f>'Number of Respondents'!B$64</f>
        <v>0.66666666666666663</v>
      </c>
      <c r="D11" s="31">
        <f t="shared" si="0"/>
        <v>1.3333333333333333</v>
      </c>
      <c r="E11" s="31">
        <f t="shared" si="1"/>
        <v>6.6666666666666666E-2</v>
      </c>
      <c r="F11" s="31">
        <f t="shared" si="2"/>
        <v>0.13333333333333333</v>
      </c>
      <c r="G11" s="12">
        <f t="shared" si="3"/>
        <v>81.510666666666665</v>
      </c>
      <c r="H11" s="115"/>
      <c r="I11" s="116"/>
      <c r="J11" s="116"/>
      <c r="K11" s="116"/>
      <c r="L11" s="116"/>
      <c r="M11" s="116"/>
      <c r="N11" s="116"/>
    </row>
    <row r="12" spans="1:14" ht="15" customHeight="1" x14ac:dyDescent="0.25">
      <c r="A12" s="11" t="s">
        <v>258</v>
      </c>
      <c r="B12" s="10">
        <v>2</v>
      </c>
      <c r="C12" s="31">
        <f>'Number of Respondents'!B$64</f>
        <v>0.66666666666666663</v>
      </c>
      <c r="D12" s="31">
        <f t="shared" si="0"/>
        <v>1.3333333333333333</v>
      </c>
      <c r="E12" s="31">
        <f t="shared" si="1"/>
        <v>6.6666666666666666E-2</v>
      </c>
      <c r="F12" s="31">
        <f t="shared" si="2"/>
        <v>0.13333333333333333</v>
      </c>
      <c r="G12" s="12">
        <f t="shared" si="3"/>
        <v>81.510666666666665</v>
      </c>
      <c r="H12" s="115"/>
      <c r="I12" s="116"/>
      <c r="J12" s="116"/>
      <c r="K12" s="116"/>
      <c r="L12" s="116"/>
      <c r="M12" s="116"/>
      <c r="N12" s="116"/>
    </row>
    <row r="13" spans="1:14" ht="15" customHeight="1" x14ac:dyDescent="0.25">
      <c r="A13" s="11" t="s">
        <v>259</v>
      </c>
      <c r="B13" s="10">
        <v>2</v>
      </c>
      <c r="C13" s="31">
        <f>'Number of Respondents'!B$64</f>
        <v>0.66666666666666663</v>
      </c>
      <c r="D13" s="31">
        <f t="shared" si="0"/>
        <v>1.3333333333333333</v>
      </c>
      <c r="E13" s="31">
        <f t="shared" si="1"/>
        <v>6.6666666666666666E-2</v>
      </c>
      <c r="F13" s="31">
        <f t="shared" si="2"/>
        <v>0.13333333333333333</v>
      </c>
      <c r="G13" s="12">
        <f t="shared" si="3"/>
        <v>81.510666666666665</v>
      </c>
      <c r="H13" s="115"/>
      <c r="I13" s="116"/>
      <c r="J13" s="116"/>
      <c r="K13" s="116"/>
      <c r="L13" s="116"/>
      <c r="M13" s="116"/>
      <c r="N13" s="116"/>
    </row>
    <row r="14" spans="1:14" ht="15" customHeight="1" x14ac:dyDescent="0.25">
      <c r="A14" s="11" t="s">
        <v>260</v>
      </c>
      <c r="B14" s="10">
        <v>8</v>
      </c>
      <c r="C14" s="31">
        <f>'Number of Respondents'!B$64</f>
        <v>0.66666666666666663</v>
      </c>
      <c r="D14" s="31">
        <f t="shared" si="0"/>
        <v>5.333333333333333</v>
      </c>
      <c r="E14" s="31">
        <f t="shared" si="1"/>
        <v>0.26666666666666666</v>
      </c>
      <c r="F14" s="31">
        <f t="shared" si="2"/>
        <v>0.53333333333333333</v>
      </c>
      <c r="G14" s="12">
        <f t="shared" si="3"/>
        <v>326.04266666666666</v>
      </c>
    </row>
    <row r="15" spans="1:14" ht="18" customHeight="1" x14ac:dyDescent="0.25">
      <c r="A15" s="11" t="s">
        <v>477</v>
      </c>
      <c r="B15" s="10">
        <v>4</v>
      </c>
      <c r="C15" s="33">
        <f>'Number of Respondents'!C64*0.9*2</f>
        <v>378.6</v>
      </c>
      <c r="D15" s="13">
        <f t="shared" si="0"/>
        <v>1514.4</v>
      </c>
      <c r="E15" s="33">
        <f t="shared" si="1"/>
        <v>75.720000000000013</v>
      </c>
      <c r="F15" s="33">
        <f t="shared" si="2"/>
        <v>151.44000000000003</v>
      </c>
      <c r="G15" s="12">
        <f t="shared" si="3"/>
        <v>92579.815199999997</v>
      </c>
      <c r="H15" s="81"/>
    </row>
    <row r="16" spans="1:14" ht="15" customHeight="1" x14ac:dyDescent="0.25">
      <c r="A16" s="14" t="s">
        <v>465</v>
      </c>
      <c r="B16" s="14"/>
      <c r="C16" s="14"/>
      <c r="D16" s="177">
        <f>ROUND(SUM(D5:F15),-1)</f>
        <v>3330</v>
      </c>
      <c r="E16" s="177"/>
      <c r="F16" s="177"/>
      <c r="G16" s="28">
        <f>ROUND(SUM(G5:G15),-3)</f>
        <v>177000</v>
      </c>
    </row>
    <row r="18" spans="1:8" x14ac:dyDescent="0.25">
      <c r="A18" s="27" t="s">
        <v>27</v>
      </c>
    </row>
    <row r="19" spans="1:8" ht="70.900000000000006" customHeight="1" x14ac:dyDescent="0.25">
      <c r="A19" s="161" t="s">
        <v>494</v>
      </c>
      <c r="B19" s="161"/>
      <c r="C19" s="161"/>
      <c r="D19" s="161"/>
      <c r="E19" s="161"/>
      <c r="F19" s="161"/>
      <c r="G19" s="161"/>
    </row>
    <row r="20" spans="1:8" ht="17.25" customHeight="1" x14ac:dyDescent="0.25">
      <c r="A20" s="161" t="s">
        <v>501</v>
      </c>
      <c r="B20" s="161"/>
      <c r="C20" s="161"/>
      <c r="D20" s="161"/>
      <c r="E20" s="161"/>
      <c r="F20" s="161"/>
      <c r="G20" s="161"/>
      <c r="H20" s="81"/>
    </row>
    <row r="21" spans="1:8" x14ac:dyDescent="0.25">
      <c r="A21" s="161" t="s">
        <v>502</v>
      </c>
      <c r="B21" s="161"/>
      <c r="C21" s="161"/>
      <c r="D21" s="161"/>
      <c r="E21" s="161"/>
      <c r="F21" s="161"/>
      <c r="G21" s="161"/>
    </row>
    <row r="22" spans="1:8" x14ac:dyDescent="0.25">
      <c r="A22" s="123"/>
      <c r="B22" s="123"/>
      <c r="C22" s="123"/>
      <c r="D22" s="123"/>
      <c r="E22" s="123"/>
      <c r="F22" s="123"/>
      <c r="G22" s="123"/>
    </row>
    <row r="23" spans="1:8" x14ac:dyDescent="0.25">
      <c r="A23" s="123"/>
      <c r="B23" s="123"/>
      <c r="C23" s="123"/>
      <c r="D23" s="123"/>
      <c r="E23" s="123"/>
      <c r="F23" s="123"/>
      <c r="G23" s="123"/>
    </row>
  </sheetData>
  <mergeCells count="5">
    <mergeCell ref="A3:A4"/>
    <mergeCell ref="D16:F16"/>
    <mergeCell ref="A19:G19"/>
    <mergeCell ref="A20:G20"/>
    <mergeCell ref="A21:G21"/>
  </mergeCells>
  <pageMargins left="0.7" right="0.7" top="0.75" bottom="0.75" header="0.3" footer="0.3"/>
  <pageSetup orientation="portrait"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48"/>
  <sheetViews>
    <sheetView zoomScale="85" zoomScaleNormal="85" workbookViewId="0">
      <selection activeCell="A2" sqref="A2"/>
    </sheetView>
  </sheetViews>
  <sheetFormatPr defaultRowHeight="15" x14ac:dyDescent="0.25"/>
  <cols>
    <col min="1" max="1" width="45.5703125" customWidth="1"/>
    <col min="2" max="2" width="11.42578125" customWidth="1"/>
    <col min="3" max="3" width="12.140625" customWidth="1"/>
    <col min="4" max="4" width="11.42578125" customWidth="1"/>
    <col min="5" max="5" width="13.28515625" customWidth="1"/>
    <col min="6" max="6" width="10.28515625" customWidth="1"/>
    <col min="7" max="7" width="13.140625" customWidth="1"/>
    <col min="8" max="8" width="11" customWidth="1"/>
    <col min="9" max="9" width="13.85546875" customWidth="1"/>
  </cols>
  <sheetData>
    <row r="1" spans="1:10" ht="18.75" x14ac:dyDescent="0.25">
      <c r="A1" s="57" t="s">
        <v>262</v>
      </c>
    </row>
    <row r="2" spans="1:10" s="6" customFormat="1" ht="12.75" x14ac:dyDescent="0.2">
      <c r="F2" s="86">
        <f>Labor!$A$5</f>
        <v>130.28</v>
      </c>
      <c r="G2" s="86">
        <f>Labor!$B$5</f>
        <v>163.16999999999999</v>
      </c>
      <c r="H2" s="86">
        <f>Labor!$C$5</f>
        <v>65.709999999999994</v>
      </c>
      <c r="I2" s="86"/>
    </row>
    <row r="3" spans="1:10" s="6" customFormat="1" ht="12.75" x14ac:dyDescent="0.2">
      <c r="A3" s="168" t="s">
        <v>11</v>
      </c>
      <c r="B3" s="7" t="s">
        <v>19</v>
      </c>
      <c r="C3" s="7" t="s">
        <v>20</v>
      </c>
      <c r="D3" s="7" t="s">
        <v>21</v>
      </c>
      <c r="E3" s="7" t="s">
        <v>22</v>
      </c>
      <c r="F3" s="21" t="s">
        <v>23</v>
      </c>
      <c r="G3" s="7" t="s">
        <v>24</v>
      </c>
      <c r="H3" s="7" t="s">
        <v>25</v>
      </c>
      <c r="I3" s="7" t="s">
        <v>26</v>
      </c>
    </row>
    <row r="4" spans="1:10" s="6" customFormat="1" ht="63.75" x14ac:dyDescent="0.2">
      <c r="A4" s="168"/>
      <c r="B4" s="8" t="s">
        <v>212</v>
      </c>
      <c r="C4" s="8" t="s">
        <v>89</v>
      </c>
      <c r="D4" s="8" t="s">
        <v>208</v>
      </c>
      <c r="E4" s="8" t="s">
        <v>209</v>
      </c>
      <c r="F4" s="8" t="s">
        <v>91</v>
      </c>
      <c r="G4" s="8" t="s">
        <v>92</v>
      </c>
      <c r="H4" s="8" t="s">
        <v>93</v>
      </c>
      <c r="I4" s="8" t="s">
        <v>223</v>
      </c>
    </row>
    <row r="5" spans="1:10" s="6" customFormat="1" ht="15" customHeight="1" x14ac:dyDescent="0.2">
      <c r="A5" s="9" t="s">
        <v>97</v>
      </c>
      <c r="B5" s="10" t="s">
        <v>98</v>
      </c>
      <c r="C5" s="10"/>
      <c r="D5" s="10"/>
      <c r="E5" s="10"/>
      <c r="F5" s="10"/>
      <c r="G5" s="10"/>
      <c r="H5" s="10"/>
      <c r="I5" s="39"/>
    </row>
    <row r="6" spans="1:10" s="6" customFormat="1" ht="15" customHeight="1" x14ac:dyDescent="0.2">
      <c r="A6" s="9" t="s">
        <v>99</v>
      </c>
      <c r="B6" s="10" t="s">
        <v>98</v>
      </c>
      <c r="C6" s="10"/>
      <c r="D6" s="10"/>
      <c r="E6" s="10"/>
      <c r="F6" s="10"/>
      <c r="G6" s="10"/>
      <c r="H6" s="10"/>
      <c r="I6" s="39"/>
    </row>
    <row r="7" spans="1:10" s="6" customFormat="1" ht="15" customHeight="1" x14ac:dyDescent="0.2">
      <c r="A7" s="9" t="s">
        <v>263</v>
      </c>
      <c r="B7" s="10"/>
      <c r="C7" s="10"/>
      <c r="D7" s="10"/>
      <c r="E7" s="10"/>
      <c r="F7" s="10"/>
      <c r="G7" s="10"/>
      <c r="H7" s="10"/>
      <c r="I7" s="39"/>
    </row>
    <row r="8" spans="1:10" s="6" customFormat="1" ht="15" customHeight="1" x14ac:dyDescent="0.2">
      <c r="A8" s="11" t="s">
        <v>278</v>
      </c>
      <c r="B8" s="10">
        <v>1</v>
      </c>
      <c r="C8" s="10">
        <v>1</v>
      </c>
      <c r="D8" s="10">
        <f t="shared" ref="D8" si="0">B8*C8</f>
        <v>1</v>
      </c>
      <c r="E8" s="10">
        <f>'Number of Respondents'!B9+'Number of Respondents'!C9</f>
        <v>10</v>
      </c>
      <c r="F8" s="10">
        <f t="shared" ref="F8" si="1">D8*E8</f>
        <v>10</v>
      </c>
      <c r="G8" s="32">
        <f t="shared" ref="G8" si="2">+F8*0.05</f>
        <v>0.5</v>
      </c>
      <c r="H8" s="10">
        <f t="shared" ref="H8" si="3">+F8*0.1</f>
        <v>1</v>
      </c>
      <c r="I8" s="12">
        <f t="shared" ref="I8" si="4">+$F$2*F8+$G$2*G8+$H$2*H8</f>
        <v>1450.095</v>
      </c>
      <c r="J8" s="84"/>
    </row>
    <row r="9" spans="1:10" s="6" customFormat="1" ht="15" customHeight="1" x14ac:dyDescent="0.2">
      <c r="A9" s="11" t="s">
        <v>102</v>
      </c>
      <c r="B9" s="10"/>
      <c r="C9" s="10"/>
      <c r="D9" s="10"/>
      <c r="E9" s="10"/>
      <c r="F9" s="10"/>
      <c r="G9" s="10"/>
      <c r="H9" s="10"/>
      <c r="I9" s="53"/>
    </row>
    <row r="10" spans="1:10" s="6" customFormat="1" ht="15" customHeight="1" x14ac:dyDescent="0.2">
      <c r="A10" s="58" t="s">
        <v>265</v>
      </c>
      <c r="B10" s="10">
        <v>20</v>
      </c>
      <c r="C10" s="10">
        <v>1</v>
      </c>
      <c r="D10" s="10">
        <f>B10*C10</f>
        <v>20</v>
      </c>
      <c r="E10" s="10">
        <v>0</v>
      </c>
      <c r="F10" s="10">
        <f>D10*E10</f>
        <v>0</v>
      </c>
      <c r="G10" s="10">
        <f>+F10*0.05</f>
        <v>0</v>
      </c>
      <c r="H10" s="10">
        <f>+F10*0.1</f>
        <v>0</v>
      </c>
      <c r="I10" s="53">
        <f>+$F$2*F10+$G$2*G10+$H$2*H10</f>
        <v>0</v>
      </c>
    </row>
    <row r="11" spans="1:10" s="6" customFormat="1" ht="15" customHeight="1" x14ac:dyDescent="0.2">
      <c r="A11" s="58" t="s">
        <v>266</v>
      </c>
      <c r="B11" s="10" t="s">
        <v>267</v>
      </c>
      <c r="C11" s="10"/>
      <c r="D11" s="10"/>
      <c r="E11" s="10"/>
      <c r="F11" s="10"/>
      <c r="G11" s="10"/>
      <c r="H11" s="10"/>
      <c r="I11" s="39"/>
    </row>
    <row r="12" spans="1:10" s="6" customFormat="1" ht="15" customHeight="1" x14ac:dyDescent="0.2">
      <c r="A12" s="11" t="s">
        <v>103</v>
      </c>
      <c r="B12" s="10" t="s">
        <v>264</v>
      </c>
      <c r="C12" s="10"/>
      <c r="D12" s="10"/>
      <c r="E12" s="10"/>
      <c r="F12" s="10"/>
      <c r="G12" s="10"/>
      <c r="H12" s="10"/>
      <c r="I12" s="39"/>
    </row>
    <row r="13" spans="1:10" s="6" customFormat="1" ht="15" customHeight="1" x14ac:dyDescent="0.2">
      <c r="A13" s="11" t="s">
        <v>410</v>
      </c>
      <c r="B13" s="10">
        <v>1</v>
      </c>
      <c r="C13" s="10">
        <v>1</v>
      </c>
      <c r="D13" s="10">
        <f t="shared" ref="D13:D30" si="5">B13*C13</f>
        <v>1</v>
      </c>
      <c r="E13" s="10">
        <f>'Number of Respondents'!C9*(0.9)</f>
        <v>9</v>
      </c>
      <c r="F13" s="10">
        <f t="shared" ref="F13:F18" si="6">D13*E13</f>
        <v>9</v>
      </c>
      <c r="G13" s="10">
        <f t="shared" ref="G13:G18" si="7">+F13*0.05</f>
        <v>0.45</v>
      </c>
      <c r="H13" s="10">
        <f t="shared" ref="H13:H18" si="8">+F13*0.1</f>
        <v>0.9</v>
      </c>
      <c r="I13" s="12">
        <f t="shared" ref="I13:I18" si="9">+$F$2*F13+$G$2*G13+$H$2*H13</f>
        <v>1305.0854999999999</v>
      </c>
      <c r="J13" s="84"/>
    </row>
    <row r="14" spans="1:10" s="6" customFormat="1" ht="15" customHeight="1" x14ac:dyDescent="0.2">
      <c r="A14" s="11" t="s">
        <v>268</v>
      </c>
      <c r="B14" s="10"/>
      <c r="C14" s="10"/>
      <c r="D14" s="10"/>
      <c r="E14" s="10"/>
      <c r="F14" s="10"/>
      <c r="G14" s="10"/>
      <c r="H14" s="10"/>
      <c r="I14" s="39"/>
    </row>
    <row r="15" spans="1:10" s="6" customFormat="1" ht="15" customHeight="1" x14ac:dyDescent="0.2">
      <c r="A15" s="58" t="s">
        <v>146</v>
      </c>
      <c r="B15" s="10">
        <v>2</v>
      </c>
      <c r="C15" s="10">
        <v>1</v>
      </c>
      <c r="D15" s="10">
        <f t="shared" si="5"/>
        <v>2</v>
      </c>
      <c r="E15" s="10">
        <f>'Number of Respondents'!B$9</f>
        <v>0</v>
      </c>
      <c r="F15" s="10">
        <f t="shared" si="6"/>
        <v>0</v>
      </c>
      <c r="G15" s="10">
        <f t="shared" si="7"/>
        <v>0</v>
      </c>
      <c r="H15" s="10">
        <f t="shared" si="8"/>
        <v>0</v>
      </c>
      <c r="I15" s="53">
        <f t="shared" si="9"/>
        <v>0</v>
      </c>
    </row>
    <row r="16" spans="1:10" s="6" customFormat="1" ht="15" customHeight="1" x14ac:dyDescent="0.2">
      <c r="A16" s="58" t="s">
        <v>147</v>
      </c>
      <c r="B16" s="10">
        <v>2</v>
      </c>
      <c r="C16" s="10">
        <v>1</v>
      </c>
      <c r="D16" s="10">
        <f t="shared" si="5"/>
        <v>2</v>
      </c>
      <c r="E16" s="10">
        <f>'Number of Respondents'!B$9</f>
        <v>0</v>
      </c>
      <c r="F16" s="10">
        <f t="shared" si="6"/>
        <v>0</v>
      </c>
      <c r="G16" s="10">
        <f t="shared" si="7"/>
        <v>0</v>
      </c>
      <c r="H16" s="10">
        <f t="shared" si="8"/>
        <v>0</v>
      </c>
      <c r="I16" s="53">
        <f t="shared" si="9"/>
        <v>0</v>
      </c>
    </row>
    <row r="17" spans="1:10" s="6" customFormat="1" ht="15" customHeight="1" x14ac:dyDescent="0.2">
      <c r="A17" s="58" t="s">
        <v>281</v>
      </c>
      <c r="B17" s="10">
        <v>1.5</v>
      </c>
      <c r="C17" s="10">
        <v>1</v>
      </c>
      <c r="D17" s="10">
        <f t="shared" si="5"/>
        <v>1.5</v>
      </c>
      <c r="E17" s="33">
        <f>ROUND((E13+E13*0.2),0)</f>
        <v>11</v>
      </c>
      <c r="F17" s="10">
        <f t="shared" si="6"/>
        <v>16.5</v>
      </c>
      <c r="G17" s="32">
        <f t="shared" si="7"/>
        <v>0.82500000000000007</v>
      </c>
      <c r="H17" s="32">
        <f t="shared" si="8"/>
        <v>1.6500000000000001</v>
      </c>
      <c r="I17" s="12">
        <f t="shared" si="9"/>
        <v>2392.6567499999996</v>
      </c>
      <c r="J17" s="108"/>
    </row>
    <row r="18" spans="1:10" s="6" customFormat="1" ht="15" customHeight="1" x14ac:dyDescent="0.2">
      <c r="A18" s="58" t="s">
        <v>282</v>
      </c>
      <c r="B18" s="10">
        <v>2.5</v>
      </c>
      <c r="C18" s="10">
        <v>1</v>
      </c>
      <c r="D18" s="10">
        <f t="shared" si="5"/>
        <v>2.5</v>
      </c>
      <c r="E18" s="10">
        <f>E8*(0.9+0.2)*0.03</f>
        <v>0.32999999999999996</v>
      </c>
      <c r="F18" s="32">
        <f t="shared" si="6"/>
        <v>0.82499999999999996</v>
      </c>
      <c r="G18" s="31">
        <f t="shared" si="7"/>
        <v>4.1250000000000002E-2</v>
      </c>
      <c r="H18" s="32">
        <f t="shared" si="8"/>
        <v>8.2500000000000004E-2</v>
      </c>
      <c r="I18" s="12">
        <f t="shared" si="9"/>
        <v>119.63283749999999</v>
      </c>
      <c r="J18" s="84"/>
    </row>
    <row r="19" spans="1:10" s="6" customFormat="1" ht="15" customHeight="1" x14ac:dyDescent="0.2">
      <c r="A19" s="58" t="s">
        <v>269</v>
      </c>
      <c r="B19" s="10" t="s">
        <v>264</v>
      </c>
      <c r="C19" s="10"/>
      <c r="D19" s="10"/>
      <c r="E19" s="10"/>
      <c r="F19" s="10"/>
      <c r="G19" s="10"/>
      <c r="H19" s="10"/>
      <c r="I19" s="39"/>
    </row>
    <row r="20" spans="1:10" s="6" customFormat="1" ht="15" customHeight="1" x14ac:dyDescent="0.2">
      <c r="A20" s="40" t="s">
        <v>106</v>
      </c>
      <c r="B20" s="10"/>
      <c r="C20" s="10"/>
      <c r="D20" s="10"/>
      <c r="E20" s="10"/>
      <c r="F20" s="169">
        <f>SUM(F5:H19)</f>
        <v>41.77375</v>
      </c>
      <c r="G20" s="169"/>
      <c r="H20" s="169"/>
      <c r="I20" s="28">
        <f>SUM(I5:I19)</f>
        <v>5267.4700874999999</v>
      </c>
    </row>
    <row r="21" spans="1:10" s="6" customFormat="1" ht="15" customHeight="1" x14ac:dyDescent="0.2">
      <c r="A21" s="9" t="s">
        <v>270</v>
      </c>
      <c r="B21" s="10"/>
      <c r="C21" s="10"/>
      <c r="D21" s="10"/>
      <c r="E21" s="10"/>
      <c r="F21" s="10"/>
      <c r="G21" s="10"/>
      <c r="H21" s="10"/>
      <c r="I21" s="39"/>
    </row>
    <row r="22" spans="1:10" s="6" customFormat="1" ht="15" customHeight="1" x14ac:dyDescent="0.2">
      <c r="A22" s="11" t="s">
        <v>109</v>
      </c>
      <c r="B22" s="10" t="s">
        <v>279</v>
      </c>
      <c r="C22" s="10"/>
      <c r="D22" s="10"/>
      <c r="E22" s="10"/>
      <c r="F22" s="10"/>
      <c r="G22" s="10"/>
      <c r="H22" s="10"/>
      <c r="I22" s="39"/>
    </row>
    <row r="23" spans="1:10" s="6" customFormat="1" ht="15" customHeight="1" x14ac:dyDescent="0.2">
      <c r="A23" s="11" t="s">
        <v>271</v>
      </c>
      <c r="B23" s="10" t="s">
        <v>264</v>
      </c>
      <c r="C23" s="10"/>
      <c r="D23" s="10"/>
      <c r="E23" s="10"/>
      <c r="F23" s="10"/>
      <c r="G23" s="10"/>
      <c r="H23" s="10"/>
      <c r="I23" s="39"/>
    </row>
    <row r="24" spans="1:10" s="6" customFormat="1" ht="15" customHeight="1" x14ac:dyDescent="0.2">
      <c r="A24" s="11" t="s">
        <v>272</v>
      </c>
      <c r="B24" s="10" t="s">
        <v>264</v>
      </c>
      <c r="C24" s="10"/>
      <c r="D24" s="10"/>
      <c r="E24" s="10"/>
      <c r="F24" s="10"/>
      <c r="G24" s="10"/>
      <c r="H24" s="10"/>
      <c r="I24" s="39"/>
    </row>
    <row r="25" spans="1:10" s="6" customFormat="1" ht="15" customHeight="1" x14ac:dyDescent="0.2">
      <c r="A25" s="11" t="s">
        <v>273</v>
      </c>
      <c r="B25" s="10" t="s">
        <v>98</v>
      </c>
      <c r="C25" s="10"/>
      <c r="D25" s="10"/>
      <c r="E25" s="10"/>
      <c r="F25" s="10"/>
      <c r="G25" s="10"/>
      <c r="H25" s="10"/>
      <c r="I25" s="39"/>
    </row>
    <row r="26" spans="1:10" s="6" customFormat="1" ht="15" customHeight="1" x14ac:dyDescent="0.2">
      <c r="A26" s="11" t="s">
        <v>274</v>
      </c>
      <c r="B26" s="10"/>
      <c r="C26" s="10"/>
      <c r="D26" s="10"/>
      <c r="E26" s="10"/>
      <c r="F26" s="10"/>
      <c r="G26" s="10"/>
      <c r="H26" s="10"/>
      <c r="I26" s="39"/>
    </row>
    <row r="27" spans="1:10" s="6" customFormat="1" ht="15" customHeight="1" x14ac:dyDescent="0.2">
      <c r="A27" s="58" t="s">
        <v>275</v>
      </c>
      <c r="B27" s="10">
        <v>5</v>
      </c>
      <c r="C27" s="10">
        <v>50</v>
      </c>
      <c r="D27" s="10">
        <f t="shared" si="5"/>
        <v>250</v>
      </c>
      <c r="E27" s="10">
        <f>'Number of Respondents'!B9</f>
        <v>0</v>
      </c>
      <c r="F27" s="10">
        <f t="shared" ref="F27" si="10">D27*E27</f>
        <v>0</v>
      </c>
      <c r="G27" s="10">
        <f t="shared" ref="G27:G30" si="11">+F27*0.05</f>
        <v>0</v>
      </c>
      <c r="H27" s="10">
        <f t="shared" ref="H27" si="12">+F27*0.1</f>
        <v>0</v>
      </c>
      <c r="I27" s="53">
        <f t="shared" ref="I27" si="13">+$F$2*F27+$G$2*G27+$H$2*H27</f>
        <v>0</v>
      </c>
    </row>
    <row r="28" spans="1:10" s="6" customFormat="1" ht="15" customHeight="1" x14ac:dyDescent="0.2">
      <c r="A28" s="58" t="s">
        <v>283</v>
      </c>
      <c r="B28" s="10">
        <v>5</v>
      </c>
      <c r="C28" s="10">
        <v>50</v>
      </c>
      <c r="D28" s="10">
        <f t="shared" si="5"/>
        <v>250</v>
      </c>
      <c r="E28" s="10">
        <f>E13</f>
        <v>9</v>
      </c>
      <c r="F28" s="13">
        <f t="shared" ref="F28:F30" si="14">D28*E28</f>
        <v>2250</v>
      </c>
      <c r="G28" s="34">
        <f t="shared" si="11"/>
        <v>112.5</v>
      </c>
      <c r="H28" s="13">
        <f t="shared" ref="H28:H30" si="15">+F28*0.1</f>
        <v>225</v>
      </c>
      <c r="I28" s="12">
        <f t="shared" ref="I28:I30" si="16">+$F$2*F28+$G$2*G28+$H$2*H28</f>
        <v>326271.375</v>
      </c>
      <c r="J28" s="84"/>
    </row>
    <row r="29" spans="1:10" s="6" customFormat="1" ht="15" customHeight="1" x14ac:dyDescent="0.2">
      <c r="A29" s="58" t="s">
        <v>284</v>
      </c>
      <c r="B29" s="10">
        <v>2</v>
      </c>
      <c r="C29" s="10">
        <v>10</v>
      </c>
      <c r="D29" s="10">
        <f t="shared" si="5"/>
        <v>20</v>
      </c>
      <c r="E29" s="10">
        <f>E8*0.2</f>
        <v>2</v>
      </c>
      <c r="F29" s="10">
        <f t="shared" si="14"/>
        <v>40</v>
      </c>
      <c r="G29" s="10">
        <f t="shared" si="11"/>
        <v>2</v>
      </c>
      <c r="H29" s="10">
        <f t="shared" si="15"/>
        <v>4</v>
      </c>
      <c r="I29" s="12">
        <f t="shared" si="16"/>
        <v>5800.38</v>
      </c>
      <c r="J29" s="84"/>
    </row>
    <row r="30" spans="1:10" s="6" customFormat="1" ht="15" customHeight="1" x14ac:dyDescent="0.2">
      <c r="A30" s="58" t="s">
        <v>285</v>
      </c>
      <c r="B30" s="10">
        <v>0.2</v>
      </c>
      <c r="C30" s="10">
        <v>10</v>
      </c>
      <c r="D30" s="10">
        <f t="shared" si="5"/>
        <v>2</v>
      </c>
      <c r="E30" s="10">
        <f>E8*0.2</f>
        <v>2</v>
      </c>
      <c r="F30" s="10">
        <f t="shared" si="14"/>
        <v>4</v>
      </c>
      <c r="G30" s="10">
        <f t="shared" si="11"/>
        <v>0.2</v>
      </c>
      <c r="H30" s="10">
        <f t="shared" si="15"/>
        <v>0.4</v>
      </c>
      <c r="I30" s="12">
        <f t="shared" si="16"/>
        <v>580.03800000000001</v>
      </c>
      <c r="J30" s="84"/>
    </row>
    <row r="31" spans="1:10" s="6" customFormat="1" ht="13.5" x14ac:dyDescent="0.2">
      <c r="A31" s="40" t="s">
        <v>107</v>
      </c>
      <c r="B31" s="8"/>
      <c r="C31" s="8"/>
      <c r="D31" s="14"/>
      <c r="E31" s="8"/>
      <c r="F31" s="177">
        <f>SUM(F21:H30)</f>
        <v>2638.1</v>
      </c>
      <c r="G31" s="177"/>
      <c r="H31" s="177"/>
      <c r="I31" s="28">
        <f>SUM(I21:I30)</f>
        <v>332651.79300000001</v>
      </c>
    </row>
    <row r="32" spans="1:10" s="6" customFormat="1" ht="15.75" x14ac:dyDescent="0.2">
      <c r="A32" s="14" t="s">
        <v>464</v>
      </c>
      <c r="B32" s="14"/>
      <c r="C32" s="14"/>
      <c r="D32" s="14"/>
      <c r="E32" s="14"/>
      <c r="F32" s="177">
        <f>ROUND(F20+F31,-1)</f>
        <v>2680</v>
      </c>
      <c r="G32" s="177"/>
      <c r="H32" s="177"/>
      <c r="I32" s="28">
        <f>ROUND(I20+I31,-3)</f>
        <v>338000</v>
      </c>
    </row>
    <row r="33" spans="1:10" s="6" customFormat="1" ht="15.75" x14ac:dyDescent="0.2">
      <c r="A33" s="14" t="s">
        <v>286</v>
      </c>
      <c r="B33" s="14"/>
      <c r="C33" s="14"/>
      <c r="D33" s="14"/>
      <c r="E33" s="14"/>
      <c r="F33" s="54"/>
      <c r="G33" s="54"/>
      <c r="H33" s="54"/>
      <c r="I33" s="28">
        <f>'Capital and O&amp;M Costs'!G6</f>
        <v>0</v>
      </c>
    </row>
    <row r="34" spans="1:10" s="6" customFormat="1" ht="15.75" x14ac:dyDescent="0.2">
      <c r="A34" s="14" t="s">
        <v>287</v>
      </c>
      <c r="B34" s="14"/>
      <c r="C34" s="14"/>
      <c r="D34" s="14"/>
      <c r="E34" s="14"/>
      <c r="F34" s="54"/>
      <c r="G34" s="54"/>
      <c r="H34" s="54"/>
      <c r="I34" s="28">
        <f>ROUND(I32+I33,-3)</f>
        <v>338000</v>
      </c>
    </row>
    <row r="35" spans="1:10" s="6" customFormat="1" ht="12.75" x14ac:dyDescent="0.2"/>
    <row r="36" spans="1:10" s="6" customFormat="1" ht="12.75" x14ac:dyDescent="0.2">
      <c r="A36" s="42" t="s">
        <v>27</v>
      </c>
    </row>
    <row r="37" spans="1:10" s="6" customFormat="1" ht="36" customHeight="1" x14ac:dyDescent="0.2">
      <c r="A37" s="172" t="s">
        <v>439</v>
      </c>
      <c r="B37" s="172"/>
      <c r="C37" s="172"/>
      <c r="D37" s="172"/>
      <c r="E37" s="172"/>
      <c r="F37" s="172"/>
      <c r="G37" s="172"/>
      <c r="H37" s="172"/>
      <c r="I37" s="172"/>
      <c r="J37" s="84"/>
    </row>
    <row r="38" spans="1:10" s="6" customFormat="1" ht="45.75" customHeight="1" x14ac:dyDescent="0.2">
      <c r="A38" s="172" t="s">
        <v>529</v>
      </c>
      <c r="B38" s="172"/>
      <c r="C38" s="172"/>
      <c r="D38" s="172"/>
      <c r="E38" s="172"/>
      <c r="F38" s="172"/>
      <c r="G38" s="172"/>
      <c r="H38" s="172"/>
      <c r="I38" s="172"/>
    </row>
    <row r="39" spans="1:10" s="6" customFormat="1" ht="21" customHeight="1" x14ac:dyDescent="0.2">
      <c r="A39" s="161" t="s">
        <v>426</v>
      </c>
      <c r="B39" s="161"/>
      <c r="C39" s="161"/>
      <c r="D39" s="161"/>
      <c r="E39" s="161"/>
      <c r="F39" s="161"/>
      <c r="G39" s="161"/>
      <c r="H39" s="161"/>
      <c r="I39" s="161"/>
    </row>
    <row r="40" spans="1:10" s="6" customFormat="1" ht="51.75" customHeight="1" x14ac:dyDescent="0.2">
      <c r="A40" s="172" t="s">
        <v>443</v>
      </c>
      <c r="B40" s="172"/>
      <c r="C40" s="172"/>
      <c r="D40" s="172"/>
      <c r="E40" s="172"/>
      <c r="F40" s="172"/>
      <c r="G40" s="172"/>
      <c r="H40" s="172"/>
      <c r="I40" s="172"/>
    </row>
    <row r="41" spans="1:10" s="6" customFormat="1" ht="32.25" customHeight="1" x14ac:dyDescent="0.2">
      <c r="A41" s="172" t="s">
        <v>444</v>
      </c>
      <c r="B41" s="172"/>
      <c r="C41" s="172"/>
      <c r="D41" s="172"/>
      <c r="E41" s="172"/>
      <c r="F41" s="172"/>
      <c r="G41" s="172"/>
      <c r="H41" s="172"/>
      <c r="I41" s="172"/>
    </row>
    <row r="42" spans="1:10" s="6" customFormat="1" ht="21" customHeight="1" x14ac:dyDescent="0.2">
      <c r="A42" s="172" t="s">
        <v>288</v>
      </c>
      <c r="B42" s="172"/>
      <c r="C42" s="172"/>
      <c r="D42" s="172"/>
      <c r="E42" s="172"/>
      <c r="F42" s="172"/>
      <c r="G42" s="172"/>
      <c r="H42" s="172"/>
      <c r="I42" s="172"/>
    </row>
    <row r="43" spans="1:10" s="6" customFormat="1" ht="21" customHeight="1" x14ac:dyDescent="0.2">
      <c r="A43" s="172" t="s">
        <v>289</v>
      </c>
      <c r="B43" s="172"/>
      <c r="C43" s="172"/>
      <c r="D43" s="172"/>
      <c r="E43" s="172"/>
      <c r="F43" s="172"/>
      <c r="G43" s="172"/>
      <c r="H43" s="172"/>
      <c r="I43" s="172"/>
    </row>
    <row r="44" spans="1:10" s="6" customFormat="1" ht="21" customHeight="1" x14ac:dyDescent="0.2">
      <c r="A44" s="172" t="s">
        <v>290</v>
      </c>
      <c r="B44" s="172"/>
      <c r="C44" s="172"/>
      <c r="D44" s="172"/>
      <c r="E44" s="172"/>
      <c r="F44" s="172"/>
      <c r="G44" s="172"/>
      <c r="H44" s="172"/>
      <c r="I44" s="172"/>
    </row>
    <row r="45" spans="1:10" s="6" customFormat="1" ht="21" customHeight="1" x14ac:dyDescent="0.2">
      <c r="A45" s="172" t="s">
        <v>292</v>
      </c>
      <c r="B45" s="172"/>
      <c r="C45" s="172"/>
      <c r="D45" s="172"/>
      <c r="E45" s="172"/>
      <c r="F45" s="172"/>
      <c r="G45" s="172"/>
      <c r="H45" s="172"/>
      <c r="I45" s="172"/>
    </row>
    <row r="46" spans="1:10" s="6" customFormat="1" ht="21" customHeight="1" x14ac:dyDescent="0.2">
      <c r="A46" s="161" t="s">
        <v>291</v>
      </c>
      <c r="B46" s="161"/>
      <c r="C46" s="161"/>
      <c r="D46" s="161"/>
      <c r="E46" s="161"/>
      <c r="F46" s="161"/>
      <c r="G46" s="161"/>
      <c r="H46" s="161"/>
      <c r="I46" s="161"/>
    </row>
    <row r="47" spans="1:10" s="6" customFormat="1" ht="12.75" x14ac:dyDescent="0.2"/>
    <row r="48" spans="1:10" s="6" customFormat="1" ht="12.75" x14ac:dyDescent="0.2"/>
  </sheetData>
  <mergeCells count="14">
    <mergeCell ref="F32:H32"/>
    <mergeCell ref="A3:A4"/>
    <mergeCell ref="F20:H20"/>
    <mergeCell ref="F31:H31"/>
    <mergeCell ref="A38:I38"/>
    <mergeCell ref="A37:I37"/>
    <mergeCell ref="A44:I44"/>
    <mergeCell ref="A45:I45"/>
    <mergeCell ref="A46:I46"/>
    <mergeCell ref="A39:I39"/>
    <mergeCell ref="A40:I40"/>
    <mergeCell ref="A41:I41"/>
    <mergeCell ref="A42:I42"/>
    <mergeCell ref="A43:I43"/>
  </mergeCells>
  <pageMargins left="0.7" right="0.7" top="0.75" bottom="0.75" header="0.3" footer="0.3"/>
  <pageSetup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57"/>
  <sheetViews>
    <sheetView zoomScaleNormal="100" workbookViewId="0">
      <selection activeCell="A2" sqref="A2"/>
    </sheetView>
  </sheetViews>
  <sheetFormatPr defaultRowHeight="15" x14ac:dyDescent="0.25"/>
  <cols>
    <col min="1" max="1" width="44.42578125" customWidth="1"/>
    <col min="2" max="2" width="10"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10" ht="15.75" x14ac:dyDescent="0.25">
      <c r="A1" s="35" t="s">
        <v>293</v>
      </c>
    </row>
    <row r="2" spans="1:10" x14ac:dyDescent="0.25">
      <c r="F2" s="86">
        <f>Labor!$A$5</f>
        <v>130.28</v>
      </c>
      <c r="G2" s="86">
        <f>Labor!$B$5</f>
        <v>163.16999999999999</v>
      </c>
      <c r="H2" s="86">
        <f>Labor!$C$5</f>
        <v>65.709999999999994</v>
      </c>
      <c r="I2" s="86"/>
      <c r="J2" s="6"/>
    </row>
    <row r="3" spans="1:10" x14ac:dyDescent="0.25">
      <c r="A3" s="168" t="s">
        <v>11</v>
      </c>
      <c r="B3" s="7" t="s">
        <v>19</v>
      </c>
      <c r="C3" s="7" t="s">
        <v>20</v>
      </c>
      <c r="D3" s="7" t="s">
        <v>21</v>
      </c>
      <c r="E3" s="7" t="s">
        <v>22</v>
      </c>
      <c r="F3" s="21" t="s">
        <v>23</v>
      </c>
      <c r="G3" s="7" t="s">
        <v>24</v>
      </c>
      <c r="H3" s="7" t="s">
        <v>25</v>
      </c>
      <c r="I3" s="7" t="s">
        <v>26</v>
      </c>
      <c r="J3" s="6"/>
    </row>
    <row r="4" spans="1:10" ht="63.75" x14ac:dyDescent="0.25">
      <c r="A4" s="168"/>
      <c r="B4" s="8" t="s">
        <v>212</v>
      </c>
      <c r="C4" s="8" t="s">
        <v>89</v>
      </c>
      <c r="D4" s="8" t="s">
        <v>208</v>
      </c>
      <c r="E4" s="8" t="s">
        <v>209</v>
      </c>
      <c r="F4" s="8" t="s">
        <v>91</v>
      </c>
      <c r="G4" s="8" t="s">
        <v>92</v>
      </c>
      <c r="H4" s="8" t="s">
        <v>93</v>
      </c>
      <c r="I4" s="8" t="s">
        <v>223</v>
      </c>
      <c r="J4" s="6"/>
    </row>
    <row r="5" spans="1:10" ht="15" customHeight="1" x14ac:dyDescent="0.25">
      <c r="A5" s="9" t="s">
        <v>97</v>
      </c>
      <c r="B5" s="10" t="s">
        <v>98</v>
      </c>
      <c r="C5" s="10"/>
      <c r="D5" s="10"/>
      <c r="E5" s="10"/>
      <c r="F5" s="10"/>
      <c r="G5" s="10"/>
      <c r="H5" s="10"/>
      <c r="I5" s="39"/>
      <c r="J5" s="6"/>
    </row>
    <row r="6" spans="1:10" ht="15" customHeight="1" x14ac:dyDescent="0.25">
      <c r="A6" s="9" t="s">
        <v>99</v>
      </c>
      <c r="B6" s="10" t="s">
        <v>98</v>
      </c>
      <c r="C6" s="10"/>
      <c r="D6" s="10"/>
      <c r="E6" s="10"/>
      <c r="F6" s="10"/>
      <c r="G6" s="10"/>
      <c r="H6" s="10"/>
      <c r="I6" s="39"/>
      <c r="J6" s="6"/>
    </row>
    <row r="7" spans="1:10" ht="15" customHeight="1" x14ac:dyDescent="0.25">
      <c r="A7" s="9" t="s">
        <v>263</v>
      </c>
      <c r="B7" s="10"/>
      <c r="C7" s="10"/>
      <c r="D7" s="10"/>
      <c r="E7" s="10"/>
      <c r="F7" s="10"/>
      <c r="G7" s="10"/>
      <c r="H7" s="10"/>
      <c r="I7" s="39"/>
      <c r="J7" s="6"/>
    </row>
    <row r="8" spans="1:10" ht="18" customHeight="1" x14ac:dyDescent="0.25">
      <c r="A8" s="11" t="s">
        <v>278</v>
      </c>
      <c r="B8" s="10">
        <v>1</v>
      </c>
      <c r="C8" s="10">
        <v>1</v>
      </c>
      <c r="D8" s="10">
        <f>B8*C8</f>
        <v>1</v>
      </c>
      <c r="E8" s="10">
        <f>'Number of Respondents'!B14+'Number of Respondents'!C14</f>
        <v>385</v>
      </c>
      <c r="F8" s="10">
        <f>+D8*E8</f>
        <v>385</v>
      </c>
      <c r="G8" s="33">
        <f>+F8*0.05</f>
        <v>19.25</v>
      </c>
      <c r="H8" s="33">
        <f>+F8*0.1</f>
        <v>38.5</v>
      </c>
      <c r="I8" s="12">
        <f>+$F$2*F8+$G$2*G8+$H$2*H8</f>
        <v>55828.657500000001</v>
      </c>
      <c r="J8" s="84"/>
    </row>
    <row r="9" spans="1:10" ht="15" customHeight="1" x14ac:dyDescent="0.25">
      <c r="A9" s="11" t="s">
        <v>102</v>
      </c>
      <c r="B9" s="10"/>
      <c r="C9" s="10"/>
      <c r="D9" s="10"/>
      <c r="E9" s="10"/>
      <c r="F9" s="10"/>
      <c r="G9" s="10"/>
      <c r="H9" s="10"/>
      <c r="I9" s="39"/>
    </row>
    <row r="10" spans="1:10" ht="15" customHeight="1" x14ac:dyDescent="0.25">
      <c r="A10" s="58" t="s">
        <v>294</v>
      </c>
      <c r="B10" s="59"/>
      <c r="C10" s="59"/>
      <c r="D10" s="10"/>
      <c r="E10" s="59"/>
      <c r="F10" s="59"/>
      <c r="G10" s="59"/>
      <c r="H10" s="59"/>
      <c r="I10" s="59"/>
    </row>
    <row r="11" spans="1:10" ht="15" customHeight="1" x14ac:dyDescent="0.25">
      <c r="A11" s="60" t="s">
        <v>146</v>
      </c>
      <c r="B11" s="10">
        <v>2</v>
      </c>
      <c r="C11" s="10">
        <v>1</v>
      </c>
      <c r="D11" s="10">
        <f t="shared" ref="D11:D40" si="0">B11*C11</f>
        <v>2</v>
      </c>
      <c r="E11" s="10">
        <f>'Number of Respondents'!B14</f>
        <v>0</v>
      </c>
      <c r="F11" s="10">
        <f t="shared" ref="F11:F30" si="1">+D11*E11</f>
        <v>0</v>
      </c>
      <c r="G11" s="10">
        <f t="shared" ref="G11:G30" si="2">+F11*0.05</f>
        <v>0</v>
      </c>
      <c r="H11" s="10">
        <f t="shared" ref="H11:H30" si="3">+F11*0.1</f>
        <v>0</v>
      </c>
      <c r="I11" s="12">
        <f t="shared" ref="I11:I30" si="4">+$F$2*F11+$G$2*G11+$H$2*H11</f>
        <v>0</v>
      </c>
    </row>
    <row r="12" spans="1:10" ht="15" customHeight="1" x14ac:dyDescent="0.25">
      <c r="A12" s="60" t="s">
        <v>147</v>
      </c>
      <c r="B12" s="10">
        <v>2</v>
      </c>
      <c r="C12" s="10">
        <v>1</v>
      </c>
      <c r="D12" s="10">
        <f t="shared" si="0"/>
        <v>2</v>
      </c>
      <c r="E12" s="10">
        <f>'Number of Respondents'!B14</f>
        <v>0</v>
      </c>
      <c r="F12" s="10">
        <f t="shared" si="1"/>
        <v>0</v>
      </c>
      <c r="G12" s="10">
        <f t="shared" si="2"/>
        <v>0</v>
      </c>
      <c r="H12" s="10">
        <f t="shared" si="3"/>
        <v>0</v>
      </c>
      <c r="I12" s="12">
        <f t="shared" si="4"/>
        <v>0</v>
      </c>
    </row>
    <row r="13" spans="1:10" ht="15" customHeight="1" x14ac:dyDescent="0.25">
      <c r="A13" s="60" t="s">
        <v>308</v>
      </c>
      <c r="B13" s="10" t="s">
        <v>98</v>
      </c>
      <c r="C13" s="10"/>
      <c r="D13" s="10"/>
      <c r="E13" s="10"/>
      <c r="F13" s="10"/>
      <c r="G13" s="10"/>
      <c r="H13" s="10"/>
      <c r="I13" s="39"/>
    </row>
    <row r="14" spans="1:10" ht="15" customHeight="1" x14ac:dyDescent="0.25">
      <c r="A14" s="60" t="s">
        <v>309</v>
      </c>
      <c r="B14" s="10" t="s">
        <v>98</v>
      </c>
      <c r="C14" s="10"/>
      <c r="D14" s="10"/>
      <c r="E14" s="10"/>
      <c r="F14" s="10"/>
      <c r="G14" s="10"/>
      <c r="H14" s="10"/>
      <c r="I14" s="39"/>
    </row>
    <row r="15" spans="1:10" ht="15" customHeight="1" x14ac:dyDescent="0.25">
      <c r="A15" s="60" t="s">
        <v>214</v>
      </c>
      <c r="B15" s="10"/>
      <c r="C15" s="10"/>
      <c r="D15" s="10"/>
      <c r="E15" s="10"/>
      <c r="F15" s="10"/>
      <c r="G15" s="10"/>
      <c r="H15" s="10"/>
      <c r="I15" s="39"/>
    </row>
    <row r="16" spans="1:10" ht="15" customHeight="1" x14ac:dyDescent="0.25">
      <c r="A16" s="60" t="s">
        <v>295</v>
      </c>
      <c r="B16" s="10">
        <v>2</v>
      </c>
      <c r="C16" s="10">
        <v>1</v>
      </c>
      <c r="D16" s="10">
        <f t="shared" si="0"/>
        <v>2</v>
      </c>
      <c r="E16" s="33">
        <f>E11*0.75</f>
        <v>0</v>
      </c>
      <c r="F16" s="33">
        <f t="shared" si="1"/>
        <v>0</v>
      </c>
      <c r="G16" s="32">
        <f t="shared" si="2"/>
        <v>0</v>
      </c>
      <c r="H16" s="32">
        <f t="shared" si="3"/>
        <v>0</v>
      </c>
      <c r="I16" s="12">
        <f t="shared" si="4"/>
        <v>0</v>
      </c>
    </row>
    <row r="17" spans="1:10" ht="15" customHeight="1" x14ac:dyDescent="0.25">
      <c r="A17" s="60" t="s">
        <v>296</v>
      </c>
      <c r="B17" s="10">
        <v>2</v>
      </c>
      <c r="C17" s="10">
        <v>1</v>
      </c>
      <c r="D17" s="10">
        <f t="shared" si="0"/>
        <v>2</v>
      </c>
      <c r="E17" s="33">
        <f>E11*0.2</f>
        <v>0</v>
      </c>
      <c r="F17" s="10">
        <f t="shared" si="1"/>
        <v>0</v>
      </c>
      <c r="G17" s="10">
        <f t="shared" si="2"/>
        <v>0</v>
      </c>
      <c r="H17" s="32">
        <f t="shared" si="3"/>
        <v>0</v>
      </c>
      <c r="I17" s="12">
        <f t="shared" si="4"/>
        <v>0</v>
      </c>
    </row>
    <row r="18" spans="1:10" ht="15" customHeight="1" x14ac:dyDescent="0.25">
      <c r="A18" s="58" t="s">
        <v>297</v>
      </c>
      <c r="B18" s="10"/>
      <c r="C18" s="10"/>
      <c r="D18" s="10"/>
      <c r="E18" s="10"/>
      <c r="F18" s="10"/>
      <c r="G18" s="10"/>
      <c r="H18" s="10"/>
      <c r="I18" s="39"/>
    </row>
    <row r="19" spans="1:10" ht="15" customHeight="1" x14ac:dyDescent="0.25">
      <c r="A19" s="60" t="s">
        <v>153</v>
      </c>
      <c r="B19" s="10">
        <v>12</v>
      </c>
      <c r="C19" s="10">
        <v>1</v>
      </c>
      <c r="D19" s="10">
        <f t="shared" si="0"/>
        <v>12</v>
      </c>
      <c r="E19" s="33">
        <f>E16</f>
        <v>0</v>
      </c>
      <c r="F19" s="10">
        <f t="shared" si="1"/>
        <v>0</v>
      </c>
      <c r="G19" s="32">
        <f t="shared" si="2"/>
        <v>0</v>
      </c>
      <c r="H19" s="33">
        <f t="shared" si="3"/>
        <v>0</v>
      </c>
      <c r="I19" s="12">
        <f t="shared" si="4"/>
        <v>0</v>
      </c>
    </row>
    <row r="20" spans="1:10" ht="15" customHeight="1" x14ac:dyDescent="0.25">
      <c r="A20" s="60" t="s">
        <v>154</v>
      </c>
      <c r="B20" s="10">
        <v>12</v>
      </c>
      <c r="C20" s="10">
        <v>1</v>
      </c>
      <c r="D20" s="10">
        <f t="shared" si="0"/>
        <v>12</v>
      </c>
      <c r="E20" s="33">
        <f>E17</f>
        <v>0</v>
      </c>
      <c r="F20" s="33">
        <f t="shared" si="1"/>
        <v>0</v>
      </c>
      <c r="G20" s="32">
        <f t="shared" si="2"/>
        <v>0</v>
      </c>
      <c r="H20" s="32">
        <f t="shared" si="3"/>
        <v>0</v>
      </c>
      <c r="I20" s="12">
        <f t="shared" si="4"/>
        <v>0</v>
      </c>
    </row>
    <row r="21" spans="1:10" ht="15" customHeight="1" x14ac:dyDescent="0.25">
      <c r="A21" s="60" t="s">
        <v>155</v>
      </c>
      <c r="B21" s="10">
        <v>8</v>
      </c>
      <c r="C21" s="10">
        <v>1</v>
      </c>
      <c r="D21" s="10">
        <f t="shared" si="0"/>
        <v>8</v>
      </c>
      <c r="E21" s="33">
        <f>E17</f>
        <v>0</v>
      </c>
      <c r="F21" s="33">
        <f t="shared" si="1"/>
        <v>0</v>
      </c>
      <c r="G21" s="32">
        <f t="shared" si="2"/>
        <v>0</v>
      </c>
      <c r="H21" s="32">
        <f t="shared" si="3"/>
        <v>0</v>
      </c>
      <c r="I21" s="12">
        <f t="shared" si="4"/>
        <v>0</v>
      </c>
    </row>
    <row r="22" spans="1:10" ht="15" customHeight="1" x14ac:dyDescent="0.25">
      <c r="A22" s="60" t="s">
        <v>156</v>
      </c>
      <c r="B22" s="10">
        <v>8</v>
      </c>
      <c r="C22" s="10">
        <v>1</v>
      </c>
      <c r="D22" s="10">
        <f t="shared" si="0"/>
        <v>8</v>
      </c>
      <c r="E22" s="33">
        <f>E11*0.05</f>
        <v>0</v>
      </c>
      <c r="F22" s="10">
        <f t="shared" si="1"/>
        <v>0</v>
      </c>
      <c r="G22" s="10">
        <f t="shared" si="2"/>
        <v>0</v>
      </c>
      <c r="H22" s="10">
        <f t="shared" si="3"/>
        <v>0</v>
      </c>
      <c r="I22" s="12">
        <f t="shared" si="4"/>
        <v>0</v>
      </c>
    </row>
    <row r="23" spans="1:10" ht="15" customHeight="1" x14ac:dyDescent="0.25">
      <c r="A23" s="58" t="s">
        <v>298</v>
      </c>
      <c r="B23" s="59"/>
      <c r="C23" s="59"/>
      <c r="D23" s="10"/>
      <c r="E23" s="59"/>
      <c r="F23" s="59"/>
      <c r="G23" s="59"/>
      <c r="H23" s="59"/>
      <c r="I23" s="59"/>
    </row>
    <row r="24" spans="1:10" ht="15" customHeight="1" x14ac:dyDescent="0.25">
      <c r="A24" s="60" t="s">
        <v>310</v>
      </c>
      <c r="B24" s="10">
        <v>12</v>
      </c>
      <c r="C24" s="10">
        <v>1</v>
      </c>
      <c r="D24" s="10">
        <f t="shared" si="0"/>
        <v>12</v>
      </c>
      <c r="E24" s="33">
        <f>'Number of Respondents'!C14*0.1</f>
        <v>38.5</v>
      </c>
      <c r="F24" s="13">
        <f t="shared" si="1"/>
        <v>462</v>
      </c>
      <c r="G24" s="33">
        <f t="shared" si="2"/>
        <v>23.1</v>
      </c>
      <c r="H24" s="33">
        <f t="shared" si="3"/>
        <v>46.2</v>
      </c>
      <c r="I24" s="12">
        <f t="shared" si="4"/>
        <v>66994.388999999996</v>
      </c>
    </row>
    <row r="25" spans="1:10" ht="15" customHeight="1" x14ac:dyDescent="0.25">
      <c r="A25" s="60" t="s">
        <v>311</v>
      </c>
      <c r="B25" s="10">
        <v>8</v>
      </c>
      <c r="C25" s="10">
        <v>1</v>
      </c>
      <c r="D25" s="10">
        <f t="shared" si="0"/>
        <v>8</v>
      </c>
      <c r="E25" s="33">
        <f>'Number of Respondents'!C14*0.9</f>
        <v>346.5</v>
      </c>
      <c r="F25" s="13">
        <f t="shared" si="1"/>
        <v>2772</v>
      </c>
      <c r="G25" s="33">
        <f t="shared" si="2"/>
        <v>138.6</v>
      </c>
      <c r="H25" s="33">
        <f t="shared" si="3"/>
        <v>277.2</v>
      </c>
      <c r="I25" s="12">
        <f t="shared" si="4"/>
        <v>401966.33399999997</v>
      </c>
    </row>
    <row r="26" spans="1:10" ht="15" customHeight="1" x14ac:dyDescent="0.25">
      <c r="A26" s="60" t="s">
        <v>316</v>
      </c>
      <c r="B26" s="10">
        <v>2</v>
      </c>
      <c r="C26" s="10">
        <v>1</v>
      </c>
      <c r="D26" s="10">
        <f t="shared" si="0"/>
        <v>2</v>
      </c>
      <c r="E26" s="33">
        <f>ROUND(('Number of Respondents'!$C$14+'Number of Respondents'!$B$14)*0.9*0.1,1)</f>
        <v>34.700000000000003</v>
      </c>
      <c r="F26" s="10">
        <f t="shared" si="1"/>
        <v>69.400000000000006</v>
      </c>
      <c r="G26" s="10">
        <f t="shared" si="2"/>
        <v>3.4700000000000006</v>
      </c>
      <c r="H26" s="33">
        <f t="shared" si="3"/>
        <v>6.9400000000000013</v>
      </c>
      <c r="I26" s="12">
        <f t="shared" si="4"/>
        <v>10063.659300000001</v>
      </c>
    </row>
    <row r="27" spans="1:10" ht="19.5" customHeight="1" x14ac:dyDescent="0.25">
      <c r="A27" s="60" t="s">
        <v>317</v>
      </c>
      <c r="B27" s="10">
        <v>4</v>
      </c>
      <c r="C27" s="10">
        <v>1</v>
      </c>
      <c r="D27" s="10">
        <f t="shared" si="0"/>
        <v>4</v>
      </c>
      <c r="E27" s="32">
        <f>E26*0.1</f>
        <v>3.4700000000000006</v>
      </c>
      <c r="F27" s="10">
        <f t="shared" si="1"/>
        <v>13.880000000000003</v>
      </c>
      <c r="G27" s="10">
        <f t="shared" si="2"/>
        <v>0.69400000000000017</v>
      </c>
      <c r="H27" s="10">
        <f t="shared" si="3"/>
        <v>1.3880000000000003</v>
      </c>
      <c r="I27" s="12">
        <f t="shared" si="4"/>
        <v>2012.7318600000006</v>
      </c>
    </row>
    <row r="28" spans="1:10" ht="15" customHeight="1" x14ac:dyDescent="0.25">
      <c r="A28" s="60" t="s">
        <v>159</v>
      </c>
      <c r="B28" s="10">
        <v>12</v>
      </c>
      <c r="C28" s="10">
        <v>1</v>
      </c>
      <c r="D28" s="10">
        <f t="shared" si="0"/>
        <v>12</v>
      </c>
      <c r="E28" s="118">
        <f>'Number of Respondents'!C14</f>
        <v>385</v>
      </c>
      <c r="F28" s="13">
        <f t="shared" si="1"/>
        <v>4620</v>
      </c>
      <c r="G28" s="10">
        <f t="shared" si="2"/>
        <v>231</v>
      </c>
      <c r="H28" s="10">
        <f t="shared" si="3"/>
        <v>462</v>
      </c>
      <c r="I28" s="12">
        <f t="shared" si="4"/>
        <v>669943.89</v>
      </c>
      <c r="J28" s="82"/>
    </row>
    <row r="29" spans="1:10" ht="15" customHeight="1" x14ac:dyDescent="0.25">
      <c r="A29" s="60" t="s">
        <v>160</v>
      </c>
      <c r="B29" s="10">
        <v>8</v>
      </c>
      <c r="C29" s="10">
        <v>1</v>
      </c>
      <c r="D29" s="10">
        <f t="shared" si="0"/>
        <v>8</v>
      </c>
      <c r="E29" s="118">
        <f>E28</f>
        <v>385</v>
      </c>
      <c r="F29" s="13">
        <f t="shared" si="1"/>
        <v>3080</v>
      </c>
      <c r="G29" s="10">
        <f t="shared" si="2"/>
        <v>154</v>
      </c>
      <c r="H29" s="10">
        <f t="shared" si="3"/>
        <v>308</v>
      </c>
      <c r="I29" s="12">
        <f t="shared" si="4"/>
        <v>446629.26</v>
      </c>
      <c r="J29" s="82"/>
    </row>
    <row r="30" spans="1:10" ht="15" customHeight="1" x14ac:dyDescent="0.25">
      <c r="A30" s="60" t="s">
        <v>312</v>
      </c>
      <c r="B30" s="10">
        <v>2</v>
      </c>
      <c r="C30" s="10">
        <v>1</v>
      </c>
      <c r="D30" s="10">
        <f t="shared" si="0"/>
        <v>2</v>
      </c>
      <c r="E30" s="150">
        <f>3500/20</f>
        <v>175</v>
      </c>
      <c r="F30" s="13">
        <f t="shared" si="1"/>
        <v>350</v>
      </c>
      <c r="G30" s="33">
        <f t="shared" si="2"/>
        <v>17.5</v>
      </c>
      <c r="H30" s="10">
        <f t="shared" si="3"/>
        <v>35</v>
      </c>
      <c r="I30" s="12">
        <f t="shared" si="4"/>
        <v>50753.324999999997</v>
      </c>
      <c r="J30" s="82"/>
    </row>
    <row r="31" spans="1:10" ht="15" customHeight="1" x14ac:dyDescent="0.25">
      <c r="A31" s="40" t="s">
        <v>106</v>
      </c>
      <c r="B31" s="8"/>
      <c r="C31" s="8"/>
      <c r="D31" s="10"/>
      <c r="E31" s="151"/>
      <c r="F31" s="177">
        <f>SUM(F5:H30)</f>
        <v>13515.121999999999</v>
      </c>
      <c r="G31" s="177"/>
      <c r="H31" s="177"/>
      <c r="I31" s="28">
        <f>SUM(I5:I30)</f>
        <v>1704192.2466600002</v>
      </c>
    </row>
    <row r="32" spans="1:10" ht="15" customHeight="1" x14ac:dyDescent="0.25">
      <c r="A32" s="9" t="s">
        <v>270</v>
      </c>
      <c r="B32" s="10"/>
      <c r="C32" s="10"/>
      <c r="D32" s="10"/>
      <c r="E32" s="118"/>
      <c r="F32" s="10"/>
      <c r="G32" s="10"/>
      <c r="H32" s="10"/>
      <c r="I32" s="39"/>
    </row>
    <row r="33" spans="1:10" ht="18" customHeight="1" x14ac:dyDescent="0.25">
      <c r="A33" s="11" t="s">
        <v>278</v>
      </c>
      <c r="B33" s="10" t="s">
        <v>279</v>
      </c>
      <c r="C33" s="10"/>
      <c r="D33" s="10"/>
      <c r="E33" s="118"/>
      <c r="F33" s="10"/>
      <c r="G33" s="10"/>
      <c r="H33" s="10"/>
      <c r="I33" s="12"/>
      <c r="J33" s="82"/>
    </row>
    <row r="34" spans="1:10" ht="15" customHeight="1" x14ac:dyDescent="0.25">
      <c r="A34" s="11" t="s">
        <v>299</v>
      </c>
      <c r="B34" s="10"/>
      <c r="C34" s="10"/>
      <c r="D34" s="10"/>
      <c r="E34" s="118"/>
      <c r="F34" s="10"/>
      <c r="G34" s="10"/>
      <c r="H34" s="10"/>
      <c r="I34" s="39"/>
    </row>
    <row r="35" spans="1:10" ht="15" customHeight="1" x14ac:dyDescent="0.25">
      <c r="A35" s="58" t="s">
        <v>300</v>
      </c>
      <c r="B35" s="61">
        <v>8</v>
      </c>
      <c r="C35" s="61">
        <v>1</v>
      </c>
      <c r="D35" s="10">
        <f t="shared" si="0"/>
        <v>8</v>
      </c>
      <c r="E35" s="92">
        <f>E28</f>
        <v>385</v>
      </c>
      <c r="F35" s="13">
        <f t="shared" ref="F35:F37" si="5">+D35*E35</f>
        <v>3080</v>
      </c>
      <c r="G35" s="10">
        <f t="shared" ref="G35:G37" si="6">+F35*0.05</f>
        <v>154</v>
      </c>
      <c r="H35" s="10">
        <f t="shared" ref="H35:H37" si="7">+F35*0.1</f>
        <v>308</v>
      </c>
      <c r="I35" s="12">
        <f t="shared" ref="I35:I37" si="8">+$F$2*F35+$G$2*G35+$H$2*H35</f>
        <v>446629.26</v>
      </c>
      <c r="J35" s="82"/>
    </row>
    <row r="36" spans="1:10" ht="15" customHeight="1" x14ac:dyDescent="0.25">
      <c r="A36" s="58" t="s">
        <v>301</v>
      </c>
      <c r="B36" s="61">
        <v>12</v>
      </c>
      <c r="C36" s="61">
        <v>1</v>
      </c>
      <c r="D36" s="10">
        <f t="shared" si="0"/>
        <v>12</v>
      </c>
      <c r="E36" s="92">
        <f>E28</f>
        <v>385</v>
      </c>
      <c r="F36" s="13">
        <f t="shared" si="5"/>
        <v>4620</v>
      </c>
      <c r="G36" s="10">
        <f t="shared" si="6"/>
        <v>231</v>
      </c>
      <c r="H36" s="10">
        <f t="shared" si="7"/>
        <v>462</v>
      </c>
      <c r="I36" s="12">
        <f t="shared" si="8"/>
        <v>669943.89</v>
      </c>
      <c r="J36" s="82"/>
    </row>
    <row r="37" spans="1:10" ht="15" customHeight="1" x14ac:dyDescent="0.25">
      <c r="A37" s="58" t="s">
        <v>302</v>
      </c>
      <c r="B37" s="61">
        <v>12</v>
      </c>
      <c r="C37" s="61">
        <v>1</v>
      </c>
      <c r="D37" s="10">
        <f t="shared" si="0"/>
        <v>12</v>
      </c>
      <c r="E37" s="92">
        <f>E28</f>
        <v>385</v>
      </c>
      <c r="F37" s="13">
        <f t="shared" si="5"/>
        <v>4620</v>
      </c>
      <c r="G37" s="10">
        <f t="shared" si="6"/>
        <v>231</v>
      </c>
      <c r="H37" s="10">
        <f t="shared" si="7"/>
        <v>462</v>
      </c>
      <c r="I37" s="12">
        <f t="shared" si="8"/>
        <v>669943.89</v>
      </c>
      <c r="J37" s="82"/>
    </row>
    <row r="38" spans="1:10" ht="15" customHeight="1" x14ac:dyDescent="0.25">
      <c r="A38" s="11" t="s">
        <v>303</v>
      </c>
      <c r="B38" s="10" t="s">
        <v>98</v>
      </c>
      <c r="C38" s="10"/>
      <c r="D38" s="10"/>
      <c r="E38" s="10"/>
      <c r="F38" s="10"/>
      <c r="G38" s="10"/>
      <c r="H38" s="10"/>
      <c r="I38" s="12"/>
      <c r="J38" s="82"/>
    </row>
    <row r="39" spans="1:10" ht="15" customHeight="1" x14ac:dyDescent="0.25">
      <c r="A39" s="11" t="s">
        <v>304</v>
      </c>
      <c r="B39" s="59"/>
      <c r="C39" s="59"/>
      <c r="D39" s="10"/>
      <c r="E39" s="59"/>
      <c r="F39" s="59"/>
      <c r="G39" s="59"/>
      <c r="H39" s="59"/>
      <c r="I39" s="59"/>
    </row>
    <row r="40" spans="1:10" ht="15" customHeight="1" x14ac:dyDescent="0.25">
      <c r="A40" s="58" t="s">
        <v>305</v>
      </c>
      <c r="B40" s="10">
        <v>2</v>
      </c>
      <c r="C40" s="10">
        <v>52</v>
      </c>
      <c r="D40" s="10">
        <f t="shared" si="0"/>
        <v>104</v>
      </c>
      <c r="E40" s="117">
        <f>('Number of Respondents'!C14*11.3*0.05)+E22</f>
        <v>217.52500000000001</v>
      </c>
      <c r="F40" s="13">
        <f t="shared" ref="F40" si="9">+D40*E40</f>
        <v>22622.600000000002</v>
      </c>
      <c r="G40" s="13">
        <f t="shared" ref="G40" si="10">+F40*0.05</f>
        <v>1131.1300000000001</v>
      </c>
      <c r="H40" s="13">
        <f t="shared" ref="H40" si="11">+F40*0.1</f>
        <v>2262.2600000000002</v>
      </c>
      <c r="I40" s="12">
        <f t="shared" ref="I40" si="12">+$F$2*F40+$G$2*G40+$H$2*H40</f>
        <v>3280491.9147000005</v>
      </c>
      <c r="J40" s="82"/>
    </row>
    <row r="41" spans="1:10" ht="15" customHeight="1" x14ac:dyDescent="0.25">
      <c r="A41" s="11" t="s">
        <v>306</v>
      </c>
      <c r="B41" s="61" t="s">
        <v>98</v>
      </c>
      <c r="C41" s="59"/>
      <c r="D41" s="59"/>
      <c r="E41" s="59"/>
      <c r="F41" s="59"/>
      <c r="G41" s="59"/>
      <c r="H41" s="59"/>
      <c r="I41" s="59"/>
    </row>
    <row r="42" spans="1:10" ht="15" customHeight="1" x14ac:dyDescent="0.25">
      <c r="A42" s="11" t="s">
        <v>307</v>
      </c>
      <c r="B42" s="61" t="s">
        <v>98</v>
      </c>
      <c r="C42" s="59"/>
      <c r="D42" s="59"/>
      <c r="E42" s="59"/>
      <c r="F42" s="59"/>
      <c r="G42" s="59"/>
      <c r="H42" s="59"/>
      <c r="I42" s="59"/>
    </row>
    <row r="43" spans="1:10" ht="15" customHeight="1" x14ac:dyDescent="0.25">
      <c r="A43" s="40" t="s">
        <v>107</v>
      </c>
      <c r="B43" s="8"/>
      <c r="C43" s="8"/>
      <c r="D43" s="14"/>
      <c r="E43" s="8"/>
      <c r="F43" s="177">
        <f>SUM(F32:H42)</f>
        <v>40183.990000000005</v>
      </c>
      <c r="G43" s="177"/>
      <c r="H43" s="177"/>
      <c r="I43" s="28">
        <f>SUM(I32:I42)</f>
        <v>5067008.9547000006</v>
      </c>
    </row>
    <row r="44" spans="1:10" ht="15.75" x14ac:dyDescent="0.25">
      <c r="A44" s="14" t="s">
        <v>463</v>
      </c>
      <c r="B44" s="14"/>
      <c r="C44" s="14"/>
      <c r="D44" s="14"/>
      <c r="E44" s="14"/>
      <c r="F44" s="177">
        <f>ROUND(F31+F43,-2)</f>
        <v>53700</v>
      </c>
      <c r="G44" s="177"/>
      <c r="H44" s="177"/>
      <c r="I44" s="28">
        <f>ROUND(I31+I43,-4)</f>
        <v>6770000</v>
      </c>
    </row>
    <row r="45" spans="1:10" ht="15.75" x14ac:dyDescent="0.25">
      <c r="A45" s="14" t="s">
        <v>313</v>
      </c>
      <c r="B45" s="14"/>
      <c r="C45" s="14"/>
      <c r="D45" s="14"/>
      <c r="E45" s="14"/>
      <c r="F45" s="54"/>
      <c r="G45" s="54"/>
      <c r="H45" s="54"/>
      <c r="I45" s="28">
        <f>'Capital and O&amp;M Costs'!G8</f>
        <v>294000</v>
      </c>
    </row>
    <row r="46" spans="1:10" ht="15.75" x14ac:dyDescent="0.25">
      <c r="A46" s="14" t="s">
        <v>314</v>
      </c>
      <c r="B46" s="14"/>
      <c r="C46" s="14"/>
      <c r="D46" s="14"/>
      <c r="E46" s="14"/>
      <c r="F46" s="54"/>
      <c r="G46" s="54"/>
      <c r="H46" s="54"/>
      <c r="I46" s="28">
        <f>ROUND(I44+I45,-4)</f>
        <v>7060000</v>
      </c>
    </row>
    <row r="48" spans="1:10" x14ac:dyDescent="0.25">
      <c r="A48" s="42" t="s">
        <v>27</v>
      </c>
    </row>
    <row r="49" spans="1:18" ht="33" customHeight="1" x14ac:dyDescent="0.25">
      <c r="A49" s="172" t="s">
        <v>500</v>
      </c>
      <c r="B49" s="172"/>
      <c r="C49" s="172"/>
      <c r="D49" s="172"/>
      <c r="E49" s="172"/>
      <c r="F49" s="172"/>
      <c r="G49" s="172"/>
      <c r="H49" s="172"/>
      <c r="I49" s="172"/>
      <c r="J49" s="84"/>
      <c r="K49" s="106"/>
      <c r="L49" s="106"/>
      <c r="M49" s="106"/>
      <c r="N49" s="106"/>
      <c r="O49" s="106"/>
      <c r="P49" s="106"/>
      <c r="Q49" s="106"/>
      <c r="R49" s="106"/>
    </row>
    <row r="50" spans="1:18" ht="48" customHeight="1" x14ac:dyDescent="0.25">
      <c r="A50" s="172" t="s">
        <v>529</v>
      </c>
      <c r="B50" s="172"/>
      <c r="C50" s="172"/>
      <c r="D50" s="172"/>
      <c r="E50" s="172"/>
      <c r="F50" s="172"/>
      <c r="G50" s="172"/>
      <c r="H50" s="172"/>
      <c r="I50" s="172"/>
      <c r="J50" s="123"/>
      <c r="K50" s="123"/>
      <c r="L50" s="123"/>
      <c r="M50" s="123"/>
      <c r="N50" s="123"/>
      <c r="O50" s="123"/>
      <c r="P50" s="123"/>
      <c r="Q50" s="123"/>
      <c r="R50" s="123"/>
    </row>
    <row r="51" spans="1:18" ht="21" customHeight="1" x14ac:dyDescent="0.25">
      <c r="A51" s="161" t="s">
        <v>427</v>
      </c>
      <c r="B51" s="161"/>
      <c r="C51" s="161"/>
      <c r="D51" s="161"/>
      <c r="E51" s="161"/>
      <c r="F51" s="161"/>
      <c r="G51" s="161"/>
      <c r="H51" s="161"/>
      <c r="I51" s="161"/>
      <c r="J51" s="124"/>
      <c r="K51" s="124"/>
      <c r="L51" s="124"/>
      <c r="M51" s="124"/>
      <c r="N51" s="124"/>
      <c r="O51" s="124"/>
      <c r="P51" s="124"/>
      <c r="Q51" s="124"/>
      <c r="R51" s="124"/>
    </row>
    <row r="52" spans="1:18" ht="15.75" customHeight="1" x14ac:dyDescent="0.25">
      <c r="A52" s="172" t="s">
        <v>315</v>
      </c>
      <c r="B52" s="172"/>
      <c r="C52" s="172"/>
      <c r="D52" s="172"/>
      <c r="E52" s="172"/>
      <c r="F52" s="172"/>
      <c r="G52" s="172"/>
      <c r="H52" s="172"/>
      <c r="I52" s="172"/>
      <c r="J52" s="124"/>
      <c r="K52" s="124"/>
      <c r="L52" s="124"/>
      <c r="M52" s="124"/>
      <c r="N52" s="124"/>
      <c r="O52" s="124"/>
      <c r="P52" s="124"/>
      <c r="Q52" s="124"/>
      <c r="R52" s="124"/>
    </row>
    <row r="53" spans="1:18" ht="44.25" customHeight="1" x14ac:dyDescent="0.25">
      <c r="A53" s="172" t="s">
        <v>543</v>
      </c>
      <c r="B53" s="172"/>
      <c r="C53" s="172"/>
      <c r="D53" s="172"/>
      <c r="E53" s="172"/>
      <c r="F53" s="172"/>
      <c r="G53" s="172"/>
      <c r="H53" s="172"/>
      <c r="I53" s="172"/>
      <c r="J53" s="124"/>
      <c r="K53" s="124"/>
      <c r="L53" s="124"/>
      <c r="M53" s="124"/>
      <c r="N53" s="124"/>
      <c r="O53" s="124"/>
      <c r="P53" s="124"/>
      <c r="Q53" s="124"/>
      <c r="R53" s="124"/>
    </row>
    <row r="54" spans="1:18" ht="31.5" customHeight="1" x14ac:dyDescent="0.25">
      <c r="A54" s="172" t="s">
        <v>544</v>
      </c>
      <c r="B54" s="172"/>
      <c r="C54" s="172"/>
      <c r="D54" s="172"/>
      <c r="E54" s="172"/>
      <c r="F54" s="172"/>
      <c r="G54" s="172"/>
      <c r="H54" s="172"/>
      <c r="I54" s="172"/>
      <c r="J54" s="124"/>
      <c r="K54" s="123"/>
      <c r="L54" s="123"/>
      <c r="M54" s="123"/>
      <c r="N54" s="123"/>
      <c r="O54" s="123"/>
      <c r="P54" s="123"/>
      <c r="Q54" s="123"/>
      <c r="R54" s="123"/>
    </row>
    <row r="55" spans="1:18" ht="15.75" customHeight="1" x14ac:dyDescent="0.25">
      <c r="A55" s="172" t="s">
        <v>480</v>
      </c>
      <c r="B55" s="172"/>
      <c r="C55" s="172"/>
      <c r="D55" s="172"/>
      <c r="E55" s="172"/>
      <c r="F55" s="172"/>
      <c r="G55" s="172"/>
      <c r="H55" s="172"/>
      <c r="I55" s="172"/>
      <c r="J55" s="124"/>
      <c r="K55" s="106"/>
      <c r="L55" s="106"/>
      <c r="M55" s="106"/>
      <c r="N55" s="106"/>
      <c r="O55" s="106"/>
      <c r="P55" s="106"/>
      <c r="Q55" s="106"/>
      <c r="R55" s="106"/>
    </row>
    <row r="56" spans="1:18" ht="32.25" customHeight="1" x14ac:dyDescent="0.25">
      <c r="A56" s="172" t="s">
        <v>545</v>
      </c>
      <c r="B56" s="172"/>
      <c r="C56" s="172"/>
      <c r="D56" s="172"/>
      <c r="E56" s="172"/>
      <c r="F56" s="172"/>
      <c r="G56" s="172"/>
      <c r="H56" s="172"/>
      <c r="I56" s="172"/>
      <c r="J56" s="108"/>
    </row>
    <row r="57" spans="1:18" ht="15" customHeight="1" x14ac:dyDescent="0.25">
      <c r="A57" s="161" t="s">
        <v>318</v>
      </c>
      <c r="B57" s="161"/>
      <c r="C57" s="161"/>
      <c r="D57" s="161"/>
      <c r="E57" s="161"/>
      <c r="F57" s="161"/>
      <c r="G57" s="161"/>
      <c r="H57" s="161"/>
      <c r="I57" s="161"/>
    </row>
  </sheetData>
  <mergeCells count="13">
    <mergeCell ref="A3:A4"/>
    <mergeCell ref="F31:H31"/>
    <mergeCell ref="F43:H43"/>
    <mergeCell ref="F44:H44"/>
    <mergeCell ref="A49:I49"/>
    <mergeCell ref="A55:I55"/>
    <mergeCell ref="A56:I56"/>
    <mergeCell ref="A57:I57"/>
    <mergeCell ref="A50:I50"/>
    <mergeCell ref="A51:I51"/>
    <mergeCell ref="A52:I52"/>
    <mergeCell ref="A53:I53"/>
    <mergeCell ref="A54:I54"/>
  </mergeCells>
  <pageMargins left="0.7" right="0.7"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40"/>
  <sheetViews>
    <sheetView zoomScale="85" zoomScaleNormal="85" workbookViewId="0">
      <selection activeCell="A2" sqref="A2"/>
    </sheetView>
  </sheetViews>
  <sheetFormatPr defaultRowHeight="15" x14ac:dyDescent="0.25"/>
  <cols>
    <col min="1" max="1" width="42.85546875" customWidth="1"/>
    <col min="2" max="2" width="10"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10" ht="15.75" x14ac:dyDescent="0.25">
      <c r="A1" s="43" t="s">
        <v>319</v>
      </c>
    </row>
    <row r="2" spans="1:10" x14ac:dyDescent="0.25">
      <c r="F2" s="86">
        <f>Labor!$A$5</f>
        <v>130.28</v>
      </c>
      <c r="G2" s="86">
        <f>Labor!$B$5</f>
        <v>163.16999999999999</v>
      </c>
      <c r="H2" s="86">
        <f>Labor!$C$5</f>
        <v>65.709999999999994</v>
      </c>
      <c r="I2" s="86"/>
      <c r="J2" s="6"/>
    </row>
    <row r="3" spans="1:10" ht="15" customHeight="1" x14ac:dyDescent="0.25">
      <c r="A3" s="162" t="s">
        <v>11</v>
      </c>
      <c r="B3" s="7" t="s">
        <v>19</v>
      </c>
      <c r="C3" s="7" t="s">
        <v>20</v>
      </c>
      <c r="D3" s="7" t="s">
        <v>21</v>
      </c>
      <c r="E3" s="7" t="s">
        <v>22</v>
      </c>
      <c r="F3" s="21" t="s">
        <v>23</v>
      </c>
      <c r="G3" s="7" t="s">
        <v>24</v>
      </c>
      <c r="H3" s="7" t="s">
        <v>25</v>
      </c>
      <c r="I3" s="7" t="s">
        <v>26</v>
      </c>
      <c r="J3" s="6"/>
    </row>
    <row r="4" spans="1:10" ht="63.75" x14ac:dyDescent="0.25">
      <c r="A4" s="163"/>
      <c r="B4" s="8" t="s">
        <v>212</v>
      </c>
      <c r="C4" s="8" t="s">
        <v>89</v>
      </c>
      <c r="D4" s="8" t="s">
        <v>208</v>
      </c>
      <c r="E4" s="8" t="s">
        <v>209</v>
      </c>
      <c r="F4" s="8" t="s">
        <v>91</v>
      </c>
      <c r="G4" s="8" t="s">
        <v>92</v>
      </c>
      <c r="H4" s="8" t="s">
        <v>93</v>
      </c>
      <c r="I4" s="8" t="s">
        <v>223</v>
      </c>
      <c r="J4" s="6"/>
    </row>
    <row r="5" spans="1:10" x14ac:dyDescent="0.25">
      <c r="A5" s="9" t="s">
        <v>97</v>
      </c>
      <c r="B5" s="10" t="s">
        <v>98</v>
      </c>
      <c r="C5" s="10"/>
      <c r="D5" s="10"/>
      <c r="E5" s="10"/>
      <c r="F5" s="10"/>
      <c r="G5" s="10"/>
      <c r="H5" s="10"/>
      <c r="I5" s="39"/>
      <c r="J5" s="6"/>
    </row>
    <row r="6" spans="1:10" x14ac:dyDescent="0.25">
      <c r="A6" s="9" t="s">
        <v>99</v>
      </c>
      <c r="B6" s="10" t="s">
        <v>98</v>
      </c>
      <c r="C6" s="10"/>
      <c r="D6" s="10"/>
      <c r="E6" s="10"/>
      <c r="F6" s="10"/>
      <c r="G6" s="10"/>
      <c r="H6" s="10"/>
      <c r="I6" s="39"/>
      <c r="J6" s="6"/>
    </row>
    <row r="7" spans="1:10" x14ac:dyDescent="0.25">
      <c r="A7" s="9" t="s">
        <v>263</v>
      </c>
      <c r="B7" s="10"/>
      <c r="C7" s="10"/>
      <c r="D7" s="10"/>
      <c r="E7" s="10"/>
      <c r="F7" s="10"/>
      <c r="G7" s="10"/>
      <c r="H7" s="10"/>
      <c r="I7" s="39"/>
      <c r="J7" s="6"/>
    </row>
    <row r="8" spans="1:10" ht="15.75" x14ac:dyDescent="0.25">
      <c r="A8" s="11" t="s">
        <v>278</v>
      </c>
      <c r="B8" s="10">
        <v>1</v>
      </c>
      <c r="C8" s="10">
        <v>1</v>
      </c>
      <c r="D8" s="10">
        <f>B8*C8</f>
        <v>1</v>
      </c>
      <c r="E8" s="10">
        <f>'Number of Respondents'!C19</f>
        <v>170</v>
      </c>
      <c r="F8" s="10">
        <f>D8*E8</f>
        <v>170</v>
      </c>
      <c r="G8" s="10">
        <f>F8*0.05</f>
        <v>8.5</v>
      </c>
      <c r="H8" s="10">
        <f>+F8*0.1</f>
        <v>17</v>
      </c>
      <c r="I8" s="12">
        <f>+$F$2*F8+$G$2*G8+$H$2*H8</f>
        <v>24651.614999999998</v>
      </c>
      <c r="J8" s="84"/>
    </row>
    <row r="9" spans="1:10" x14ac:dyDescent="0.25">
      <c r="A9" s="11" t="s">
        <v>102</v>
      </c>
      <c r="B9" s="10"/>
      <c r="C9" s="10"/>
      <c r="D9" s="10"/>
      <c r="E9" s="10"/>
      <c r="F9" s="10"/>
      <c r="G9" s="10"/>
      <c r="H9" s="10"/>
      <c r="I9" s="39"/>
    </row>
    <row r="10" spans="1:10" x14ac:dyDescent="0.25">
      <c r="A10" s="58" t="s">
        <v>165</v>
      </c>
      <c r="B10" s="10">
        <v>48</v>
      </c>
      <c r="C10" s="10">
        <v>1</v>
      </c>
      <c r="D10" s="10">
        <f>B10*C10</f>
        <v>48</v>
      </c>
      <c r="E10" s="10">
        <f>'Number of Respondents'!B19</f>
        <v>0</v>
      </c>
      <c r="F10" s="10">
        <f t="shared" ref="F10:F19" si="0">D10*E10</f>
        <v>0</v>
      </c>
      <c r="G10" s="10">
        <f t="shared" ref="G10:G19" si="1">F10*0.05</f>
        <v>0</v>
      </c>
      <c r="H10" s="10">
        <f t="shared" ref="H10:H19" si="2">+F10*0.1</f>
        <v>0</v>
      </c>
      <c r="I10" s="53">
        <f t="shared" ref="I10:I18" si="3">+$F$2*F10+$G$2*G10+$H$2*H10</f>
        <v>0</v>
      </c>
    </row>
    <row r="11" spans="1:10" ht="15.75" x14ac:dyDescent="0.25">
      <c r="A11" s="58" t="s">
        <v>325</v>
      </c>
      <c r="B11" s="10">
        <v>48</v>
      </c>
      <c r="C11" s="10">
        <v>1</v>
      </c>
      <c r="D11" s="10">
        <f>B11*C11</f>
        <v>48</v>
      </c>
      <c r="E11" s="10">
        <f>'Number of Respondents'!B19</f>
        <v>0</v>
      </c>
      <c r="F11" s="10">
        <f t="shared" si="0"/>
        <v>0</v>
      </c>
      <c r="G11" s="10">
        <f t="shared" si="1"/>
        <v>0</v>
      </c>
      <c r="H11" s="10">
        <f t="shared" si="2"/>
        <v>0</v>
      </c>
      <c r="I11" s="53">
        <f t="shared" si="3"/>
        <v>0</v>
      </c>
    </row>
    <row r="12" spans="1:10" x14ac:dyDescent="0.25">
      <c r="A12" s="11" t="s">
        <v>103</v>
      </c>
      <c r="B12" s="10" t="s">
        <v>264</v>
      </c>
      <c r="C12" s="10"/>
      <c r="D12" s="10"/>
      <c r="E12" s="10"/>
      <c r="F12" s="10"/>
      <c r="G12" s="10"/>
      <c r="H12" s="10"/>
      <c r="I12" s="39"/>
    </row>
    <row r="13" spans="1:10" x14ac:dyDescent="0.25">
      <c r="A13" s="11" t="s">
        <v>104</v>
      </c>
      <c r="B13" s="10" t="s">
        <v>320</v>
      </c>
      <c r="C13" s="10"/>
      <c r="D13" s="10"/>
      <c r="E13" s="10"/>
      <c r="F13" s="10"/>
      <c r="G13" s="10"/>
      <c r="H13" s="10"/>
      <c r="I13" s="39"/>
    </row>
    <row r="14" spans="1:10" x14ac:dyDescent="0.25">
      <c r="A14" s="11" t="s">
        <v>268</v>
      </c>
      <c r="B14" s="10"/>
      <c r="C14" s="10"/>
      <c r="D14" s="10"/>
      <c r="E14" s="10"/>
      <c r="F14" s="10"/>
      <c r="G14" s="10"/>
      <c r="H14" s="10"/>
      <c r="I14" s="39"/>
    </row>
    <row r="15" spans="1:10" x14ac:dyDescent="0.25">
      <c r="A15" s="58" t="s">
        <v>146</v>
      </c>
      <c r="B15" s="10">
        <v>2</v>
      </c>
      <c r="C15" s="10">
        <v>1</v>
      </c>
      <c r="D15" s="10">
        <f>B15*C15</f>
        <v>2</v>
      </c>
      <c r="E15" s="10">
        <f>'Number of Respondents'!B$19</f>
        <v>0</v>
      </c>
      <c r="F15" s="10">
        <f t="shared" si="0"/>
        <v>0</v>
      </c>
      <c r="G15" s="10">
        <f t="shared" si="1"/>
        <v>0</v>
      </c>
      <c r="H15" s="10">
        <f t="shared" si="2"/>
        <v>0</v>
      </c>
      <c r="I15" s="53">
        <f t="shared" si="3"/>
        <v>0</v>
      </c>
    </row>
    <row r="16" spans="1:10" x14ac:dyDescent="0.25">
      <c r="A16" s="58" t="s">
        <v>162</v>
      </c>
      <c r="B16" s="10">
        <v>2</v>
      </c>
      <c r="C16" s="10">
        <v>1</v>
      </c>
      <c r="D16" s="10">
        <f t="shared" ref="D16:D18" si="4">B16*C16</f>
        <v>2</v>
      </c>
      <c r="E16" s="10">
        <f>'Number of Respondents'!B$19</f>
        <v>0</v>
      </c>
      <c r="F16" s="10">
        <f t="shared" si="0"/>
        <v>0</v>
      </c>
      <c r="G16" s="10">
        <f t="shared" si="1"/>
        <v>0</v>
      </c>
      <c r="H16" s="10">
        <f t="shared" si="2"/>
        <v>0</v>
      </c>
      <c r="I16" s="53">
        <f t="shared" si="3"/>
        <v>0</v>
      </c>
    </row>
    <row r="17" spans="1:10" x14ac:dyDescent="0.25">
      <c r="A17" s="58" t="s">
        <v>147</v>
      </c>
      <c r="B17" s="10">
        <v>2</v>
      </c>
      <c r="C17" s="10">
        <v>1</v>
      </c>
      <c r="D17" s="10">
        <f t="shared" si="4"/>
        <v>2</v>
      </c>
      <c r="E17" s="10">
        <f>'Number of Respondents'!B$19</f>
        <v>0</v>
      </c>
      <c r="F17" s="10">
        <f t="shared" si="0"/>
        <v>0</v>
      </c>
      <c r="G17" s="10">
        <f t="shared" si="1"/>
        <v>0</v>
      </c>
      <c r="H17" s="10">
        <f t="shared" si="2"/>
        <v>0</v>
      </c>
      <c r="I17" s="53">
        <f t="shared" si="3"/>
        <v>0</v>
      </c>
    </row>
    <row r="18" spans="1:10" x14ac:dyDescent="0.25">
      <c r="A18" s="58" t="s">
        <v>163</v>
      </c>
      <c r="B18" s="10">
        <v>2</v>
      </c>
      <c r="C18" s="10">
        <v>1</v>
      </c>
      <c r="D18" s="10">
        <f t="shared" si="4"/>
        <v>2</v>
      </c>
      <c r="E18" s="10">
        <f>'Number of Respondents'!B$19</f>
        <v>0</v>
      </c>
      <c r="F18" s="10">
        <f t="shared" si="0"/>
        <v>0</v>
      </c>
      <c r="G18" s="10">
        <f t="shared" si="1"/>
        <v>0</v>
      </c>
      <c r="H18" s="10">
        <f t="shared" si="2"/>
        <v>0</v>
      </c>
      <c r="I18" s="53">
        <f t="shared" si="3"/>
        <v>0</v>
      </c>
    </row>
    <row r="19" spans="1:10" x14ac:dyDescent="0.25">
      <c r="A19" s="58" t="s">
        <v>164</v>
      </c>
      <c r="B19" s="10">
        <v>4</v>
      </c>
      <c r="C19" s="10">
        <v>2</v>
      </c>
      <c r="D19" s="10">
        <f>B19*C19</f>
        <v>8</v>
      </c>
      <c r="E19" s="10">
        <f>'Number of Respondents'!C19</f>
        <v>170</v>
      </c>
      <c r="F19" s="13">
        <f t="shared" si="0"/>
        <v>1360</v>
      </c>
      <c r="G19" s="10">
        <f t="shared" si="1"/>
        <v>68</v>
      </c>
      <c r="H19" s="10">
        <f t="shared" si="2"/>
        <v>136</v>
      </c>
      <c r="I19" s="12">
        <f>+$F$2*F19+$G$2*G19+$H$2*H19</f>
        <v>197212.91999999998</v>
      </c>
    </row>
    <row r="20" spans="1:10" x14ac:dyDescent="0.25">
      <c r="A20" s="40" t="s">
        <v>106</v>
      </c>
      <c r="B20" s="8"/>
      <c r="C20" s="8"/>
      <c r="D20" s="14"/>
      <c r="E20" s="10"/>
      <c r="F20" s="177">
        <f>SUM(F5:H19)</f>
        <v>1759.5</v>
      </c>
      <c r="G20" s="177"/>
      <c r="H20" s="177"/>
      <c r="I20" s="28">
        <f>SUM(I5:I19)</f>
        <v>221864.53499999997</v>
      </c>
    </row>
    <row r="21" spans="1:10" x14ac:dyDescent="0.25">
      <c r="A21" s="9" t="s">
        <v>270</v>
      </c>
      <c r="B21" s="10"/>
      <c r="C21" s="10"/>
      <c r="D21" s="10"/>
      <c r="E21" s="10"/>
      <c r="F21" s="10"/>
      <c r="G21" s="10"/>
      <c r="H21" s="10"/>
      <c r="I21" s="39"/>
    </row>
    <row r="22" spans="1:10" x14ac:dyDescent="0.25">
      <c r="A22" s="11" t="s">
        <v>109</v>
      </c>
      <c r="B22" s="10" t="s">
        <v>279</v>
      </c>
      <c r="C22" s="10"/>
      <c r="D22" s="10"/>
      <c r="E22" s="10"/>
      <c r="F22" s="10"/>
      <c r="G22" s="10"/>
      <c r="H22" s="10"/>
      <c r="I22" s="39"/>
    </row>
    <row r="23" spans="1:10" x14ac:dyDescent="0.25">
      <c r="A23" s="11" t="s">
        <v>271</v>
      </c>
      <c r="B23" s="10" t="s">
        <v>321</v>
      </c>
      <c r="C23" s="10"/>
      <c r="D23" s="10"/>
      <c r="E23" s="10"/>
      <c r="F23" s="10"/>
      <c r="G23" s="10"/>
      <c r="H23" s="10"/>
      <c r="I23" s="39"/>
    </row>
    <row r="24" spans="1:10" x14ac:dyDescent="0.25">
      <c r="A24" s="11" t="s">
        <v>272</v>
      </c>
      <c r="B24" s="10" t="s">
        <v>264</v>
      </c>
      <c r="C24" s="10"/>
      <c r="D24" s="10"/>
      <c r="E24" s="10"/>
      <c r="F24" s="10"/>
      <c r="G24" s="10"/>
      <c r="H24" s="10"/>
      <c r="I24" s="39"/>
    </row>
    <row r="25" spans="1:10" x14ac:dyDescent="0.25">
      <c r="A25" s="11" t="s">
        <v>273</v>
      </c>
      <c r="B25" s="10" t="s">
        <v>98</v>
      </c>
      <c r="C25" s="10"/>
      <c r="D25" s="10"/>
      <c r="E25" s="10"/>
      <c r="F25" s="10"/>
      <c r="G25" s="10"/>
      <c r="H25" s="10"/>
      <c r="I25" s="39"/>
    </row>
    <row r="26" spans="1:10" x14ac:dyDescent="0.25">
      <c r="A26" s="11" t="s">
        <v>274</v>
      </c>
      <c r="B26" s="10"/>
      <c r="C26" s="10"/>
      <c r="D26" s="10"/>
      <c r="E26" s="10"/>
      <c r="F26" s="10"/>
      <c r="G26" s="10"/>
      <c r="H26" s="10"/>
      <c r="I26" s="39"/>
    </row>
    <row r="27" spans="1:10" x14ac:dyDescent="0.25">
      <c r="A27" s="58" t="s">
        <v>322</v>
      </c>
      <c r="B27" s="10">
        <v>80</v>
      </c>
      <c r="C27" s="10">
        <v>1</v>
      </c>
      <c r="D27" s="10">
        <f>B27*C27</f>
        <v>80</v>
      </c>
      <c r="E27" s="10">
        <f>'Number of Respondents'!C19</f>
        <v>170</v>
      </c>
      <c r="F27" s="13">
        <f t="shared" ref="F27" si="5">D27*E27</f>
        <v>13600</v>
      </c>
      <c r="G27" s="10">
        <f t="shared" ref="G27" si="6">F27*0.05</f>
        <v>680</v>
      </c>
      <c r="H27" s="10">
        <f t="shared" ref="H27" si="7">+F27*0.1</f>
        <v>1360</v>
      </c>
      <c r="I27" s="12">
        <f>+$F$2*F27+$G$2*G27+$H$2*H27</f>
        <v>1972129.2000000002</v>
      </c>
      <c r="J27" s="82"/>
    </row>
    <row r="28" spans="1:10" x14ac:dyDescent="0.25">
      <c r="A28" s="11" t="s">
        <v>323</v>
      </c>
      <c r="B28" s="61" t="s">
        <v>98</v>
      </c>
      <c r="C28" s="59"/>
      <c r="D28" s="59"/>
      <c r="E28" s="59"/>
      <c r="F28" s="59"/>
      <c r="G28" s="59"/>
      <c r="H28" s="59"/>
      <c r="I28" s="59"/>
    </row>
    <row r="29" spans="1:10" x14ac:dyDescent="0.25">
      <c r="A29" s="11" t="s">
        <v>324</v>
      </c>
      <c r="B29" s="61" t="s">
        <v>98</v>
      </c>
      <c r="C29" s="59"/>
      <c r="D29" s="59"/>
      <c r="E29" s="59"/>
      <c r="F29" s="59"/>
      <c r="G29" s="59"/>
      <c r="H29" s="59"/>
      <c r="I29" s="59"/>
    </row>
    <row r="30" spans="1:10" x14ac:dyDescent="0.25">
      <c r="A30" s="40" t="s">
        <v>107</v>
      </c>
      <c r="B30" s="8"/>
      <c r="C30" s="8"/>
      <c r="D30" s="14"/>
      <c r="E30" s="8"/>
      <c r="F30" s="177">
        <f>SUM(F21:H29)</f>
        <v>15640</v>
      </c>
      <c r="G30" s="177"/>
      <c r="H30" s="177"/>
      <c r="I30" s="28">
        <f>SUM(I21:I29)</f>
        <v>1972129.2000000002</v>
      </c>
    </row>
    <row r="31" spans="1:10" ht="15.75" x14ac:dyDescent="0.25">
      <c r="A31" s="14" t="s">
        <v>460</v>
      </c>
      <c r="B31" s="14"/>
      <c r="C31" s="14"/>
      <c r="D31" s="14"/>
      <c r="E31" s="14"/>
      <c r="F31" s="177">
        <f>ROUND(F20+F30,-2)</f>
        <v>17400</v>
      </c>
      <c r="G31" s="177"/>
      <c r="H31" s="177"/>
      <c r="I31" s="28">
        <f>ROUND(I20+I30,-4)</f>
        <v>2190000</v>
      </c>
    </row>
    <row r="32" spans="1:10" ht="15.75" x14ac:dyDescent="0.25">
      <c r="A32" s="14" t="s">
        <v>327</v>
      </c>
      <c r="B32" s="14"/>
      <c r="C32" s="14"/>
      <c r="D32" s="14"/>
      <c r="E32" s="14"/>
      <c r="F32" s="54"/>
      <c r="G32" s="54"/>
      <c r="H32" s="54"/>
      <c r="I32" s="28">
        <f>'Capital and O&amp;M Costs'!G10</f>
        <v>0</v>
      </c>
    </row>
    <row r="33" spans="1:9" ht="15.75" x14ac:dyDescent="0.25">
      <c r="A33" s="14" t="s">
        <v>328</v>
      </c>
      <c r="B33" s="14"/>
      <c r="C33" s="14"/>
      <c r="D33" s="14"/>
      <c r="E33" s="14"/>
      <c r="F33" s="54"/>
      <c r="G33" s="54"/>
      <c r="H33" s="54"/>
      <c r="I33" s="28">
        <f>ROUND(I31+I32,-4)</f>
        <v>2190000</v>
      </c>
    </row>
    <row r="35" spans="1:9" x14ac:dyDescent="0.25">
      <c r="A35" s="25" t="s">
        <v>27</v>
      </c>
    </row>
    <row r="36" spans="1:9" ht="33.75" customHeight="1" x14ac:dyDescent="0.25">
      <c r="A36" s="172" t="s">
        <v>533</v>
      </c>
      <c r="B36" s="172"/>
      <c r="C36" s="172"/>
      <c r="D36" s="172"/>
      <c r="E36" s="172"/>
      <c r="F36" s="172"/>
      <c r="G36" s="172"/>
      <c r="H36" s="172"/>
      <c r="I36" s="172"/>
    </row>
    <row r="37" spans="1:9" ht="64.5" customHeight="1" x14ac:dyDescent="0.25">
      <c r="A37" s="172" t="s">
        <v>530</v>
      </c>
      <c r="B37" s="172"/>
      <c r="C37" s="172"/>
      <c r="D37" s="172"/>
      <c r="E37" s="172"/>
      <c r="F37" s="172"/>
      <c r="G37" s="172"/>
      <c r="H37" s="172"/>
      <c r="I37" s="172"/>
    </row>
    <row r="38" spans="1:9" ht="17.25" customHeight="1" x14ac:dyDescent="0.25">
      <c r="A38" s="161" t="s">
        <v>426</v>
      </c>
      <c r="B38" s="161"/>
      <c r="C38" s="161"/>
      <c r="D38" s="161"/>
      <c r="E38" s="161"/>
      <c r="F38" s="161"/>
      <c r="G38" s="161"/>
      <c r="H38" s="161"/>
      <c r="I38" s="161"/>
    </row>
    <row r="39" spans="1:9" ht="17.25" customHeight="1" x14ac:dyDescent="0.25">
      <c r="A39" s="172" t="s">
        <v>326</v>
      </c>
      <c r="B39" s="172"/>
      <c r="C39" s="172"/>
      <c r="D39" s="172"/>
      <c r="E39" s="172"/>
      <c r="F39" s="172"/>
      <c r="G39" s="172"/>
      <c r="H39" s="172"/>
      <c r="I39" s="172"/>
    </row>
    <row r="40" spans="1:9" ht="17.25" customHeight="1" x14ac:dyDescent="0.25">
      <c r="A40" s="161" t="s">
        <v>229</v>
      </c>
      <c r="B40" s="161"/>
      <c r="C40" s="161"/>
      <c r="D40" s="161"/>
      <c r="E40" s="161"/>
      <c r="F40" s="161"/>
      <c r="G40" s="161"/>
      <c r="H40" s="161"/>
      <c r="I40" s="161"/>
    </row>
  </sheetData>
  <mergeCells count="9">
    <mergeCell ref="A37:I37"/>
    <mergeCell ref="A38:I38"/>
    <mergeCell ref="A39:I39"/>
    <mergeCell ref="A40:I40"/>
    <mergeCell ref="A3:A4"/>
    <mergeCell ref="F20:H20"/>
    <mergeCell ref="F30:H30"/>
    <mergeCell ref="F31:H31"/>
    <mergeCell ref="A36:I36"/>
  </mergeCells>
  <pageMargins left="0.7" right="0.7" top="0.75"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43"/>
  <sheetViews>
    <sheetView zoomScale="85" zoomScaleNormal="85" workbookViewId="0">
      <selection activeCell="A2" sqref="A2"/>
    </sheetView>
  </sheetViews>
  <sheetFormatPr defaultRowHeight="15" x14ac:dyDescent="0.25"/>
  <cols>
    <col min="1" max="1" width="44.28515625" customWidth="1"/>
    <col min="2" max="2" width="10"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10" ht="15.75" x14ac:dyDescent="0.25">
      <c r="A1" s="35" t="s">
        <v>329</v>
      </c>
    </row>
    <row r="2" spans="1:10" x14ac:dyDescent="0.25">
      <c r="F2" s="86">
        <f>Labor!$A$5</f>
        <v>130.28</v>
      </c>
      <c r="G2" s="86">
        <f>Labor!$B$5</f>
        <v>163.16999999999999</v>
      </c>
      <c r="H2" s="86">
        <f>Labor!$C$5</f>
        <v>65.709999999999994</v>
      </c>
      <c r="I2" s="86"/>
      <c r="J2" s="6"/>
    </row>
    <row r="3" spans="1:10" ht="15" customHeight="1" x14ac:dyDescent="0.25">
      <c r="A3" s="162" t="s">
        <v>11</v>
      </c>
      <c r="B3" s="7" t="s">
        <v>19</v>
      </c>
      <c r="C3" s="7" t="s">
        <v>20</v>
      </c>
      <c r="D3" s="7" t="s">
        <v>21</v>
      </c>
      <c r="E3" s="7" t="s">
        <v>22</v>
      </c>
      <c r="F3" s="21" t="s">
        <v>23</v>
      </c>
      <c r="G3" s="7" t="s">
        <v>24</v>
      </c>
      <c r="H3" s="7" t="s">
        <v>25</v>
      </c>
      <c r="I3" s="7" t="s">
        <v>26</v>
      </c>
      <c r="J3" s="6"/>
    </row>
    <row r="4" spans="1:10" ht="63.75" x14ac:dyDescent="0.25">
      <c r="A4" s="163"/>
      <c r="B4" s="8" t="s">
        <v>212</v>
      </c>
      <c r="C4" s="8" t="s">
        <v>89</v>
      </c>
      <c r="D4" s="8" t="s">
        <v>208</v>
      </c>
      <c r="E4" s="8" t="s">
        <v>209</v>
      </c>
      <c r="F4" s="8" t="s">
        <v>91</v>
      </c>
      <c r="G4" s="8" t="s">
        <v>92</v>
      </c>
      <c r="H4" s="8" t="s">
        <v>93</v>
      </c>
      <c r="I4" s="8" t="s">
        <v>223</v>
      </c>
      <c r="J4" s="6"/>
    </row>
    <row r="5" spans="1:10" x14ac:dyDescent="0.25">
      <c r="A5" s="9" t="s">
        <v>97</v>
      </c>
      <c r="B5" s="10" t="s">
        <v>98</v>
      </c>
      <c r="C5" s="10"/>
      <c r="D5" s="10"/>
      <c r="E5" s="10"/>
      <c r="F5" s="10"/>
      <c r="G5" s="10"/>
      <c r="H5" s="10"/>
      <c r="I5" s="39"/>
      <c r="J5" s="6"/>
    </row>
    <row r="6" spans="1:10" x14ac:dyDescent="0.25">
      <c r="A6" s="9" t="s">
        <v>99</v>
      </c>
      <c r="B6" s="10" t="s">
        <v>98</v>
      </c>
      <c r="C6" s="10"/>
      <c r="D6" s="10"/>
      <c r="E6" s="10"/>
      <c r="F6" s="10"/>
      <c r="G6" s="10"/>
      <c r="H6" s="10"/>
      <c r="I6" s="39"/>
      <c r="J6" s="6"/>
    </row>
    <row r="7" spans="1:10" x14ac:dyDescent="0.25">
      <c r="A7" s="9" t="s">
        <v>263</v>
      </c>
      <c r="B7" s="10"/>
      <c r="C7" s="10"/>
      <c r="D7" s="10"/>
      <c r="E7" s="10"/>
      <c r="F7" s="10"/>
      <c r="G7" s="10"/>
      <c r="H7" s="10"/>
      <c r="I7" s="39"/>
      <c r="J7" s="6"/>
    </row>
    <row r="8" spans="1:10" ht="15.75" x14ac:dyDescent="0.25">
      <c r="A8" s="11" t="s">
        <v>278</v>
      </c>
      <c r="B8" s="10">
        <v>1</v>
      </c>
      <c r="C8" s="10">
        <v>1</v>
      </c>
      <c r="D8" s="10">
        <f>B8*C8</f>
        <v>1</v>
      </c>
      <c r="E8" s="10">
        <f>'Number of Respondents'!B24+'Number of Respondents'!C24</f>
        <v>75</v>
      </c>
      <c r="F8" s="10">
        <f>D8*E8</f>
        <v>75</v>
      </c>
      <c r="G8" s="32">
        <f>+F8*0.05</f>
        <v>3.75</v>
      </c>
      <c r="H8" s="10">
        <f>+F8*0.1</f>
        <v>7.5</v>
      </c>
      <c r="I8" s="12">
        <f>+$F$2*F8+$G$2*G8+$H$2*H8</f>
        <v>10875.712500000001</v>
      </c>
      <c r="J8" s="84"/>
    </row>
    <row r="9" spans="1:10" x14ac:dyDescent="0.25">
      <c r="A9" s="11" t="s">
        <v>102</v>
      </c>
      <c r="B9" s="10"/>
      <c r="C9" s="10"/>
      <c r="D9" s="10"/>
      <c r="E9" s="10"/>
      <c r="F9" s="10"/>
      <c r="G9" s="10"/>
      <c r="H9" s="10"/>
      <c r="I9" s="39"/>
    </row>
    <row r="10" spans="1:10" x14ac:dyDescent="0.25">
      <c r="A10" s="58" t="s">
        <v>165</v>
      </c>
      <c r="B10" s="10">
        <v>48</v>
      </c>
      <c r="C10" s="10">
        <v>1</v>
      </c>
      <c r="D10" s="10">
        <f t="shared" ref="D10:D28" si="0">B10*C10</f>
        <v>48</v>
      </c>
      <c r="E10" s="10">
        <f>'Number of Respondents'!B24</f>
        <v>0</v>
      </c>
      <c r="F10" s="13">
        <f t="shared" ref="F10" si="1">D10*E10</f>
        <v>0</v>
      </c>
      <c r="G10" s="33">
        <f>+F10*0.05</f>
        <v>0</v>
      </c>
      <c r="H10" s="33">
        <f t="shared" ref="H10" si="2">+F10*0.1</f>
        <v>0</v>
      </c>
      <c r="I10" s="12">
        <f>+$F$2*F10+$G$2*G10+$H$2*H10</f>
        <v>0</v>
      </c>
    </row>
    <row r="11" spans="1:10" ht="15.75" x14ac:dyDescent="0.25">
      <c r="A11" s="58" t="s">
        <v>325</v>
      </c>
      <c r="B11" s="10">
        <v>48</v>
      </c>
      <c r="C11" s="10">
        <v>1</v>
      </c>
      <c r="D11" s="10">
        <f t="shared" si="0"/>
        <v>48</v>
      </c>
      <c r="E11" s="10">
        <f>E10*0.2</f>
        <v>0</v>
      </c>
      <c r="F11" s="10">
        <f t="shared" ref="F11:F19" si="3">D11*E11</f>
        <v>0</v>
      </c>
      <c r="G11" s="10">
        <f t="shared" ref="G11:G19" si="4">+F11*0.05</f>
        <v>0</v>
      </c>
      <c r="H11" s="10">
        <f t="shared" ref="H11:H19" si="5">+F11*0.1</f>
        <v>0</v>
      </c>
      <c r="I11" s="12">
        <f t="shared" ref="I11:I19" si="6">+$F$2*F11+$G$2*G11+$H$2*H11</f>
        <v>0</v>
      </c>
    </row>
    <row r="12" spans="1:10" x14ac:dyDescent="0.25">
      <c r="A12" s="11" t="s">
        <v>103</v>
      </c>
      <c r="B12" s="10" t="s">
        <v>264</v>
      </c>
      <c r="C12" s="10"/>
      <c r="D12" s="10"/>
      <c r="E12" s="10"/>
      <c r="F12" s="10"/>
      <c r="G12" s="10"/>
      <c r="H12" s="10"/>
      <c r="I12" s="39"/>
    </row>
    <row r="13" spans="1:10" x14ac:dyDescent="0.25">
      <c r="A13" s="11" t="s">
        <v>104</v>
      </c>
      <c r="B13" s="10" t="s">
        <v>320</v>
      </c>
      <c r="C13" s="10"/>
      <c r="D13" s="10"/>
      <c r="E13" s="10"/>
      <c r="F13" s="10"/>
      <c r="G13" s="10"/>
      <c r="H13" s="10"/>
      <c r="I13" s="39"/>
    </row>
    <row r="14" spans="1:10" x14ac:dyDescent="0.25">
      <c r="A14" s="11" t="s">
        <v>268</v>
      </c>
      <c r="B14" s="10"/>
      <c r="C14" s="10"/>
      <c r="D14" s="10"/>
      <c r="E14" s="10"/>
      <c r="F14" s="10"/>
      <c r="G14" s="10"/>
      <c r="H14" s="10"/>
      <c r="I14" s="39"/>
    </row>
    <row r="15" spans="1:10" ht="15.75" x14ac:dyDescent="0.25">
      <c r="A15" s="58" t="s">
        <v>331</v>
      </c>
      <c r="B15" s="10">
        <v>2</v>
      </c>
      <c r="C15" s="10">
        <v>1</v>
      </c>
      <c r="D15" s="10">
        <f t="shared" si="0"/>
        <v>2</v>
      </c>
      <c r="E15" s="10">
        <f>E10*0.6</f>
        <v>0</v>
      </c>
      <c r="F15" s="10">
        <f t="shared" si="3"/>
        <v>0</v>
      </c>
      <c r="G15" s="10">
        <f t="shared" si="4"/>
        <v>0</v>
      </c>
      <c r="H15" s="10">
        <f t="shared" si="5"/>
        <v>0</v>
      </c>
      <c r="I15" s="12">
        <f t="shared" si="6"/>
        <v>0</v>
      </c>
    </row>
    <row r="16" spans="1:10" ht="15.75" x14ac:dyDescent="0.25">
      <c r="A16" s="58" t="s">
        <v>332</v>
      </c>
      <c r="B16" s="10">
        <v>2</v>
      </c>
      <c r="C16" s="10">
        <v>1</v>
      </c>
      <c r="D16" s="10">
        <f t="shared" si="0"/>
        <v>2</v>
      </c>
      <c r="E16" s="10">
        <f>E10*0.4</f>
        <v>0</v>
      </c>
      <c r="F16" s="10">
        <f t="shared" si="3"/>
        <v>0</v>
      </c>
      <c r="G16" s="10">
        <f t="shared" si="4"/>
        <v>0</v>
      </c>
      <c r="H16" s="10">
        <f t="shared" si="5"/>
        <v>0</v>
      </c>
      <c r="I16" s="12">
        <f t="shared" si="6"/>
        <v>0</v>
      </c>
    </row>
    <row r="17" spans="1:9" x14ac:dyDescent="0.25">
      <c r="A17" s="58" t="s">
        <v>147</v>
      </c>
      <c r="B17" s="10">
        <v>2</v>
      </c>
      <c r="C17" s="10">
        <v>1</v>
      </c>
      <c r="D17" s="10">
        <f t="shared" si="0"/>
        <v>2</v>
      </c>
      <c r="E17" s="10">
        <f>E10</f>
        <v>0</v>
      </c>
      <c r="F17" s="10">
        <f t="shared" si="3"/>
        <v>0</v>
      </c>
      <c r="G17" s="10">
        <f t="shared" si="4"/>
        <v>0</v>
      </c>
      <c r="H17" s="32">
        <f t="shared" si="5"/>
        <v>0</v>
      </c>
      <c r="I17" s="12">
        <f t="shared" si="6"/>
        <v>0</v>
      </c>
    </row>
    <row r="18" spans="1:9" ht="15.75" x14ac:dyDescent="0.25">
      <c r="A18" s="58" t="s">
        <v>333</v>
      </c>
      <c r="B18" s="10">
        <v>2</v>
      </c>
      <c r="C18" s="10">
        <v>1</v>
      </c>
      <c r="D18" s="10">
        <f t="shared" si="0"/>
        <v>2</v>
      </c>
      <c r="E18" s="10">
        <f>E10+E11</f>
        <v>0</v>
      </c>
      <c r="F18" s="10">
        <f t="shared" si="3"/>
        <v>0</v>
      </c>
      <c r="G18" s="10">
        <f t="shared" si="4"/>
        <v>0</v>
      </c>
      <c r="H18" s="10">
        <f t="shared" si="5"/>
        <v>0</v>
      </c>
      <c r="I18" s="12">
        <f t="shared" si="6"/>
        <v>0</v>
      </c>
    </row>
    <row r="19" spans="1:9" x14ac:dyDescent="0.25">
      <c r="A19" s="58" t="s">
        <v>164</v>
      </c>
      <c r="B19" s="10">
        <v>4.5</v>
      </c>
      <c r="C19" s="10">
        <v>2</v>
      </c>
      <c r="D19" s="10">
        <f t="shared" si="0"/>
        <v>9</v>
      </c>
      <c r="E19" s="10">
        <f>'Number of Respondents'!C24</f>
        <v>75</v>
      </c>
      <c r="F19" s="13">
        <f t="shared" si="3"/>
        <v>675</v>
      </c>
      <c r="G19" s="33">
        <f t="shared" si="4"/>
        <v>33.75</v>
      </c>
      <c r="H19" s="33">
        <f t="shared" si="5"/>
        <v>67.5</v>
      </c>
      <c r="I19" s="12">
        <f t="shared" si="6"/>
        <v>97881.412500000006</v>
      </c>
    </row>
    <row r="20" spans="1:9" x14ac:dyDescent="0.25">
      <c r="A20" s="40" t="s">
        <v>330</v>
      </c>
      <c r="B20" s="8"/>
      <c r="C20" s="8"/>
      <c r="D20" s="10"/>
      <c r="E20" s="8"/>
      <c r="F20" s="177">
        <f>SUM(F5:H19)</f>
        <v>862.5</v>
      </c>
      <c r="G20" s="177"/>
      <c r="H20" s="177"/>
      <c r="I20" s="28">
        <f>SUM(I5:I19)</f>
        <v>108757.125</v>
      </c>
    </row>
    <row r="21" spans="1:9" x14ac:dyDescent="0.25">
      <c r="A21" s="9" t="s">
        <v>270</v>
      </c>
      <c r="B21" s="10"/>
      <c r="C21" s="10"/>
      <c r="D21" s="10"/>
      <c r="E21" s="10"/>
      <c r="F21" s="10"/>
      <c r="G21" s="10"/>
      <c r="H21" s="10"/>
      <c r="I21" s="39"/>
    </row>
    <row r="22" spans="1:9" x14ac:dyDescent="0.25">
      <c r="A22" s="11" t="s">
        <v>109</v>
      </c>
      <c r="B22" s="10" t="s">
        <v>279</v>
      </c>
      <c r="C22" s="10"/>
      <c r="D22" s="10"/>
      <c r="E22" s="10"/>
      <c r="F22" s="10"/>
      <c r="G22" s="10"/>
      <c r="H22" s="10"/>
      <c r="I22" s="39"/>
    </row>
    <row r="23" spans="1:9" x14ac:dyDescent="0.25">
      <c r="A23" s="11" t="s">
        <v>271</v>
      </c>
      <c r="B23" s="10" t="s">
        <v>321</v>
      </c>
      <c r="C23" s="10"/>
      <c r="D23" s="10"/>
      <c r="E23" s="10"/>
      <c r="F23" s="10"/>
      <c r="G23" s="10"/>
      <c r="H23" s="10"/>
      <c r="I23" s="39"/>
    </row>
    <row r="24" spans="1:9" x14ac:dyDescent="0.25">
      <c r="A24" s="11" t="s">
        <v>272</v>
      </c>
      <c r="B24" s="10" t="s">
        <v>264</v>
      </c>
      <c r="C24" s="10"/>
      <c r="D24" s="10"/>
      <c r="E24" s="10"/>
      <c r="F24" s="10"/>
      <c r="G24" s="10"/>
      <c r="H24" s="10"/>
      <c r="I24" s="39"/>
    </row>
    <row r="25" spans="1:9" x14ac:dyDescent="0.25">
      <c r="A25" s="11" t="s">
        <v>273</v>
      </c>
      <c r="B25" s="10" t="s">
        <v>98</v>
      </c>
      <c r="C25" s="10"/>
      <c r="D25" s="10"/>
      <c r="E25" s="10"/>
      <c r="F25" s="10"/>
      <c r="G25" s="10"/>
      <c r="H25" s="10"/>
      <c r="I25" s="39"/>
    </row>
    <row r="26" spans="1:9" x14ac:dyDescent="0.25">
      <c r="A26" s="11" t="s">
        <v>274</v>
      </c>
      <c r="B26" s="10"/>
      <c r="C26" s="10"/>
      <c r="D26" s="10"/>
      <c r="E26" s="10"/>
      <c r="F26" s="10"/>
      <c r="G26" s="10"/>
      <c r="H26" s="10"/>
      <c r="I26" s="39"/>
    </row>
    <row r="27" spans="1:9" ht="15.75" x14ac:dyDescent="0.25">
      <c r="A27" s="58" t="s">
        <v>334</v>
      </c>
      <c r="B27" s="10">
        <v>89.5</v>
      </c>
      <c r="C27" s="10">
        <v>1</v>
      </c>
      <c r="D27" s="10">
        <f t="shared" si="0"/>
        <v>89.5</v>
      </c>
      <c r="E27" s="33">
        <f>ROUNDDOWN(E19*0.9,0)</f>
        <v>67</v>
      </c>
      <c r="F27" s="13">
        <f t="shared" ref="F27" si="7">D27*E27</f>
        <v>5996.5</v>
      </c>
      <c r="G27" s="13">
        <f t="shared" ref="G27:G28" si="8">+F27*0.05</f>
        <v>299.82499999999999</v>
      </c>
      <c r="H27" s="13">
        <f t="shared" ref="H27" si="9">+F27*0.1</f>
        <v>599.65</v>
      </c>
      <c r="I27" s="12">
        <f t="shared" ref="I27" si="10">+$F$2*F27+$G$2*G27+$H$2*H27</f>
        <v>869549.46675000002</v>
      </c>
    </row>
    <row r="28" spans="1:9" ht="15.75" x14ac:dyDescent="0.25">
      <c r="A28" s="58" t="s">
        <v>335</v>
      </c>
      <c r="B28" s="10">
        <v>95.2</v>
      </c>
      <c r="C28" s="10">
        <v>1</v>
      </c>
      <c r="D28" s="10">
        <f t="shared" si="0"/>
        <v>95.2</v>
      </c>
      <c r="E28" s="33">
        <f>E19*0.1</f>
        <v>7.5</v>
      </c>
      <c r="F28" s="34">
        <f t="shared" ref="F28" si="11">D28*E28</f>
        <v>714</v>
      </c>
      <c r="G28" s="13">
        <f t="shared" si="8"/>
        <v>35.700000000000003</v>
      </c>
      <c r="H28" s="13">
        <f t="shared" ref="H28" si="12">+F28*0.1</f>
        <v>71.400000000000006</v>
      </c>
      <c r="I28" s="12">
        <f t="shared" ref="I28" si="13">+$F$2*F28+$G$2*G28+$H$2*H28</f>
        <v>103536.783</v>
      </c>
    </row>
    <row r="29" spans="1:9" x14ac:dyDescent="0.25">
      <c r="A29" s="11" t="s">
        <v>323</v>
      </c>
      <c r="B29" s="61" t="s">
        <v>98</v>
      </c>
      <c r="C29" s="59"/>
      <c r="D29" s="59"/>
      <c r="E29" s="59"/>
      <c r="F29" s="59"/>
      <c r="G29" s="59"/>
      <c r="H29" s="59"/>
      <c r="I29" s="59"/>
    </row>
    <row r="30" spans="1:9" x14ac:dyDescent="0.25">
      <c r="A30" s="11" t="s">
        <v>324</v>
      </c>
      <c r="B30" s="61" t="s">
        <v>98</v>
      </c>
      <c r="C30" s="59"/>
      <c r="D30" s="59"/>
      <c r="E30" s="59"/>
      <c r="F30" s="59"/>
      <c r="G30" s="59"/>
      <c r="H30" s="59"/>
      <c r="I30" s="59"/>
    </row>
    <row r="31" spans="1:9" x14ac:dyDescent="0.25">
      <c r="A31" s="40" t="s">
        <v>107</v>
      </c>
      <c r="B31" s="8"/>
      <c r="C31" s="8"/>
      <c r="D31" s="14"/>
      <c r="E31" s="8"/>
      <c r="F31" s="177">
        <f>SUM(F21:H30)</f>
        <v>7717.0749999999989</v>
      </c>
      <c r="G31" s="177"/>
      <c r="H31" s="177"/>
      <c r="I31" s="28">
        <f>SUM(I21:I30)</f>
        <v>973086.24974999996</v>
      </c>
    </row>
    <row r="32" spans="1:9" ht="15.75" x14ac:dyDescent="0.25">
      <c r="A32" s="14" t="s">
        <v>461</v>
      </c>
      <c r="B32" s="14"/>
      <c r="C32" s="14"/>
      <c r="D32" s="14"/>
      <c r="E32" s="14"/>
      <c r="F32" s="177">
        <f>ROUND(F20+F31,-1)</f>
        <v>8580</v>
      </c>
      <c r="G32" s="177"/>
      <c r="H32" s="177"/>
      <c r="I32" s="28">
        <f>ROUND(I20+I31,-4)</f>
        <v>1080000</v>
      </c>
    </row>
    <row r="33" spans="1:9" ht="15.75" x14ac:dyDescent="0.25">
      <c r="A33" s="14" t="s">
        <v>336</v>
      </c>
      <c r="B33" s="14"/>
      <c r="C33" s="14"/>
      <c r="D33" s="14"/>
      <c r="E33" s="14"/>
      <c r="F33" s="54"/>
      <c r="G33" s="54"/>
      <c r="H33" s="54"/>
      <c r="I33" s="28">
        <f>'Capital and O&amp;M Costs'!G12</f>
        <v>0</v>
      </c>
    </row>
    <row r="34" spans="1:9" ht="15.75" x14ac:dyDescent="0.25">
      <c r="A34" s="14" t="s">
        <v>337</v>
      </c>
      <c r="B34" s="14"/>
      <c r="C34" s="14"/>
      <c r="D34" s="14"/>
      <c r="E34" s="14"/>
      <c r="F34" s="54"/>
      <c r="G34" s="54"/>
      <c r="H34" s="54"/>
      <c r="I34" s="28">
        <f>ROUND(I32+I33,-3)</f>
        <v>1080000</v>
      </c>
    </row>
    <row r="36" spans="1:9" x14ac:dyDescent="0.25">
      <c r="A36" s="25" t="s">
        <v>27</v>
      </c>
    </row>
    <row r="37" spans="1:9" ht="31.5" customHeight="1" x14ac:dyDescent="0.25">
      <c r="A37" s="172" t="s">
        <v>534</v>
      </c>
      <c r="B37" s="172"/>
      <c r="C37" s="172"/>
      <c r="D37" s="172"/>
      <c r="E37" s="172"/>
      <c r="F37" s="172"/>
      <c r="G37" s="172"/>
      <c r="H37" s="172"/>
      <c r="I37" s="172"/>
    </row>
    <row r="38" spans="1:9" ht="49.5" customHeight="1" x14ac:dyDescent="0.25">
      <c r="A38" s="172" t="s">
        <v>530</v>
      </c>
      <c r="B38" s="172"/>
      <c r="C38" s="172"/>
      <c r="D38" s="172"/>
      <c r="E38" s="172"/>
      <c r="F38" s="172"/>
      <c r="G38" s="172"/>
      <c r="H38" s="172"/>
      <c r="I38" s="172"/>
    </row>
    <row r="39" spans="1:9" ht="18" customHeight="1" x14ac:dyDescent="0.25">
      <c r="A39" s="161" t="s">
        <v>426</v>
      </c>
      <c r="B39" s="161"/>
      <c r="C39" s="161"/>
      <c r="D39" s="161"/>
      <c r="E39" s="161"/>
      <c r="F39" s="161"/>
      <c r="G39" s="161"/>
      <c r="H39" s="161"/>
      <c r="I39" s="161"/>
    </row>
    <row r="40" spans="1:9" ht="18" customHeight="1" x14ac:dyDescent="0.25">
      <c r="A40" s="172" t="s">
        <v>228</v>
      </c>
      <c r="B40" s="172"/>
      <c r="C40" s="172"/>
      <c r="D40" s="172"/>
      <c r="E40" s="172"/>
      <c r="F40" s="172"/>
      <c r="G40" s="172"/>
      <c r="H40" s="172"/>
      <c r="I40" s="172"/>
    </row>
    <row r="41" spans="1:9" ht="18" customHeight="1" x14ac:dyDescent="0.25">
      <c r="A41" s="172" t="s">
        <v>445</v>
      </c>
      <c r="B41" s="172"/>
      <c r="C41" s="172"/>
      <c r="D41" s="172"/>
      <c r="E41" s="172"/>
      <c r="F41" s="172"/>
      <c r="G41" s="172"/>
      <c r="H41" s="172"/>
      <c r="I41" s="172"/>
    </row>
    <row r="42" spans="1:9" ht="18" customHeight="1" x14ac:dyDescent="0.25">
      <c r="A42" s="172" t="s">
        <v>338</v>
      </c>
      <c r="B42" s="172"/>
      <c r="C42" s="172"/>
      <c r="D42" s="172"/>
      <c r="E42" s="172"/>
      <c r="F42" s="172"/>
      <c r="G42" s="172"/>
      <c r="H42" s="172"/>
      <c r="I42" s="172"/>
    </row>
    <row r="43" spans="1:9" ht="18" customHeight="1" x14ac:dyDescent="0.25">
      <c r="A43" s="161" t="s">
        <v>339</v>
      </c>
      <c r="B43" s="161"/>
      <c r="C43" s="161"/>
      <c r="D43" s="161"/>
      <c r="E43" s="161"/>
      <c r="F43" s="161"/>
      <c r="G43" s="161"/>
      <c r="H43" s="161"/>
      <c r="I43" s="161"/>
    </row>
  </sheetData>
  <mergeCells count="11">
    <mergeCell ref="A3:A4"/>
    <mergeCell ref="F20:H20"/>
    <mergeCell ref="F31:H31"/>
    <mergeCell ref="F32:H32"/>
    <mergeCell ref="A37:I37"/>
    <mergeCell ref="A43:I43"/>
    <mergeCell ref="A38:I38"/>
    <mergeCell ref="A39:I39"/>
    <mergeCell ref="A40:I40"/>
    <mergeCell ref="A41:I41"/>
    <mergeCell ref="A42:I4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32"/>
  <sheetViews>
    <sheetView zoomScale="85" zoomScaleNormal="85" workbookViewId="0">
      <selection activeCell="A2" sqref="A2"/>
    </sheetView>
  </sheetViews>
  <sheetFormatPr defaultRowHeight="15" x14ac:dyDescent="0.25"/>
  <cols>
    <col min="1" max="1" width="55.140625" customWidth="1"/>
    <col min="2" max="2" width="10"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10" ht="15.75" x14ac:dyDescent="0.25">
      <c r="A1" s="43" t="s">
        <v>340</v>
      </c>
    </row>
    <row r="2" spans="1:10" x14ac:dyDescent="0.25">
      <c r="F2" s="86">
        <f>Labor!$A$5</f>
        <v>130.28</v>
      </c>
      <c r="G2" s="86">
        <f>Labor!$B$5</f>
        <v>163.16999999999999</v>
      </c>
      <c r="H2" s="86">
        <f>Labor!$C$5</f>
        <v>65.709999999999994</v>
      </c>
      <c r="I2" s="86"/>
      <c r="J2" s="6"/>
    </row>
    <row r="3" spans="1:10" ht="15" customHeight="1" x14ac:dyDescent="0.25">
      <c r="A3" s="162" t="s">
        <v>11</v>
      </c>
      <c r="B3" s="7" t="s">
        <v>19</v>
      </c>
      <c r="C3" s="7" t="s">
        <v>20</v>
      </c>
      <c r="D3" s="7" t="s">
        <v>21</v>
      </c>
      <c r="E3" s="7" t="s">
        <v>22</v>
      </c>
      <c r="F3" s="21" t="s">
        <v>23</v>
      </c>
      <c r="G3" s="7" t="s">
        <v>24</v>
      </c>
      <c r="H3" s="7" t="s">
        <v>25</v>
      </c>
      <c r="I3" s="7" t="s">
        <v>26</v>
      </c>
      <c r="J3" s="6"/>
    </row>
    <row r="4" spans="1:10" ht="63.75" x14ac:dyDescent="0.25">
      <c r="A4" s="163"/>
      <c r="B4" s="8" t="s">
        <v>212</v>
      </c>
      <c r="C4" s="8" t="s">
        <v>89</v>
      </c>
      <c r="D4" s="8" t="s">
        <v>208</v>
      </c>
      <c r="E4" s="8" t="s">
        <v>209</v>
      </c>
      <c r="F4" s="8" t="s">
        <v>91</v>
      </c>
      <c r="G4" s="8" t="s">
        <v>92</v>
      </c>
      <c r="H4" s="8" t="s">
        <v>93</v>
      </c>
      <c r="I4" s="8" t="s">
        <v>223</v>
      </c>
      <c r="J4" s="6"/>
    </row>
    <row r="5" spans="1:10" ht="15" customHeight="1" x14ac:dyDescent="0.25">
      <c r="A5" s="9" t="s">
        <v>97</v>
      </c>
      <c r="B5" s="10" t="s">
        <v>98</v>
      </c>
      <c r="C5" s="10"/>
      <c r="D5" s="10"/>
      <c r="E5" s="10"/>
      <c r="F5" s="10"/>
      <c r="G5" s="10"/>
      <c r="H5" s="10"/>
      <c r="I5" s="39"/>
      <c r="J5" s="6"/>
    </row>
    <row r="6" spans="1:10" ht="15" customHeight="1" x14ac:dyDescent="0.25">
      <c r="A6" s="9" t="s">
        <v>99</v>
      </c>
      <c r="B6" s="10" t="s">
        <v>98</v>
      </c>
      <c r="C6" s="10"/>
      <c r="D6" s="10"/>
      <c r="E6" s="10"/>
      <c r="F6" s="10"/>
      <c r="G6" s="10"/>
      <c r="H6" s="10"/>
      <c r="I6" s="39"/>
      <c r="J6" s="6"/>
    </row>
    <row r="7" spans="1:10" ht="15" customHeight="1" x14ac:dyDescent="0.25">
      <c r="A7" s="9" t="s">
        <v>263</v>
      </c>
      <c r="B7" s="10"/>
      <c r="C7" s="10"/>
      <c r="D7" s="10"/>
      <c r="E7" s="10"/>
      <c r="F7" s="10"/>
      <c r="G7" s="10"/>
      <c r="H7" s="10"/>
      <c r="I7" s="39"/>
      <c r="J7" s="6"/>
    </row>
    <row r="8" spans="1:10" ht="15" customHeight="1" x14ac:dyDescent="0.25">
      <c r="A8" s="11" t="s">
        <v>278</v>
      </c>
      <c r="B8" s="10">
        <v>1</v>
      </c>
      <c r="C8" s="10">
        <v>1</v>
      </c>
      <c r="D8" s="10">
        <f>B8*C8</f>
        <v>1</v>
      </c>
      <c r="E8" s="10">
        <f>'Number of Respondents'!B29+'Number of Respondents'!C29</f>
        <v>93</v>
      </c>
      <c r="F8" s="10">
        <f>D8*E8</f>
        <v>93</v>
      </c>
      <c r="G8" s="32">
        <f>+F8*0.05</f>
        <v>4.6500000000000004</v>
      </c>
      <c r="H8" s="10">
        <f>+F8*0.1</f>
        <v>9.3000000000000007</v>
      </c>
      <c r="I8" s="12">
        <f>+$F$2*F8+$G$2*G8+$H$2*H8</f>
        <v>13485.8835</v>
      </c>
      <c r="J8" s="84"/>
    </row>
    <row r="9" spans="1:10" ht="15" customHeight="1" x14ac:dyDescent="0.25">
      <c r="A9" s="11" t="s">
        <v>102</v>
      </c>
      <c r="B9" s="10"/>
      <c r="C9" s="10"/>
      <c r="D9" s="10"/>
      <c r="E9" s="10"/>
      <c r="F9" s="10"/>
      <c r="G9" s="10"/>
      <c r="H9" s="10"/>
      <c r="I9" s="39"/>
    </row>
    <row r="10" spans="1:10" ht="15" customHeight="1" x14ac:dyDescent="0.25">
      <c r="A10" s="58" t="s">
        <v>165</v>
      </c>
      <c r="B10" s="10">
        <v>360</v>
      </c>
      <c r="C10" s="10">
        <v>1</v>
      </c>
      <c r="D10" s="10">
        <f t="shared" ref="D10:D21" si="0">B10*C10</f>
        <v>360</v>
      </c>
      <c r="E10" s="10">
        <f>'Number of Respondents'!B29</f>
        <v>5</v>
      </c>
      <c r="F10" s="13">
        <f t="shared" ref="F10:F16" si="1">D10*E10</f>
        <v>1800</v>
      </c>
      <c r="G10" s="10">
        <f t="shared" ref="G10:G16" si="2">+F10*0.05</f>
        <v>90</v>
      </c>
      <c r="H10" s="10">
        <f t="shared" ref="H10:H16" si="3">+F10*0.1</f>
        <v>180</v>
      </c>
      <c r="I10" s="12">
        <f t="shared" ref="I10:I16" si="4">+$F$2*F10+$G$2*G10+$H$2*H10</f>
        <v>261017.09999999998</v>
      </c>
    </row>
    <row r="11" spans="1:10" ht="15" customHeight="1" x14ac:dyDescent="0.25">
      <c r="A11" s="58" t="s">
        <v>325</v>
      </c>
      <c r="B11" s="10">
        <v>360</v>
      </c>
      <c r="C11" s="10">
        <v>1</v>
      </c>
      <c r="D11" s="10">
        <f t="shared" si="0"/>
        <v>360</v>
      </c>
      <c r="E11" s="10">
        <f>E10*0.2</f>
        <v>1</v>
      </c>
      <c r="F11" s="10">
        <f t="shared" si="1"/>
        <v>360</v>
      </c>
      <c r="G11" s="10">
        <f t="shared" si="2"/>
        <v>18</v>
      </c>
      <c r="H11" s="10">
        <f t="shared" si="3"/>
        <v>36</v>
      </c>
      <c r="I11" s="12">
        <f t="shared" si="4"/>
        <v>52203.42</v>
      </c>
    </row>
    <row r="12" spans="1:10" ht="15" customHeight="1" x14ac:dyDescent="0.25">
      <c r="A12" s="11" t="s">
        <v>341</v>
      </c>
      <c r="B12" s="10"/>
      <c r="C12" s="10"/>
      <c r="D12" s="10"/>
      <c r="E12" s="10"/>
      <c r="F12" s="10"/>
      <c r="G12" s="10"/>
      <c r="H12" s="10"/>
      <c r="I12" s="39"/>
    </row>
    <row r="13" spans="1:10" ht="15" customHeight="1" x14ac:dyDescent="0.25">
      <c r="A13" s="58" t="s">
        <v>167</v>
      </c>
      <c r="B13" s="10">
        <v>2</v>
      </c>
      <c r="C13" s="10">
        <v>1</v>
      </c>
      <c r="D13" s="10">
        <f t="shared" si="0"/>
        <v>2</v>
      </c>
      <c r="E13" s="10">
        <f>'Number of Respondents'!B29</f>
        <v>5</v>
      </c>
      <c r="F13" s="10">
        <f t="shared" si="1"/>
        <v>10</v>
      </c>
      <c r="G13" s="10">
        <f t="shared" si="2"/>
        <v>0.5</v>
      </c>
      <c r="H13" s="10">
        <f t="shared" si="3"/>
        <v>1</v>
      </c>
      <c r="I13" s="12">
        <f t="shared" si="4"/>
        <v>1450.095</v>
      </c>
    </row>
    <row r="14" spans="1:10" ht="15" customHeight="1" x14ac:dyDescent="0.25">
      <c r="A14" s="58" t="s">
        <v>147</v>
      </c>
      <c r="B14" s="10">
        <v>1</v>
      </c>
      <c r="C14" s="10">
        <v>1</v>
      </c>
      <c r="D14" s="10">
        <f t="shared" si="0"/>
        <v>1</v>
      </c>
      <c r="E14" s="10">
        <f>'Number of Respondents'!B29</f>
        <v>5</v>
      </c>
      <c r="F14" s="10">
        <f t="shared" si="1"/>
        <v>5</v>
      </c>
      <c r="G14" s="32">
        <f t="shared" si="2"/>
        <v>0.25</v>
      </c>
      <c r="H14" s="10">
        <f t="shared" si="3"/>
        <v>0.5</v>
      </c>
      <c r="I14" s="12">
        <f t="shared" si="4"/>
        <v>725.04750000000001</v>
      </c>
    </row>
    <row r="15" spans="1:10" ht="15" customHeight="1" x14ac:dyDescent="0.25">
      <c r="A15" s="58" t="s">
        <v>163</v>
      </c>
      <c r="B15" s="10">
        <v>2</v>
      </c>
      <c r="C15" s="10">
        <v>1</v>
      </c>
      <c r="D15" s="10">
        <f t="shared" si="0"/>
        <v>2</v>
      </c>
      <c r="E15" s="10">
        <f>E10+E11</f>
        <v>6</v>
      </c>
      <c r="F15" s="10">
        <f t="shared" si="1"/>
        <v>12</v>
      </c>
      <c r="G15" s="10">
        <f t="shared" si="2"/>
        <v>0.60000000000000009</v>
      </c>
      <c r="H15" s="10">
        <f t="shared" si="3"/>
        <v>1.2000000000000002</v>
      </c>
      <c r="I15" s="12">
        <f t="shared" si="4"/>
        <v>1740.1140000000003</v>
      </c>
    </row>
    <row r="16" spans="1:10" ht="15" customHeight="1" x14ac:dyDescent="0.25">
      <c r="A16" s="58" t="s">
        <v>164</v>
      </c>
      <c r="B16" s="10">
        <v>3</v>
      </c>
      <c r="C16" s="10">
        <v>2</v>
      </c>
      <c r="D16" s="10">
        <f t="shared" si="0"/>
        <v>6</v>
      </c>
      <c r="E16" s="10">
        <f>'Number of Respondents'!C29</f>
        <v>88</v>
      </c>
      <c r="F16" s="10">
        <f t="shared" si="1"/>
        <v>528</v>
      </c>
      <c r="G16" s="33">
        <f t="shared" si="2"/>
        <v>26.400000000000002</v>
      </c>
      <c r="H16" s="33">
        <f t="shared" si="3"/>
        <v>52.800000000000004</v>
      </c>
      <c r="I16" s="12">
        <f t="shared" si="4"/>
        <v>76565.015999999989</v>
      </c>
    </row>
    <row r="17" spans="1:9" ht="15" customHeight="1" x14ac:dyDescent="0.25">
      <c r="A17" s="40" t="s">
        <v>106</v>
      </c>
      <c r="B17" s="8"/>
      <c r="C17" s="8"/>
      <c r="D17" s="10"/>
      <c r="E17" s="8"/>
      <c r="F17" s="177">
        <f>SUM(F5:H16)</f>
        <v>3229.2</v>
      </c>
      <c r="G17" s="177"/>
      <c r="H17" s="177"/>
      <c r="I17" s="28">
        <f>SUM(I5:I16)</f>
        <v>407186.67599999992</v>
      </c>
    </row>
    <row r="18" spans="1:9" ht="15" customHeight="1" x14ac:dyDescent="0.25">
      <c r="A18" s="9" t="s">
        <v>270</v>
      </c>
      <c r="B18" s="10"/>
      <c r="C18" s="10"/>
      <c r="D18" s="10"/>
      <c r="E18" s="10"/>
      <c r="F18" s="10"/>
      <c r="G18" s="10"/>
      <c r="H18" s="10"/>
      <c r="I18" s="39"/>
    </row>
    <row r="19" spans="1:9" ht="15" customHeight="1" x14ac:dyDescent="0.25">
      <c r="A19" s="58" t="s">
        <v>342</v>
      </c>
      <c r="B19" s="10">
        <v>1</v>
      </c>
      <c r="C19" s="10">
        <v>12</v>
      </c>
      <c r="D19" s="10">
        <f t="shared" si="0"/>
        <v>12</v>
      </c>
      <c r="E19" s="10">
        <f>'Number of Respondents'!B29</f>
        <v>5</v>
      </c>
      <c r="F19" s="10">
        <f t="shared" ref="F19" si="5">D19*E19</f>
        <v>60</v>
      </c>
      <c r="G19" s="10">
        <f t="shared" ref="G19:G21" si="6">+F19*0.05</f>
        <v>3</v>
      </c>
      <c r="H19" s="10">
        <f t="shared" ref="H19" si="7">+F19*0.1</f>
        <v>6</v>
      </c>
      <c r="I19" s="12">
        <f t="shared" ref="I19" si="8">+$F$2*F19+$G$2*G19+$H$2*H19</f>
        <v>8700.57</v>
      </c>
    </row>
    <row r="20" spans="1:9" ht="25.5" customHeight="1" x14ac:dyDescent="0.25">
      <c r="A20" s="58" t="s">
        <v>343</v>
      </c>
      <c r="B20" s="10">
        <v>1</v>
      </c>
      <c r="C20" s="10">
        <v>8</v>
      </c>
      <c r="D20" s="10">
        <f t="shared" si="0"/>
        <v>8</v>
      </c>
      <c r="E20" s="10">
        <f>'Number of Respondents'!C29</f>
        <v>88</v>
      </c>
      <c r="F20" s="13">
        <f t="shared" ref="F20:F21" si="9">D20*E20</f>
        <v>704</v>
      </c>
      <c r="G20" s="33">
        <f t="shared" si="6"/>
        <v>35.200000000000003</v>
      </c>
      <c r="H20" s="33">
        <f t="shared" ref="H20:H21" si="10">+F20*0.1</f>
        <v>70.400000000000006</v>
      </c>
      <c r="I20" s="12">
        <f t="shared" ref="I20:I21" si="11">+$F$2*F20+$G$2*G20+$H$2*H20</f>
        <v>102086.68799999999</v>
      </c>
    </row>
    <row r="21" spans="1:9" ht="15" customHeight="1" x14ac:dyDescent="0.25">
      <c r="A21" s="58" t="s">
        <v>344</v>
      </c>
      <c r="B21" s="10">
        <v>0.25</v>
      </c>
      <c r="C21" s="10">
        <v>5</v>
      </c>
      <c r="D21" s="10">
        <f t="shared" si="0"/>
        <v>1.25</v>
      </c>
      <c r="E21" s="10">
        <f>'Number of Respondents'!C29</f>
        <v>88</v>
      </c>
      <c r="F21" s="33">
        <f t="shared" si="9"/>
        <v>110</v>
      </c>
      <c r="G21" s="32">
        <f t="shared" si="6"/>
        <v>5.5</v>
      </c>
      <c r="H21" s="32">
        <f t="shared" si="10"/>
        <v>11</v>
      </c>
      <c r="I21" s="12">
        <f t="shared" si="11"/>
        <v>15951.044999999998</v>
      </c>
    </row>
    <row r="22" spans="1:9" ht="15" customHeight="1" x14ac:dyDescent="0.25">
      <c r="A22" s="40" t="s">
        <v>107</v>
      </c>
      <c r="B22" s="8"/>
      <c r="C22" s="8"/>
      <c r="D22" s="14"/>
      <c r="E22" s="8"/>
      <c r="F22" s="177">
        <f>SUM(F18:H21)</f>
        <v>1005.1</v>
      </c>
      <c r="G22" s="177"/>
      <c r="H22" s="177"/>
      <c r="I22" s="28">
        <f>SUM(I18:I21)</f>
        <v>126738.303</v>
      </c>
    </row>
    <row r="23" spans="1:9" ht="15.75" x14ac:dyDescent="0.25">
      <c r="A23" s="14" t="s">
        <v>462</v>
      </c>
      <c r="B23" s="14"/>
      <c r="C23" s="14"/>
      <c r="D23" s="14"/>
      <c r="E23" s="14"/>
      <c r="F23" s="177">
        <f>+ROUND(F17+F22, -1)</f>
        <v>4230</v>
      </c>
      <c r="G23" s="177"/>
      <c r="H23" s="177"/>
      <c r="I23" s="28">
        <f>+ROUND(I17+I22,-3)</f>
        <v>534000</v>
      </c>
    </row>
    <row r="24" spans="1:9" ht="15.75" x14ac:dyDescent="0.25">
      <c r="A24" s="14" t="s">
        <v>327</v>
      </c>
      <c r="B24" s="14"/>
      <c r="C24" s="14"/>
      <c r="D24" s="14"/>
      <c r="E24" s="14"/>
      <c r="F24" s="54"/>
      <c r="G24" s="54"/>
      <c r="H24" s="54"/>
      <c r="I24" s="28">
        <f>'Capital and O&amp;M Costs'!G14</f>
        <v>801000</v>
      </c>
    </row>
    <row r="25" spans="1:9" ht="15.75" x14ac:dyDescent="0.25">
      <c r="A25" s="14" t="s">
        <v>328</v>
      </c>
      <c r="B25" s="14"/>
      <c r="C25" s="14"/>
      <c r="D25" s="14"/>
      <c r="E25" s="14"/>
      <c r="F25" s="54"/>
      <c r="G25" s="54"/>
      <c r="H25" s="54"/>
      <c r="I25" s="28">
        <f>ROUND(I23+I24,-4)</f>
        <v>1340000</v>
      </c>
    </row>
    <row r="27" spans="1:9" x14ac:dyDescent="0.25">
      <c r="A27" s="41" t="s">
        <v>27</v>
      </c>
    </row>
    <row r="28" spans="1:9" ht="15.75" x14ac:dyDescent="0.25">
      <c r="A28" s="172" t="s">
        <v>535</v>
      </c>
      <c r="B28" s="172"/>
      <c r="C28" s="172"/>
      <c r="D28" s="172"/>
      <c r="E28" s="172"/>
      <c r="F28" s="172"/>
      <c r="G28" s="172"/>
      <c r="H28" s="172"/>
      <c r="I28" s="172"/>
    </row>
    <row r="29" spans="1:9" ht="58.5" customHeight="1" x14ac:dyDescent="0.25">
      <c r="A29" s="172" t="s">
        <v>530</v>
      </c>
      <c r="B29" s="172"/>
      <c r="C29" s="172"/>
      <c r="D29" s="172"/>
      <c r="E29" s="172"/>
      <c r="F29" s="172"/>
      <c r="G29" s="172"/>
      <c r="H29" s="172"/>
      <c r="I29" s="172"/>
    </row>
    <row r="30" spans="1:9" x14ac:dyDescent="0.25">
      <c r="A30" s="161" t="s">
        <v>426</v>
      </c>
      <c r="B30" s="161"/>
      <c r="C30" s="161"/>
      <c r="D30" s="161"/>
      <c r="E30" s="161"/>
      <c r="F30" s="161"/>
      <c r="G30" s="161"/>
      <c r="H30" s="161"/>
      <c r="I30" s="161"/>
    </row>
    <row r="31" spans="1:9" ht="15.75" x14ac:dyDescent="0.25">
      <c r="A31" s="172" t="s">
        <v>228</v>
      </c>
      <c r="B31" s="172"/>
      <c r="C31" s="172"/>
      <c r="D31" s="172"/>
      <c r="E31" s="172"/>
      <c r="F31" s="172"/>
      <c r="G31" s="172"/>
      <c r="H31" s="172"/>
      <c r="I31" s="172"/>
    </row>
    <row r="32" spans="1:9" ht="18.75" customHeight="1" x14ac:dyDescent="0.25">
      <c r="A32" s="161" t="s">
        <v>229</v>
      </c>
      <c r="B32" s="161"/>
      <c r="C32" s="161"/>
      <c r="D32" s="161"/>
      <c r="E32" s="161"/>
      <c r="F32" s="161"/>
      <c r="G32" s="161"/>
      <c r="H32" s="161"/>
      <c r="I32" s="161"/>
    </row>
  </sheetData>
  <mergeCells count="9">
    <mergeCell ref="A32:I32"/>
    <mergeCell ref="F22:H22"/>
    <mergeCell ref="F23:H23"/>
    <mergeCell ref="F17:H17"/>
    <mergeCell ref="A3:A4"/>
    <mergeCell ref="A28:I28"/>
    <mergeCell ref="A29:I29"/>
    <mergeCell ref="A30:I30"/>
    <mergeCell ref="A31:I3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G68"/>
  <sheetViews>
    <sheetView topLeftCell="A44" workbookViewId="0">
      <selection activeCell="L72" sqref="L72"/>
    </sheetView>
  </sheetViews>
  <sheetFormatPr defaultRowHeight="15" x14ac:dyDescent="0.25"/>
  <cols>
    <col min="2" max="3" width="13.28515625" customWidth="1"/>
    <col min="4" max="4" width="11.85546875" customWidth="1"/>
    <col min="5" max="5" width="11" customWidth="1"/>
    <col min="6" max="6" width="12.140625" customWidth="1"/>
  </cols>
  <sheetData>
    <row r="1" spans="1:7" ht="15.75" x14ac:dyDescent="0.25">
      <c r="A1" s="157" t="s">
        <v>144</v>
      </c>
      <c r="B1" s="157"/>
      <c r="C1" s="157"/>
      <c r="D1" s="157"/>
      <c r="E1" s="157"/>
      <c r="F1" s="157"/>
    </row>
    <row r="2" spans="1:7" ht="48" x14ac:dyDescent="0.25">
      <c r="A2" s="69"/>
      <c r="B2" s="158" t="s">
        <v>396</v>
      </c>
      <c r="C2" s="158"/>
      <c r="D2" s="70" t="s">
        <v>397</v>
      </c>
      <c r="E2" s="158"/>
      <c r="F2" s="158"/>
    </row>
    <row r="3" spans="1:7" x14ac:dyDescent="0.25">
      <c r="A3" s="71"/>
      <c r="B3" s="20" t="s">
        <v>19</v>
      </c>
      <c r="C3" s="20" t="s">
        <v>20</v>
      </c>
      <c r="D3" s="20" t="s">
        <v>21</v>
      </c>
      <c r="E3" s="20" t="s">
        <v>22</v>
      </c>
      <c r="F3" s="20" t="s">
        <v>23</v>
      </c>
    </row>
    <row r="4" spans="1:7" ht="89.25" x14ac:dyDescent="0.25">
      <c r="A4" s="20" t="s">
        <v>398</v>
      </c>
      <c r="B4" s="20" t="s">
        <v>399</v>
      </c>
      <c r="C4" s="20" t="s">
        <v>400</v>
      </c>
      <c r="D4" s="20" t="s">
        <v>401</v>
      </c>
      <c r="E4" s="20" t="s">
        <v>402</v>
      </c>
      <c r="F4" s="20" t="s">
        <v>404</v>
      </c>
    </row>
    <row r="5" spans="1:7" x14ac:dyDescent="0.25">
      <c r="A5" s="159" t="s">
        <v>123</v>
      </c>
      <c r="B5" s="159"/>
      <c r="C5" s="159"/>
      <c r="D5" s="159"/>
      <c r="E5" s="159"/>
      <c r="F5" s="159"/>
    </row>
    <row r="6" spans="1:7" x14ac:dyDescent="0.25">
      <c r="A6" s="72">
        <v>1</v>
      </c>
      <c r="B6" s="72">
        <v>0</v>
      </c>
      <c r="C6" s="72">
        <v>10</v>
      </c>
      <c r="D6" s="72">
        <v>0</v>
      </c>
      <c r="E6" s="72">
        <v>0</v>
      </c>
      <c r="F6" s="72">
        <f>B6+C6+D6-E6</f>
        <v>10</v>
      </c>
      <c r="G6" s="138" t="s">
        <v>493</v>
      </c>
    </row>
    <row r="7" spans="1:7" x14ac:dyDescent="0.25">
      <c r="A7" s="72">
        <v>2</v>
      </c>
      <c r="B7" s="72">
        <v>0</v>
      </c>
      <c r="C7" s="72">
        <f>F6+B7</f>
        <v>10</v>
      </c>
      <c r="D7" s="72">
        <v>0</v>
      </c>
      <c r="E7" s="72">
        <v>0</v>
      </c>
      <c r="F7" s="72">
        <f t="shared" ref="F7:F8" si="0">B7+C7+D7-E7</f>
        <v>10</v>
      </c>
    </row>
    <row r="8" spans="1:7" x14ac:dyDescent="0.25">
      <c r="A8" s="72">
        <v>3</v>
      </c>
      <c r="B8" s="72">
        <v>0</v>
      </c>
      <c r="C8" s="72">
        <f t="shared" ref="C8" si="1">F7+B8</f>
        <v>10</v>
      </c>
      <c r="D8" s="72">
        <v>0</v>
      </c>
      <c r="E8" s="72">
        <v>0</v>
      </c>
      <c r="F8" s="72">
        <f t="shared" si="0"/>
        <v>10</v>
      </c>
    </row>
    <row r="9" spans="1:7" x14ac:dyDescent="0.25">
      <c r="A9" s="72" t="s">
        <v>403</v>
      </c>
      <c r="B9" s="72">
        <f>AVERAGE(B6:B8)</f>
        <v>0</v>
      </c>
      <c r="C9" s="72">
        <f>AVERAGE(C6:C8)</f>
        <v>10</v>
      </c>
      <c r="D9" s="72">
        <f t="shared" ref="D9:F9" si="2">AVERAGE(D6:D8)</f>
        <v>0</v>
      </c>
      <c r="E9" s="72">
        <f t="shared" si="2"/>
        <v>0</v>
      </c>
      <c r="F9" s="72">
        <f t="shared" si="2"/>
        <v>10</v>
      </c>
    </row>
    <row r="10" spans="1:7" x14ac:dyDescent="0.25">
      <c r="A10" s="159" t="s">
        <v>124</v>
      </c>
      <c r="B10" s="159"/>
      <c r="C10" s="159"/>
      <c r="D10" s="159"/>
      <c r="E10" s="159"/>
      <c r="F10" s="159"/>
    </row>
    <row r="11" spans="1:7" x14ac:dyDescent="0.25">
      <c r="A11" s="72">
        <v>1</v>
      </c>
      <c r="B11" s="72">
        <v>0</v>
      </c>
      <c r="C11" s="72">
        <v>385</v>
      </c>
      <c r="D11" s="72">
        <v>0</v>
      </c>
      <c r="E11" s="72">
        <v>0</v>
      </c>
      <c r="F11" s="72">
        <f>B11+C11+D11-E11</f>
        <v>385</v>
      </c>
      <c r="G11" s="138" t="s">
        <v>561</v>
      </c>
    </row>
    <row r="12" spans="1:7" x14ac:dyDescent="0.25">
      <c r="A12" s="72">
        <v>2</v>
      </c>
      <c r="B12" s="72">
        <v>0</v>
      </c>
      <c r="C12" s="72">
        <f>F11</f>
        <v>385</v>
      </c>
      <c r="D12" s="72">
        <v>0</v>
      </c>
      <c r="E12" s="72">
        <v>0</v>
      </c>
      <c r="F12" s="72">
        <f>B12+C12+D12-E12</f>
        <v>385</v>
      </c>
    </row>
    <row r="13" spans="1:7" x14ac:dyDescent="0.25">
      <c r="A13" s="72">
        <v>3</v>
      </c>
      <c r="B13" s="72">
        <v>0</v>
      </c>
      <c r="C13" s="72">
        <f>F12</f>
        <v>385</v>
      </c>
      <c r="D13" s="72">
        <v>0</v>
      </c>
      <c r="E13" s="72">
        <v>0</v>
      </c>
      <c r="F13" s="72">
        <f t="shared" ref="F13" si="3">B13+C13+D13-E13</f>
        <v>385</v>
      </c>
    </row>
    <row r="14" spans="1:7" x14ac:dyDescent="0.25">
      <c r="A14" s="72" t="s">
        <v>403</v>
      </c>
      <c r="B14" s="72">
        <f>AVERAGE(B11:B13)</f>
        <v>0</v>
      </c>
      <c r="C14" s="72">
        <f>AVERAGE(C11:C13)</f>
        <v>385</v>
      </c>
      <c r="D14" s="72">
        <f t="shared" ref="D14:F14" si="4">AVERAGE(D11:D13)</f>
        <v>0</v>
      </c>
      <c r="E14" s="72">
        <f t="shared" si="4"/>
        <v>0</v>
      </c>
      <c r="F14" s="72">
        <f t="shared" si="4"/>
        <v>385</v>
      </c>
    </row>
    <row r="15" spans="1:7" x14ac:dyDescent="0.25">
      <c r="A15" s="160" t="s">
        <v>125</v>
      </c>
      <c r="B15" s="160"/>
      <c r="C15" s="160"/>
      <c r="D15" s="160"/>
      <c r="E15" s="160"/>
      <c r="F15" s="160"/>
    </row>
    <row r="16" spans="1:7" x14ac:dyDescent="0.25">
      <c r="A16" s="72">
        <v>1</v>
      </c>
      <c r="B16" s="72">
        <v>0</v>
      </c>
      <c r="C16" s="72">
        <v>170</v>
      </c>
      <c r="D16" s="72">
        <v>0</v>
      </c>
      <c r="E16" s="72">
        <v>0</v>
      </c>
      <c r="F16" s="72">
        <f>B16+C16+D16-E16</f>
        <v>170</v>
      </c>
      <c r="G16" s="138" t="s">
        <v>493</v>
      </c>
    </row>
    <row r="17" spans="1:7" x14ac:dyDescent="0.25">
      <c r="A17" s="72">
        <v>2</v>
      </c>
      <c r="B17" s="72">
        <v>0</v>
      </c>
      <c r="C17" s="72">
        <f>F16+B17</f>
        <v>170</v>
      </c>
      <c r="D17" s="72">
        <v>0</v>
      </c>
      <c r="E17" s="72">
        <v>0</v>
      </c>
      <c r="F17" s="72">
        <f t="shared" ref="F17:F18" si="5">B17+C17+D17-E17</f>
        <v>170</v>
      </c>
      <c r="G17" s="81"/>
    </row>
    <row r="18" spans="1:7" x14ac:dyDescent="0.25">
      <c r="A18" s="72">
        <v>3</v>
      </c>
      <c r="B18" s="72">
        <v>0</v>
      </c>
      <c r="C18" s="72">
        <f t="shared" ref="C18" si="6">F17+B18</f>
        <v>170</v>
      </c>
      <c r="D18" s="72">
        <v>0</v>
      </c>
      <c r="E18" s="72">
        <v>0</v>
      </c>
      <c r="F18" s="72">
        <f t="shared" si="5"/>
        <v>170</v>
      </c>
    </row>
    <row r="19" spans="1:7" x14ac:dyDescent="0.25">
      <c r="A19" s="72" t="s">
        <v>403</v>
      </c>
      <c r="B19" s="72">
        <f>AVERAGE(B16:B18)</f>
        <v>0</v>
      </c>
      <c r="C19" s="72">
        <f>AVERAGE(C16:C18)</f>
        <v>170</v>
      </c>
      <c r="D19" s="72">
        <f t="shared" ref="D19" si="7">AVERAGE(D16:D18)</f>
        <v>0</v>
      </c>
      <c r="E19" s="72">
        <f t="shared" ref="E19" si="8">AVERAGE(E16:E18)</f>
        <v>0</v>
      </c>
      <c r="F19" s="72">
        <f t="shared" ref="F19" si="9">AVERAGE(F16:F18)</f>
        <v>170</v>
      </c>
    </row>
    <row r="20" spans="1:7" x14ac:dyDescent="0.25">
      <c r="A20" s="160" t="s">
        <v>126</v>
      </c>
      <c r="B20" s="160"/>
      <c r="C20" s="160"/>
      <c r="D20" s="160"/>
      <c r="E20" s="160"/>
      <c r="F20" s="160"/>
    </row>
    <row r="21" spans="1:7" x14ac:dyDescent="0.25">
      <c r="A21" s="72">
        <v>1</v>
      </c>
      <c r="B21" s="72">
        <v>0</v>
      </c>
      <c r="C21" s="72">
        <v>75</v>
      </c>
      <c r="D21" s="72">
        <v>0</v>
      </c>
      <c r="E21" s="72">
        <v>0</v>
      </c>
      <c r="F21" s="72">
        <f>B21+C21+D21-E21</f>
        <v>75</v>
      </c>
      <c r="G21" s="138" t="s">
        <v>507</v>
      </c>
    </row>
    <row r="22" spans="1:7" x14ac:dyDescent="0.25">
      <c r="A22" s="72">
        <v>2</v>
      </c>
      <c r="B22" s="72">
        <v>0</v>
      </c>
      <c r="C22" s="72">
        <f>F21</f>
        <v>75</v>
      </c>
      <c r="D22" s="72">
        <v>0</v>
      </c>
      <c r="E22" s="72">
        <v>0</v>
      </c>
      <c r="F22" s="72">
        <f t="shared" ref="F22:F23" si="10">B22+C22+D22-E22</f>
        <v>75</v>
      </c>
    </row>
    <row r="23" spans="1:7" x14ac:dyDescent="0.25">
      <c r="A23" s="72">
        <v>3</v>
      </c>
      <c r="B23" s="72">
        <v>0</v>
      </c>
      <c r="C23" s="72">
        <f>F22</f>
        <v>75</v>
      </c>
      <c r="D23" s="72">
        <v>0</v>
      </c>
      <c r="E23" s="72">
        <v>0</v>
      </c>
      <c r="F23" s="72">
        <f t="shared" si="10"/>
        <v>75</v>
      </c>
    </row>
    <row r="24" spans="1:7" x14ac:dyDescent="0.25">
      <c r="A24" s="72" t="s">
        <v>403</v>
      </c>
      <c r="B24" s="72">
        <f>AVERAGE(B21:B23)</f>
        <v>0</v>
      </c>
      <c r="C24" s="72">
        <f>AVERAGE(C21:C23)</f>
        <v>75</v>
      </c>
      <c r="D24" s="72">
        <f t="shared" ref="D24" si="11">AVERAGE(D21:D23)</f>
        <v>0</v>
      </c>
      <c r="E24" s="72">
        <f t="shared" ref="E24" si="12">AVERAGE(E21:E23)</f>
        <v>0</v>
      </c>
      <c r="F24" s="72">
        <f t="shared" ref="F24" si="13">AVERAGE(F21:F23)</f>
        <v>75</v>
      </c>
    </row>
    <row r="25" spans="1:7" x14ac:dyDescent="0.25">
      <c r="A25" s="159" t="s">
        <v>127</v>
      </c>
      <c r="B25" s="159"/>
      <c r="C25" s="159"/>
      <c r="D25" s="159"/>
      <c r="E25" s="159"/>
      <c r="F25" s="159"/>
    </row>
    <row r="26" spans="1:7" x14ac:dyDescent="0.25">
      <c r="A26" s="72">
        <v>1</v>
      </c>
      <c r="B26" s="72">
        <v>5</v>
      </c>
      <c r="C26" s="72">
        <v>83</v>
      </c>
      <c r="D26" s="72">
        <v>0</v>
      </c>
      <c r="E26" s="72">
        <v>0</v>
      </c>
      <c r="F26" s="72">
        <f>B26+C26+D26-E26</f>
        <v>88</v>
      </c>
      <c r="G26" s="138" t="s">
        <v>506</v>
      </c>
    </row>
    <row r="27" spans="1:7" x14ac:dyDescent="0.25">
      <c r="A27" s="72">
        <v>2</v>
      </c>
      <c r="B27" s="72">
        <v>5</v>
      </c>
      <c r="C27" s="72">
        <f>F26</f>
        <v>88</v>
      </c>
      <c r="D27" s="72">
        <v>0</v>
      </c>
      <c r="E27" s="72">
        <v>0</v>
      </c>
      <c r="F27" s="72">
        <f t="shared" ref="F27:F28" si="14">B27+C27+D27-E27</f>
        <v>93</v>
      </c>
    </row>
    <row r="28" spans="1:7" x14ac:dyDescent="0.25">
      <c r="A28" s="72">
        <v>3</v>
      </c>
      <c r="B28" s="72">
        <v>5</v>
      </c>
      <c r="C28" s="72">
        <f>F27</f>
        <v>93</v>
      </c>
      <c r="D28" s="72">
        <v>0</v>
      </c>
      <c r="E28" s="72">
        <v>0</v>
      </c>
      <c r="F28" s="72">
        <f t="shared" si="14"/>
        <v>98</v>
      </c>
    </row>
    <row r="29" spans="1:7" x14ac:dyDescent="0.25">
      <c r="A29" s="72" t="s">
        <v>403</v>
      </c>
      <c r="B29" s="72">
        <f>AVERAGE(B26:B28)</f>
        <v>5</v>
      </c>
      <c r="C29" s="72">
        <f>AVERAGE(C26:C28)</f>
        <v>88</v>
      </c>
      <c r="D29" s="72">
        <f t="shared" ref="D29" si="15">AVERAGE(D26:D28)</f>
        <v>0</v>
      </c>
      <c r="E29" s="72">
        <f t="shared" ref="E29" si="16">AVERAGE(E26:E28)</f>
        <v>0</v>
      </c>
      <c r="F29" s="72">
        <f t="shared" ref="F29" si="17">AVERAGE(F26:F28)</f>
        <v>93</v>
      </c>
    </row>
    <row r="30" spans="1:7" x14ac:dyDescent="0.25">
      <c r="A30" s="160" t="s">
        <v>128</v>
      </c>
      <c r="B30" s="160"/>
      <c r="C30" s="160"/>
      <c r="D30" s="160"/>
      <c r="E30" s="160"/>
      <c r="F30" s="160"/>
    </row>
    <row r="31" spans="1:7" x14ac:dyDescent="0.25">
      <c r="A31" s="72">
        <v>1</v>
      </c>
      <c r="B31" s="72">
        <v>0</v>
      </c>
      <c r="C31" s="72">
        <v>40</v>
      </c>
      <c r="D31" s="72">
        <v>0</v>
      </c>
      <c r="E31" s="72">
        <v>0</v>
      </c>
      <c r="F31" s="72">
        <f>B31+C31+D31-E31</f>
        <v>40</v>
      </c>
      <c r="G31" s="138" t="s">
        <v>507</v>
      </c>
    </row>
    <row r="32" spans="1:7" x14ac:dyDescent="0.25">
      <c r="A32" s="72">
        <v>2</v>
      </c>
      <c r="B32" s="72">
        <v>0</v>
      </c>
      <c r="C32" s="72">
        <f>F31+B32</f>
        <v>40</v>
      </c>
      <c r="D32" s="72">
        <v>0</v>
      </c>
      <c r="E32" s="72">
        <v>0</v>
      </c>
      <c r="F32" s="72">
        <f t="shared" ref="F32:F33" si="18">B32+C32+D32-E32</f>
        <v>40</v>
      </c>
      <c r="G32" s="81"/>
    </row>
    <row r="33" spans="1:7" x14ac:dyDescent="0.25">
      <c r="A33" s="72">
        <v>3</v>
      </c>
      <c r="B33" s="72">
        <v>0</v>
      </c>
      <c r="C33" s="72">
        <f t="shared" ref="C33" si="19">F32+B33</f>
        <v>40</v>
      </c>
      <c r="D33" s="72">
        <v>0</v>
      </c>
      <c r="E33" s="72">
        <v>0</v>
      </c>
      <c r="F33" s="72">
        <f t="shared" si="18"/>
        <v>40</v>
      </c>
    </row>
    <row r="34" spans="1:7" x14ac:dyDescent="0.25">
      <c r="A34" s="72" t="s">
        <v>403</v>
      </c>
      <c r="B34" s="72">
        <f>AVERAGE(B31:B33)</f>
        <v>0</v>
      </c>
      <c r="C34" s="72">
        <f>AVERAGE(C31:C33)</f>
        <v>40</v>
      </c>
      <c r="D34" s="72">
        <f t="shared" ref="D34" si="20">AVERAGE(D31:D33)</f>
        <v>0</v>
      </c>
      <c r="E34" s="72">
        <f t="shared" ref="E34" si="21">AVERAGE(E31:E33)</f>
        <v>0</v>
      </c>
      <c r="F34" s="72">
        <f t="shared" ref="F34" si="22">AVERAGE(F31:F33)</f>
        <v>40</v>
      </c>
    </row>
    <row r="35" spans="1:7" x14ac:dyDescent="0.25">
      <c r="A35" s="160" t="s">
        <v>129</v>
      </c>
      <c r="B35" s="160"/>
      <c r="C35" s="160"/>
      <c r="D35" s="160"/>
      <c r="E35" s="160"/>
      <c r="F35" s="160"/>
    </row>
    <row r="36" spans="1:7" x14ac:dyDescent="0.25">
      <c r="A36" s="72">
        <v>1</v>
      </c>
      <c r="B36" s="72">
        <v>0</v>
      </c>
      <c r="C36" s="72">
        <v>136</v>
      </c>
      <c r="D36" s="72">
        <v>0</v>
      </c>
      <c r="E36" s="72">
        <v>0</v>
      </c>
      <c r="F36" s="72">
        <f>B36+C36+D36-E36</f>
        <v>136</v>
      </c>
      <c r="G36" s="138" t="s">
        <v>507</v>
      </c>
    </row>
    <row r="37" spans="1:7" x14ac:dyDescent="0.25">
      <c r="A37" s="72">
        <v>2</v>
      </c>
      <c r="B37" s="72">
        <v>0</v>
      </c>
      <c r="C37" s="72">
        <f>F36+B37</f>
        <v>136</v>
      </c>
      <c r="D37" s="72">
        <v>0</v>
      </c>
      <c r="E37" s="72">
        <v>0</v>
      </c>
      <c r="F37" s="72">
        <f t="shared" ref="F37:F38" si="23">B37+C37+D37-E37</f>
        <v>136</v>
      </c>
      <c r="G37" s="81"/>
    </row>
    <row r="38" spans="1:7" x14ac:dyDescent="0.25">
      <c r="A38" s="72">
        <v>3</v>
      </c>
      <c r="B38" s="72">
        <v>0</v>
      </c>
      <c r="C38" s="72">
        <f>F37+B38</f>
        <v>136</v>
      </c>
      <c r="D38" s="72">
        <v>0</v>
      </c>
      <c r="E38" s="72">
        <v>0</v>
      </c>
      <c r="F38" s="72">
        <f t="shared" si="23"/>
        <v>136</v>
      </c>
    </row>
    <row r="39" spans="1:7" x14ac:dyDescent="0.25">
      <c r="A39" s="72" t="s">
        <v>403</v>
      </c>
      <c r="B39" s="72">
        <f>AVERAGE(B36:B38)</f>
        <v>0</v>
      </c>
      <c r="C39" s="72">
        <f>AVERAGE(C36:C38)</f>
        <v>136</v>
      </c>
      <c r="D39" s="72">
        <f t="shared" ref="D39" si="24">AVERAGE(D36:D38)</f>
        <v>0</v>
      </c>
      <c r="E39" s="72">
        <f t="shared" ref="E39" si="25">AVERAGE(E36:E38)</f>
        <v>0</v>
      </c>
      <c r="F39" s="72">
        <f t="shared" ref="F39" si="26">AVERAGE(F36:F38)</f>
        <v>136</v>
      </c>
    </row>
    <row r="40" spans="1:7" x14ac:dyDescent="0.25">
      <c r="A40" s="160" t="s">
        <v>130</v>
      </c>
      <c r="B40" s="160"/>
      <c r="C40" s="160"/>
      <c r="D40" s="160"/>
      <c r="E40" s="160"/>
      <c r="F40" s="160"/>
    </row>
    <row r="41" spans="1:7" x14ac:dyDescent="0.25">
      <c r="A41" s="72">
        <v>1</v>
      </c>
      <c r="B41" s="72">
        <v>0</v>
      </c>
      <c r="C41" s="72">
        <v>74</v>
      </c>
      <c r="D41" s="72">
        <v>0</v>
      </c>
      <c r="E41" s="72">
        <v>0</v>
      </c>
      <c r="F41" s="72">
        <f>B41+C41+D41-E41</f>
        <v>74</v>
      </c>
      <c r="G41" s="138" t="s">
        <v>507</v>
      </c>
    </row>
    <row r="42" spans="1:7" x14ac:dyDescent="0.25">
      <c r="A42" s="72">
        <v>2</v>
      </c>
      <c r="B42" s="72">
        <v>0</v>
      </c>
      <c r="C42" s="72">
        <f>F41+B42</f>
        <v>74</v>
      </c>
      <c r="D42" s="72">
        <v>0</v>
      </c>
      <c r="E42" s="72">
        <v>0</v>
      </c>
      <c r="F42" s="72">
        <f t="shared" ref="F42:F43" si="27">B42+C42+D42-E42</f>
        <v>74</v>
      </c>
      <c r="G42" s="81"/>
    </row>
    <row r="43" spans="1:7" x14ac:dyDescent="0.25">
      <c r="A43" s="72">
        <v>3</v>
      </c>
      <c r="B43" s="72">
        <v>0</v>
      </c>
      <c r="C43" s="72">
        <f>F42+B43</f>
        <v>74</v>
      </c>
      <c r="D43" s="72">
        <v>0</v>
      </c>
      <c r="E43" s="72">
        <v>0</v>
      </c>
      <c r="F43" s="72">
        <f t="shared" si="27"/>
        <v>74</v>
      </c>
    </row>
    <row r="44" spans="1:7" x14ac:dyDescent="0.25">
      <c r="A44" s="72" t="s">
        <v>403</v>
      </c>
      <c r="B44" s="72">
        <f>AVERAGE(B41:B43)</f>
        <v>0</v>
      </c>
      <c r="C44" s="72">
        <f>AVERAGE(C41:C43)</f>
        <v>74</v>
      </c>
      <c r="D44" s="72">
        <f t="shared" ref="D44" si="28">AVERAGE(D41:D43)</f>
        <v>0</v>
      </c>
      <c r="E44" s="72">
        <f t="shared" ref="E44" si="29">AVERAGE(E41:E43)</f>
        <v>0</v>
      </c>
      <c r="F44" s="72">
        <f t="shared" ref="F44" si="30">AVERAGE(F41:F43)</f>
        <v>74</v>
      </c>
    </row>
    <row r="45" spans="1:7" x14ac:dyDescent="0.25">
      <c r="A45" s="159" t="s">
        <v>131</v>
      </c>
      <c r="B45" s="159"/>
      <c r="C45" s="159"/>
      <c r="D45" s="159"/>
      <c r="E45" s="159"/>
      <c r="F45" s="159"/>
    </row>
    <row r="46" spans="1:7" x14ac:dyDescent="0.25">
      <c r="A46" s="72">
        <v>1</v>
      </c>
      <c r="B46" s="72">
        <v>0</v>
      </c>
      <c r="C46" s="72">
        <v>54</v>
      </c>
      <c r="D46" s="72">
        <v>0</v>
      </c>
      <c r="E46" s="72">
        <v>0</v>
      </c>
      <c r="F46" s="72">
        <f>B46+C46+D46-E46</f>
        <v>54</v>
      </c>
      <c r="G46" s="138" t="s">
        <v>493</v>
      </c>
    </row>
    <row r="47" spans="1:7" x14ac:dyDescent="0.25">
      <c r="A47" s="72">
        <v>2</v>
      </c>
      <c r="B47" s="72">
        <v>0</v>
      </c>
      <c r="C47" s="72">
        <f>F46</f>
        <v>54</v>
      </c>
      <c r="D47" s="72">
        <v>0</v>
      </c>
      <c r="E47" s="72">
        <v>0</v>
      </c>
      <c r="F47" s="72">
        <f t="shared" ref="F47:F48" si="31">B47+C47+D47-E47</f>
        <v>54</v>
      </c>
    </row>
    <row r="48" spans="1:7" x14ac:dyDescent="0.25">
      <c r="A48" s="72">
        <v>3</v>
      </c>
      <c r="B48" s="72">
        <v>0</v>
      </c>
      <c r="C48" s="72">
        <f>F47</f>
        <v>54</v>
      </c>
      <c r="D48" s="72">
        <v>0</v>
      </c>
      <c r="E48" s="72">
        <v>0</v>
      </c>
      <c r="F48" s="72">
        <f t="shared" si="31"/>
        <v>54</v>
      </c>
    </row>
    <row r="49" spans="1:7" x14ac:dyDescent="0.25">
      <c r="A49" s="72" t="s">
        <v>403</v>
      </c>
      <c r="B49" s="72">
        <f>AVERAGE(B46:B48)</f>
        <v>0</v>
      </c>
      <c r="C49" s="72">
        <f>AVERAGE(C46:C48)</f>
        <v>54</v>
      </c>
      <c r="D49" s="72">
        <f t="shared" ref="D49" si="32">AVERAGE(D46:D48)</f>
        <v>0</v>
      </c>
      <c r="E49" s="72">
        <f t="shared" ref="E49" si="33">AVERAGE(E46:E48)</f>
        <v>0</v>
      </c>
      <c r="F49" s="72">
        <f t="shared" ref="F49" si="34">AVERAGE(F46:F48)</f>
        <v>54</v>
      </c>
    </row>
    <row r="50" spans="1:7" x14ac:dyDescent="0.25">
      <c r="A50" s="159" t="s">
        <v>132</v>
      </c>
      <c r="B50" s="159"/>
      <c r="C50" s="159"/>
      <c r="D50" s="159"/>
      <c r="E50" s="159"/>
      <c r="F50" s="159"/>
    </row>
    <row r="51" spans="1:7" x14ac:dyDescent="0.25">
      <c r="A51" s="72">
        <v>1</v>
      </c>
      <c r="B51" s="72">
        <v>0</v>
      </c>
      <c r="C51" s="72">
        <v>4</v>
      </c>
      <c r="D51" s="72">
        <v>0</v>
      </c>
      <c r="E51" s="72">
        <v>0</v>
      </c>
      <c r="F51" s="72">
        <f>B51+C51+D51-E51</f>
        <v>4</v>
      </c>
      <c r="G51" s="138" t="s">
        <v>493</v>
      </c>
    </row>
    <row r="52" spans="1:7" x14ac:dyDescent="0.25">
      <c r="A52" s="72">
        <v>2</v>
      </c>
      <c r="B52" s="72">
        <v>0</v>
      </c>
      <c r="C52" s="72">
        <f>F51</f>
        <v>4</v>
      </c>
      <c r="D52" s="72">
        <v>0</v>
      </c>
      <c r="E52" s="72">
        <v>0</v>
      </c>
      <c r="F52" s="72">
        <f t="shared" ref="F52:F53" si="35">B52+C52+D52-E52</f>
        <v>4</v>
      </c>
    </row>
    <row r="53" spans="1:7" x14ac:dyDescent="0.25">
      <c r="A53" s="72">
        <v>3</v>
      </c>
      <c r="B53" s="72">
        <v>0</v>
      </c>
      <c r="C53" s="72">
        <f>F52</f>
        <v>4</v>
      </c>
      <c r="D53" s="72">
        <v>0</v>
      </c>
      <c r="E53" s="72">
        <v>0</v>
      </c>
      <c r="F53" s="72">
        <f t="shared" si="35"/>
        <v>4</v>
      </c>
    </row>
    <row r="54" spans="1:7" x14ac:dyDescent="0.25">
      <c r="A54" s="72" t="s">
        <v>403</v>
      </c>
      <c r="B54" s="72">
        <f>AVERAGE(B51:B53)</f>
        <v>0</v>
      </c>
      <c r="C54" s="72">
        <f>AVERAGE(C51:C53)</f>
        <v>4</v>
      </c>
      <c r="D54" s="72">
        <f t="shared" ref="D54" si="36">AVERAGE(D51:D53)</f>
        <v>0</v>
      </c>
      <c r="E54" s="72">
        <f t="shared" ref="E54" si="37">AVERAGE(E51:E53)</f>
        <v>0</v>
      </c>
      <c r="F54" s="72">
        <f t="shared" ref="F54" si="38">AVERAGE(F51:F53)</f>
        <v>4</v>
      </c>
    </row>
    <row r="55" spans="1:7" x14ac:dyDescent="0.25">
      <c r="A55" s="159" t="s">
        <v>133</v>
      </c>
      <c r="B55" s="159"/>
      <c r="C55" s="159"/>
      <c r="D55" s="159"/>
      <c r="E55" s="159"/>
      <c r="F55" s="159"/>
    </row>
    <row r="56" spans="1:7" x14ac:dyDescent="0.25">
      <c r="A56" s="72">
        <v>1</v>
      </c>
      <c r="B56" s="72">
        <v>0</v>
      </c>
      <c r="C56" s="72">
        <v>67</v>
      </c>
      <c r="D56" s="72">
        <v>0</v>
      </c>
      <c r="E56" s="72">
        <v>0</v>
      </c>
      <c r="F56" s="72">
        <f>B56+C56+D56-E56</f>
        <v>67</v>
      </c>
      <c r="G56" s="138" t="s">
        <v>493</v>
      </c>
    </row>
    <row r="57" spans="1:7" x14ac:dyDescent="0.25">
      <c r="A57" s="72">
        <v>2</v>
      </c>
      <c r="B57" s="72">
        <v>0</v>
      </c>
      <c r="C57" s="72">
        <v>67</v>
      </c>
      <c r="D57" s="72">
        <v>0</v>
      </c>
      <c r="E57" s="72">
        <v>0</v>
      </c>
      <c r="F57" s="72">
        <f t="shared" ref="F57:F58" si="39">B57+C57+D57-E57</f>
        <v>67</v>
      </c>
    </row>
    <row r="58" spans="1:7" x14ac:dyDescent="0.25">
      <c r="A58" s="72">
        <v>3</v>
      </c>
      <c r="B58" s="72">
        <v>0</v>
      </c>
      <c r="C58" s="72">
        <v>67</v>
      </c>
      <c r="D58" s="72">
        <v>0</v>
      </c>
      <c r="E58" s="72">
        <v>0</v>
      </c>
      <c r="F58" s="72">
        <f t="shared" si="39"/>
        <v>67</v>
      </c>
    </row>
    <row r="59" spans="1:7" x14ac:dyDescent="0.25">
      <c r="A59" s="72" t="s">
        <v>403</v>
      </c>
      <c r="B59" s="72">
        <f>AVERAGE(B56:B58)</f>
        <v>0</v>
      </c>
      <c r="C59" s="72">
        <f>AVERAGE(C56:C58)</f>
        <v>67</v>
      </c>
      <c r="D59" s="72">
        <f t="shared" ref="D59" si="40">AVERAGE(D56:D58)</f>
        <v>0</v>
      </c>
      <c r="E59" s="72">
        <f t="shared" ref="E59" si="41">AVERAGE(E56:E58)</f>
        <v>0</v>
      </c>
      <c r="F59" s="72">
        <f t="shared" ref="F59" si="42">AVERAGE(F56:F58)</f>
        <v>67</v>
      </c>
    </row>
    <row r="60" spans="1:7" x14ac:dyDescent="0.25">
      <c r="A60" s="160" t="s">
        <v>405</v>
      </c>
      <c r="B60" s="160"/>
      <c r="C60" s="160"/>
      <c r="D60" s="160"/>
      <c r="E60" s="160"/>
      <c r="F60" s="160"/>
    </row>
    <row r="61" spans="1:7" x14ac:dyDescent="0.25">
      <c r="A61" s="72">
        <v>1</v>
      </c>
      <c r="B61" s="139">
        <f>2/3</f>
        <v>0.66666666666666663</v>
      </c>
      <c r="C61" s="72">
        <v>209</v>
      </c>
      <c r="D61" s="72">
        <v>0</v>
      </c>
      <c r="E61" s="72">
        <v>0</v>
      </c>
      <c r="F61" s="140">
        <f>B61+C61+D61-E61</f>
        <v>209.66666666666666</v>
      </c>
      <c r="G61" s="138" t="s">
        <v>508</v>
      </c>
    </row>
    <row r="62" spans="1:7" x14ac:dyDescent="0.25">
      <c r="A62" s="72">
        <v>2</v>
      </c>
      <c r="B62" s="139">
        <f t="shared" ref="B62:B63" si="43">2/3</f>
        <v>0.66666666666666663</v>
      </c>
      <c r="C62" s="140">
        <f>F61+B62</f>
        <v>210.33333333333331</v>
      </c>
      <c r="D62" s="72">
        <v>0</v>
      </c>
      <c r="E62" s="72">
        <v>0</v>
      </c>
      <c r="F62" s="140">
        <f t="shared" ref="F62:F63" si="44">B62+C62+D62-E62</f>
        <v>210.99999999999997</v>
      </c>
      <c r="G62" s="81"/>
    </row>
    <row r="63" spans="1:7" x14ac:dyDescent="0.25">
      <c r="A63" s="72">
        <v>3</v>
      </c>
      <c r="B63" s="139">
        <f t="shared" si="43"/>
        <v>0.66666666666666663</v>
      </c>
      <c r="C63" s="140">
        <f>F62+B63</f>
        <v>211.66666666666663</v>
      </c>
      <c r="D63" s="72">
        <v>0</v>
      </c>
      <c r="E63" s="72">
        <v>0</v>
      </c>
      <c r="F63" s="140">
        <f t="shared" si="44"/>
        <v>212.33333333333329</v>
      </c>
    </row>
    <row r="64" spans="1:7" x14ac:dyDescent="0.25">
      <c r="A64" s="72" t="s">
        <v>403</v>
      </c>
      <c r="B64" s="139">
        <f>AVERAGE(B61:B63)</f>
        <v>0.66666666666666663</v>
      </c>
      <c r="C64" s="140">
        <f>AVERAGE(C61:C63)</f>
        <v>210.33333333333334</v>
      </c>
      <c r="D64" s="72">
        <f t="shared" ref="D64" si="45">AVERAGE(D61:D63)</f>
        <v>0</v>
      </c>
      <c r="E64" s="72">
        <f t="shared" ref="E64" si="46">AVERAGE(E61:E63)</f>
        <v>0</v>
      </c>
      <c r="F64" s="140">
        <f>AVERAGE(F61:F63)</f>
        <v>210.99999999999997</v>
      </c>
    </row>
    <row r="65" spans="1:7" x14ac:dyDescent="0.25">
      <c r="A65" s="68"/>
      <c r="B65" s="68"/>
      <c r="C65" s="114"/>
      <c r="D65" s="68"/>
      <c r="E65" s="68"/>
      <c r="F65" s="68"/>
    </row>
    <row r="66" spans="1:7" x14ac:dyDescent="0.25">
      <c r="A66" s="68"/>
      <c r="B66" s="68"/>
      <c r="C66" s="114"/>
      <c r="D66" s="68"/>
      <c r="E66" s="68"/>
      <c r="F66" s="68"/>
    </row>
    <row r="67" spans="1:7" x14ac:dyDescent="0.25">
      <c r="A67" s="68"/>
      <c r="B67" s="68"/>
      <c r="C67" s="68"/>
      <c r="D67" s="68"/>
      <c r="E67" s="68"/>
      <c r="F67" s="143">
        <f>F64+F59+F54+F49+F44+F39+F34+F29+F24+F19+F14+F9</f>
        <v>1319</v>
      </c>
      <c r="G67" s="81"/>
    </row>
    <row r="68" spans="1:7" x14ac:dyDescent="0.25">
      <c r="A68" s="68"/>
      <c r="B68" s="68"/>
      <c r="C68" s="68"/>
      <c r="D68" s="68"/>
      <c r="E68" s="68"/>
      <c r="F68" s="68"/>
    </row>
  </sheetData>
  <mergeCells count="15">
    <mergeCell ref="A15:F15"/>
    <mergeCell ref="A20:F20"/>
    <mergeCell ref="A25:F25"/>
    <mergeCell ref="A60:F60"/>
    <mergeCell ref="A30:F30"/>
    <mergeCell ref="A35:F35"/>
    <mergeCell ref="A40:F40"/>
    <mergeCell ref="A45:F45"/>
    <mergeCell ref="A50:F50"/>
    <mergeCell ref="A55:F55"/>
    <mergeCell ref="A1:F1"/>
    <mergeCell ref="B2:C2"/>
    <mergeCell ref="E2:F2"/>
    <mergeCell ref="A5:F5"/>
    <mergeCell ref="A10:F10"/>
  </mergeCells>
  <pageMargins left="0.7" right="0.7" top="0.75" bottom="0.75" header="0.3" footer="0.3"/>
  <pageSetup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32"/>
  <sheetViews>
    <sheetView zoomScale="85" zoomScaleNormal="85" workbookViewId="0">
      <selection activeCell="A2" sqref="A2"/>
    </sheetView>
  </sheetViews>
  <sheetFormatPr defaultRowHeight="15" x14ac:dyDescent="0.25"/>
  <cols>
    <col min="1" max="1" width="43.7109375" customWidth="1"/>
    <col min="2" max="2" width="10"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10" ht="15.75" x14ac:dyDescent="0.25">
      <c r="A1" s="43" t="s">
        <v>345</v>
      </c>
    </row>
    <row r="2" spans="1:10" x14ac:dyDescent="0.25">
      <c r="F2" s="86">
        <f>Labor!$A$5</f>
        <v>130.28</v>
      </c>
      <c r="G2" s="86">
        <f>Labor!$B$5</f>
        <v>163.16999999999999</v>
      </c>
      <c r="H2" s="86">
        <f>Labor!$C$5</f>
        <v>65.709999999999994</v>
      </c>
      <c r="I2" s="86"/>
      <c r="J2" s="6"/>
    </row>
    <row r="3" spans="1:10" ht="15" customHeight="1" x14ac:dyDescent="0.25">
      <c r="A3" s="162" t="s">
        <v>11</v>
      </c>
      <c r="B3" s="7" t="s">
        <v>19</v>
      </c>
      <c r="C3" s="7" t="s">
        <v>20</v>
      </c>
      <c r="D3" s="7" t="s">
        <v>21</v>
      </c>
      <c r="E3" s="7" t="s">
        <v>22</v>
      </c>
      <c r="F3" s="21" t="s">
        <v>23</v>
      </c>
      <c r="G3" s="7" t="s">
        <v>24</v>
      </c>
      <c r="H3" s="7" t="s">
        <v>25</v>
      </c>
      <c r="I3" s="7" t="s">
        <v>26</v>
      </c>
      <c r="J3" s="6"/>
    </row>
    <row r="4" spans="1:10" ht="63.75" x14ac:dyDescent="0.25">
      <c r="A4" s="163"/>
      <c r="B4" s="8" t="s">
        <v>212</v>
      </c>
      <c r="C4" s="8" t="s">
        <v>89</v>
      </c>
      <c r="D4" s="8" t="s">
        <v>208</v>
      </c>
      <c r="E4" s="8" t="s">
        <v>209</v>
      </c>
      <c r="F4" s="8" t="s">
        <v>91</v>
      </c>
      <c r="G4" s="8" t="s">
        <v>92</v>
      </c>
      <c r="H4" s="8" t="s">
        <v>93</v>
      </c>
      <c r="I4" s="8" t="s">
        <v>223</v>
      </c>
      <c r="J4" s="6"/>
    </row>
    <row r="5" spans="1:10" ht="15" customHeight="1" x14ac:dyDescent="0.25">
      <c r="A5" s="9" t="s">
        <v>97</v>
      </c>
      <c r="B5" s="10" t="s">
        <v>98</v>
      </c>
      <c r="C5" s="10"/>
      <c r="D5" s="10"/>
      <c r="E5" s="10"/>
      <c r="F5" s="10"/>
      <c r="G5" s="10"/>
      <c r="H5" s="10"/>
      <c r="I5" s="39"/>
      <c r="J5" s="6"/>
    </row>
    <row r="6" spans="1:10" ht="15" customHeight="1" x14ac:dyDescent="0.25">
      <c r="A6" s="9" t="s">
        <v>99</v>
      </c>
      <c r="B6" s="10" t="s">
        <v>98</v>
      </c>
      <c r="C6" s="10"/>
      <c r="D6" s="10"/>
      <c r="E6" s="10"/>
      <c r="F6" s="10"/>
      <c r="G6" s="10"/>
      <c r="H6" s="10"/>
      <c r="I6" s="39"/>
      <c r="J6" s="6"/>
    </row>
    <row r="7" spans="1:10" ht="15" customHeight="1" x14ac:dyDescent="0.25">
      <c r="A7" s="9" t="s">
        <v>263</v>
      </c>
      <c r="B7" s="10"/>
      <c r="C7" s="10"/>
      <c r="D7" s="10"/>
      <c r="E7" s="10"/>
      <c r="F7" s="10"/>
      <c r="G7" s="10"/>
      <c r="H7" s="10"/>
      <c r="I7" s="39"/>
      <c r="J7" s="6"/>
    </row>
    <row r="8" spans="1:10" ht="15" customHeight="1" x14ac:dyDescent="0.25">
      <c r="A8" s="11" t="s">
        <v>278</v>
      </c>
      <c r="B8" s="10">
        <v>1</v>
      </c>
      <c r="C8" s="10">
        <v>1</v>
      </c>
      <c r="D8" s="10">
        <f>+B8*C8</f>
        <v>1</v>
      </c>
      <c r="E8" s="10">
        <f>'Number of Respondents'!B34+'Number of Respondents'!C34</f>
        <v>40</v>
      </c>
      <c r="F8" s="10">
        <f>+D8*E8</f>
        <v>40</v>
      </c>
      <c r="G8" s="10">
        <f>+F8*0.05</f>
        <v>2</v>
      </c>
      <c r="H8" s="10">
        <f>+F8*0.1</f>
        <v>4</v>
      </c>
      <c r="I8" s="12">
        <f>+$F$2*F8+$G$2*G8+$H$2*H8</f>
        <v>5800.38</v>
      </c>
      <c r="J8" s="84"/>
    </row>
    <row r="9" spans="1:10" ht="15" customHeight="1" x14ac:dyDescent="0.25">
      <c r="A9" s="11" t="s">
        <v>102</v>
      </c>
      <c r="B9" s="10"/>
      <c r="C9" s="10"/>
      <c r="D9" s="10"/>
      <c r="E9" s="10"/>
      <c r="F9" s="10"/>
      <c r="G9" s="10"/>
      <c r="H9" s="10"/>
      <c r="I9" s="39"/>
    </row>
    <row r="10" spans="1:10" ht="15" customHeight="1" x14ac:dyDescent="0.25">
      <c r="A10" s="58" t="s">
        <v>165</v>
      </c>
      <c r="B10" s="10">
        <v>60</v>
      </c>
      <c r="C10" s="10">
        <v>1</v>
      </c>
      <c r="D10" s="10">
        <f t="shared" ref="D10:D21" si="0">+B10*C10</f>
        <v>60</v>
      </c>
      <c r="E10" s="10">
        <f>'Number of Respondents'!B34</f>
        <v>0</v>
      </c>
      <c r="F10" s="10">
        <f t="shared" ref="F10:F16" si="1">+D10*E10</f>
        <v>0</v>
      </c>
      <c r="G10" s="10">
        <f t="shared" ref="G10:G16" si="2">+F10*0.05</f>
        <v>0</v>
      </c>
      <c r="H10" s="10">
        <f t="shared" ref="H10:H16" si="3">+F10*0.1</f>
        <v>0</v>
      </c>
      <c r="I10" s="12">
        <f t="shared" ref="I10:I16" si="4">+$F$2*F10+$G$2*G10+$H$2*H10</f>
        <v>0</v>
      </c>
    </row>
    <row r="11" spans="1:10" ht="15" customHeight="1" x14ac:dyDescent="0.25">
      <c r="A11" s="58" t="s">
        <v>325</v>
      </c>
      <c r="B11" s="10">
        <v>60</v>
      </c>
      <c r="C11" s="10">
        <v>1</v>
      </c>
      <c r="D11" s="10">
        <f t="shared" si="0"/>
        <v>60</v>
      </c>
      <c r="E11" s="10">
        <f>E10*0.2</f>
        <v>0</v>
      </c>
      <c r="F11" s="10">
        <f t="shared" si="1"/>
        <v>0</v>
      </c>
      <c r="G11" s="10">
        <f t="shared" si="2"/>
        <v>0</v>
      </c>
      <c r="H11" s="10">
        <f t="shared" si="3"/>
        <v>0</v>
      </c>
      <c r="I11" s="12">
        <f t="shared" si="4"/>
        <v>0</v>
      </c>
    </row>
    <row r="12" spans="1:10" ht="15" customHeight="1" x14ac:dyDescent="0.25">
      <c r="A12" s="11" t="s">
        <v>341</v>
      </c>
      <c r="B12" s="10"/>
      <c r="C12" s="10"/>
      <c r="D12" s="10"/>
      <c r="E12" s="10"/>
      <c r="F12" s="10"/>
      <c r="G12" s="10"/>
      <c r="H12" s="10"/>
      <c r="I12" s="39"/>
    </row>
    <row r="13" spans="1:10" ht="15" customHeight="1" x14ac:dyDescent="0.25">
      <c r="A13" s="58" t="s">
        <v>167</v>
      </c>
      <c r="B13" s="10">
        <v>2</v>
      </c>
      <c r="C13" s="10">
        <v>1</v>
      </c>
      <c r="D13" s="10">
        <f t="shared" si="0"/>
        <v>2</v>
      </c>
      <c r="E13" s="10">
        <f>'Number of Respondents'!B$34</f>
        <v>0</v>
      </c>
      <c r="F13" s="10">
        <f t="shared" si="1"/>
        <v>0</v>
      </c>
      <c r="G13" s="10">
        <f t="shared" si="2"/>
        <v>0</v>
      </c>
      <c r="H13" s="10">
        <f t="shared" si="3"/>
        <v>0</v>
      </c>
      <c r="I13" s="12">
        <f t="shared" si="4"/>
        <v>0</v>
      </c>
    </row>
    <row r="14" spans="1:10" ht="15" customHeight="1" x14ac:dyDescent="0.25">
      <c r="A14" s="58" t="s">
        <v>147</v>
      </c>
      <c r="B14" s="10">
        <v>1</v>
      </c>
      <c r="C14" s="10">
        <v>1</v>
      </c>
      <c r="D14" s="10">
        <f t="shared" si="0"/>
        <v>1</v>
      </c>
      <c r="E14" s="10">
        <f>'Number of Respondents'!B$34</f>
        <v>0</v>
      </c>
      <c r="F14" s="10">
        <f t="shared" si="1"/>
        <v>0</v>
      </c>
      <c r="G14" s="10">
        <f t="shared" si="2"/>
        <v>0</v>
      </c>
      <c r="H14" s="10">
        <f t="shared" si="3"/>
        <v>0</v>
      </c>
      <c r="I14" s="12">
        <f t="shared" si="4"/>
        <v>0</v>
      </c>
    </row>
    <row r="15" spans="1:10" ht="15" customHeight="1" x14ac:dyDescent="0.25">
      <c r="A15" s="58" t="s">
        <v>163</v>
      </c>
      <c r="B15" s="10">
        <v>2</v>
      </c>
      <c r="C15" s="10">
        <v>1</v>
      </c>
      <c r="D15" s="10">
        <f t="shared" si="0"/>
        <v>2</v>
      </c>
      <c r="E15" s="10">
        <f>E10+E11</f>
        <v>0</v>
      </c>
      <c r="F15" s="10">
        <f t="shared" si="1"/>
        <v>0</v>
      </c>
      <c r="G15" s="32">
        <f t="shared" si="2"/>
        <v>0</v>
      </c>
      <c r="H15" s="32">
        <f t="shared" si="3"/>
        <v>0</v>
      </c>
      <c r="I15" s="12">
        <f t="shared" si="4"/>
        <v>0</v>
      </c>
    </row>
    <row r="16" spans="1:10" ht="15" customHeight="1" x14ac:dyDescent="0.25">
      <c r="A16" s="58" t="s">
        <v>164</v>
      </c>
      <c r="B16" s="10">
        <v>3</v>
      </c>
      <c r="C16" s="10">
        <v>2</v>
      </c>
      <c r="D16" s="10">
        <f t="shared" si="0"/>
        <v>6</v>
      </c>
      <c r="E16" s="10">
        <f>'Number of Respondents'!C34</f>
        <v>40</v>
      </c>
      <c r="F16" s="10">
        <f t="shared" si="1"/>
        <v>240</v>
      </c>
      <c r="G16" s="33">
        <f t="shared" si="2"/>
        <v>12</v>
      </c>
      <c r="H16" s="33">
        <f t="shared" si="3"/>
        <v>24</v>
      </c>
      <c r="I16" s="12">
        <f t="shared" si="4"/>
        <v>34802.28</v>
      </c>
    </row>
    <row r="17" spans="1:9" ht="15" customHeight="1" x14ac:dyDescent="0.25">
      <c r="A17" s="40" t="s">
        <v>106</v>
      </c>
      <c r="B17" s="8"/>
      <c r="C17" s="8"/>
      <c r="D17" s="10"/>
      <c r="E17" s="8"/>
      <c r="F17" s="169">
        <f>SUM(F5:H16)</f>
        <v>322</v>
      </c>
      <c r="G17" s="169"/>
      <c r="H17" s="169"/>
      <c r="I17" s="28">
        <f>SUM(I5:I16)</f>
        <v>40602.659999999996</v>
      </c>
    </row>
    <row r="18" spans="1:9" ht="15" customHeight="1" x14ac:dyDescent="0.25">
      <c r="A18" s="9" t="s">
        <v>270</v>
      </c>
      <c r="B18" s="10"/>
      <c r="C18" s="10"/>
      <c r="D18" s="10"/>
      <c r="E18" s="10"/>
      <c r="F18" s="10"/>
      <c r="G18" s="10"/>
      <c r="H18" s="10"/>
      <c r="I18" s="39"/>
    </row>
    <row r="19" spans="1:9" ht="25.5" customHeight="1" x14ac:dyDescent="0.25">
      <c r="A19" s="58" t="s">
        <v>342</v>
      </c>
      <c r="B19" s="10">
        <v>1</v>
      </c>
      <c r="C19" s="10">
        <v>12</v>
      </c>
      <c r="D19" s="10">
        <f t="shared" si="0"/>
        <v>12</v>
      </c>
      <c r="E19" s="10">
        <v>1</v>
      </c>
      <c r="F19" s="10">
        <f t="shared" ref="F19" si="5">+D19*E19</f>
        <v>12</v>
      </c>
      <c r="G19" s="10">
        <f t="shared" ref="G19:G21" si="6">+F19*0.05</f>
        <v>0.60000000000000009</v>
      </c>
      <c r="H19" s="10">
        <f t="shared" ref="H19" si="7">+F19*0.1</f>
        <v>1.2000000000000002</v>
      </c>
      <c r="I19" s="12">
        <f t="shared" ref="I19" si="8">+$F$2*F19+$G$2*G19+$H$2*H19</f>
        <v>1740.1140000000003</v>
      </c>
    </row>
    <row r="20" spans="1:9" ht="24" customHeight="1" x14ac:dyDescent="0.25">
      <c r="A20" s="58" t="s">
        <v>343</v>
      </c>
      <c r="B20" s="10">
        <v>1</v>
      </c>
      <c r="C20" s="10">
        <v>8</v>
      </c>
      <c r="D20" s="10">
        <f t="shared" si="0"/>
        <v>8</v>
      </c>
      <c r="E20" s="10">
        <f>E16</f>
        <v>40</v>
      </c>
      <c r="F20" s="10">
        <f t="shared" ref="F20:F21" si="9">+D20*E20</f>
        <v>320</v>
      </c>
      <c r="G20" s="33">
        <f t="shared" si="6"/>
        <v>16</v>
      </c>
      <c r="H20" s="33">
        <f t="shared" ref="H20:H21" si="10">+F20*0.1</f>
        <v>32</v>
      </c>
      <c r="I20" s="12">
        <f t="shared" ref="I20:I21" si="11">+$F$2*F20+$G$2*G20+$H$2*H20</f>
        <v>46403.040000000001</v>
      </c>
    </row>
    <row r="21" spans="1:9" ht="15" customHeight="1" x14ac:dyDescent="0.25">
      <c r="A21" s="58" t="s">
        <v>344</v>
      </c>
      <c r="B21" s="10">
        <v>0.25</v>
      </c>
      <c r="C21" s="10">
        <v>5</v>
      </c>
      <c r="D21" s="10">
        <f t="shared" si="0"/>
        <v>1.25</v>
      </c>
      <c r="E21" s="10">
        <f>E16</f>
        <v>40</v>
      </c>
      <c r="F21" s="33">
        <f t="shared" si="9"/>
        <v>50</v>
      </c>
      <c r="G21" s="32">
        <f t="shared" si="6"/>
        <v>2.5</v>
      </c>
      <c r="H21" s="32">
        <f t="shared" si="10"/>
        <v>5</v>
      </c>
      <c r="I21" s="12">
        <f t="shared" si="11"/>
        <v>7250.4750000000004</v>
      </c>
    </row>
    <row r="22" spans="1:9" ht="15" customHeight="1" x14ac:dyDescent="0.25">
      <c r="A22" s="40" t="s">
        <v>107</v>
      </c>
      <c r="B22" s="8"/>
      <c r="C22" s="8"/>
      <c r="D22" s="14"/>
      <c r="E22" s="8"/>
      <c r="F22" s="169">
        <f>SUM(F18:H21)</f>
        <v>439.3</v>
      </c>
      <c r="G22" s="169"/>
      <c r="H22" s="169"/>
      <c r="I22" s="28">
        <f>SUM(I18:I21)</f>
        <v>55393.629000000001</v>
      </c>
    </row>
    <row r="23" spans="1:9" ht="15.75" x14ac:dyDescent="0.25">
      <c r="A23" s="14" t="s">
        <v>462</v>
      </c>
      <c r="B23" s="14"/>
      <c r="C23" s="14"/>
      <c r="D23" s="14"/>
      <c r="E23" s="14"/>
      <c r="F23" s="177">
        <f>ROUND(F17+F22,0)</f>
        <v>761</v>
      </c>
      <c r="G23" s="177"/>
      <c r="H23" s="177"/>
      <c r="I23" s="28">
        <f>+ROUND(I17+I22,-2)</f>
        <v>96000</v>
      </c>
    </row>
    <row r="24" spans="1:9" ht="15.75" x14ac:dyDescent="0.25">
      <c r="A24" s="14" t="s">
        <v>327</v>
      </c>
      <c r="B24" s="14"/>
      <c r="C24" s="14"/>
      <c r="D24" s="14"/>
      <c r="E24" s="14"/>
      <c r="F24" s="54"/>
      <c r="G24" s="54"/>
      <c r="H24" s="54"/>
      <c r="I24" s="28">
        <f>'Capital and O&amp;M Costs'!G16</f>
        <v>54000</v>
      </c>
    </row>
    <row r="25" spans="1:9" ht="15.75" x14ac:dyDescent="0.25">
      <c r="A25" s="14" t="s">
        <v>328</v>
      </c>
      <c r="B25" s="14"/>
      <c r="C25" s="14"/>
      <c r="D25" s="14"/>
      <c r="E25" s="14"/>
      <c r="F25" s="54"/>
      <c r="G25" s="54"/>
      <c r="H25" s="54"/>
      <c r="I25" s="28">
        <f>ROUND(I23+I24,-3)</f>
        <v>150000</v>
      </c>
    </row>
    <row r="27" spans="1:9" x14ac:dyDescent="0.25">
      <c r="A27" s="25" t="s">
        <v>27</v>
      </c>
    </row>
    <row r="28" spans="1:9" ht="33" customHeight="1" x14ac:dyDescent="0.25">
      <c r="A28" s="172" t="s">
        <v>536</v>
      </c>
      <c r="B28" s="172"/>
      <c r="C28" s="172"/>
      <c r="D28" s="172"/>
      <c r="E28" s="172"/>
      <c r="F28" s="172"/>
      <c r="G28" s="172"/>
      <c r="H28" s="172"/>
      <c r="I28" s="172"/>
    </row>
    <row r="29" spans="1:9" ht="59.25" customHeight="1" x14ac:dyDescent="0.25">
      <c r="A29" s="172" t="s">
        <v>530</v>
      </c>
      <c r="B29" s="172"/>
      <c r="C29" s="172"/>
      <c r="D29" s="172"/>
      <c r="E29" s="172"/>
      <c r="F29" s="172"/>
      <c r="G29" s="172"/>
      <c r="H29" s="172"/>
      <c r="I29" s="172"/>
    </row>
    <row r="30" spans="1:9" ht="17.25" customHeight="1" x14ac:dyDescent="0.25">
      <c r="A30" s="161" t="s">
        <v>426</v>
      </c>
      <c r="B30" s="161"/>
      <c r="C30" s="161"/>
      <c r="D30" s="161"/>
      <c r="E30" s="161"/>
      <c r="F30" s="161"/>
      <c r="G30" s="161"/>
      <c r="H30" s="161"/>
      <c r="I30" s="161"/>
    </row>
    <row r="31" spans="1:9" ht="17.25" customHeight="1" x14ac:dyDescent="0.25">
      <c r="A31" s="172" t="s">
        <v>228</v>
      </c>
      <c r="B31" s="172"/>
      <c r="C31" s="172"/>
      <c r="D31" s="172"/>
      <c r="E31" s="172"/>
      <c r="F31" s="172"/>
      <c r="G31" s="172"/>
      <c r="H31" s="172"/>
      <c r="I31" s="172"/>
    </row>
    <row r="32" spans="1:9" ht="17.25" customHeight="1" x14ac:dyDescent="0.25">
      <c r="A32" s="161" t="s">
        <v>229</v>
      </c>
      <c r="B32" s="161"/>
      <c r="C32" s="161"/>
      <c r="D32" s="161"/>
      <c r="E32" s="161"/>
      <c r="F32" s="161"/>
      <c r="G32" s="161"/>
      <c r="H32" s="161"/>
      <c r="I32" s="161"/>
    </row>
  </sheetData>
  <mergeCells count="9">
    <mergeCell ref="A30:I30"/>
    <mergeCell ref="A31:I31"/>
    <mergeCell ref="A32:I32"/>
    <mergeCell ref="F23:H23"/>
    <mergeCell ref="A3:A4"/>
    <mergeCell ref="F17:H17"/>
    <mergeCell ref="F22:H22"/>
    <mergeCell ref="A28:I28"/>
    <mergeCell ref="A29:I29"/>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2"/>
  <sheetViews>
    <sheetView zoomScale="85" zoomScaleNormal="85" workbookViewId="0">
      <selection activeCell="A2" sqref="A2"/>
    </sheetView>
  </sheetViews>
  <sheetFormatPr defaultRowHeight="15" x14ac:dyDescent="0.25"/>
  <cols>
    <col min="1" max="1" width="55.140625" customWidth="1"/>
    <col min="2" max="2" width="10"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10" ht="15.75" x14ac:dyDescent="0.25">
      <c r="A1" s="43" t="s">
        <v>347</v>
      </c>
    </row>
    <row r="2" spans="1:10" x14ac:dyDescent="0.25">
      <c r="F2" s="86">
        <f>Labor!$A$5</f>
        <v>130.28</v>
      </c>
      <c r="G2" s="86">
        <f>Labor!$B$5</f>
        <v>163.16999999999999</v>
      </c>
      <c r="H2" s="86">
        <f>Labor!$C$5</f>
        <v>65.709999999999994</v>
      </c>
      <c r="I2" s="86"/>
    </row>
    <row r="3" spans="1:10" ht="15" customHeight="1" x14ac:dyDescent="0.25">
      <c r="A3" s="162" t="s">
        <v>11</v>
      </c>
      <c r="B3" s="7" t="s">
        <v>19</v>
      </c>
      <c r="C3" s="7" t="s">
        <v>20</v>
      </c>
      <c r="D3" s="7" t="s">
        <v>21</v>
      </c>
      <c r="E3" s="7" t="s">
        <v>22</v>
      </c>
      <c r="F3" s="21" t="s">
        <v>23</v>
      </c>
      <c r="G3" s="7" t="s">
        <v>24</v>
      </c>
      <c r="H3" s="7" t="s">
        <v>25</v>
      </c>
      <c r="I3" s="7" t="s">
        <v>26</v>
      </c>
    </row>
    <row r="4" spans="1:10" ht="63.75" x14ac:dyDescent="0.25">
      <c r="A4" s="163"/>
      <c r="B4" s="8" t="s">
        <v>212</v>
      </c>
      <c r="C4" s="8" t="s">
        <v>89</v>
      </c>
      <c r="D4" s="8" t="s">
        <v>208</v>
      </c>
      <c r="E4" s="8" t="s">
        <v>209</v>
      </c>
      <c r="F4" s="8" t="s">
        <v>91</v>
      </c>
      <c r="G4" s="8" t="s">
        <v>92</v>
      </c>
      <c r="H4" s="8" t="s">
        <v>93</v>
      </c>
      <c r="I4" s="8" t="s">
        <v>223</v>
      </c>
    </row>
    <row r="5" spans="1:10" ht="15" customHeight="1" x14ac:dyDescent="0.25">
      <c r="A5" s="9" t="s">
        <v>97</v>
      </c>
      <c r="B5" s="10" t="s">
        <v>98</v>
      </c>
      <c r="C5" s="10"/>
      <c r="D5" s="10"/>
      <c r="E5" s="10"/>
      <c r="F5" s="10"/>
      <c r="G5" s="10"/>
      <c r="H5" s="10"/>
      <c r="I5" s="39"/>
    </row>
    <row r="6" spans="1:10" ht="15" customHeight="1" x14ac:dyDescent="0.25">
      <c r="A6" s="9" t="s">
        <v>99</v>
      </c>
      <c r="B6" s="10" t="s">
        <v>98</v>
      </c>
      <c r="C6" s="10"/>
      <c r="D6" s="10"/>
      <c r="E6" s="10"/>
      <c r="F6" s="10"/>
      <c r="G6" s="10"/>
      <c r="H6" s="10"/>
      <c r="I6" s="39"/>
    </row>
    <row r="7" spans="1:10" ht="15" customHeight="1" x14ac:dyDescent="0.25">
      <c r="A7" s="9" t="s">
        <v>263</v>
      </c>
      <c r="B7" s="10"/>
      <c r="C7" s="10"/>
      <c r="D7" s="10"/>
      <c r="E7" s="10"/>
      <c r="F7" s="10"/>
      <c r="G7" s="10"/>
      <c r="H7" s="10"/>
      <c r="I7" s="39"/>
    </row>
    <row r="8" spans="1:10" ht="15" customHeight="1" x14ac:dyDescent="0.25">
      <c r="A8" s="11" t="s">
        <v>278</v>
      </c>
      <c r="B8" s="10">
        <v>1</v>
      </c>
      <c r="C8" s="10">
        <v>1</v>
      </c>
      <c r="D8" s="10">
        <f>+B8*C8</f>
        <v>1</v>
      </c>
      <c r="E8" s="13">
        <f>'Number of Respondents'!B39+'Number of Respondents'!C39</f>
        <v>136</v>
      </c>
      <c r="F8" s="13">
        <f>+D8*E8</f>
        <v>136</v>
      </c>
      <c r="G8" s="32">
        <f>+F8*0.05</f>
        <v>6.8000000000000007</v>
      </c>
      <c r="H8" s="33">
        <f>+F8*0.1</f>
        <v>13.600000000000001</v>
      </c>
      <c r="I8" s="12">
        <f>+$F$2*F8+$G$2*G8+$H$2*H8</f>
        <v>19721.292000000001</v>
      </c>
      <c r="J8" s="81"/>
    </row>
    <row r="9" spans="1:10" ht="15" customHeight="1" x14ac:dyDescent="0.25">
      <c r="A9" s="11" t="s">
        <v>102</v>
      </c>
      <c r="B9" s="10"/>
      <c r="C9" s="10"/>
      <c r="D9" s="10"/>
      <c r="E9" s="10"/>
      <c r="F9" s="10"/>
      <c r="G9" s="10"/>
      <c r="H9" s="10"/>
      <c r="I9" s="39"/>
    </row>
    <row r="10" spans="1:10" ht="15" customHeight="1" x14ac:dyDescent="0.25">
      <c r="A10" s="58" t="s">
        <v>165</v>
      </c>
      <c r="B10" s="10">
        <v>60</v>
      </c>
      <c r="C10" s="10">
        <v>1</v>
      </c>
      <c r="D10" s="10">
        <f t="shared" ref="D10:D21" si="0">+B10*C10</f>
        <v>60</v>
      </c>
      <c r="E10" s="10">
        <f>'Number of Respondents'!B39</f>
        <v>0</v>
      </c>
      <c r="F10" s="13">
        <f t="shared" ref="F10:F16" si="1">+D10*E10</f>
        <v>0</v>
      </c>
      <c r="G10" s="10">
        <f t="shared" ref="G10:G16" si="2">+F10*0.05</f>
        <v>0</v>
      </c>
      <c r="H10" s="13">
        <f t="shared" ref="H10:H16" si="3">+F10*0.1</f>
        <v>0</v>
      </c>
      <c r="I10" s="12">
        <f t="shared" ref="I10:I16" si="4">+$F$2*F10+$G$2*G10+$H$2*H10</f>
        <v>0</v>
      </c>
    </row>
    <row r="11" spans="1:10" ht="15" customHeight="1" x14ac:dyDescent="0.25">
      <c r="A11" s="58" t="s">
        <v>325</v>
      </c>
      <c r="B11" s="10">
        <v>60</v>
      </c>
      <c r="C11" s="10">
        <v>1</v>
      </c>
      <c r="D11" s="10">
        <f t="shared" si="0"/>
        <v>60</v>
      </c>
      <c r="E11" s="33">
        <f>E10*0.2</f>
        <v>0</v>
      </c>
      <c r="F11" s="13">
        <f t="shared" si="1"/>
        <v>0</v>
      </c>
      <c r="G11" s="10">
        <f t="shared" si="2"/>
        <v>0</v>
      </c>
      <c r="H11" s="33">
        <f t="shared" si="3"/>
        <v>0</v>
      </c>
      <c r="I11" s="12">
        <f t="shared" si="4"/>
        <v>0</v>
      </c>
    </row>
    <row r="12" spans="1:10" ht="15" customHeight="1" x14ac:dyDescent="0.25">
      <c r="A12" s="11" t="s">
        <v>341</v>
      </c>
      <c r="B12" s="10"/>
      <c r="C12" s="10"/>
      <c r="D12" s="10"/>
      <c r="E12" s="10"/>
      <c r="F12" s="10"/>
      <c r="G12" s="10"/>
      <c r="H12" s="10"/>
      <c r="I12" s="39"/>
    </row>
    <row r="13" spans="1:10" ht="15" customHeight="1" x14ac:dyDescent="0.25">
      <c r="A13" s="58" t="s">
        <v>167</v>
      </c>
      <c r="B13" s="10">
        <v>2</v>
      </c>
      <c r="C13" s="10">
        <v>1</v>
      </c>
      <c r="D13" s="10">
        <f t="shared" si="0"/>
        <v>2</v>
      </c>
      <c r="E13" s="10">
        <f>E10</f>
        <v>0</v>
      </c>
      <c r="F13" s="10">
        <f t="shared" si="1"/>
        <v>0</v>
      </c>
      <c r="G13" s="10">
        <f t="shared" si="2"/>
        <v>0</v>
      </c>
      <c r="H13" s="10">
        <f t="shared" si="3"/>
        <v>0</v>
      </c>
      <c r="I13" s="12">
        <f t="shared" si="4"/>
        <v>0</v>
      </c>
    </row>
    <row r="14" spans="1:10" ht="15" customHeight="1" x14ac:dyDescent="0.25">
      <c r="A14" s="58" t="s">
        <v>147</v>
      </c>
      <c r="B14" s="10">
        <v>1</v>
      </c>
      <c r="C14" s="10">
        <v>1</v>
      </c>
      <c r="D14" s="10">
        <f t="shared" si="0"/>
        <v>1</v>
      </c>
      <c r="E14" s="10">
        <f>E10</f>
        <v>0</v>
      </c>
      <c r="F14" s="10">
        <f t="shared" si="1"/>
        <v>0</v>
      </c>
      <c r="G14" s="10">
        <f t="shared" si="2"/>
        <v>0</v>
      </c>
      <c r="H14" s="10">
        <f t="shared" si="3"/>
        <v>0</v>
      </c>
      <c r="I14" s="12">
        <f t="shared" si="4"/>
        <v>0</v>
      </c>
    </row>
    <row r="15" spans="1:10" ht="15" customHeight="1" x14ac:dyDescent="0.25">
      <c r="A15" s="58" t="s">
        <v>163</v>
      </c>
      <c r="B15" s="10">
        <v>2</v>
      </c>
      <c r="C15" s="10">
        <v>1</v>
      </c>
      <c r="D15" s="10">
        <f t="shared" si="0"/>
        <v>2</v>
      </c>
      <c r="E15" s="33">
        <f>E10+E11</f>
        <v>0</v>
      </c>
      <c r="F15" s="33">
        <f t="shared" si="1"/>
        <v>0</v>
      </c>
      <c r="G15" s="32">
        <f t="shared" si="2"/>
        <v>0</v>
      </c>
      <c r="H15" s="32">
        <f t="shared" si="3"/>
        <v>0</v>
      </c>
      <c r="I15" s="12">
        <f t="shared" si="4"/>
        <v>0</v>
      </c>
    </row>
    <row r="16" spans="1:10" ht="15" customHeight="1" x14ac:dyDescent="0.25">
      <c r="A16" s="58" t="s">
        <v>164</v>
      </c>
      <c r="B16" s="10">
        <v>3</v>
      </c>
      <c r="C16" s="10">
        <v>2</v>
      </c>
      <c r="D16" s="10">
        <f t="shared" si="0"/>
        <v>6</v>
      </c>
      <c r="E16" s="13">
        <f>'Number of Respondents'!C39</f>
        <v>136</v>
      </c>
      <c r="F16" s="13">
        <f t="shared" si="1"/>
        <v>816</v>
      </c>
      <c r="G16" s="33">
        <f t="shared" si="2"/>
        <v>40.800000000000004</v>
      </c>
      <c r="H16" s="13">
        <f t="shared" si="3"/>
        <v>81.600000000000009</v>
      </c>
      <c r="I16" s="12">
        <f t="shared" si="4"/>
        <v>118327.75199999999</v>
      </c>
    </row>
    <row r="17" spans="1:9" ht="15" customHeight="1" x14ac:dyDescent="0.25">
      <c r="A17" s="40" t="s">
        <v>106</v>
      </c>
      <c r="B17" s="8"/>
      <c r="C17" s="8"/>
      <c r="D17" s="10"/>
      <c r="E17" s="8"/>
      <c r="F17" s="177">
        <f>SUM(F5:H16)</f>
        <v>1094.8</v>
      </c>
      <c r="G17" s="177"/>
      <c r="H17" s="177"/>
      <c r="I17" s="28">
        <f>SUM(I5:I16)</f>
        <v>138049.04399999999</v>
      </c>
    </row>
    <row r="18" spans="1:9" ht="15" customHeight="1" x14ac:dyDescent="0.25">
      <c r="A18" s="9" t="s">
        <v>270</v>
      </c>
      <c r="B18" s="10"/>
      <c r="C18" s="10"/>
      <c r="D18" s="10"/>
      <c r="E18" s="10"/>
      <c r="F18" s="10"/>
      <c r="G18" s="10"/>
      <c r="H18" s="10"/>
      <c r="I18" s="39"/>
    </row>
    <row r="19" spans="1:9" ht="15" customHeight="1" x14ac:dyDescent="0.25">
      <c r="A19" s="58" t="s">
        <v>342</v>
      </c>
      <c r="B19" s="10">
        <v>1</v>
      </c>
      <c r="C19" s="10">
        <v>12</v>
      </c>
      <c r="D19" s="10">
        <f t="shared" si="0"/>
        <v>12</v>
      </c>
      <c r="E19" s="10">
        <f>E10</f>
        <v>0</v>
      </c>
      <c r="F19" s="13">
        <f t="shared" ref="F19" si="5">+D19*E19</f>
        <v>0</v>
      </c>
      <c r="G19" s="10">
        <f t="shared" ref="G19:G21" si="6">+F19*0.05</f>
        <v>0</v>
      </c>
      <c r="H19" s="33">
        <f t="shared" ref="H19" si="7">+F19*0.1</f>
        <v>0</v>
      </c>
      <c r="I19" s="12">
        <f t="shared" ref="I19" si="8">+$F$2*F19+$G$2*G19+$H$2*H19</f>
        <v>0</v>
      </c>
    </row>
    <row r="20" spans="1:9" ht="27" customHeight="1" x14ac:dyDescent="0.25">
      <c r="A20" s="58" t="s">
        <v>343</v>
      </c>
      <c r="B20" s="10">
        <v>1</v>
      </c>
      <c r="C20" s="10">
        <v>8</v>
      </c>
      <c r="D20" s="10">
        <f t="shared" si="0"/>
        <v>8</v>
      </c>
      <c r="E20" s="13">
        <f>E16</f>
        <v>136</v>
      </c>
      <c r="F20" s="13">
        <f t="shared" ref="F20:F21" si="9">+D20*E20</f>
        <v>1088</v>
      </c>
      <c r="G20" s="33">
        <f t="shared" si="6"/>
        <v>54.400000000000006</v>
      </c>
      <c r="H20" s="13">
        <f t="shared" ref="H20:H21" si="10">+F20*0.1</f>
        <v>108.80000000000001</v>
      </c>
      <c r="I20" s="12">
        <f t="shared" ref="I20:I21" si="11">+$F$2*F20+$G$2*G20+$H$2*H20</f>
        <v>157770.33600000001</v>
      </c>
    </row>
    <row r="21" spans="1:9" ht="15" customHeight="1" x14ac:dyDescent="0.25">
      <c r="A21" s="58" t="s">
        <v>344</v>
      </c>
      <c r="B21" s="10">
        <v>0.25</v>
      </c>
      <c r="C21" s="10">
        <v>5</v>
      </c>
      <c r="D21" s="10">
        <f t="shared" si="0"/>
        <v>1.25</v>
      </c>
      <c r="E21" s="13">
        <f>E16</f>
        <v>136</v>
      </c>
      <c r="F21" s="13">
        <f t="shared" si="9"/>
        <v>170</v>
      </c>
      <c r="G21" s="32">
        <f t="shared" si="6"/>
        <v>8.5</v>
      </c>
      <c r="H21" s="33">
        <f t="shared" si="10"/>
        <v>17</v>
      </c>
      <c r="I21" s="12">
        <f t="shared" si="11"/>
        <v>24651.614999999998</v>
      </c>
    </row>
    <row r="22" spans="1:9" ht="15" customHeight="1" x14ac:dyDescent="0.25">
      <c r="A22" s="40" t="s">
        <v>107</v>
      </c>
      <c r="B22" s="8"/>
      <c r="C22" s="8"/>
      <c r="D22" s="14"/>
      <c r="E22" s="8"/>
      <c r="F22" s="177">
        <f>SUM(F18:H21)</f>
        <v>1446.7</v>
      </c>
      <c r="G22" s="177"/>
      <c r="H22" s="177"/>
      <c r="I22" s="28">
        <f>SUM(I18:I21)</f>
        <v>182421.951</v>
      </c>
    </row>
    <row r="23" spans="1:9" ht="15.75" x14ac:dyDescent="0.25">
      <c r="A23" s="14" t="s">
        <v>462</v>
      </c>
      <c r="B23" s="14"/>
      <c r="C23" s="14"/>
      <c r="D23" s="14"/>
      <c r="E23" s="14"/>
      <c r="F23" s="177">
        <f>ROUND(F17+F22,-1)</f>
        <v>2540</v>
      </c>
      <c r="G23" s="177"/>
      <c r="H23" s="177"/>
      <c r="I23" s="28">
        <f>+ROUND(I17+I22,-3)</f>
        <v>320000</v>
      </c>
    </row>
    <row r="24" spans="1:9" ht="15.75" x14ac:dyDescent="0.25">
      <c r="A24" s="14" t="s">
        <v>327</v>
      </c>
      <c r="B24" s="14"/>
      <c r="C24" s="14"/>
      <c r="D24" s="14"/>
      <c r="E24" s="14"/>
      <c r="F24" s="54"/>
      <c r="G24" s="54"/>
      <c r="H24" s="54"/>
      <c r="I24" s="28">
        <f>'Capital and O&amp;M Costs'!G18</f>
        <v>184000</v>
      </c>
    </row>
    <row r="25" spans="1:9" ht="15.75" x14ac:dyDescent="0.25">
      <c r="A25" s="14" t="s">
        <v>328</v>
      </c>
      <c r="B25" s="14"/>
      <c r="C25" s="14"/>
      <c r="D25" s="14"/>
      <c r="E25" s="14"/>
      <c r="F25" s="54"/>
      <c r="G25" s="54"/>
      <c r="H25" s="54"/>
      <c r="I25" s="28">
        <f>ROUND(I23+I24,-3)</f>
        <v>504000</v>
      </c>
    </row>
    <row r="27" spans="1:9" x14ac:dyDescent="0.25">
      <c r="A27" s="42" t="s">
        <v>27</v>
      </c>
    </row>
    <row r="28" spans="1:9" ht="32.25" customHeight="1" x14ac:dyDescent="0.25">
      <c r="A28" s="172" t="s">
        <v>537</v>
      </c>
      <c r="B28" s="172"/>
      <c r="C28" s="172"/>
      <c r="D28" s="172"/>
      <c r="E28" s="172"/>
      <c r="F28" s="172"/>
      <c r="G28" s="172"/>
      <c r="H28" s="172"/>
      <c r="I28" s="172"/>
    </row>
    <row r="29" spans="1:9" ht="62.25" customHeight="1" x14ac:dyDescent="0.25">
      <c r="A29" s="172" t="s">
        <v>530</v>
      </c>
      <c r="B29" s="172"/>
      <c r="C29" s="172"/>
      <c r="D29" s="172"/>
      <c r="E29" s="172"/>
      <c r="F29" s="172"/>
      <c r="G29" s="172"/>
      <c r="H29" s="172"/>
      <c r="I29" s="172"/>
    </row>
    <row r="30" spans="1:9" ht="18" customHeight="1" x14ac:dyDescent="0.25">
      <c r="A30" s="161" t="s">
        <v>280</v>
      </c>
      <c r="B30" s="161"/>
      <c r="C30" s="161"/>
      <c r="D30" s="161"/>
      <c r="E30" s="161"/>
      <c r="F30" s="161"/>
      <c r="G30" s="161"/>
      <c r="H30" s="161"/>
      <c r="I30" s="161"/>
    </row>
    <row r="31" spans="1:9" ht="18" customHeight="1" x14ac:dyDescent="0.25">
      <c r="A31" s="172" t="s">
        <v>228</v>
      </c>
      <c r="B31" s="172"/>
      <c r="C31" s="172"/>
      <c r="D31" s="172"/>
      <c r="E31" s="172"/>
      <c r="F31" s="172"/>
      <c r="G31" s="172"/>
      <c r="H31" s="172"/>
      <c r="I31" s="172"/>
    </row>
    <row r="32" spans="1:9" ht="18" customHeight="1" x14ac:dyDescent="0.25">
      <c r="A32" s="161" t="s">
        <v>229</v>
      </c>
      <c r="B32" s="161"/>
      <c r="C32" s="161"/>
      <c r="D32" s="161"/>
      <c r="E32" s="161"/>
      <c r="F32" s="161"/>
      <c r="G32" s="161"/>
      <c r="H32" s="161"/>
      <c r="I32" s="161"/>
    </row>
  </sheetData>
  <mergeCells count="9">
    <mergeCell ref="A32:I32"/>
    <mergeCell ref="F17:H17"/>
    <mergeCell ref="F23:H23"/>
    <mergeCell ref="F22:H22"/>
    <mergeCell ref="A3:A4"/>
    <mergeCell ref="A28:I28"/>
    <mergeCell ref="A29:I29"/>
    <mergeCell ref="A30:I30"/>
    <mergeCell ref="A31:I31"/>
  </mergeCells>
  <pageMargins left="0.7" right="0.7" top="0.75" bottom="0.75" header="0.3" footer="0.3"/>
  <pageSetup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32"/>
  <sheetViews>
    <sheetView zoomScale="85" zoomScaleNormal="85" workbookViewId="0">
      <selection activeCell="A2" sqref="A2"/>
    </sheetView>
  </sheetViews>
  <sheetFormatPr defaultRowHeight="15" x14ac:dyDescent="0.25"/>
  <cols>
    <col min="1" max="1" width="55.140625" customWidth="1"/>
    <col min="2" max="2" width="10"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10" ht="15.75" x14ac:dyDescent="0.25">
      <c r="A1" s="43" t="s">
        <v>348</v>
      </c>
    </row>
    <row r="2" spans="1:10" x14ac:dyDescent="0.25">
      <c r="F2" s="86">
        <f>Labor!$A$5</f>
        <v>130.28</v>
      </c>
      <c r="G2" s="86">
        <f>Labor!$B$5</f>
        <v>163.16999999999999</v>
      </c>
      <c r="H2" s="86">
        <f>Labor!$C$5</f>
        <v>65.709999999999994</v>
      </c>
      <c r="I2" s="86"/>
    </row>
    <row r="3" spans="1:10" ht="15" customHeight="1" x14ac:dyDescent="0.25">
      <c r="A3" s="162" t="s">
        <v>11</v>
      </c>
      <c r="B3" s="7" t="s">
        <v>19</v>
      </c>
      <c r="C3" s="7" t="s">
        <v>20</v>
      </c>
      <c r="D3" s="7" t="s">
        <v>21</v>
      </c>
      <c r="E3" s="7" t="s">
        <v>22</v>
      </c>
      <c r="F3" s="21" t="s">
        <v>23</v>
      </c>
      <c r="G3" s="7" t="s">
        <v>24</v>
      </c>
      <c r="H3" s="7" t="s">
        <v>25</v>
      </c>
      <c r="I3" s="7" t="s">
        <v>26</v>
      </c>
    </row>
    <row r="4" spans="1:10" ht="63.75" x14ac:dyDescent="0.25">
      <c r="A4" s="163"/>
      <c r="B4" s="8" t="s">
        <v>212</v>
      </c>
      <c r="C4" s="8" t="s">
        <v>89</v>
      </c>
      <c r="D4" s="8" t="s">
        <v>208</v>
      </c>
      <c r="E4" s="8" t="s">
        <v>209</v>
      </c>
      <c r="F4" s="8" t="s">
        <v>91</v>
      </c>
      <c r="G4" s="8" t="s">
        <v>92</v>
      </c>
      <c r="H4" s="8" t="s">
        <v>93</v>
      </c>
      <c r="I4" s="8" t="s">
        <v>223</v>
      </c>
    </row>
    <row r="5" spans="1:10" ht="15" customHeight="1" x14ac:dyDescent="0.25">
      <c r="A5" s="9" t="s">
        <v>97</v>
      </c>
      <c r="B5" s="10" t="s">
        <v>98</v>
      </c>
      <c r="C5" s="10"/>
      <c r="D5" s="10"/>
      <c r="E5" s="10"/>
      <c r="F5" s="10"/>
      <c r="G5" s="10"/>
      <c r="H5" s="10"/>
      <c r="I5" s="39"/>
    </row>
    <row r="6" spans="1:10" ht="15" customHeight="1" x14ac:dyDescent="0.25">
      <c r="A6" s="9" t="s">
        <v>99</v>
      </c>
      <c r="B6" s="10" t="s">
        <v>98</v>
      </c>
      <c r="C6" s="10"/>
      <c r="D6" s="10"/>
      <c r="E6" s="10"/>
      <c r="F6" s="10"/>
      <c r="G6" s="10"/>
      <c r="H6" s="10"/>
      <c r="I6" s="39"/>
    </row>
    <row r="7" spans="1:10" ht="15" customHeight="1" x14ac:dyDescent="0.25">
      <c r="A7" s="9" t="s">
        <v>263</v>
      </c>
      <c r="B7" s="10"/>
      <c r="C7" s="10"/>
      <c r="D7" s="10"/>
      <c r="E7" s="10"/>
      <c r="F7" s="10"/>
      <c r="G7" s="10"/>
      <c r="H7" s="10"/>
      <c r="I7" s="39"/>
    </row>
    <row r="8" spans="1:10" ht="15" customHeight="1" x14ac:dyDescent="0.25">
      <c r="A8" s="11" t="s">
        <v>278</v>
      </c>
      <c r="B8" s="10">
        <v>1</v>
      </c>
      <c r="C8" s="10">
        <v>1</v>
      </c>
      <c r="D8" s="10">
        <f>B8*C8</f>
        <v>1</v>
      </c>
      <c r="E8" s="10">
        <f>'Number of Respondents'!B44+'Number of Respondents'!C44</f>
        <v>74</v>
      </c>
      <c r="F8" s="10">
        <f>+D8*E8</f>
        <v>74</v>
      </c>
      <c r="G8" s="10">
        <f>+F8*0.05</f>
        <v>3.7</v>
      </c>
      <c r="H8" s="10">
        <f>+F8*0.1</f>
        <v>7.4</v>
      </c>
      <c r="I8" s="12">
        <f>+$F$2*F8+$G$2*G8+$H$2*H8</f>
        <v>10730.703</v>
      </c>
      <c r="J8" s="81"/>
    </row>
    <row r="9" spans="1:10" ht="15" customHeight="1" x14ac:dyDescent="0.25">
      <c r="A9" s="11" t="s">
        <v>102</v>
      </c>
      <c r="B9" s="10"/>
      <c r="C9" s="10"/>
      <c r="D9" s="10"/>
      <c r="E9" s="10"/>
      <c r="F9" s="10"/>
      <c r="G9" s="10"/>
      <c r="H9" s="10"/>
      <c r="I9" s="39"/>
    </row>
    <row r="10" spans="1:10" ht="15" customHeight="1" x14ac:dyDescent="0.25">
      <c r="A10" s="58" t="s">
        <v>165</v>
      </c>
      <c r="B10" s="10">
        <v>60</v>
      </c>
      <c r="C10" s="10">
        <v>1</v>
      </c>
      <c r="D10" s="10">
        <f t="shared" ref="D10:D21" si="0">B10*C10</f>
        <v>60</v>
      </c>
      <c r="E10" s="10">
        <f>'Number of Respondents'!B44</f>
        <v>0</v>
      </c>
      <c r="F10" s="13">
        <f t="shared" ref="F10:F16" si="1">+D10*E10</f>
        <v>0</v>
      </c>
      <c r="G10" s="10">
        <f t="shared" ref="G10:G16" si="2">+F10*0.05</f>
        <v>0</v>
      </c>
      <c r="H10" s="10">
        <f t="shared" ref="H10:H16" si="3">+F10*0.1</f>
        <v>0</v>
      </c>
      <c r="I10" s="12">
        <f t="shared" ref="I10:I16" si="4">+$F$2*F10+$G$2*G10+$H$2*H10</f>
        <v>0</v>
      </c>
    </row>
    <row r="11" spans="1:10" ht="15" customHeight="1" x14ac:dyDescent="0.25">
      <c r="A11" s="58" t="s">
        <v>325</v>
      </c>
      <c r="B11" s="10">
        <v>60</v>
      </c>
      <c r="C11" s="10">
        <v>1</v>
      </c>
      <c r="D11" s="10">
        <f t="shared" si="0"/>
        <v>60</v>
      </c>
      <c r="E11" s="10">
        <f>E10*0.2</f>
        <v>0</v>
      </c>
      <c r="F11" s="10">
        <f t="shared" si="1"/>
        <v>0</v>
      </c>
      <c r="G11" s="10">
        <f t="shared" si="2"/>
        <v>0</v>
      </c>
      <c r="H11" s="10">
        <f t="shared" si="3"/>
        <v>0</v>
      </c>
      <c r="I11" s="12">
        <f t="shared" si="4"/>
        <v>0</v>
      </c>
    </row>
    <row r="12" spans="1:10" ht="15" customHeight="1" x14ac:dyDescent="0.25">
      <c r="A12" s="11" t="s">
        <v>341</v>
      </c>
      <c r="B12" s="10"/>
      <c r="C12" s="10"/>
      <c r="D12" s="10"/>
      <c r="E12" s="10"/>
      <c r="F12" s="10"/>
      <c r="G12" s="10"/>
      <c r="H12" s="10"/>
      <c r="I12" s="39"/>
    </row>
    <row r="13" spans="1:10" ht="15" customHeight="1" x14ac:dyDescent="0.25">
      <c r="A13" s="58" t="s">
        <v>167</v>
      </c>
      <c r="B13" s="10">
        <v>2</v>
      </c>
      <c r="C13" s="10">
        <v>1</v>
      </c>
      <c r="D13" s="10">
        <f t="shared" si="0"/>
        <v>2</v>
      </c>
      <c r="E13" s="10">
        <f>'Number of Respondents'!B44</f>
        <v>0</v>
      </c>
      <c r="F13" s="10">
        <f t="shared" si="1"/>
        <v>0</v>
      </c>
      <c r="G13" s="10">
        <f t="shared" si="2"/>
        <v>0</v>
      </c>
      <c r="H13" s="10">
        <f t="shared" si="3"/>
        <v>0</v>
      </c>
      <c r="I13" s="12">
        <f t="shared" si="4"/>
        <v>0</v>
      </c>
    </row>
    <row r="14" spans="1:10" ht="15" customHeight="1" x14ac:dyDescent="0.25">
      <c r="A14" s="58" t="s">
        <v>147</v>
      </c>
      <c r="B14" s="10">
        <v>1</v>
      </c>
      <c r="C14" s="10">
        <v>1</v>
      </c>
      <c r="D14" s="10">
        <f t="shared" si="0"/>
        <v>1</v>
      </c>
      <c r="E14" s="10">
        <f>'Number of Respondents'!B44</f>
        <v>0</v>
      </c>
      <c r="F14" s="10">
        <f t="shared" si="1"/>
        <v>0</v>
      </c>
      <c r="G14" s="10">
        <f t="shared" si="2"/>
        <v>0</v>
      </c>
      <c r="H14" s="10">
        <f t="shared" si="3"/>
        <v>0</v>
      </c>
      <c r="I14" s="12">
        <f t="shared" si="4"/>
        <v>0</v>
      </c>
    </row>
    <row r="15" spans="1:10" ht="15" customHeight="1" x14ac:dyDescent="0.25">
      <c r="A15" s="58" t="s">
        <v>163</v>
      </c>
      <c r="B15" s="10">
        <v>2</v>
      </c>
      <c r="C15" s="10">
        <v>1</v>
      </c>
      <c r="D15" s="10">
        <f t="shared" si="0"/>
        <v>2</v>
      </c>
      <c r="E15" s="10">
        <f>E10+E11</f>
        <v>0</v>
      </c>
      <c r="F15" s="10">
        <f t="shared" si="1"/>
        <v>0</v>
      </c>
      <c r="G15" s="10">
        <f t="shared" si="2"/>
        <v>0</v>
      </c>
      <c r="H15" s="10">
        <f t="shared" si="3"/>
        <v>0</v>
      </c>
      <c r="I15" s="12">
        <f t="shared" si="4"/>
        <v>0</v>
      </c>
    </row>
    <row r="16" spans="1:10" ht="15" customHeight="1" x14ac:dyDescent="0.25">
      <c r="A16" s="58" t="s">
        <v>164</v>
      </c>
      <c r="B16" s="10">
        <v>3</v>
      </c>
      <c r="C16" s="10">
        <v>2</v>
      </c>
      <c r="D16" s="10">
        <f t="shared" si="0"/>
        <v>6</v>
      </c>
      <c r="E16" s="10">
        <f>'Number of Respondents'!C44</f>
        <v>74</v>
      </c>
      <c r="F16" s="13">
        <f t="shared" si="1"/>
        <v>444</v>
      </c>
      <c r="G16" s="33">
        <f t="shared" si="2"/>
        <v>22.200000000000003</v>
      </c>
      <c r="H16" s="33">
        <f t="shared" si="3"/>
        <v>44.400000000000006</v>
      </c>
      <c r="I16" s="12">
        <f t="shared" si="4"/>
        <v>64384.218000000001</v>
      </c>
    </row>
    <row r="17" spans="1:9" ht="15" customHeight="1" x14ac:dyDescent="0.25">
      <c r="A17" s="40" t="s">
        <v>106</v>
      </c>
      <c r="B17" s="8"/>
      <c r="C17" s="8"/>
      <c r="D17" s="10"/>
      <c r="E17" s="8"/>
      <c r="F17" s="177">
        <f>SUM(F5:H16)</f>
        <v>595.70000000000005</v>
      </c>
      <c r="G17" s="177"/>
      <c r="H17" s="177"/>
      <c r="I17" s="28">
        <f>SUM(I5:I16)</f>
        <v>75114.921000000002</v>
      </c>
    </row>
    <row r="18" spans="1:9" ht="15" customHeight="1" x14ac:dyDescent="0.25">
      <c r="A18" s="9" t="s">
        <v>270</v>
      </c>
      <c r="B18" s="10"/>
      <c r="C18" s="10"/>
      <c r="D18" s="10"/>
      <c r="E18" s="10"/>
      <c r="F18" s="10"/>
      <c r="G18" s="10"/>
      <c r="H18" s="10"/>
      <c r="I18" s="39"/>
    </row>
    <row r="19" spans="1:9" ht="15" customHeight="1" x14ac:dyDescent="0.25">
      <c r="A19" s="58" t="s">
        <v>342</v>
      </c>
      <c r="B19" s="10">
        <v>1</v>
      </c>
      <c r="C19" s="10">
        <v>12</v>
      </c>
      <c r="D19" s="10">
        <f t="shared" si="0"/>
        <v>12</v>
      </c>
      <c r="E19" s="10">
        <f>'Number of Respondents'!B44</f>
        <v>0</v>
      </c>
      <c r="F19" s="13">
        <f t="shared" ref="F19" si="5">+D19*E19</f>
        <v>0</v>
      </c>
      <c r="G19" s="10">
        <f t="shared" ref="G19:G21" si="6">+F19*0.05</f>
        <v>0</v>
      </c>
      <c r="H19" s="10">
        <f t="shared" ref="H19" si="7">+F19*0.1</f>
        <v>0</v>
      </c>
      <c r="I19" s="12">
        <f t="shared" ref="I19" si="8">+$F$2*F19+$G$2*G19+$H$2*H19</f>
        <v>0</v>
      </c>
    </row>
    <row r="20" spans="1:9" ht="27" customHeight="1" x14ac:dyDescent="0.25">
      <c r="A20" s="58" t="s">
        <v>343</v>
      </c>
      <c r="B20" s="10">
        <v>1</v>
      </c>
      <c r="C20" s="10">
        <v>8</v>
      </c>
      <c r="D20" s="10">
        <f t="shared" si="0"/>
        <v>8</v>
      </c>
      <c r="E20" s="10">
        <f>'Number of Respondents'!C44</f>
        <v>74</v>
      </c>
      <c r="F20" s="13">
        <f t="shared" ref="F20:F21" si="9">+D20*E20</f>
        <v>592</v>
      </c>
      <c r="G20" s="33">
        <f t="shared" si="6"/>
        <v>29.6</v>
      </c>
      <c r="H20" s="33">
        <f t="shared" ref="H20:H21" si="10">+F20*0.1</f>
        <v>59.2</v>
      </c>
      <c r="I20" s="12">
        <f t="shared" ref="I20" si="11">+$F$2*F20+$G$2*G20+$H$2*H20</f>
        <v>85845.623999999996</v>
      </c>
    </row>
    <row r="21" spans="1:9" ht="15" customHeight="1" x14ac:dyDescent="0.25">
      <c r="A21" s="58" t="s">
        <v>344</v>
      </c>
      <c r="B21" s="10">
        <v>0.25</v>
      </c>
      <c r="C21" s="10">
        <v>5</v>
      </c>
      <c r="D21" s="10">
        <f t="shared" si="0"/>
        <v>1.25</v>
      </c>
      <c r="E21" s="10">
        <f>'Number of Respondents'!C44</f>
        <v>74</v>
      </c>
      <c r="F21" s="10">
        <f t="shared" si="9"/>
        <v>92.5</v>
      </c>
      <c r="G21" s="33">
        <f t="shared" si="6"/>
        <v>4.625</v>
      </c>
      <c r="H21" s="33">
        <f t="shared" si="10"/>
        <v>9.25</v>
      </c>
      <c r="I21" s="12">
        <f>+$F$2*F21+$G$2*G21+$H$2*H21</f>
        <v>13413.378749999998</v>
      </c>
    </row>
    <row r="22" spans="1:9" ht="15" customHeight="1" x14ac:dyDescent="0.25">
      <c r="A22" s="40" t="s">
        <v>107</v>
      </c>
      <c r="B22" s="8"/>
      <c r="C22" s="8"/>
      <c r="D22" s="14"/>
      <c r="E22" s="8"/>
      <c r="F22" s="177">
        <f>SUM(F18:H21)</f>
        <v>787.17500000000007</v>
      </c>
      <c r="G22" s="177"/>
      <c r="H22" s="177"/>
      <c r="I22" s="28">
        <f>SUM(I18:I21)</f>
        <v>99259.00275</v>
      </c>
    </row>
    <row r="23" spans="1:9" ht="15.75" x14ac:dyDescent="0.25">
      <c r="A23" s="14" t="s">
        <v>462</v>
      </c>
      <c r="B23" s="14"/>
      <c r="C23" s="14"/>
      <c r="D23" s="14"/>
      <c r="E23" s="14"/>
      <c r="F23" s="177">
        <f>ROUND(F17+F22,-1)</f>
        <v>1380</v>
      </c>
      <c r="G23" s="177"/>
      <c r="H23" s="177"/>
      <c r="I23" s="28">
        <f>+ROUND(I17+I22,-3)</f>
        <v>174000</v>
      </c>
    </row>
    <row r="24" spans="1:9" ht="15.75" x14ac:dyDescent="0.25">
      <c r="A24" s="14" t="s">
        <v>327</v>
      </c>
      <c r="B24" s="14"/>
      <c r="C24" s="14"/>
      <c r="D24" s="14"/>
      <c r="E24" s="14"/>
      <c r="F24" s="54"/>
      <c r="G24" s="54"/>
      <c r="H24" s="54"/>
      <c r="I24" s="28">
        <f>'Capital and O&amp;M Costs'!G20</f>
        <v>37000</v>
      </c>
    </row>
    <row r="25" spans="1:9" ht="15.75" x14ac:dyDescent="0.25">
      <c r="A25" s="14" t="s">
        <v>328</v>
      </c>
      <c r="B25" s="14"/>
      <c r="C25" s="14"/>
      <c r="D25" s="14"/>
      <c r="E25" s="14"/>
      <c r="F25" s="54"/>
      <c r="G25" s="54"/>
      <c r="H25" s="54"/>
      <c r="I25" s="28">
        <f>ROUND(I23+I24,-3)</f>
        <v>211000</v>
      </c>
    </row>
    <row r="27" spans="1:9" x14ac:dyDescent="0.25">
      <c r="A27" s="42" t="s">
        <v>27</v>
      </c>
    </row>
    <row r="28" spans="1:9" ht="33" customHeight="1" x14ac:dyDescent="0.25">
      <c r="A28" s="172" t="s">
        <v>538</v>
      </c>
      <c r="B28" s="172"/>
      <c r="C28" s="172"/>
      <c r="D28" s="172"/>
      <c r="E28" s="172"/>
      <c r="F28" s="172"/>
      <c r="G28" s="172"/>
      <c r="H28" s="172"/>
      <c r="I28" s="172"/>
    </row>
    <row r="29" spans="1:9" ht="46.5" customHeight="1" x14ac:dyDescent="0.25">
      <c r="A29" s="172" t="s">
        <v>530</v>
      </c>
      <c r="B29" s="172"/>
      <c r="C29" s="172"/>
      <c r="D29" s="172"/>
      <c r="E29" s="172"/>
      <c r="F29" s="172"/>
      <c r="G29" s="172"/>
      <c r="H29" s="172"/>
      <c r="I29" s="172"/>
    </row>
    <row r="30" spans="1:9" ht="18" customHeight="1" x14ac:dyDescent="0.25">
      <c r="A30" s="161" t="s">
        <v>426</v>
      </c>
      <c r="B30" s="161"/>
      <c r="C30" s="161"/>
      <c r="D30" s="161"/>
      <c r="E30" s="161"/>
      <c r="F30" s="161"/>
      <c r="G30" s="161"/>
      <c r="H30" s="161"/>
      <c r="I30" s="161"/>
    </row>
    <row r="31" spans="1:9" ht="18" customHeight="1" x14ac:dyDescent="0.25">
      <c r="A31" s="172" t="s">
        <v>228</v>
      </c>
      <c r="B31" s="172"/>
      <c r="C31" s="172"/>
      <c r="D31" s="172"/>
      <c r="E31" s="172"/>
      <c r="F31" s="172"/>
      <c r="G31" s="172"/>
      <c r="H31" s="172"/>
      <c r="I31" s="172"/>
    </row>
    <row r="32" spans="1:9" ht="18" customHeight="1" x14ac:dyDescent="0.25">
      <c r="A32" s="161" t="s">
        <v>229</v>
      </c>
      <c r="B32" s="161"/>
      <c r="C32" s="161"/>
      <c r="D32" s="161"/>
      <c r="E32" s="161"/>
      <c r="F32" s="161"/>
      <c r="G32" s="161"/>
      <c r="H32" s="161"/>
      <c r="I32" s="161"/>
    </row>
  </sheetData>
  <mergeCells count="9">
    <mergeCell ref="A30:I30"/>
    <mergeCell ref="A31:I31"/>
    <mergeCell ref="A32:I32"/>
    <mergeCell ref="F23:H23"/>
    <mergeCell ref="A3:A4"/>
    <mergeCell ref="F17:H17"/>
    <mergeCell ref="F22:H22"/>
    <mergeCell ref="A28:I28"/>
    <mergeCell ref="A29:I29"/>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47"/>
  <sheetViews>
    <sheetView zoomScale="85" zoomScaleNormal="85" workbookViewId="0">
      <selection activeCell="A2" sqref="A2"/>
    </sheetView>
  </sheetViews>
  <sheetFormatPr defaultRowHeight="15" x14ac:dyDescent="0.25"/>
  <cols>
    <col min="1" max="1" width="55.140625" customWidth="1"/>
    <col min="2" max="2" width="10"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9" ht="15.75" x14ac:dyDescent="0.25">
      <c r="A1" s="43" t="s">
        <v>349</v>
      </c>
    </row>
    <row r="2" spans="1:9" x14ac:dyDescent="0.25">
      <c r="F2" s="86">
        <f>Labor!$A$5</f>
        <v>130.28</v>
      </c>
      <c r="G2" s="86">
        <f>Labor!$B$5</f>
        <v>163.16999999999999</v>
      </c>
      <c r="H2" s="86">
        <f>Labor!$C$5</f>
        <v>65.709999999999994</v>
      </c>
      <c r="I2" s="86"/>
    </row>
    <row r="3" spans="1:9" ht="15" customHeight="1" x14ac:dyDescent="0.25">
      <c r="A3" s="162" t="s">
        <v>11</v>
      </c>
      <c r="B3" s="7" t="s">
        <v>19</v>
      </c>
      <c r="C3" s="7" t="s">
        <v>20</v>
      </c>
      <c r="D3" s="7" t="s">
        <v>21</v>
      </c>
      <c r="E3" s="7" t="s">
        <v>22</v>
      </c>
      <c r="F3" s="21" t="s">
        <v>23</v>
      </c>
      <c r="G3" s="7" t="s">
        <v>24</v>
      </c>
      <c r="H3" s="7" t="s">
        <v>25</v>
      </c>
      <c r="I3" s="7" t="s">
        <v>26</v>
      </c>
    </row>
    <row r="4" spans="1:9" ht="63.75" x14ac:dyDescent="0.25">
      <c r="A4" s="163"/>
      <c r="B4" s="8" t="s">
        <v>212</v>
      </c>
      <c r="C4" s="8" t="s">
        <v>89</v>
      </c>
      <c r="D4" s="8" t="s">
        <v>208</v>
      </c>
      <c r="E4" s="8" t="s">
        <v>209</v>
      </c>
      <c r="F4" s="8" t="s">
        <v>91</v>
      </c>
      <c r="G4" s="8" t="s">
        <v>92</v>
      </c>
      <c r="H4" s="8" t="s">
        <v>93</v>
      </c>
      <c r="I4" s="8" t="s">
        <v>223</v>
      </c>
    </row>
    <row r="5" spans="1:9" ht="15" customHeight="1" x14ac:dyDescent="0.25">
      <c r="A5" s="9" t="s">
        <v>97</v>
      </c>
      <c r="B5" s="10" t="s">
        <v>98</v>
      </c>
      <c r="C5" s="10"/>
      <c r="D5" s="10"/>
      <c r="E5" s="10"/>
      <c r="F5" s="10"/>
      <c r="G5" s="10"/>
      <c r="H5" s="10"/>
      <c r="I5" s="39"/>
    </row>
    <row r="6" spans="1:9" ht="15" customHeight="1" x14ac:dyDescent="0.25">
      <c r="A6" s="9" t="s">
        <v>99</v>
      </c>
      <c r="B6" s="10" t="s">
        <v>98</v>
      </c>
      <c r="C6" s="10"/>
      <c r="D6" s="10"/>
      <c r="E6" s="10"/>
      <c r="F6" s="10"/>
      <c r="G6" s="10"/>
      <c r="H6" s="10"/>
      <c r="I6" s="39"/>
    </row>
    <row r="7" spans="1:9" ht="15" customHeight="1" x14ac:dyDescent="0.25">
      <c r="A7" s="9" t="s">
        <v>263</v>
      </c>
      <c r="B7" s="10"/>
      <c r="C7" s="10"/>
      <c r="D7" s="10"/>
      <c r="E7" s="10"/>
      <c r="F7" s="10"/>
      <c r="G7" s="10"/>
      <c r="H7" s="10"/>
      <c r="I7" s="39"/>
    </row>
    <row r="8" spans="1:9" ht="15" customHeight="1" x14ac:dyDescent="0.25">
      <c r="A8" s="11" t="s">
        <v>278</v>
      </c>
      <c r="B8" s="10">
        <v>1</v>
      </c>
      <c r="C8" s="10">
        <v>1</v>
      </c>
      <c r="D8" s="10">
        <f>+B8*C8</f>
        <v>1</v>
      </c>
      <c r="E8" s="10">
        <f>'Number of Respondents'!C49</f>
        <v>54</v>
      </c>
      <c r="F8" s="10">
        <f>+D8*E8</f>
        <v>54</v>
      </c>
      <c r="G8" s="10">
        <f>+F8*0.05</f>
        <v>2.7</v>
      </c>
      <c r="H8" s="10">
        <f>+F8*0.1</f>
        <v>5.4</v>
      </c>
      <c r="I8" s="53">
        <f>+$F$2*F8+$G$2*G8+$H$2*H8</f>
        <v>7830.5129999999999</v>
      </c>
    </row>
    <row r="9" spans="1:9" ht="15" customHeight="1" x14ac:dyDescent="0.25">
      <c r="A9" s="11" t="s">
        <v>102</v>
      </c>
      <c r="B9" s="10"/>
      <c r="C9" s="10"/>
      <c r="D9" s="10"/>
      <c r="E9" s="10"/>
      <c r="F9" s="10"/>
      <c r="G9" s="10"/>
      <c r="H9" s="10"/>
      <c r="I9" s="39"/>
    </row>
    <row r="10" spans="1:9" ht="15" customHeight="1" x14ac:dyDescent="0.25">
      <c r="A10" s="58" t="s">
        <v>168</v>
      </c>
      <c r="B10" s="10">
        <v>20</v>
      </c>
      <c r="C10" s="10">
        <v>1</v>
      </c>
      <c r="D10" s="10">
        <f t="shared" ref="D10:D35" si="0">+B10*C10</f>
        <v>20</v>
      </c>
      <c r="E10" s="10">
        <f>'Number of Respondents'!B49</f>
        <v>0</v>
      </c>
      <c r="F10" s="10">
        <f t="shared" ref="F10:F26" si="1">+D10*E10</f>
        <v>0</v>
      </c>
      <c r="G10" s="10">
        <f t="shared" ref="G10:G26" si="2">+F10*0.05</f>
        <v>0</v>
      </c>
      <c r="H10" s="10">
        <f t="shared" ref="H10:H26" si="3">+F10*0.1</f>
        <v>0</v>
      </c>
      <c r="I10" s="53">
        <f t="shared" ref="I10:I26" si="4">+$F$2*F10+$G$2*G10+$H$2*H10</f>
        <v>0</v>
      </c>
    </row>
    <row r="11" spans="1:9" ht="15" customHeight="1" x14ac:dyDescent="0.25">
      <c r="A11" s="58" t="s">
        <v>169</v>
      </c>
      <c r="B11" s="10">
        <v>280</v>
      </c>
      <c r="C11" s="10">
        <v>1</v>
      </c>
      <c r="D11" s="10">
        <f t="shared" si="0"/>
        <v>280</v>
      </c>
      <c r="E11" s="10">
        <f>E10</f>
        <v>0</v>
      </c>
      <c r="F11" s="10">
        <f t="shared" si="1"/>
        <v>0</v>
      </c>
      <c r="G11" s="10">
        <f t="shared" si="2"/>
        <v>0</v>
      </c>
      <c r="H11" s="10">
        <f t="shared" si="3"/>
        <v>0</v>
      </c>
      <c r="I11" s="53">
        <f t="shared" si="4"/>
        <v>0</v>
      </c>
    </row>
    <row r="12" spans="1:9" ht="15" customHeight="1" x14ac:dyDescent="0.25">
      <c r="A12" s="58" t="s">
        <v>350</v>
      </c>
      <c r="B12" s="10">
        <v>11</v>
      </c>
      <c r="C12" s="10">
        <v>1</v>
      </c>
      <c r="D12" s="10">
        <f t="shared" si="0"/>
        <v>11</v>
      </c>
      <c r="E12" s="10">
        <v>3</v>
      </c>
      <c r="F12" s="10">
        <f t="shared" si="1"/>
        <v>33</v>
      </c>
      <c r="G12" s="10">
        <f t="shared" si="2"/>
        <v>1.6500000000000001</v>
      </c>
      <c r="H12" s="32">
        <f t="shared" si="3"/>
        <v>3.3000000000000003</v>
      </c>
      <c r="I12" s="12">
        <f t="shared" si="4"/>
        <v>4785.3134999999993</v>
      </c>
    </row>
    <row r="13" spans="1:9" ht="15" customHeight="1" x14ac:dyDescent="0.25">
      <c r="A13" s="58" t="s">
        <v>351</v>
      </c>
      <c r="B13" s="10">
        <v>80</v>
      </c>
      <c r="C13" s="10">
        <v>1</v>
      </c>
      <c r="D13" s="10">
        <f t="shared" si="0"/>
        <v>80</v>
      </c>
      <c r="E13" s="10">
        <v>66</v>
      </c>
      <c r="F13" s="13">
        <f t="shared" si="1"/>
        <v>5280</v>
      </c>
      <c r="G13" s="10">
        <f t="shared" si="2"/>
        <v>264</v>
      </c>
      <c r="H13" s="10">
        <f t="shared" si="3"/>
        <v>528</v>
      </c>
      <c r="I13" s="12">
        <f t="shared" si="4"/>
        <v>765650.16</v>
      </c>
    </row>
    <row r="14" spans="1:9" ht="15" customHeight="1" x14ac:dyDescent="0.25">
      <c r="A14" s="58" t="s">
        <v>352</v>
      </c>
      <c r="B14" s="10">
        <v>8</v>
      </c>
      <c r="C14" s="10">
        <v>1</v>
      </c>
      <c r="D14" s="10">
        <f t="shared" si="0"/>
        <v>8</v>
      </c>
      <c r="E14" s="10">
        <f>'Number of Respondents'!C49</f>
        <v>54</v>
      </c>
      <c r="F14" s="10">
        <f t="shared" si="1"/>
        <v>432</v>
      </c>
      <c r="G14" s="10">
        <f t="shared" si="2"/>
        <v>21.6</v>
      </c>
      <c r="H14" s="10">
        <f t="shared" si="3"/>
        <v>43.2</v>
      </c>
      <c r="I14" s="12">
        <f t="shared" si="4"/>
        <v>62644.103999999999</v>
      </c>
    </row>
    <row r="15" spans="1:9" ht="15" customHeight="1" x14ac:dyDescent="0.25">
      <c r="A15" s="11" t="s">
        <v>103</v>
      </c>
      <c r="B15" s="10" t="s">
        <v>264</v>
      </c>
      <c r="C15" s="10"/>
      <c r="D15" s="10"/>
      <c r="E15" s="10"/>
      <c r="F15" s="10"/>
      <c r="G15" s="10"/>
      <c r="H15" s="10"/>
      <c r="I15" s="39"/>
    </row>
    <row r="16" spans="1:9" ht="15" customHeight="1" x14ac:dyDescent="0.25">
      <c r="A16" s="11" t="s">
        <v>104</v>
      </c>
      <c r="B16" s="10" t="s">
        <v>320</v>
      </c>
      <c r="C16" s="10"/>
      <c r="D16" s="10"/>
      <c r="E16" s="10"/>
      <c r="F16" s="10"/>
      <c r="G16" s="10"/>
      <c r="H16" s="10"/>
      <c r="I16" s="39"/>
    </row>
    <row r="17" spans="1:9" ht="15" customHeight="1" x14ac:dyDescent="0.25">
      <c r="A17" s="11" t="s">
        <v>268</v>
      </c>
      <c r="B17" s="10"/>
      <c r="C17" s="10"/>
      <c r="D17" s="10"/>
      <c r="E17" s="10"/>
      <c r="F17" s="10"/>
      <c r="G17" s="10"/>
      <c r="H17" s="10"/>
      <c r="I17" s="39"/>
    </row>
    <row r="18" spans="1:9" ht="15" customHeight="1" x14ac:dyDescent="0.25">
      <c r="A18" s="58" t="s">
        <v>146</v>
      </c>
      <c r="B18" s="10">
        <v>2</v>
      </c>
      <c r="C18" s="10">
        <v>1</v>
      </c>
      <c r="D18" s="10">
        <f t="shared" si="0"/>
        <v>2</v>
      </c>
      <c r="E18" s="10">
        <f>'Number of Respondents'!B49</f>
        <v>0</v>
      </c>
      <c r="F18" s="10">
        <f t="shared" si="1"/>
        <v>0</v>
      </c>
      <c r="G18" s="10">
        <f t="shared" si="2"/>
        <v>0</v>
      </c>
      <c r="H18" s="10">
        <f t="shared" si="3"/>
        <v>0</v>
      </c>
      <c r="I18" s="53">
        <f t="shared" si="4"/>
        <v>0</v>
      </c>
    </row>
    <row r="19" spans="1:9" ht="15" customHeight="1" x14ac:dyDescent="0.25">
      <c r="A19" s="58" t="s">
        <v>170</v>
      </c>
      <c r="B19" s="10">
        <v>2</v>
      </c>
      <c r="C19" s="10">
        <v>1</v>
      </c>
      <c r="D19" s="10">
        <f t="shared" si="0"/>
        <v>2</v>
      </c>
      <c r="E19" s="10">
        <f>E$18</f>
        <v>0</v>
      </c>
      <c r="F19" s="10">
        <f t="shared" si="1"/>
        <v>0</v>
      </c>
      <c r="G19" s="10">
        <f t="shared" si="2"/>
        <v>0</v>
      </c>
      <c r="H19" s="10">
        <f t="shared" si="3"/>
        <v>0</v>
      </c>
      <c r="I19" s="53">
        <f t="shared" si="4"/>
        <v>0</v>
      </c>
    </row>
    <row r="20" spans="1:9" ht="15" customHeight="1" x14ac:dyDescent="0.25">
      <c r="A20" s="58" t="s">
        <v>147</v>
      </c>
      <c r="B20" s="10">
        <v>2</v>
      </c>
      <c r="C20" s="10">
        <v>1</v>
      </c>
      <c r="D20" s="10">
        <f t="shared" si="0"/>
        <v>2</v>
      </c>
      <c r="E20" s="10">
        <f t="shared" ref="E20:E24" si="5">E$18</f>
        <v>0</v>
      </c>
      <c r="F20" s="10">
        <f t="shared" si="1"/>
        <v>0</v>
      </c>
      <c r="G20" s="10">
        <f t="shared" si="2"/>
        <v>0</v>
      </c>
      <c r="H20" s="10">
        <f t="shared" si="3"/>
        <v>0</v>
      </c>
      <c r="I20" s="53">
        <f t="shared" si="4"/>
        <v>0</v>
      </c>
    </row>
    <row r="21" spans="1:9" ht="15" customHeight="1" x14ac:dyDescent="0.25">
      <c r="A21" s="58" t="s">
        <v>171</v>
      </c>
      <c r="B21" s="10">
        <v>2</v>
      </c>
      <c r="C21" s="10">
        <v>1</v>
      </c>
      <c r="D21" s="10">
        <f t="shared" si="0"/>
        <v>2</v>
      </c>
      <c r="E21" s="10">
        <f t="shared" si="5"/>
        <v>0</v>
      </c>
      <c r="F21" s="10">
        <f t="shared" si="1"/>
        <v>0</v>
      </c>
      <c r="G21" s="10">
        <f t="shared" si="2"/>
        <v>0</v>
      </c>
      <c r="H21" s="10">
        <f t="shared" si="3"/>
        <v>0</v>
      </c>
      <c r="I21" s="53">
        <f t="shared" si="4"/>
        <v>0</v>
      </c>
    </row>
    <row r="22" spans="1:9" ht="15" customHeight="1" x14ac:dyDescent="0.25">
      <c r="A22" s="58" t="s">
        <v>172</v>
      </c>
      <c r="B22" s="10">
        <v>8</v>
      </c>
      <c r="C22" s="10">
        <v>1</v>
      </c>
      <c r="D22" s="10">
        <f t="shared" si="0"/>
        <v>8</v>
      </c>
      <c r="E22" s="10">
        <f t="shared" si="5"/>
        <v>0</v>
      </c>
      <c r="F22" s="10">
        <f t="shared" si="1"/>
        <v>0</v>
      </c>
      <c r="G22" s="10">
        <f t="shared" si="2"/>
        <v>0</v>
      </c>
      <c r="H22" s="10">
        <f t="shared" si="3"/>
        <v>0</v>
      </c>
      <c r="I22" s="53">
        <f t="shared" si="4"/>
        <v>0</v>
      </c>
    </row>
    <row r="23" spans="1:9" ht="15" customHeight="1" x14ac:dyDescent="0.25">
      <c r="A23" s="58" t="s">
        <v>173</v>
      </c>
      <c r="B23" s="10">
        <v>2</v>
      </c>
      <c r="C23" s="10">
        <v>1</v>
      </c>
      <c r="D23" s="10">
        <f t="shared" si="0"/>
        <v>2</v>
      </c>
      <c r="E23" s="10">
        <f t="shared" si="5"/>
        <v>0</v>
      </c>
      <c r="F23" s="10">
        <f t="shared" si="1"/>
        <v>0</v>
      </c>
      <c r="G23" s="10">
        <f t="shared" si="2"/>
        <v>0</v>
      </c>
      <c r="H23" s="10">
        <f t="shared" si="3"/>
        <v>0</v>
      </c>
      <c r="I23" s="53">
        <f t="shared" si="4"/>
        <v>0</v>
      </c>
    </row>
    <row r="24" spans="1:9" ht="15" customHeight="1" x14ac:dyDescent="0.25">
      <c r="A24" s="58" t="s">
        <v>174</v>
      </c>
      <c r="B24" s="10">
        <v>8</v>
      </c>
      <c r="C24" s="10">
        <v>1</v>
      </c>
      <c r="D24" s="10">
        <f t="shared" si="0"/>
        <v>8</v>
      </c>
      <c r="E24" s="10">
        <f t="shared" si="5"/>
        <v>0</v>
      </c>
      <c r="F24" s="10">
        <f t="shared" si="1"/>
        <v>0</v>
      </c>
      <c r="G24" s="10">
        <f t="shared" si="2"/>
        <v>0</v>
      </c>
      <c r="H24" s="10">
        <f t="shared" si="3"/>
        <v>0</v>
      </c>
      <c r="I24" s="53">
        <f t="shared" si="4"/>
        <v>0</v>
      </c>
    </row>
    <row r="25" spans="1:9" ht="15" customHeight="1" x14ac:dyDescent="0.25">
      <c r="A25" s="58" t="s">
        <v>358</v>
      </c>
      <c r="B25" s="10">
        <v>8</v>
      </c>
      <c r="C25" s="10">
        <v>1</v>
      </c>
      <c r="D25" s="10">
        <f t="shared" si="0"/>
        <v>8</v>
      </c>
      <c r="E25" s="10">
        <f>E$18</f>
        <v>0</v>
      </c>
      <c r="F25" s="10">
        <f t="shared" si="1"/>
        <v>0</v>
      </c>
      <c r="G25" s="10">
        <f t="shared" si="2"/>
        <v>0</v>
      </c>
      <c r="H25" s="10">
        <f t="shared" si="3"/>
        <v>0</v>
      </c>
      <c r="I25" s="53">
        <f t="shared" si="4"/>
        <v>0</v>
      </c>
    </row>
    <row r="26" spans="1:9" ht="15" customHeight="1" x14ac:dyDescent="0.25">
      <c r="A26" s="58" t="s">
        <v>176</v>
      </c>
      <c r="B26" s="10">
        <v>4</v>
      </c>
      <c r="C26" s="10">
        <v>4</v>
      </c>
      <c r="D26" s="10">
        <f t="shared" si="0"/>
        <v>16</v>
      </c>
      <c r="E26" s="10">
        <f>'Number of Respondents'!C49</f>
        <v>54</v>
      </c>
      <c r="F26" s="10">
        <f t="shared" si="1"/>
        <v>864</v>
      </c>
      <c r="G26" s="10">
        <f t="shared" si="2"/>
        <v>43.2</v>
      </c>
      <c r="H26" s="10">
        <f t="shared" si="3"/>
        <v>86.4</v>
      </c>
      <c r="I26" s="12">
        <f t="shared" si="4"/>
        <v>125288.208</v>
      </c>
    </row>
    <row r="27" spans="1:9" ht="15" customHeight="1" x14ac:dyDescent="0.25">
      <c r="A27" s="40" t="s">
        <v>106</v>
      </c>
      <c r="B27" s="8"/>
      <c r="C27" s="8"/>
      <c r="D27" s="10"/>
      <c r="E27" s="8"/>
      <c r="F27" s="177">
        <f>SUM(F5:H26)</f>
        <v>7662.45</v>
      </c>
      <c r="G27" s="177"/>
      <c r="H27" s="177"/>
      <c r="I27" s="28">
        <f>SUM(I5:I26)</f>
        <v>966198.29850000003</v>
      </c>
    </row>
    <row r="28" spans="1:9" ht="15" customHeight="1" x14ac:dyDescent="0.25">
      <c r="A28" s="9" t="s">
        <v>270</v>
      </c>
      <c r="B28" s="10"/>
      <c r="C28" s="10"/>
      <c r="D28" s="10"/>
      <c r="E28" s="10"/>
      <c r="F28" s="10"/>
      <c r="G28" s="10"/>
      <c r="H28" s="10"/>
      <c r="I28" s="39"/>
    </row>
    <row r="29" spans="1:9" ht="15" customHeight="1" x14ac:dyDescent="0.25">
      <c r="A29" s="11" t="s">
        <v>109</v>
      </c>
      <c r="B29" s="10" t="s">
        <v>279</v>
      </c>
      <c r="C29" s="10"/>
      <c r="D29" s="10"/>
      <c r="E29" s="10"/>
      <c r="F29" s="10"/>
      <c r="G29" s="10"/>
      <c r="H29" s="10"/>
      <c r="I29" s="39"/>
    </row>
    <row r="30" spans="1:9" ht="15" customHeight="1" x14ac:dyDescent="0.25">
      <c r="A30" s="11" t="s">
        <v>271</v>
      </c>
      <c r="B30" s="10" t="s">
        <v>321</v>
      </c>
      <c r="C30" s="10"/>
      <c r="D30" s="10"/>
      <c r="E30" s="10"/>
      <c r="F30" s="10"/>
      <c r="G30" s="10"/>
      <c r="H30" s="10"/>
      <c r="I30" s="39"/>
    </row>
    <row r="31" spans="1:9" ht="15" customHeight="1" x14ac:dyDescent="0.25">
      <c r="A31" s="11" t="s">
        <v>272</v>
      </c>
      <c r="B31" s="10" t="s">
        <v>264</v>
      </c>
      <c r="C31" s="10"/>
      <c r="D31" s="10"/>
      <c r="E31" s="10"/>
      <c r="F31" s="10"/>
      <c r="G31" s="10"/>
      <c r="H31" s="10"/>
      <c r="I31" s="39"/>
    </row>
    <row r="32" spans="1:9" ht="15" customHeight="1" x14ac:dyDescent="0.25">
      <c r="A32" s="11" t="s">
        <v>353</v>
      </c>
      <c r="B32" s="10" t="s">
        <v>98</v>
      </c>
      <c r="C32" s="10"/>
      <c r="D32" s="10"/>
      <c r="E32" s="10"/>
      <c r="F32" s="10"/>
      <c r="G32" s="10"/>
      <c r="H32" s="10"/>
      <c r="I32" s="39"/>
    </row>
    <row r="33" spans="1:9" ht="15" customHeight="1" x14ac:dyDescent="0.25">
      <c r="A33" s="11" t="s">
        <v>354</v>
      </c>
      <c r="B33" s="10"/>
      <c r="C33" s="10"/>
      <c r="D33" s="10"/>
      <c r="E33" s="10"/>
      <c r="F33" s="10"/>
      <c r="G33" s="10"/>
      <c r="H33" s="10"/>
      <c r="I33" s="39"/>
    </row>
    <row r="34" spans="1:9" ht="15" customHeight="1" x14ac:dyDescent="0.25">
      <c r="A34" s="58" t="s">
        <v>355</v>
      </c>
      <c r="B34" s="10">
        <v>1.5</v>
      </c>
      <c r="C34" s="10">
        <v>52</v>
      </c>
      <c r="D34" s="10">
        <f t="shared" si="0"/>
        <v>78</v>
      </c>
      <c r="E34" s="10">
        <f>E26</f>
        <v>54</v>
      </c>
      <c r="F34" s="13">
        <f t="shared" ref="F34" si="6">+D34*E34</f>
        <v>4212</v>
      </c>
      <c r="G34" s="10">
        <f t="shared" ref="G34:G35" si="7">+F34*0.05</f>
        <v>210.60000000000002</v>
      </c>
      <c r="H34" s="10">
        <f t="shared" ref="H34" si="8">+F34*0.1</f>
        <v>421.20000000000005</v>
      </c>
      <c r="I34" s="12">
        <f t="shared" ref="I34" si="9">+$F$2*F34+$G$2*G34+$H$2*H34</f>
        <v>610780.01399999997</v>
      </c>
    </row>
    <row r="35" spans="1:9" ht="15" customHeight="1" x14ac:dyDescent="0.25">
      <c r="A35" s="58" t="s">
        <v>359</v>
      </c>
      <c r="B35" s="10">
        <v>0.5</v>
      </c>
      <c r="C35" s="10">
        <v>52</v>
      </c>
      <c r="D35" s="10">
        <f t="shared" si="0"/>
        <v>26</v>
      </c>
      <c r="E35" s="10">
        <f>E25</f>
        <v>0</v>
      </c>
      <c r="F35" s="10">
        <f t="shared" ref="F35" si="10">+D35*E35</f>
        <v>0</v>
      </c>
      <c r="G35" s="10">
        <f t="shared" si="7"/>
        <v>0</v>
      </c>
      <c r="H35" s="10">
        <f t="shared" ref="H35" si="11">+F35*0.1</f>
        <v>0</v>
      </c>
      <c r="I35" s="53">
        <f t="shared" ref="I35" si="12">+$F$2*F35+$G$2*G35+$H$2*H35</f>
        <v>0</v>
      </c>
    </row>
    <row r="36" spans="1:9" ht="15" customHeight="1" x14ac:dyDescent="0.25">
      <c r="A36" s="11" t="s">
        <v>323</v>
      </c>
      <c r="B36" s="10" t="s">
        <v>98</v>
      </c>
      <c r="C36" s="10"/>
      <c r="D36" s="10"/>
      <c r="E36" s="10"/>
      <c r="F36" s="10"/>
      <c r="G36" s="10"/>
      <c r="H36" s="10"/>
      <c r="I36" s="39"/>
    </row>
    <row r="37" spans="1:9" ht="15" customHeight="1" x14ac:dyDescent="0.25">
      <c r="A37" s="40" t="s">
        <v>107</v>
      </c>
      <c r="B37" s="8"/>
      <c r="C37" s="8"/>
      <c r="D37" s="14"/>
      <c r="E37" s="8"/>
      <c r="F37" s="177">
        <f>SUM(F28:H36)</f>
        <v>4843.8</v>
      </c>
      <c r="G37" s="177"/>
      <c r="H37" s="177"/>
      <c r="I37" s="28">
        <f>SUM(I28:I36)</f>
        <v>610780.01399999997</v>
      </c>
    </row>
    <row r="38" spans="1:9" ht="15" customHeight="1" x14ac:dyDescent="0.25">
      <c r="A38" s="14" t="s">
        <v>462</v>
      </c>
      <c r="B38" s="14"/>
      <c r="C38" s="14"/>
      <c r="D38" s="14"/>
      <c r="E38" s="14"/>
      <c r="F38" s="177">
        <f>ROUND(F27+F37,-2)</f>
        <v>12500</v>
      </c>
      <c r="G38" s="177"/>
      <c r="H38" s="177"/>
      <c r="I38" s="28">
        <f>+ROUND(I27+I37,-4)</f>
        <v>1580000</v>
      </c>
    </row>
    <row r="39" spans="1:9" ht="15.75" x14ac:dyDescent="0.25">
      <c r="A39" s="14" t="s">
        <v>327</v>
      </c>
      <c r="B39" s="14"/>
      <c r="C39" s="14"/>
      <c r="D39" s="14"/>
      <c r="E39" s="14"/>
      <c r="F39" s="54"/>
      <c r="G39" s="54"/>
      <c r="H39" s="54"/>
      <c r="I39" s="28">
        <f>'Capital and O&amp;M Costs'!G22</f>
        <v>0</v>
      </c>
    </row>
    <row r="40" spans="1:9" ht="15.75" x14ac:dyDescent="0.25">
      <c r="A40" s="14" t="s">
        <v>328</v>
      </c>
      <c r="B40" s="14"/>
      <c r="C40" s="14"/>
      <c r="D40" s="14"/>
      <c r="E40" s="14"/>
      <c r="F40" s="54"/>
      <c r="G40" s="54"/>
      <c r="H40" s="54"/>
      <c r="I40" s="28">
        <f>ROUND(I38+I39,-4)</f>
        <v>1580000</v>
      </c>
    </row>
    <row r="42" spans="1:9" x14ac:dyDescent="0.25">
      <c r="A42" s="25" t="s">
        <v>27</v>
      </c>
    </row>
    <row r="43" spans="1:9" ht="49.5" customHeight="1" x14ac:dyDescent="0.25">
      <c r="A43" s="172" t="s">
        <v>356</v>
      </c>
      <c r="B43" s="172"/>
      <c r="C43" s="172"/>
      <c r="D43" s="172"/>
      <c r="E43" s="172"/>
      <c r="F43" s="172"/>
      <c r="G43" s="172"/>
      <c r="H43" s="172"/>
      <c r="I43" s="172"/>
    </row>
    <row r="44" spans="1:9" ht="48.75" customHeight="1" x14ac:dyDescent="0.25">
      <c r="A44" s="172" t="s">
        <v>530</v>
      </c>
      <c r="B44" s="172"/>
      <c r="C44" s="172"/>
      <c r="D44" s="172"/>
      <c r="E44" s="172"/>
      <c r="F44" s="172"/>
      <c r="G44" s="172"/>
      <c r="H44" s="172"/>
      <c r="I44" s="172"/>
    </row>
    <row r="45" spans="1:9" ht="18.75" customHeight="1" x14ac:dyDescent="0.25">
      <c r="A45" s="161" t="s">
        <v>427</v>
      </c>
      <c r="B45" s="161"/>
      <c r="C45" s="161"/>
      <c r="D45" s="161"/>
      <c r="E45" s="161"/>
      <c r="F45" s="161"/>
      <c r="G45" s="161"/>
      <c r="H45" s="161"/>
      <c r="I45" s="161"/>
    </row>
    <row r="46" spans="1:9" ht="39" customHeight="1" x14ac:dyDescent="0.25">
      <c r="A46" s="172" t="s">
        <v>357</v>
      </c>
      <c r="B46" s="172"/>
      <c r="C46" s="172"/>
      <c r="D46" s="172"/>
      <c r="E46" s="172"/>
      <c r="F46" s="172"/>
      <c r="G46" s="172"/>
      <c r="H46" s="172"/>
      <c r="I46" s="172"/>
    </row>
    <row r="47" spans="1:9" ht="17.25" customHeight="1" x14ac:dyDescent="0.25">
      <c r="A47" s="161" t="s">
        <v>229</v>
      </c>
      <c r="B47" s="161"/>
      <c r="C47" s="161"/>
      <c r="D47" s="161"/>
      <c r="E47" s="161"/>
      <c r="F47" s="161"/>
      <c r="G47" s="161"/>
      <c r="H47" s="161"/>
      <c r="I47" s="161"/>
    </row>
  </sheetData>
  <mergeCells count="9">
    <mergeCell ref="A45:I45"/>
    <mergeCell ref="A47:I47"/>
    <mergeCell ref="A46:I46"/>
    <mergeCell ref="F38:H38"/>
    <mergeCell ref="A3:A4"/>
    <mergeCell ref="F27:H27"/>
    <mergeCell ref="F37:H37"/>
    <mergeCell ref="A43:I43"/>
    <mergeCell ref="A44:I44"/>
  </mergeCells>
  <pageMargins left="0.7" right="0.7" top="0.75" bottom="0.75" header="0.3" footer="0.3"/>
  <pageSetup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46"/>
  <sheetViews>
    <sheetView zoomScale="85" zoomScaleNormal="85" workbookViewId="0">
      <selection activeCell="A2" sqref="A2"/>
    </sheetView>
  </sheetViews>
  <sheetFormatPr defaultRowHeight="15" x14ac:dyDescent="0.25"/>
  <cols>
    <col min="1" max="1" width="55.140625" customWidth="1"/>
    <col min="2" max="2" width="13.140625"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9" ht="15.75" x14ac:dyDescent="0.25">
      <c r="A1" s="35" t="s">
        <v>360</v>
      </c>
    </row>
    <row r="2" spans="1:9" x14ac:dyDescent="0.25">
      <c r="F2" s="86">
        <f>Labor!$A$5</f>
        <v>130.28</v>
      </c>
      <c r="G2" s="86">
        <f>Labor!$B$5</f>
        <v>163.16999999999999</v>
      </c>
      <c r="H2" s="86">
        <f>Labor!$C$5</f>
        <v>65.709999999999994</v>
      </c>
      <c r="I2" s="86"/>
    </row>
    <row r="3" spans="1:9" ht="15" customHeight="1" x14ac:dyDescent="0.25">
      <c r="A3" s="162" t="s">
        <v>11</v>
      </c>
      <c r="B3" s="7" t="s">
        <v>19</v>
      </c>
      <c r="C3" s="7" t="s">
        <v>20</v>
      </c>
      <c r="D3" s="7" t="s">
        <v>21</v>
      </c>
      <c r="E3" s="7" t="s">
        <v>22</v>
      </c>
      <c r="F3" s="21" t="s">
        <v>23</v>
      </c>
      <c r="G3" s="7" t="s">
        <v>24</v>
      </c>
      <c r="H3" s="7" t="s">
        <v>25</v>
      </c>
      <c r="I3" s="7" t="s">
        <v>26</v>
      </c>
    </row>
    <row r="4" spans="1:9" ht="63.75" x14ac:dyDescent="0.25">
      <c r="A4" s="163"/>
      <c r="B4" s="8" t="s">
        <v>212</v>
      </c>
      <c r="C4" s="8" t="s">
        <v>89</v>
      </c>
      <c r="D4" s="8" t="s">
        <v>208</v>
      </c>
      <c r="E4" s="8" t="s">
        <v>209</v>
      </c>
      <c r="F4" s="8" t="s">
        <v>91</v>
      </c>
      <c r="G4" s="8" t="s">
        <v>92</v>
      </c>
      <c r="H4" s="8" t="s">
        <v>93</v>
      </c>
      <c r="I4" s="8" t="s">
        <v>223</v>
      </c>
    </row>
    <row r="5" spans="1:9" ht="15" customHeight="1" x14ac:dyDescent="0.25">
      <c r="A5" s="9" t="s">
        <v>97</v>
      </c>
      <c r="B5" s="10" t="s">
        <v>98</v>
      </c>
      <c r="C5" s="10"/>
      <c r="D5" s="10"/>
      <c r="E5" s="10"/>
      <c r="F5" s="10"/>
      <c r="G5" s="10"/>
      <c r="H5" s="10"/>
      <c r="I5" s="39"/>
    </row>
    <row r="6" spans="1:9" ht="15" customHeight="1" x14ac:dyDescent="0.25">
      <c r="A6" s="9" t="s">
        <v>99</v>
      </c>
      <c r="B6" s="10" t="s">
        <v>98</v>
      </c>
      <c r="C6" s="10"/>
      <c r="D6" s="10"/>
      <c r="E6" s="10"/>
      <c r="F6" s="10"/>
      <c r="G6" s="10"/>
      <c r="H6" s="10"/>
      <c r="I6" s="39"/>
    </row>
    <row r="7" spans="1:9" ht="15" customHeight="1" x14ac:dyDescent="0.25">
      <c r="A7" s="9" t="s">
        <v>263</v>
      </c>
      <c r="B7" s="10"/>
      <c r="C7" s="10"/>
      <c r="D7" s="10"/>
      <c r="E7" s="10"/>
      <c r="F7" s="10"/>
      <c r="G7" s="10"/>
      <c r="H7" s="10"/>
      <c r="I7" s="39"/>
    </row>
    <row r="8" spans="1:9" ht="15.75" x14ac:dyDescent="0.25">
      <c r="A8" s="11" t="s">
        <v>278</v>
      </c>
      <c r="B8" s="10">
        <v>1</v>
      </c>
      <c r="C8" s="10">
        <v>1</v>
      </c>
      <c r="D8" s="10">
        <f>+B8*C8</f>
        <v>1</v>
      </c>
      <c r="E8" s="10">
        <f>'Number of Respondents'!C54</f>
        <v>4</v>
      </c>
      <c r="F8" s="10">
        <f>+D8*E8</f>
        <v>4</v>
      </c>
      <c r="G8" s="10">
        <f>+F8*0.05</f>
        <v>0.2</v>
      </c>
      <c r="H8" s="10">
        <f>+F8*0.1</f>
        <v>0.4</v>
      </c>
      <c r="I8" s="129">
        <f>+$F$2*F8+$G$2*G8+$H$2*H8</f>
        <v>580.03800000000001</v>
      </c>
    </row>
    <row r="9" spans="1:9" ht="15" customHeight="1" x14ac:dyDescent="0.25">
      <c r="A9" s="11" t="s">
        <v>102</v>
      </c>
      <c r="B9" s="10"/>
      <c r="C9" s="10"/>
      <c r="D9" s="10"/>
      <c r="E9" s="10"/>
      <c r="F9" s="10"/>
      <c r="G9" s="10"/>
      <c r="H9" s="10"/>
      <c r="I9" s="39"/>
    </row>
    <row r="10" spans="1:9" ht="15" customHeight="1" x14ac:dyDescent="0.25">
      <c r="A10" s="58" t="s">
        <v>183</v>
      </c>
      <c r="B10" s="10" t="s">
        <v>98</v>
      </c>
      <c r="C10" s="10"/>
      <c r="D10" s="10"/>
      <c r="E10" s="10"/>
      <c r="F10" s="10"/>
      <c r="G10" s="10"/>
      <c r="H10" s="10"/>
      <c r="I10" s="39"/>
    </row>
    <row r="11" spans="1:9" ht="15" customHeight="1" x14ac:dyDescent="0.25">
      <c r="A11" s="11" t="s">
        <v>103</v>
      </c>
      <c r="B11" s="10"/>
      <c r="C11" s="10"/>
      <c r="D11" s="10"/>
      <c r="E11" s="10"/>
      <c r="F11" s="10"/>
      <c r="G11" s="10"/>
      <c r="H11" s="10"/>
      <c r="I11" s="39"/>
    </row>
    <row r="12" spans="1:9" x14ac:dyDescent="0.25">
      <c r="A12" s="58" t="s">
        <v>177</v>
      </c>
      <c r="B12" s="10">
        <v>8</v>
      </c>
      <c r="C12" s="10">
        <v>1</v>
      </c>
      <c r="D12" s="10">
        <f>+B12*C12</f>
        <v>8</v>
      </c>
      <c r="E12" s="10">
        <f>'Number of Respondents'!C54</f>
        <v>4</v>
      </c>
      <c r="F12" s="10">
        <f>+D12*E12</f>
        <v>32</v>
      </c>
      <c r="G12" s="10">
        <f>+F12*0.05</f>
        <v>1.6</v>
      </c>
      <c r="H12" s="10">
        <f>+F12*0.1</f>
        <v>3.2</v>
      </c>
      <c r="I12" s="12">
        <f>+$F$2*F12+$G$2*G12+$H$2*H12</f>
        <v>4640.3040000000001</v>
      </c>
    </row>
    <row r="13" spans="1:9" ht="15" customHeight="1" x14ac:dyDescent="0.25">
      <c r="A13" s="11" t="s">
        <v>104</v>
      </c>
      <c r="B13" s="10" t="s">
        <v>361</v>
      </c>
      <c r="C13" s="10"/>
      <c r="D13" s="10"/>
      <c r="E13" s="10"/>
      <c r="F13" s="10"/>
      <c r="G13" s="10"/>
      <c r="H13" s="10"/>
      <c r="I13" s="39"/>
    </row>
    <row r="14" spans="1:9" ht="15" customHeight="1" x14ac:dyDescent="0.25">
      <c r="A14" s="11" t="s">
        <v>268</v>
      </c>
      <c r="B14" s="10"/>
      <c r="C14" s="10"/>
      <c r="D14" s="10"/>
      <c r="E14" s="10"/>
      <c r="F14" s="10"/>
      <c r="G14" s="10"/>
      <c r="H14" s="10"/>
      <c r="I14" s="39"/>
    </row>
    <row r="15" spans="1:9" ht="15" customHeight="1" x14ac:dyDescent="0.25">
      <c r="A15" s="58" t="s">
        <v>362</v>
      </c>
      <c r="B15" s="10" t="s">
        <v>242</v>
      </c>
      <c r="C15" s="10"/>
      <c r="D15" s="10"/>
      <c r="E15" s="10"/>
      <c r="F15" s="10"/>
      <c r="G15" s="10"/>
      <c r="H15" s="10"/>
      <c r="I15" s="39"/>
    </row>
    <row r="16" spans="1:9" ht="15" customHeight="1" x14ac:dyDescent="0.25">
      <c r="A16" s="58" t="s">
        <v>170</v>
      </c>
      <c r="B16" s="10" t="s">
        <v>242</v>
      </c>
      <c r="C16" s="10"/>
      <c r="D16" s="10"/>
      <c r="E16" s="10"/>
      <c r="F16" s="10"/>
      <c r="G16" s="10"/>
      <c r="H16" s="10"/>
      <c r="I16" s="39"/>
    </row>
    <row r="17" spans="1:10" ht="19.5" customHeight="1" x14ac:dyDescent="0.25">
      <c r="A17" s="58" t="s">
        <v>147</v>
      </c>
      <c r="B17" s="10" t="s">
        <v>242</v>
      </c>
      <c r="C17" s="10"/>
      <c r="D17" s="10"/>
      <c r="E17" s="10"/>
      <c r="F17" s="10"/>
      <c r="G17" s="10"/>
      <c r="H17" s="10"/>
      <c r="I17" s="39"/>
    </row>
    <row r="18" spans="1:10" ht="15" customHeight="1" x14ac:dyDescent="0.25">
      <c r="A18" s="58" t="s">
        <v>171</v>
      </c>
      <c r="B18" s="10" t="s">
        <v>98</v>
      </c>
      <c r="C18" s="10"/>
      <c r="D18" s="10"/>
      <c r="E18" s="10"/>
      <c r="F18" s="10"/>
      <c r="G18" s="10"/>
      <c r="H18" s="10"/>
      <c r="I18" s="39"/>
    </row>
    <row r="19" spans="1:10" ht="15" customHeight="1" x14ac:dyDescent="0.25">
      <c r="A19" s="58" t="s">
        <v>172</v>
      </c>
      <c r="B19" s="10" t="s">
        <v>98</v>
      </c>
      <c r="C19" s="10"/>
      <c r="D19" s="10"/>
      <c r="E19" s="10"/>
      <c r="F19" s="10"/>
      <c r="G19" s="10"/>
      <c r="H19" s="10"/>
      <c r="I19" s="39"/>
    </row>
    <row r="20" spans="1:10" ht="15.75" x14ac:dyDescent="0.25">
      <c r="A20" s="58" t="s">
        <v>368</v>
      </c>
      <c r="B20" s="10">
        <v>2</v>
      </c>
      <c r="C20" s="10">
        <v>1</v>
      </c>
      <c r="D20" s="10">
        <f t="shared" ref="D20:D29" si="0">+B20*C20</f>
        <v>2</v>
      </c>
      <c r="E20" s="10">
        <v>0</v>
      </c>
      <c r="F20" s="10">
        <f>+D20*E20</f>
        <v>0</v>
      </c>
      <c r="G20" s="10">
        <f>+F20*0.05</f>
        <v>0</v>
      </c>
      <c r="H20" s="10">
        <f>+F20*0.1</f>
        <v>0</v>
      </c>
      <c r="I20" s="53">
        <f>+$F$2*F20+$G$2*G20+$H$2*H20</f>
        <v>0</v>
      </c>
    </row>
    <row r="21" spans="1:10" ht="15" customHeight="1" x14ac:dyDescent="0.25">
      <c r="A21" s="58" t="s">
        <v>180</v>
      </c>
      <c r="B21" s="10">
        <v>2</v>
      </c>
      <c r="C21" s="10">
        <v>2</v>
      </c>
      <c r="D21" s="10">
        <f t="shared" si="0"/>
        <v>4</v>
      </c>
      <c r="E21" s="10">
        <f>'Number of Respondents'!C54</f>
        <v>4</v>
      </c>
      <c r="F21" s="10">
        <f t="shared" ref="F21:F22" si="1">+D21*E21</f>
        <v>16</v>
      </c>
      <c r="G21" s="10">
        <f t="shared" ref="G21:G22" si="2">+F21*0.05</f>
        <v>0.8</v>
      </c>
      <c r="H21" s="10">
        <f t="shared" ref="H21:H22" si="3">+F21*0.1</f>
        <v>1.6</v>
      </c>
      <c r="I21" s="12">
        <f t="shared" ref="I21:I22" si="4">+$F$2*F21+$G$2*G21+$H$2*H21</f>
        <v>2320.152</v>
      </c>
    </row>
    <row r="22" spans="1:10" ht="15" customHeight="1" x14ac:dyDescent="0.25">
      <c r="A22" s="58" t="s">
        <v>369</v>
      </c>
      <c r="B22" s="10">
        <v>2</v>
      </c>
      <c r="C22" s="10">
        <v>1</v>
      </c>
      <c r="D22" s="10">
        <f t="shared" si="0"/>
        <v>2</v>
      </c>
      <c r="E22" s="32">
        <f>E21*0.02</f>
        <v>0.08</v>
      </c>
      <c r="F22" s="32">
        <f t="shared" si="1"/>
        <v>0.16</v>
      </c>
      <c r="G22" s="31">
        <f t="shared" si="2"/>
        <v>8.0000000000000002E-3</v>
      </c>
      <c r="H22" s="31">
        <f t="shared" si="3"/>
        <v>1.6E-2</v>
      </c>
      <c r="I22" s="12">
        <f t="shared" si="4"/>
        <v>23.201519999999999</v>
      </c>
      <c r="J22" s="82"/>
    </row>
    <row r="23" spans="1:10" ht="15.75" x14ac:dyDescent="0.25">
      <c r="A23" s="58" t="s">
        <v>370</v>
      </c>
      <c r="B23" s="10" t="s">
        <v>363</v>
      </c>
      <c r="C23" s="10"/>
      <c r="D23" s="10"/>
      <c r="E23" s="10"/>
      <c r="F23" s="9"/>
      <c r="G23" s="10"/>
      <c r="H23" s="10"/>
      <c r="I23" s="39"/>
    </row>
    <row r="24" spans="1:10" ht="15" customHeight="1" x14ac:dyDescent="0.25">
      <c r="A24" s="40" t="s">
        <v>106</v>
      </c>
      <c r="B24" s="8"/>
      <c r="C24" s="8"/>
      <c r="D24" s="10"/>
      <c r="E24" s="8"/>
      <c r="F24" s="186">
        <f>SUM(F5:H23)</f>
        <v>59.984000000000002</v>
      </c>
      <c r="G24" s="187"/>
      <c r="H24" s="188"/>
      <c r="I24" s="28">
        <f>SUM(I5:I23)</f>
        <v>7563.6955200000002</v>
      </c>
    </row>
    <row r="25" spans="1:10" ht="15" customHeight="1" x14ac:dyDescent="0.25">
      <c r="A25" s="9" t="s">
        <v>270</v>
      </c>
      <c r="B25" s="10"/>
      <c r="C25" s="10"/>
      <c r="D25" s="10"/>
      <c r="E25" s="10"/>
      <c r="F25" s="10"/>
      <c r="G25" s="10"/>
      <c r="H25" s="10"/>
      <c r="I25" s="39"/>
    </row>
    <row r="26" spans="1:10" ht="15" customHeight="1" x14ac:dyDescent="0.25">
      <c r="A26" s="11" t="s">
        <v>109</v>
      </c>
      <c r="B26" s="10" t="s">
        <v>279</v>
      </c>
      <c r="C26" s="10"/>
      <c r="D26" s="10"/>
      <c r="E26" s="10"/>
      <c r="F26" s="10"/>
      <c r="G26" s="10"/>
      <c r="H26" s="10"/>
      <c r="I26" s="39"/>
    </row>
    <row r="27" spans="1:10" ht="15" customHeight="1" x14ac:dyDescent="0.25">
      <c r="A27" s="11" t="s">
        <v>271</v>
      </c>
      <c r="B27" s="10" t="s">
        <v>321</v>
      </c>
      <c r="C27" s="10"/>
      <c r="D27" s="10"/>
      <c r="E27" s="10"/>
      <c r="F27" s="10"/>
      <c r="G27" s="10"/>
      <c r="H27" s="10"/>
      <c r="I27" s="39"/>
    </row>
    <row r="28" spans="1:10" ht="15" customHeight="1" x14ac:dyDescent="0.25">
      <c r="A28" s="11" t="s">
        <v>272</v>
      </c>
      <c r="B28" s="10"/>
      <c r="C28" s="10"/>
      <c r="D28" s="10"/>
      <c r="E28" s="10"/>
      <c r="F28" s="10"/>
      <c r="G28" s="10"/>
      <c r="H28" s="10"/>
      <c r="I28" s="39"/>
    </row>
    <row r="29" spans="1:10" ht="15" customHeight="1" x14ac:dyDescent="0.25">
      <c r="A29" s="58" t="s">
        <v>364</v>
      </c>
      <c r="B29" s="10">
        <v>2</v>
      </c>
      <c r="C29" s="10">
        <v>1</v>
      </c>
      <c r="D29" s="10">
        <f t="shared" si="0"/>
        <v>2</v>
      </c>
      <c r="E29" s="10">
        <f>'Number of Respondents'!C54</f>
        <v>4</v>
      </c>
      <c r="F29" s="10">
        <f t="shared" ref="F29" si="5">+D29*E29</f>
        <v>8</v>
      </c>
      <c r="G29" s="10">
        <f t="shared" ref="G29" si="6">+F29*0.05</f>
        <v>0.4</v>
      </c>
      <c r="H29" s="10">
        <f t="shared" ref="H29" si="7">+F29*0.1</f>
        <v>0.8</v>
      </c>
      <c r="I29" s="12">
        <f t="shared" ref="I29" si="8">+$F$2*F29+$G$2*G29+$H$2*H29</f>
        <v>1160.076</v>
      </c>
    </row>
    <row r="30" spans="1:10" ht="15" customHeight="1" x14ac:dyDescent="0.25">
      <c r="A30" s="11" t="s">
        <v>353</v>
      </c>
      <c r="B30" s="10" t="s">
        <v>321</v>
      </c>
      <c r="C30" s="10"/>
      <c r="D30" s="10"/>
      <c r="E30" s="10"/>
      <c r="F30" s="10"/>
      <c r="G30" s="10"/>
      <c r="H30" s="10"/>
      <c r="I30" s="39"/>
    </row>
    <row r="31" spans="1:10" ht="15" customHeight="1" x14ac:dyDescent="0.25">
      <c r="A31" s="11" t="s">
        <v>354</v>
      </c>
      <c r="B31" s="10" t="s">
        <v>321</v>
      </c>
      <c r="C31" s="10"/>
      <c r="D31" s="10"/>
      <c r="E31" s="10"/>
      <c r="F31" s="10"/>
      <c r="G31" s="10"/>
      <c r="H31" s="10"/>
      <c r="I31" s="39"/>
    </row>
    <row r="32" spans="1:10" ht="15" customHeight="1" x14ac:dyDescent="0.25">
      <c r="A32" s="11" t="s">
        <v>323</v>
      </c>
      <c r="B32" s="10" t="s">
        <v>98</v>
      </c>
      <c r="C32" s="10"/>
      <c r="D32" s="10"/>
      <c r="E32" s="10"/>
      <c r="F32" s="10"/>
      <c r="G32" s="10"/>
      <c r="H32" s="10"/>
      <c r="I32" s="39"/>
    </row>
    <row r="33" spans="1:9" ht="15" customHeight="1" x14ac:dyDescent="0.25">
      <c r="A33" s="11" t="s">
        <v>324</v>
      </c>
      <c r="B33" s="10" t="s">
        <v>98</v>
      </c>
      <c r="C33" s="10"/>
      <c r="D33" s="10"/>
      <c r="E33" s="10"/>
      <c r="F33" s="10"/>
      <c r="G33" s="10"/>
      <c r="H33" s="10"/>
      <c r="I33" s="39"/>
    </row>
    <row r="34" spans="1:9" ht="15" customHeight="1" x14ac:dyDescent="0.25">
      <c r="A34" s="40" t="s">
        <v>107</v>
      </c>
      <c r="B34" s="8"/>
      <c r="C34" s="8"/>
      <c r="D34" s="14"/>
      <c r="E34" s="8"/>
      <c r="F34" s="186">
        <f>SUM(F25:H33)</f>
        <v>9.2000000000000011</v>
      </c>
      <c r="G34" s="187"/>
      <c r="H34" s="188"/>
      <c r="I34" s="28">
        <v>900</v>
      </c>
    </row>
    <row r="35" spans="1:9" ht="15" customHeight="1" x14ac:dyDescent="0.25">
      <c r="A35" s="14" t="s">
        <v>461</v>
      </c>
      <c r="B35" s="14"/>
      <c r="C35" s="14"/>
      <c r="D35" s="14"/>
      <c r="E35" s="14"/>
      <c r="F35" s="186">
        <f>ROUND(F24+F34,0)</f>
        <v>69</v>
      </c>
      <c r="G35" s="180"/>
      <c r="H35" s="181"/>
      <c r="I35" s="28">
        <f>+ROUND(I24+I34,-1)</f>
        <v>8460</v>
      </c>
    </row>
    <row r="36" spans="1:9" ht="15.75" x14ac:dyDescent="0.25">
      <c r="A36" s="14" t="s">
        <v>336</v>
      </c>
      <c r="B36" s="14"/>
      <c r="C36" s="14"/>
      <c r="D36" s="14"/>
      <c r="E36" s="14"/>
      <c r="F36" s="54"/>
      <c r="G36" s="54"/>
      <c r="H36" s="54"/>
      <c r="I36" s="28">
        <f>'Capital and O&amp;M Costs'!G24</f>
        <v>0</v>
      </c>
    </row>
    <row r="37" spans="1:9" ht="15.75" x14ac:dyDescent="0.25">
      <c r="A37" s="14" t="s">
        <v>337</v>
      </c>
      <c r="B37" s="14"/>
      <c r="C37" s="14"/>
      <c r="D37" s="14"/>
      <c r="E37" s="14"/>
      <c r="F37" s="54"/>
      <c r="G37" s="54"/>
      <c r="H37" s="54"/>
      <c r="I37" s="28">
        <f>ROUND(I35+I36,-1)</f>
        <v>8460</v>
      </c>
    </row>
    <row r="39" spans="1:9" x14ac:dyDescent="0.25">
      <c r="A39" s="25" t="s">
        <v>27</v>
      </c>
    </row>
    <row r="40" spans="1:9" ht="15.75" x14ac:dyDescent="0.25">
      <c r="A40" s="172" t="s">
        <v>247</v>
      </c>
      <c r="B40" s="172"/>
      <c r="C40" s="172"/>
      <c r="D40" s="172"/>
      <c r="E40" s="172"/>
      <c r="F40" s="172"/>
      <c r="G40" s="172"/>
      <c r="H40" s="172"/>
      <c r="I40" s="172"/>
    </row>
    <row r="41" spans="1:9" ht="49.5" customHeight="1" x14ac:dyDescent="0.25">
      <c r="A41" s="172" t="s">
        <v>530</v>
      </c>
      <c r="B41" s="172"/>
      <c r="C41" s="172"/>
      <c r="D41" s="172"/>
      <c r="E41" s="172"/>
      <c r="F41" s="172"/>
      <c r="G41" s="172"/>
      <c r="H41" s="172"/>
      <c r="I41" s="172"/>
    </row>
    <row r="42" spans="1:9" ht="18.75" customHeight="1" x14ac:dyDescent="0.25">
      <c r="A42" s="161" t="s">
        <v>426</v>
      </c>
      <c r="B42" s="161"/>
      <c r="C42" s="161"/>
      <c r="D42" s="161"/>
      <c r="E42" s="161"/>
      <c r="F42" s="161"/>
      <c r="G42" s="161"/>
      <c r="H42" s="161"/>
      <c r="I42" s="161"/>
    </row>
    <row r="43" spans="1:9" ht="18.75" customHeight="1" x14ac:dyDescent="0.25">
      <c r="A43" s="172" t="s">
        <v>365</v>
      </c>
      <c r="B43" s="172"/>
      <c r="C43" s="172"/>
      <c r="D43" s="172"/>
      <c r="E43" s="172"/>
      <c r="F43" s="172"/>
      <c r="G43" s="172"/>
      <c r="H43" s="172"/>
      <c r="I43" s="172"/>
    </row>
    <row r="44" spans="1:9" ht="18.75" customHeight="1" x14ac:dyDescent="0.25">
      <c r="A44" s="172" t="s">
        <v>366</v>
      </c>
      <c r="B44" s="172"/>
      <c r="C44" s="172"/>
      <c r="D44" s="172"/>
      <c r="E44" s="172"/>
      <c r="F44" s="172"/>
      <c r="G44" s="172"/>
      <c r="H44" s="172"/>
      <c r="I44" s="172"/>
    </row>
    <row r="45" spans="1:9" ht="18.75" customHeight="1" x14ac:dyDescent="0.25">
      <c r="A45" s="172" t="s">
        <v>367</v>
      </c>
      <c r="B45" s="172"/>
      <c r="C45" s="172"/>
      <c r="D45" s="172"/>
      <c r="E45" s="172"/>
      <c r="F45" s="172"/>
      <c r="G45" s="172"/>
      <c r="H45" s="172"/>
      <c r="I45" s="172"/>
    </row>
    <row r="46" spans="1:9" ht="18.75" customHeight="1" x14ac:dyDescent="0.25">
      <c r="A46" s="161" t="s">
        <v>339</v>
      </c>
      <c r="B46" s="161"/>
      <c r="C46" s="161"/>
      <c r="D46" s="161"/>
      <c r="E46" s="161"/>
      <c r="F46" s="161"/>
      <c r="G46" s="161"/>
      <c r="H46" s="161"/>
      <c r="I46" s="161"/>
    </row>
  </sheetData>
  <mergeCells count="11">
    <mergeCell ref="F35:H35"/>
    <mergeCell ref="F34:H34"/>
    <mergeCell ref="F24:H24"/>
    <mergeCell ref="A3:A4"/>
    <mergeCell ref="A40:I40"/>
    <mergeCell ref="A46:I46"/>
    <mergeCell ref="A41:I41"/>
    <mergeCell ref="A42:I42"/>
    <mergeCell ref="A43:I43"/>
    <mergeCell ref="A44:I44"/>
    <mergeCell ref="A45:I4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47"/>
  <sheetViews>
    <sheetView zoomScale="85" zoomScaleNormal="85" workbookViewId="0">
      <selection activeCell="A2" sqref="A2"/>
    </sheetView>
  </sheetViews>
  <sheetFormatPr defaultRowHeight="15" x14ac:dyDescent="0.25"/>
  <cols>
    <col min="1" max="1" width="55.140625" customWidth="1"/>
    <col min="2" max="2" width="11.5703125" customWidth="1"/>
    <col min="3" max="3" width="11.28515625" customWidth="1"/>
    <col min="4" max="4" width="11.5703125" customWidth="1"/>
    <col min="5" max="5" width="13.28515625" customWidth="1"/>
    <col min="6" max="6" width="10.28515625" customWidth="1"/>
    <col min="7" max="7" width="13.140625" customWidth="1"/>
    <col min="8" max="8" width="11" customWidth="1"/>
    <col min="9" max="9" width="13.85546875" customWidth="1"/>
  </cols>
  <sheetData>
    <row r="1" spans="1:10" ht="15.75" x14ac:dyDescent="0.25">
      <c r="A1" s="43" t="s">
        <v>371</v>
      </c>
    </row>
    <row r="2" spans="1:10" x14ac:dyDescent="0.25">
      <c r="F2" s="86">
        <f>Labor!$A$5</f>
        <v>130.28</v>
      </c>
      <c r="G2" s="86">
        <f>Labor!$B$5</f>
        <v>163.16999999999999</v>
      </c>
      <c r="H2" s="86">
        <f>Labor!$C$5</f>
        <v>65.709999999999994</v>
      </c>
      <c r="I2" s="86"/>
    </row>
    <row r="3" spans="1:10" ht="15" customHeight="1" x14ac:dyDescent="0.25">
      <c r="A3" s="162" t="s">
        <v>11</v>
      </c>
      <c r="B3" s="7" t="s">
        <v>19</v>
      </c>
      <c r="C3" s="7" t="s">
        <v>20</v>
      </c>
      <c r="D3" s="7" t="s">
        <v>21</v>
      </c>
      <c r="E3" s="7" t="s">
        <v>22</v>
      </c>
      <c r="F3" s="21" t="s">
        <v>23</v>
      </c>
      <c r="G3" s="7" t="s">
        <v>24</v>
      </c>
      <c r="H3" s="7" t="s">
        <v>25</v>
      </c>
      <c r="I3" s="7" t="s">
        <v>26</v>
      </c>
    </row>
    <row r="4" spans="1:10" ht="63.75" x14ac:dyDescent="0.25">
      <c r="A4" s="163"/>
      <c r="B4" s="8" t="s">
        <v>212</v>
      </c>
      <c r="C4" s="8" t="s">
        <v>89</v>
      </c>
      <c r="D4" s="8" t="s">
        <v>208</v>
      </c>
      <c r="E4" s="8" t="s">
        <v>209</v>
      </c>
      <c r="F4" s="8" t="s">
        <v>91</v>
      </c>
      <c r="G4" s="8" t="s">
        <v>92</v>
      </c>
      <c r="H4" s="8" t="s">
        <v>93</v>
      </c>
      <c r="I4" s="8" t="s">
        <v>223</v>
      </c>
    </row>
    <row r="5" spans="1:10" ht="15" customHeight="1" x14ac:dyDescent="0.25">
      <c r="A5" s="9" t="s">
        <v>97</v>
      </c>
      <c r="B5" s="10" t="s">
        <v>98</v>
      </c>
      <c r="C5" s="10"/>
      <c r="D5" s="10"/>
      <c r="E5" s="10"/>
      <c r="F5" s="10"/>
      <c r="G5" s="10"/>
      <c r="H5" s="10"/>
      <c r="I5" s="39"/>
    </row>
    <row r="6" spans="1:10" ht="15" customHeight="1" x14ac:dyDescent="0.25">
      <c r="A6" s="9" t="s">
        <v>99</v>
      </c>
      <c r="B6" s="10" t="s">
        <v>98</v>
      </c>
      <c r="C6" s="10"/>
      <c r="D6" s="10"/>
      <c r="E6" s="10"/>
      <c r="F6" s="10"/>
      <c r="G6" s="10"/>
      <c r="H6" s="10"/>
      <c r="I6" s="39"/>
    </row>
    <row r="7" spans="1:10" ht="15" customHeight="1" x14ac:dyDescent="0.25">
      <c r="A7" s="9" t="s">
        <v>263</v>
      </c>
      <c r="B7" s="10"/>
      <c r="C7" s="10"/>
      <c r="D7" s="10"/>
      <c r="E7" s="10"/>
      <c r="F7" s="10"/>
      <c r="G7" s="10"/>
      <c r="H7" s="10"/>
      <c r="I7" s="39"/>
    </row>
    <row r="8" spans="1:10" ht="15" customHeight="1" x14ac:dyDescent="0.25">
      <c r="A8" s="11" t="s">
        <v>278</v>
      </c>
      <c r="B8" s="10">
        <v>1</v>
      </c>
      <c r="C8" s="10">
        <v>1</v>
      </c>
      <c r="D8" s="10">
        <f>+B8*C8</f>
        <v>1</v>
      </c>
      <c r="E8" s="10">
        <f>'Number of Respondents'!B59+'Number of Respondents'!C59</f>
        <v>67</v>
      </c>
      <c r="F8" s="10">
        <f>+D8*E8</f>
        <v>67</v>
      </c>
      <c r="G8" s="32">
        <f>+F8*0.05</f>
        <v>3.35</v>
      </c>
      <c r="H8" s="10">
        <f>+F8*0.1</f>
        <v>6.7</v>
      </c>
      <c r="I8" s="12">
        <f>+$F$2*F8+$G$2*G8+$H$2*H8</f>
        <v>9715.6365000000005</v>
      </c>
    </row>
    <row r="9" spans="1:10" ht="15" customHeight="1" x14ac:dyDescent="0.25">
      <c r="A9" s="11" t="s">
        <v>102</v>
      </c>
      <c r="B9" s="10"/>
      <c r="C9" s="10"/>
      <c r="D9" s="10"/>
      <c r="E9" s="10"/>
      <c r="F9" s="10"/>
      <c r="G9" s="10"/>
      <c r="H9" s="10"/>
      <c r="I9" s="39"/>
    </row>
    <row r="10" spans="1:10" ht="15" customHeight="1" x14ac:dyDescent="0.25">
      <c r="A10" s="58" t="s">
        <v>183</v>
      </c>
      <c r="B10" s="10">
        <v>20</v>
      </c>
      <c r="C10" s="10">
        <v>1</v>
      </c>
      <c r="D10" s="10">
        <f t="shared" ref="D10:D33" si="0">+B10*C10</f>
        <v>20</v>
      </c>
      <c r="E10" s="10">
        <f>'Number of Respondents'!B59</f>
        <v>0</v>
      </c>
      <c r="F10" s="10">
        <f t="shared" ref="F10:F23" si="1">+D10*E10</f>
        <v>0</v>
      </c>
      <c r="G10" s="10">
        <f t="shared" ref="G10:G23" si="2">+F10*0.05</f>
        <v>0</v>
      </c>
      <c r="H10" s="10">
        <f t="shared" ref="H10:H23" si="3">+F10*0.1</f>
        <v>0</v>
      </c>
      <c r="I10" s="53">
        <f t="shared" ref="I10:I23" si="4">+$F$2*F10+$G$2*G10+$H$2*H10</f>
        <v>0</v>
      </c>
      <c r="J10" s="82"/>
    </row>
    <row r="11" spans="1:10" ht="15" customHeight="1" x14ac:dyDescent="0.25">
      <c r="A11" s="58" t="s">
        <v>184</v>
      </c>
      <c r="B11" s="10">
        <v>4</v>
      </c>
      <c r="C11" s="10">
        <v>1</v>
      </c>
      <c r="D11" s="10">
        <f t="shared" si="0"/>
        <v>4</v>
      </c>
      <c r="E11" s="10">
        <f>'Number of Respondents'!B59</f>
        <v>0</v>
      </c>
      <c r="F11" s="10">
        <f t="shared" si="1"/>
        <v>0</v>
      </c>
      <c r="G11" s="10">
        <f t="shared" si="2"/>
        <v>0</v>
      </c>
      <c r="H11" s="10">
        <f t="shared" si="3"/>
        <v>0</v>
      </c>
      <c r="I11" s="53">
        <f t="shared" si="4"/>
        <v>0</v>
      </c>
    </row>
    <row r="12" spans="1:10" ht="15" customHeight="1" x14ac:dyDescent="0.25">
      <c r="A12" s="58" t="s">
        <v>374</v>
      </c>
      <c r="B12" s="10">
        <v>20</v>
      </c>
      <c r="C12" s="10">
        <v>1</v>
      </c>
      <c r="D12" s="10">
        <f t="shared" si="0"/>
        <v>20</v>
      </c>
      <c r="E12" s="10">
        <f>E11*0.2</f>
        <v>0</v>
      </c>
      <c r="F12" s="10">
        <f t="shared" si="1"/>
        <v>0</v>
      </c>
      <c r="G12" s="10">
        <f t="shared" si="2"/>
        <v>0</v>
      </c>
      <c r="H12" s="10">
        <f t="shared" si="3"/>
        <v>0</v>
      </c>
      <c r="I12" s="53">
        <f t="shared" si="4"/>
        <v>0</v>
      </c>
    </row>
    <row r="13" spans="1:10" ht="15" customHeight="1" x14ac:dyDescent="0.25">
      <c r="A13" s="11" t="s">
        <v>103</v>
      </c>
      <c r="B13" s="10" t="s">
        <v>264</v>
      </c>
      <c r="C13" s="10"/>
      <c r="D13" s="10"/>
      <c r="E13" s="10"/>
      <c r="F13" s="10"/>
      <c r="G13" s="10"/>
      <c r="H13" s="10"/>
      <c r="I13" s="53"/>
    </row>
    <row r="14" spans="1:10" ht="15" customHeight="1" x14ac:dyDescent="0.25">
      <c r="A14" s="11" t="s">
        <v>104</v>
      </c>
      <c r="B14" s="10" t="s">
        <v>264</v>
      </c>
      <c r="C14" s="10"/>
      <c r="D14" s="10"/>
      <c r="E14" s="10"/>
      <c r="F14" s="10"/>
      <c r="G14" s="10"/>
      <c r="H14" s="10"/>
      <c r="I14" s="53"/>
    </row>
    <row r="15" spans="1:10" ht="15" customHeight="1" x14ac:dyDescent="0.25">
      <c r="A15" s="11" t="s">
        <v>268</v>
      </c>
      <c r="B15" s="10"/>
      <c r="C15" s="10"/>
      <c r="D15" s="10"/>
      <c r="E15" s="10"/>
      <c r="F15" s="10"/>
      <c r="G15" s="10"/>
      <c r="H15" s="10"/>
      <c r="I15" s="53"/>
    </row>
    <row r="16" spans="1:10" ht="15" customHeight="1" x14ac:dyDescent="0.25">
      <c r="A16" s="58" t="s">
        <v>178</v>
      </c>
      <c r="B16" s="10">
        <v>2</v>
      </c>
      <c r="C16" s="10">
        <v>1</v>
      </c>
      <c r="D16" s="10">
        <f t="shared" si="0"/>
        <v>2</v>
      </c>
      <c r="E16" s="10">
        <f>E$10</f>
        <v>0</v>
      </c>
      <c r="F16" s="10">
        <f t="shared" si="1"/>
        <v>0</v>
      </c>
      <c r="G16" s="10">
        <f t="shared" si="2"/>
        <v>0</v>
      </c>
      <c r="H16" s="10">
        <f t="shared" si="3"/>
        <v>0</v>
      </c>
      <c r="I16" s="53">
        <f t="shared" si="4"/>
        <v>0</v>
      </c>
    </row>
    <row r="17" spans="1:9" ht="15" customHeight="1" x14ac:dyDescent="0.25">
      <c r="A17" s="58" t="s">
        <v>170</v>
      </c>
      <c r="B17" s="10">
        <v>2</v>
      </c>
      <c r="C17" s="10">
        <v>1</v>
      </c>
      <c r="D17" s="10">
        <f t="shared" si="0"/>
        <v>2</v>
      </c>
      <c r="E17" s="10">
        <f t="shared" ref="E17:E18" si="5">E$10</f>
        <v>0</v>
      </c>
      <c r="F17" s="10">
        <f t="shared" si="1"/>
        <v>0</v>
      </c>
      <c r="G17" s="10">
        <f t="shared" si="2"/>
        <v>0</v>
      </c>
      <c r="H17" s="10">
        <f t="shared" si="3"/>
        <v>0</v>
      </c>
      <c r="I17" s="53">
        <f t="shared" si="4"/>
        <v>0</v>
      </c>
    </row>
    <row r="18" spans="1:9" ht="15" customHeight="1" x14ac:dyDescent="0.25">
      <c r="A18" s="58" t="s">
        <v>147</v>
      </c>
      <c r="B18" s="10">
        <v>2</v>
      </c>
      <c r="C18" s="10">
        <v>1</v>
      </c>
      <c r="D18" s="10">
        <f t="shared" si="0"/>
        <v>2</v>
      </c>
      <c r="E18" s="10">
        <f t="shared" si="5"/>
        <v>0</v>
      </c>
      <c r="F18" s="10">
        <f t="shared" si="1"/>
        <v>0</v>
      </c>
      <c r="G18" s="10">
        <f t="shared" si="2"/>
        <v>0</v>
      </c>
      <c r="H18" s="10">
        <f t="shared" si="3"/>
        <v>0</v>
      </c>
      <c r="I18" s="53">
        <f t="shared" si="4"/>
        <v>0</v>
      </c>
    </row>
    <row r="19" spans="1:9" ht="15" customHeight="1" x14ac:dyDescent="0.25">
      <c r="A19" s="58" t="s">
        <v>333</v>
      </c>
      <c r="B19" s="10">
        <v>2</v>
      </c>
      <c r="C19" s="10">
        <v>1</v>
      </c>
      <c r="D19" s="10">
        <f t="shared" si="0"/>
        <v>2</v>
      </c>
      <c r="E19" s="10">
        <f>E10+E12</f>
        <v>0</v>
      </c>
      <c r="F19" s="10">
        <f t="shared" si="1"/>
        <v>0</v>
      </c>
      <c r="G19" s="32">
        <f t="shared" si="2"/>
        <v>0</v>
      </c>
      <c r="H19" s="32">
        <f t="shared" si="3"/>
        <v>0</v>
      </c>
      <c r="I19" s="53">
        <f t="shared" si="4"/>
        <v>0</v>
      </c>
    </row>
    <row r="20" spans="1:9" ht="15" customHeight="1" x14ac:dyDescent="0.25">
      <c r="A20" s="58" t="s">
        <v>174</v>
      </c>
      <c r="B20" s="10" t="s">
        <v>264</v>
      </c>
      <c r="C20" s="10"/>
      <c r="D20" s="10"/>
      <c r="E20" s="10"/>
      <c r="F20" s="10"/>
      <c r="G20" s="10"/>
      <c r="H20" s="10"/>
      <c r="I20" s="53"/>
    </row>
    <row r="21" spans="1:9" ht="15" customHeight="1" x14ac:dyDescent="0.25">
      <c r="A21" s="58" t="s">
        <v>185</v>
      </c>
      <c r="B21" s="10">
        <v>10</v>
      </c>
      <c r="C21" s="10">
        <v>1</v>
      </c>
      <c r="D21" s="10">
        <f t="shared" si="0"/>
        <v>10</v>
      </c>
      <c r="E21" s="10">
        <f>E10*0.25</f>
        <v>0</v>
      </c>
      <c r="F21" s="10">
        <f t="shared" si="1"/>
        <v>0</v>
      </c>
      <c r="G21" s="10">
        <f t="shared" si="2"/>
        <v>0</v>
      </c>
      <c r="H21" s="10">
        <f t="shared" si="3"/>
        <v>0</v>
      </c>
      <c r="I21" s="53">
        <f t="shared" si="4"/>
        <v>0</v>
      </c>
    </row>
    <row r="22" spans="1:9" ht="15" customHeight="1" x14ac:dyDescent="0.25">
      <c r="A22" s="58" t="s">
        <v>186</v>
      </c>
      <c r="B22" s="10">
        <v>8</v>
      </c>
      <c r="C22" s="10">
        <v>1</v>
      </c>
      <c r="D22" s="10">
        <f t="shared" si="0"/>
        <v>8</v>
      </c>
      <c r="E22" s="10">
        <f>E10</f>
        <v>0</v>
      </c>
      <c r="F22" s="10">
        <f t="shared" si="1"/>
        <v>0</v>
      </c>
      <c r="G22" s="10">
        <f t="shared" si="2"/>
        <v>0</v>
      </c>
      <c r="H22" s="10">
        <f t="shared" si="3"/>
        <v>0</v>
      </c>
      <c r="I22" s="53">
        <f t="shared" si="4"/>
        <v>0</v>
      </c>
    </row>
    <row r="23" spans="1:9" ht="15" customHeight="1" x14ac:dyDescent="0.25">
      <c r="A23" s="58" t="s">
        <v>164</v>
      </c>
      <c r="B23" s="10">
        <v>30</v>
      </c>
      <c r="C23" s="10">
        <v>2</v>
      </c>
      <c r="D23" s="10">
        <f t="shared" si="0"/>
        <v>60</v>
      </c>
      <c r="E23" s="10">
        <f>'Number of Respondents'!C59</f>
        <v>67</v>
      </c>
      <c r="F23" s="13">
        <f t="shared" si="1"/>
        <v>4020</v>
      </c>
      <c r="G23" s="10">
        <f t="shared" si="2"/>
        <v>201</v>
      </c>
      <c r="H23" s="10">
        <f t="shared" si="3"/>
        <v>402</v>
      </c>
      <c r="I23" s="12">
        <f t="shared" si="4"/>
        <v>582938.19000000006</v>
      </c>
    </row>
    <row r="24" spans="1:9" ht="15" customHeight="1" x14ac:dyDescent="0.25">
      <c r="A24" s="40" t="s">
        <v>106</v>
      </c>
      <c r="B24" s="8"/>
      <c r="C24" s="8"/>
      <c r="D24" s="10"/>
      <c r="E24" s="8"/>
      <c r="F24" s="177">
        <f>SUM(F5:H23)</f>
        <v>4700.05</v>
      </c>
      <c r="G24" s="177"/>
      <c r="H24" s="177"/>
      <c r="I24" s="28">
        <f>SUM(I5:I23)</f>
        <v>592653.82650000008</v>
      </c>
    </row>
    <row r="25" spans="1:9" ht="15" customHeight="1" x14ac:dyDescent="0.25">
      <c r="A25" s="9" t="s">
        <v>270</v>
      </c>
      <c r="B25" s="10"/>
      <c r="C25" s="10"/>
      <c r="D25" s="10"/>
      <c r="E25" s="10"/>
      <c r="F25" s="10"/>
      <c r="G25" s="10"/>
      <c r="H25" s="10"/>
      <c r="I25" s="39"/>
    </row>
    <row r="26" spans="1:9" ht="15" customHeight="1" x14ac:dyDescent="0.25">
      <c r="A26" s="11" t="s">
        <v>109</v>
      </c>
      <c r="B26" s="10" t="s">
        <v>279</v>
      </c>
      <c r="C26" s="10"/>
      <c r="D26" s="10"/>
      <c r="E26" s="10"/>
      <c r="F26" s="10"/>
      <c r="G26" s="10"/>
      <c r="H26" s="10"/>
      <c r="I26" s="39"/>
    </row>
    <row r="27" spans="1:9" ht="15" customHeight="1" x14ac:dyDescent="0.25">
      <c r="A27" s="11" t="s">
        <v>271</v>
      </c>
      <c r="B27" s="10" t="s">
        <v>321</v>
      </c>
      <c r="C27" s="10"/>
      <c r="D27" s="10"/>
      <c r="E27" s="10"/>
      <c r="F27" s="10"/>
      <c r="G27" s="10"/>
      <c r="H27" s="10"/>
      <c r="I27" s="39"/>
    </row>
    <row r="28" spans="1:9" ht="15" customHeight="1" x14ac:dyDescent="0.25">
      <c r="A28" s="11" t="s">
        <v>272</v>
      </c>
      <c r="B28" s="10" t="s">
        <v>264</v>
      </c>
      <c r="C28" s="10"/>
      <c r="D28" s="10"/>
      <c r="E28" s="10"/>
      <c r="F28" s="10"/>
      <c r="G28" s="10"/>
      <c r="H28" s="10"/>
      <c r="I28" s="39"/>
    </row>
    <row r="29" spans="1:9" ht="15" customHeight="1" x14ac:dyDescent="0.25">
      <c r="A29" s="11" t="s">
        <v>353</v>
      </c>
      <c r="B29" s="10" t="s">
        <v>98</v>
      </c>
      <c r="C29" s="10"/>
      <c r="D29" s="10"/>
      <c r="E29" s="10"/>
      <c r="F29" s="10"/>
      <c r="G29" s="10"/>
      <c r="H29" s="10"/>
      <c r="I29" s="39"/>
    </row>
    <row r="30" spans="1:9" ht="15" customHeight="1" x14ac:dyDescent="0.25">
      <c r="A30" s="11" t="s">
        <v>354</v>
      </c>
      <c r="B30" s="10"/>
      <c r="C30" s="10"/>
      <c r="D30" s="10"/>
      <c r="E30" s="10"/>
      <c r="F30" s="10"/>
      <c r="G30" s="10"/>
      <c r="H30" s="10"/>
      <c r="I30" s="39"/>
    </row>
    <row r="31" spans="1:9" ht="15" customHeight="1" x14ac:dyDescent="0.25">
      <c r="A31" s="58" t="s">
        <v>486</v>
      </c>
      <c r="B31" s="10">
        <v>1.5</v>
      </c>
      <c r="C31" s="10">
        <v>1</v>
      </c>
      <c r="D31" s="10">
        <f t="shared" si="0"/>
        <v>1.5</v>
      </c>
      <c r="E31" s="33">
        <f>ROUND(E23*0.03,0)</f>
        <v>2</v>
      </c>
      <c r="F31" s="10">
        <f t="shared" ref="F31" si="6">+D31*E31</f>
        <v>3</v>
      </c>
      <c r="G31" s="32">
        <f t="shared" ref="G31:G33" si="7">+F31*0.05</f>
        <v>0.15000000000000002</v>
      </c>
      <c r="H31" s="10">
        <f t="shared" ref="H31" si="8">+F31*0.1</f>
        <v>0.30000000000000004</v>
      </c>
      <c r="I31" s="12">
        <f t="shared" ref="I31" si="9">+$F$2*F31+$G$2*G31+$H$2*H31</f>
        <v>435.02850000000007</v>
      </c>
    </row>
    <row r="32" spans="1:9" ht="15" customHeight="1" x14ac:dyDescent="0.25">
      <c r="A32" s="58" t="s">
        <v>372</v>
      </c>
      <c r="B32" s="10">
        <v>0.1</v>
      </c>
      <c r="C32" s="10">
        <v>365</v>
      </c>
      <c r="D32" s="10">
        <f t="shared" si="0"/>
        <v>36.5</v>
      </c>
      <c r="E32" s="10">
        <f>E23</f>
        <v>67</v>
      </c>
      <c r="F32" s="13">
        <f t="shared" ref="F32:F33" si="10">+D32*E32</f>
        <v>2445.5</v>
      </c>
      <c r="G32" s="13">
        <f t="shared" si="7"/>
        <v>122.27500000000001</v>
      </c>
      <c r="H32" s="13">
        <f t="shared" ref="H32:H33" si="11">+F32*0.1</f>
        <v>244.55</v>
      </c>
      <c r="I32" s="12">
        <f t="shared" ref="I32:I33" si="12">+$F$2*F32+$G$2*G32+$H$2*H32</f>
        <v>354620.73225</v>
      </c>
    </row>
    <row r="33" spans="1:9" ht="15" customHeight="1" x14ac:dyDescent="0.25">
      <c r="A33" s="58" t="s">
        <v>373</v>
      </c>
      <c r="B33" s="10">
        <v>0.4</v>
      </c>
      <c r="C33" s="10">
        <v>52</v>
      </c>
      <c r="D33" s="10">
        <f t="shared" si="0"/>
        <v>20.8</v>
      </c>
      <c r="E33" s="10">
        <f>E23</f>
        <v>67</v>
      </c>
      <c r="F33" s="13">
        <f t="shared" si="10"/>
        <v>1393.6000000000001</v>
      </c>
      <c r="G33" s="33">
        <f t="shared" si="7"/>
        <v>69.680000000000007</v>
      </c>
      <c r="H33" s="33">
        <f t="shared" si="11"/>
        <v>139.36000000000001</v>
      </c>
      <c r="I33" s="12">
        <f t="shared" si="12"/>
        <v>202085.23920000001</v>
      </c>
    </row>
    <row r="34" spans="1:9" ht="15" customHeight="1" x14ac:dyDescent="0.25">
      <c r="A34" s="11" t="s">
        <v>323</v>
      </c>
      <c r="B34" s="10" t="s">
        <v>98</v>
      </c>
      <c r="C34" s="10"/>
      <c r="D34" s="10"/>
      <c r="E34" s="10"/>
      <c r="F34" s="10"/>
      <c r="G34" s="10"/>
      <c r="H34" s="10"/>
      <c r="I34" s="39"/>
    </row>
    <row r="35" spans="1:9" ht="15" customHeight="1" x14ac:dyDescent="0.25">
      <c r="A35" s="11" t="s">
        <v>324</v>
      </c>
      <c r="B35" s="10" t="s">
        <v>98</v>
      </c>
      <c r="C35" s="10"/>
      <c r="D35" s="10"/>
      <c r="E35" s="10"/>
      <c r="F35" s="10"/>
      <c r="G35" s="10"/>
      <c r="H35" s="10"/>
      <c r="I35" s="39"/>
    </row>
    <row r="36" spans="1:9" ht="15" customHeight="1" x14ac:dyDescent="0.25">
      <c r="A36" s="40" t="s">
        <v>107</v>
      </c>
      <c r="B36" s="8"/>
      <c r="C36" s="8"/>
      <c r="D36" s="14"/>
      <c r="E36" s="8"/>
      <c r="F36" s="177">
        <f>SUM(F25:H35)</f>
        <v>4418.415</v>
      </c>
      <c r="G36" s="177"/>
      <c r="H36" s="177"/>
      <c r="I36" s="28">
        <f>SUM(I25:I35)</f>
        <v>557140.99995000008</v>
      </c>
    </row>
    <row r="37" spans="1:9" ht="15.75" x14ac:dyDescent="0.25">
      <c r="A37" s="14" t="s">
        <v>460</v>
      </c>
      <c r="B37" s="14"/>
      <c r="C37" s="14"/>
      <c r="D37" s="14"/>
      <c r="E37" s="14"/>
      <c r="F37" s="164">
        <f>ROUND(F24+F36,-1)</f>
        <v>9120</v>
      </c>
      <c r="G37" s="165"/>
      <c r="H37" s="166"/>
      <c r="I37" s="28">
        <f>+ROUND(I24+I36,-3)</f>
        <v>1150000</v>
      </c>
    </row>
    <row r="38" spans="1:9" ht="15.75" x14ac:dyDescent="0.25">
      <c r="A38" s="14" t="s">
        <v>327</v>
      </c>
      <c r="B38" s="14"/>
      <c r="C38" s="14"/>
      <c r="D38" s="14"/>
      <c r="E38" s="14"/>
      <c r="F38" s="54"/>
      <c r="G38" s="54"/>
      <c r="H38" s="54"/>
      <c r="I38" s="28">
        <f>'Capital and O&amp;M Costs'!G26</f>
        <v>0</v>
      </c>
    </row>
    <row r="39" spans="1:9" ht="15.75" x14ac:dyDescent="0.25">
      <c r="A39" s="14" t="s">
        <v>328</v>
      </c>
      <c r="B39" s="14"/>
      <c r="C39" s="14"/>
      <c r="D39" s="14"/>
      <c r="E39" s="14"/>
      <c r="F39" s="54"/>
      <c r="G39" s="54"/>
      <c r="H39" s="54"/>
      <c r="I39" s="28">
        <f>ROUND(I37+I38,-3)</f>
        <v>1150000</v>
      </c>
    </row>
    <row r="41" spans="1:9" x14ac:dyDescent="0.25">
      <c r="A41" s="25" t="s">
        <v>27</v>
      </c>
    </row>
    <row r="42" spans="1:9" ht="20.25" customHeight="1" x14ac:dyDescent="0.25">
      <c r="A42" s="172" t="s">
        <v>484</v>
      </c>
      <c r="B42" s="172"/>
      <c r="C42" s="172"/>
      <c r="D42" s="172"/>
      <c r="E42" s="172"/>
      <c r="F42" s="172"/>
      <c r="G42" s="172"/>
      <c r="H42" s="172"/>
      <c r="I42" s="172"/>
    </row>
    <row r="43" spans="1:9" ht="45.75" customHeight="1" x14ac:dyDescent="0.25">
      <c r="A43" s="172" t="s">
        <v>530</v>
      </c>
      <c r="B43" s="172"/>
      <c r="C43" s="172"/>
      <c r="D43" s="172"/>
      <c r="E43" s="172"/>
      <c r="F43" s="172"/>
      <c r="G43" s="172"/>
      <c r="H43" s="172"/>
      <c r="I43" s="172"/>
    </row>
    <row r="44" spans="1:9" ht="18.75" customHeight="1" x14ac:dyDescent="0.25">
      <c r="A44" s="161" t="s">
        <v>427</v>
      </c>
      <c r="B44" s="161"/>
      <c r="C44" s="161"/>
      <c r="D44" s="161"/>
      <c r="E44" s="161"/>
      <c r="F44" s="161"/>
      <c r="G44" s="161"/>
      <c r="H44" s="161"/>
      <c r="I44" s="161"/>
    </row>
    <row r="45" spans="1:9" ht="18.75" customHeight="1" x14ac:dyDescent="0.25">
      <c r="A45" s="172" t="s">
        <v>228</v>
      </c>
      <c r="B45" s="172"/>
      <c r="C45" s="172"/>
      <c r="D45" s="172"/>
      <c r="E45" s="172"/>
      <c r="F45" s="172"/>
      <c r="G45" s="172"/>
      <c r="H45" s="172"/>
      <c r="I45" s="172"/>
    </row>
    <row r="46" spans="1:9" ht="18.75" customHeight="1" x14ac:dyDescent="0.25">
      <c r="A46" s="161" t="s">
        <v>485</v>
      </c>
      <c r="B46" s="161"/>
      <c r="C46" s="161"/>
      <c r="D46" s="161"/>
      <c r="E46" s="161"/>
      <c r="F46" s="161"/>
      <c r="G46" s="161"/>
      <c r="H46" s="161"/>
      <c r="I46" s="161"/>
    </row>
    <row r="47" spans="1:9" x14ac:dyDescent="0.25">
      <c r="A47" s="161" t="s">
        <v>211</v>
      </c>
      <c r="B47" s="161"/>
      <c r="C47" s="161"/>
      <c r="D47" s="161"/>
      <c r="E47" s="161"/>
      <c r="F47" s="161"/>
      <c r="G47" s="161"/>
      <c r="H47" s="161"/>
      <c r="I47" s="161"/>
    </row>
  </sheetData>
  <mergeCells count="10">
    <mergeCell ref="A47:I47"/>
    <mergeCell ref="A45:I45"/>
    <mergeCell ref="A46:I46"/>
    <mergeCell ref="F36:H36"/>
    <mergeCell ref="F37:H37"/>
    <mergeCell ref="A3:A4"/>
    <mergeCell ref="F24:H24"/>
    <mergeCell ref="A42:I42"/>
    <mergeCell ref="A43:I43"/>
    <mergeCell ref="A44:I4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65"/>
  <sheetViews>
    <sheetView zoomScaleNormal="100" workbookViewId="0">
      <selection activeCell="A2" sqref="A2"/>
    </sheetView>
  </sheetViews>
  <sheetFormatPr defaultRowHeight="15" x14ac:dyDescent="0.25"/>
  <cols>
    <col min="1" max="1" width="42.28515625" customWidth="1"/>
    <col min="2" max="2" width="10" bestFit="1" customWidth="1"/>
    <col min="3" max="8" width="10" customWidth="1"/>
    <col min="9" max="9" width="13.140625" customWidth="1"/>
  </cols>
  <sheetData>
    <row r="1" spans="1:10" ht="15.75" x14ac:dyDescent="0.25">
      <c r="A1" s="43" t="s">
        <v>375</v>
      </c>
    </row>
    <row r="2" spans="1:10" s="6" customFormat="1" ht="12.75" x14ac:dyDescent="0.2">
      <c r="F2" s="86">
        <f>Labor!$A$5</f>
        <v>130.28</v>
      </c>
      <c r="G2" s="86">
        <f>Labor!$B$5</f>
        <v>163.16999999999999</v>
      </c>
      <c r="H2" s="86">
        <f>Labor!$C$5</f>
        <v>65.709999999999994</v>
      </c>
    </row>
    <row r="3" spans="1:10" s="6" customFormat="1" ht="12.75" x14ac:dyDescent="0.2">
      <c r="A3" s="168" t="s">
        <v>11</v>
      </c>
      <c r="B3" s="7" t="s">
        <v>19</v>
      </c>
      <c r="C3" s="7" t="s">
        <v>20</v>
      </c>
      <c r="D3" s="7" t="s">
        <v>21</v>
      </c>
      <c r="E3" s="7" t="s">
        <v>22</v>
      </c>
      <c r="F3" s="21" t="s">
        <v>23</v>
      </c>
      <c r="G3" s="7" t="s">
        <v>24</v>
      </c>
      <c r="H3" s="7" t="s">
        <v>25</v>
      </c>
      <c r="I3" s="7" t="s">
        <v>26</v>
      </c>
    </row>
    <row r="4" spans="1:10" s="6" customFormat="1" ht="66.75" x14ac:dyDescent="0.2">
      <c r="A4" s="168"/>
      <c r="B4" s="8" t="s">
        <v>446</v>
      </c>
      <c r="C4" s="8" t="s">
        <v>377</v>
      </c>
      <c r="D4" s="8" t="s">
        <v>78</v>
      </c>
      <c r="E4" s="8" t="s">
        <v>448</v>
      </c>
      <c r="F4" s="8" t="s">
        <v>380</v>
      </c>
      <c r="G4" s="8" t="s">
        <v>378</v>
      </c>
      <c r="H4" s="8" t="s">
        <v>379</v>
      </c>
      <c r="I4" s="8" t="s">
        <v>449</v>
      </c>
    </row>
    <row r="5" spans="1:10" s="6" customFormat="1" ht="15" customHeight="1" x14ac:dyDescent="0.2">
      <c r="A5" s="24" t="s">
        <v>381</v>
      </c>
      <c r="B5" s="31">
        <f>+D5/C5</f>
        <v>2.6881720430107525</v>
      </c>
      <c r="C5" s="10">
        <v>93</v>
      </c>
      <c r="D5" s="10">
        <v>250</v>
      </c>
      <c r="E5" s="31">
        <f>'Number of Respondents'!$B$64</f>
        <v>0.66666666666666663</v>
      </c>
      <c r="F5" s="13">
        <f>+D5*E5</f>
        <v>166.66666666666666</v>
      </c>
      <c r="G5" s="33">
        <f>+F5*0.05</f>
        <v>8.3333333333333339</v>
      </c>
      <c r="H5" s="33">
        <f>+F5*0.1</f>
        <v>16.666666666666668</v>
      </c>
      <c r="I5" s="12">
        <f>+$F$2*F5+$G$2*G5+$H$2*H5</f>
        <v>24168.25</v>
      </c>
      <c r="J5" s="84"/>
    </row>
    <row r="6" spans="1:10" s="6" customFormat="1" ht="15" customHeight="1" x14ac:dyDescent="0.2">
      <c r="A6" s="24" t="s">
        <v>57</v>
      </c>
      <c r="B6" s="31">
        <f t="shared" ref="B6:B13" si="0">+D6/C6</f>
        <v>3.817204301075269</v>
      </c>
      <c r="C6" s="10">
        <v>93</v>
      </c>
      <c r="D6" s="10">
        <v>355</v>
      </c>
      <c r="E6" s="31">
        <f>'Number of Respondents'!$B$64</f>
        <v>0.66666666666666663</v>
      </c>
      <c r="F6" s="13">
        <f t="shared" ref="F6:F13" si="1">+D6*E6</f>
        <v>236.66666666666666</v>
      </c>
      <c r="G6" s="33">
        <f t="shared" ref="G6:G13" si="2">+F6*0.05</f>
        <v>11.833333333333334</v>
      </c>
      <c r="H6" s="33">
        <f t="shared" ref="H6:H13" si="3">+F6*0.1</f>
        <v>23.666666666666668</v>
      </c>
      <c r="I6" s="12">
        <f t="shared" ref="I6:I13" si="4">+$F$2*F6+$G$2*G6+$H$2*H6</f>
        <v>34318.915000000001</v>
      </c>
    </row>
    <row r="7" spans="1:10" s="6" customFormat="1" ht="15" customHeight="1" x14ac:dyDescent="0.2">
      <c r="A7" s="24" t="s">
        <v>58</v>
      </c>
      <c r="B7" s="31">
        <f t="shared" si="0"/>
        <v>3.4736842105263159</v>
      </c>
      <c r="C7" s="10">
        <v>38</v>
      </c>
      <c r="D7" s="10">
        <v>132</v>
      </c>
      <c r="E7" s="31">
        <f>'Number of Respondents'!$B$64</f>
        <v>0.66666666666666663</v>
      </c>
      <c r="F7" s="10">
        <f t="shared" si="1"/>
        <v>88</v>
      </c>
      <c r="G7" s="33">
        <f t="shared" si="2"/>
        <v>4.4000000000000004</v>
      </c>
      <c r="H7" s="33">
        <f t="shared" si="3"/>
        <v>8.8000000000000007</v>
      </c>
      <c r="I7" s="12">
        <f t="shared" si="4"/>
        <v>12760.835999999999</v>
      </c>
    </row>
    <row r="8" spans="1:10" s="6" customFormat="1" ht="15" customHeight="1" x14ac:dyDescent="0.2">
      <c r="A8" s="24" t="s">
        <v>75</v>
      </c>
      <c r="B8" s="32">
        <f t="shared" si="0"/>
        <v>2.3993250843644542</v>
      </c>
      <c r="C8" s="13">
        <v>1778</v>
      </c>
      <c r="D8" s="13">
        <v>4266</v>
      </c>
      <c r="E8" s="31">
        <f>'Number of Respondents'!$B$64</f>
        <v>0.66666666666666663</v>
      </c>
      <c r="F8" s="13">
        <f t="shared" si="1"/>
        <v>2844</v>
      </c>
      <c r="G8" s="13">
        <f t="shared" si="2"/>
        <v>142.20000000000002</v>
      </c>
      <c r="H8" s="13">
        <f t="shared" si="3"/>
        <v>284.40000000000003</v>
      </c>
      <c r="I8" s="12">
        <f t="shared" si="4"/>
        <v>412407.01799999998</v>
      </c>
    </row>
    <row r="9" spans="1:10" s="6" customFormat="1" ht="15" customHeight="1" x14ac:dyDescent="0.2">
      <c r="A9" s="24" t="s">
        <v>76</v>
      </c>
      <c r="B9" s="32">
        <f t="shared" si="0"/>
        <v>1.4000951474785919</v>
      </c>
      <c r="C9" s="13">
        <v>2102</v>
      </c>
      <c r="D9" s="13">
        <v>2943</v>
      </c>
      <c r="E9" s="31">
        <f>'Number of Respondents'!$B$64</f>
        <v>0.66666666666666663</v>
      </c>
      <c r="F9" s="13">
        <f t="shared" si="1"/>
        <v>1962</v>
      </c>
      <c r="G9" s="13">
        <f t="shared" si="2"/>
        <v>98.100000000000009</v>
      </c>
      <c r="H9" s="13">
        <f t="shared" si="3"/>
        <v>196.20000000000002</v>
      </c>
      <c r="I9" s="12">
        <f t="shared" si="4"/>
        <v>284508.63900000002</v>
      </c>
    </row>
    <row r="10" spans="1:10" s="6" customFormat="1" ht="15" customHeight="1" x14ac:dyDescent="0.2">
      <c r="A10" s="24" t="s">
        <v>61</v>
      </c>
      <c r="B10" s="32">
        <f t="shared" si="0"/>
        <v>0.8</v>
      </c>
      <c r="C10" s="10">
        <v>50</v>
      </c>
      <c r="D10" s="10">
        <v>40</v>
      </c>
      <c r="E10" s="31">
        <f>'Number of Respondents'!$B$64</f>
        <v>0.66666666666666663</v>
      </c>
      <c r="F10" s="31">
        <f t="shared" si="1"/>
        <v>26.666666666666664</v>
      </c>
      <c r="G10" s="33">
        <f t="shared" si="2"/>
        <v>1.3333333333333333</v>
      </c>
      <c r="H10" s="33">
        <f t="shared" si="3"/>
        <v>2.6666666666666665</v>
      </c>
      <c r="I10" s="12">
        <f t="shared" si="4"/>
        <v>3866.9199999999996</v>
      </c>
    </row>
    <row r="11" spans="1:10" s="6" customFormat="1" ht="15" customHeight="1" x14ac:dyDescent="0.2">
      <c r="A11" s="24" t="s">
        <v>376</v>
      </c>
      <c r="B11" s="31">
        <f t="shared" si="0"/>
        <v>11.36734693877551</v>
      </c>
      <c r="C11" s="10">
        <v>49</v>
      </c>
      <c r="D11" s="10">
        <v>557</v>
      </c>
      <c r="E11" s="31">
        <f>'Number of Respondents'!$B$64</f>
        <v>0.66666666666666663</v>
      </c>
      <c r="F11" s="13">
        <f t="shared" si="1"/>
        <v>371.33333333333331</v>
      </c>
      <c r="G11" s="33">
        <f t="shared" si="2"/>
        <v>18.566666666666666</v>
      </c>
      <c r="H11" s="33">
        <f t="shared" si="3"/>
        <v>37.133333333333333</v>
      </c>
      <c r="I11" s="12">
        <f t="shared" si="4"/>
        <v>53846.860999999997</v>
      </c>
    </row>
    <row r="12" spans="1:10" s="6" customFormat="1" ht="15" customHeight="1" x14ac:dyDescent="0.2">
      <c r="A12" s="24" t="s">
        <v>63</v>
      </c>
      <c r="B12" s="31">
        <f t="shared" si="0"/>
        <v>9.9795918367346932</v>
      </c>
      <c r="C12" s="10">
        <v>49</v>
      </c>
      <c r="D12" s="10">
        <v>489</v>
      </c>
      <c r="E12" s="31">
        <f>'Number of Respondents'!$B$64</f>
        <v>0.66666666666666663</v>
      </c>
      <c r="F12" s="13">
        <f t="shared" si="1"/>
        <v>326</v>
      </c>
      <c r="G12" s="33">
        <f t="shared" si="2"/>
        <v>16.3</v>
      </c>
      <c r="H12" s="33">
        <f t="shared" si="3"/>
        <v>32.6</v>
      </c>
      <c r="I12" s="12">
        <f t="shared" si="4"/>
        <v>47273.097000000002</v>
      </c>
    </row>
    <row r="13" spans="1:10" s="6" customFormat="1" ht="15" customHeight="1" x14ac:dyDescent="0.2">
      <c r="A13" s="24" t="s">
        <v>64</v>
      </c>
      <c r="B13" s="31">
        <f t="shared" si="0"/>
        <v>5.1764705882352944</v>
      </c>
      <c r="C13" s="10">
        <v>51</v>
      </c>
      <c r="D13" s="10">
        <v>264</v>
      </c>
      <c r="E13" s="31">
        <f>'Number of Respondents'!$B$64</f>
        <v>0.66666666666666663</v>
      </c>
      <c r="F13" s="13">
        <f t="shared" si="1"/>
        <v>176</v>
      </c>
      <c r="G13" s="33">
        <f t="shared" si="2"/>
        <v>8.8000000000000007</v>
      </c>
      <c r="H13" s="33">
        <f t="shared" si="3"/>
        <v>17.600000000000001</v>
      </c>
      <c r="I13" s="12">
        <f t="shared" si="4"/>
        <v>25521.671999999999</v>
      </c>
    </row>
    <row r="14" spans="1:10" s="6" customFormat="1" ht="29.25" customHeight="1" x14ac:dyDescent="0.2">
      <c r="A14" s="14" t="s">
        <v>459</v>
      </c>
      <c r="B14" s="14"/>
      <c r="C14" s="14"/>
      <c r="D14" s="14"/>
      <c r="E14" s="14"/>
      <c r="F14" s="177">
        <f>ROUND(SUM(F5:H13),-2)</f>
        <v>7100</v>
      </c>
      <c r="G14" s="177"/>
      <c r="H14" s="177"/>
      <c r="I14" s="28">
        <f>ROUND(SUM(I5:I13),-4)</f>
        <v>900000</v>
      </c>
    </row>
    <row r="15" spans="1:10" s="6" customFormat="1" ht="15.75" x14ac:dyDescent="0.2">
      <c r="A15" s="14" t="s">
        <v>451</v>
      </c>
      <c r="B15" s="10"/>
      <c r="C15" s="14"/>
      <c r="D15" s="14"/>
      <c r="E15" s="14"/>
      <c r="F15" s="54"/>
      <c r="G15" s="54"/>
      <c r="H15" s="54"/>
      <c r="I15" s="10" t="s">
        <v>415</v>
      </c>
    </row>
    <row r="16" spans="1:10" s="6" customFormat="1" ht="15.75" x14ac:dyDescent="0.2">
      <c r="A16" s="14" t="s">
        <v>450</v>
      </c>
      <c r="B16" s="14"/>
      <c r="C16" s="14"/>
      <c r="D16" s="14"/>
      <c r="E16" s="14"/>
      <c r="F16" s="54"/>
      <c r="G16" s="54"/>
      <c r="H16" s="54"/>
      <c r="I16" s="28">
        <f>I14</f>
        <v>900000</v>
      </c>
    </row>
    <row r="17" spans="1:9" s="6" customFormat="1" ht="12.75" x14ac:dyDescent="0.2"/>
    <row r="18" spans="1:9" s="6" customFormat="1" ht="12.75" x14ac:dyDescent="0.2">
      <c r="A18" s="25" t="s">
        <v>27</v>
      </c>
    </row>
    <row r="19" spans="1:9" s="6" customFormat="1" ht="15.75" x14ac:dyDescent="0.2">
      <c r="A19" s="49" t="s">
        <v>447</v>
      </c>
    </row>
    <row r="20" spans="1:9" s="6" customFormat="1" ht="18.75" customHeight="1" x14ac:dyDescent="0.2">
      <c r="A20" s="49" t="s">
        <v>539</v>
      </c>
    </row>
    <row r="21" spans="1:9" s="6" customFormat="1" ht="57" customHeight="1" x14ac:dyDescent="0.2">
      <c r="A21" s="161" t="s">
        <v>531</v>
      </c>
      <c r="B21" s="161"/>
      <c r="C21" s="161"/>
      <c r="D21" s="161"/>
      <c r="E21" s="161"/>
      <c r="F21" s="161"/>
      <c r="G21" s="161"/>
      <c r="H21" s="161"/>
      <c r="I21" s="161"/>
    </row>
    <row r="22" spans="1:9" s="6" customFormat="1" ht="16.5" customHeight="1" x14ac:dyDescent="0.2">
      <c r="A22" s="6" t="s">
        <v>452</v>
      </c>
    </row>
    <row r="23" spans="1:9" s="6" customFormat="1" ht="16.5" customHeight="1" x14ac:dyDescent="0.2">
      <c r="A23" s="178" t="s">
        <v>382</v>
      </c>
      <c r="B23" s="178"/>
      <c r="C23" s="178"/>
      <c r="D23" s="178"/>
      <c r="E23" s="178"/>
      <c r="F23" s="178"/>
      <c r="G23" s="178"/>
      <c r="H23" s="178"/>
      <c r="I23" s="178"/>
    </row>
    <row r="24" spans="1:9" s="6" customFormat="1" ht="12.75" x14ac:dyDescent="0.2"/>
    <row r="25" spans="1:9" s="6" customFormat="1" ht="12.75" x14ac:dyDescent="0.2"/>
    <row r="26" spans="1:9" s="6" customFormat="1" ht="12.75" x14ac:dyDescent="0.2"/>
    <row r="27" spans="1:9" s="6" customFormat="1" ht="12.75" x14ac:dyDescent="0.2"/>
    <row r="28" spans="1:9" s="6" customFormat="1" ht="12.75" x14ac:dyDescent="0.2"/>
    <row r="29" spans="1:9" s="6" customFormat="1" ht="12.75" x14ac:dyDescent="0.2"/>
    <row r="30" spans="1:9" s="6" customFormat="1" ht="12.75" x14ac:dyDescent="0.2"/>
    <row r="31" spans="1:9" s="6" customFormat="1" ht="12.75" x14ac:dyDescent="0.2"/>
    <row r="32" spans="1:9" s="6" customFormat="1" ht="12.75" x14ac:dyDescent="0.2"/>
    <row r="33" s="6" customFormat="1" ht="12.75" x14ac:dyDescent="0.2"/>
    <row r="34" s="6" customFormat="1" ht="12.75" x14ac:dyDescent="0.2"/>
    <row r="35" s="6" customFormat="1" ht="12.75" x14ac:dyDescent="0.2"/>
    <row r="36" s="6" customFormat="1" ht="12.75" x14ac:dyDescent="0.2"/>
    <row r="37" s="6" customFormat="1" ht="12.75" x14ac:dyDescent="0.2"/>
    <row r="38" s="6" customFormat="1" ht="12.75" x14ac:dyDescent="0.2"/>
    <row r="39" s="6" customFormat="1" ht="12.75" x14ac:dyDescent="0.2"/>
    <row r="40" s="6" customFormat="1" ht="12.75" x14ac:dyDescent="0.2"/>
    <row r="41" s="6" customFormat="1" ht="12.75" x14ac:dyDescent="0.2"/>
    <row r="42" s="6" customFormat="1" ht="12.75" x14ac:dyDescent="0.2"/>
    <row r="43" s="6" customFormat="1" ht="12.75" x14ac:dyDescent="0.2"/>
    <row r="44" s="6" customFormat="1" ht="12.75" x14ac:dyDescent="0.2"/>
    <row r="45" s="6" customFormat="1" ht="12.75" x14ac:dyDescent="0.2"/>
    <row r="46" s="6" customFormat="1" ht="12.75" x14ac:dyDescent="0.2"/>
    <row r="47" s="6" customFormat="1" ht="12.75" x14ac:dyDescent="0.2"/>
    <row r="48" s="6" customFormat="1" ht="12.75" x14ac:dyDescent="0.2"/>
    <row r="49" s="6" customFormat="1" ht="12.75" x14ac:dyDescent="0.2"/>
    <row r="50" s="6" customFormat="1" ht="12.75" x14ac:dyDescent="0.2"/>
    <row r="51" s="6" customFormat="1" ht="12.75" x14ac:dyDescent="0.2"/>
    <row r="52" s="6" customFormat="1" ht="12.75" x14ac:dyDescent="0.2"/>
    <row r="53" s="6" customFormat="1" ht="12.75" x14ac:dyDescent="0.2"/>
    <row r="54" s="6" customFormat="1" ht="12.75" x14ac:dyDescent="0.2"/>
    <row r="55" s="6" customFormat="1" ht="12.75" x14ac:dyDescent="0.2"/>
    <row r="56" s="6" customFormat="1" ht="12.75" x14ac:dyDescent="0.2"/>
    <row r="57" s="6" customFormat="1" ht="12.75" x14ac:dyDescent="0.2"/>
    <row r="58" s="6" customFormat="1" ht="12.75" x14ac:dyDescent="0.2"/>
    <row r="59" s="6" customFormat="1" ht="12.75" x14ac:dyDescent="0.2"/>
    <row r="60" s="6" customFormat="1" ht="12.75" x14ac:dyDescent="0.2"/>
    <row r="61" s="6" customFormat="1" ht="12.75" x14ac:dyDescent="0.2"/>
    <row r="62" s="6" customFormat="1" ht="12.75" x14ac:dyDescent="0.2"/>
    <row r="63" s="6" customFormat="1" ht="12.75" x14ac:dyDescent="0.2"/>
    <row r="64" s="6" customFormat="1" ht="12.75" x14ac:dyDescent="0.2"/>
    <row r="65" s="6" customFormat="1" ht="12.75" x14ac:dyDescent="0.2"/>
  </sheetData>
  <mergeCells count="4">
    <mergeCell ref="A3:A4"/>
    <mergeCell ref="F14:H14"/>
    <mergeCell ref="A21:I21"/>
    <mergeCell ref="A23:I23"/>
  </mergeCells>
  <pageMargins left="0.7" right="0.7" top="0.75" bottom="0.75" header="0.3" footer="0.3"/>
  <pageSetup scale="72"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26"/>
  <sheetViews>
    <sheetView zoomScaleNormal="100" workbookViewId="0">
      <selection activeCell="A2" sqref="A2"/>
    </sheetView>
  </sheetViews>
  <sheetFormatPr defaultRowHeight="15" x14ac:dyDescent="0.25"/>
  <cols>
    <col min="1" max="1" width="45.85546875" customWidth="1"/>
    <col min="2" max="2" width="10" bestFit="1" customWidth="1"/>
    <col min="3" max="3" width="10.7109375" customWidth="1"/>
    <col min="4" max="4" width="11.85546875" customWidth="1"/>
    <col min="5" max="5" width="12.140625" customWidth="1"/>
    <col min="6" max="6" width="9.85546875" customWidth="1"/>
    <col min="9" max="9" width="13.85546875" bestFit="1" customWidth="1"/>
  </cols>
  <sheetData>
    <row r="1" spans="1:10" ht="15.75" x14ac:dyDescent="0.25">
      <c r="A1" s="35" t="s">
        <v>383</v>
      </c>
    </row>
    <row r="2" spans="1:10" s="6" customFormat="1" ht="12.75" x14ac:dyDescent="0.2">
      <c r="F2" s="86">
        <f>Labor!$A$5</f>
        <v>130.28</v>
      </c>
      <c r="G2" s="86">
        <f>Labor!$B$5</f>
        <v>163.16999999999999</v>
      </c>
      <c r="H2" s="86">
        <f>Labor!$C$5</f>
        <v>65.709999999999994</v>
      </c>
      <c r="I2" s="86"/>
    </row>
    <row r="3" spans="1:10" s="6" customFormat="1" ht="12.75" x14ac:dyDescent="0.2">
      <c r="A3" s="168" t="s">
        <v>11</v>
      </c>
      <c r="B3" s="7" t="s">
        <v>19</v>
      </c>
      <c r="C3" s="7" t="s">
        <v>20</v>
      </c>
      <c r="D3" s="7" t="s">
        <v>21</v>
      </c>
      <c r="E3" s="7" t="s">
        <v>22</v>
      </c>
      <c r="F3" s="21" t="s">
        <v>23</v>
      </c>
      <c r="G3" s="7" t="s">
        <v>24</v>
      </c>
      <c r="H3" s="7" t="s">
        <v>25</v>
      </c>
      <c r="I3" s="7" t="s">
        <v>26</v>
      </c>
    </row>
    <row r="4" spans="1:10" s="6" customFormat="1" ht="79.5" x14ac:dyDescent="0.2">
      <c r="A4" s="168"/>
      <c r="B4" s="8" t="s">
        <v>446</v>
      </c>
      <c r="C4" s="8" t="s">
        <v>453</v>
      </c>
      <c r="D4" s="8" t="s">
        <v>454</v>
      </c>
      <c r="E4" s="8" t="s">
        <v>456</v>
      </c>
      <c r="F4" s="8" t="s">
        <v>552</v>
      </c>
      <c r="G4" s="8" t="s">
        <v>378</v>
      </c>
      <c r="H4" s="8" t="s">
        <v>379</v>
      </c>
      <c r="I4" s="8" t="s">
        <v>457</v>
      </c>
    </row>
    <row r="5" spans="1:10" s="6" customFormat="1" ht="15" customHeight="1" x14ac:dyDescent="0.2">
      <c r="A5" s="24" t="s">
        <v>381</v>
      </c>
      <c r="B5" s="31">
        <f>+(D5+E5)/C5</f>
        <v>3.6086956521739131</v>
      </c>
      <c r="C5" s="10">
        <v>23</v>
      </c>
      <c r="D5" s="10">
        <v>69</v>
      </c>
      <c r="E5" s="10">
        <v>14</v>
      </c>
      <c r="F5" s="13">
        <f>+D5*('Number of Respondents'!$C$64*0.9)+E5*('Number of Respondents'!$C$64*0.1)</f>
        <v>13356.166666666668</v>
      </c>
      <c r="G5" s="13">
        <f>+F5*0.05</f>
        <v>667.80833333333339</v>
      </c>
      <c r="H5" s="13">
        <f>+F5*0.1</f>
        <v>1335.6166666666668</v>
      </c>
      <c r="I5" s="12">
        <f>+$F$2*F5+$G$2*G5+$H$2*H5</f>
        <v>1936771.0502500003</v>
      </c>
      <c r="J5" s="113"/>
    </row>
    <row r="6" spans="1:10" s="6" customFormat="1" ht="15" customHeight="1" x14ac:dyDescent="0.2">
      <c r="A6" s="9" t="s">
        <v>57</v>
      </c>
      <c r="B6" s="31">
        <f t="shared" ref="B6:B13" si="0">+(D6+E6)/C6</f>
        <v>6.0769230769230766</v>
      </c>
      <c r="C6" s="10">
        <v>13</v>
      </c>
      <c r="D6" s="10">
        <v>61</v>
      </c>
      <c r="E6" s="10">
        <v>18</v>
      </c>
      <c r="F6" s="13">
        <f>+D6*('Number of Respondents'!$C$64*0.9)+E6*('Number of Respondents'!$C$64*0.1)</f>
        <v>11925.900000000001</v>
      </c>
      <c r="G6" s="13">
        <f t="shared" ref="G6:G13" si="1">+F6*0.05</f>
        <v>596.29500000000007</v>
      </c>
      <c r="H6" s="13">
        <f t="shared" ref="H6:H13" si="2">+F6*0.1</f>
        <v>1192.5900000000001</v>
      </c>
      <c r="I6" s="12">
        <f t="shared" ref="I6:I13" si="3">+$F$2*F6+$G$2*G6+$H$2*H6</f>
        <v>1729368.7960500002</v>
      </c>
    </row>
    <row r="7" spans="1:10" s="6" customFormat="1" ht="15" customHeight="1" x14ac:dyDescent="0.2">
      <c r="A7" s="9" t="s">
        <v>58</v>
      </c>
      <c r="B7" s="10">
        <f>+(D7+E7)/C7</f>
        <v>5.25</v>
      </c>
      <c r="C7" s="10">
        <v>4</v>
      </c>
      <c r="D7" s="10">
        <v>17</v>
      </c>
      <c r="E7" s="10">
        <v>4</v>
      </c>
      <c r="F7" s="13">
        <f>+D7*('Number of Respondents'!$C$64*0.9)+E7*('Number of Respondents'!$C$64*0.1)</f>
        <v>3302.2333333333336</v>
      </c>
      <c r="G7" s="13">
        <f t="shared" si="1"/>
        <v>165.11166666666668</v>
      </c>
      <c r="H7" s="13">
        <f t="shared" si="2"/>
        <v>330.22333333333336</v>
      </c>
      <c r="I7" s="12">
        <f t="shared" si="3"/>
        <v>478855.20455000008</v>
      </c>
    </row>
    <row r="8" spans="1:10" s="6" customFormat="1" ht="15" customHeight="1" x14ac:dyDescent="0.2">
      <c r="A8" s="9" t="s">
        <v>75</v>
      </c>
      <c r="B8" s="31">
        <f t="shared" si="0"/>
        <v>17.848484848484848</v>
      </c>
      <c r="C8" s="10">
        <v>99</v>
      </c>
      <c r="D8" s="13">
        <v>1617</v>
      </c>
      <c r="E8" s="10">
        <v>150</v>
      </c>
      <c r="F8" s="13">
        <f>+D8*('Number of Respondents'!$C$64*0.9)+E8*('Number of Respondents'!$C$64*0.1)</f>
        <v>309253.10000000003</v>
      </c>
      <c r="G8" s="13">
        <f t="shared" si="1"/>
        <v>15462.655000000002</v>
      </c>
      <c r="H8" s="13">
        <f t="shared" si="2"/>
        <v>30925.310000000005</v>
      </c>
      <c r="I8" s="12">
        <f t="shared" si="3"/>
        <v>44844637.404450007</v>
      </c>
    </row>
    <row r="9" spans="1:10" s="6" customFormat="1" ht="15" customHeight="1" x14ac:dyDescent="0.2">
      <c r="A9" s="9" t="s">
        <v>76</v>
      </c>
      <c r="B9" s="32">
        <f t="shared" si="0"/>
        <v>2.5007385524372232</v>
      </c>
      <c r="C9" s="10">
        <v>677</v>
      </c>
      <c r="D9" s="13">
        <v>1693</v>
      </c>
      <c r="E9" s="10">
        <v>0</v>
      </c>
      <c r="F9" s="13">
        <f>+D9*('Number of Respondents'!$C$64*0.9)+E9*('Number of Respondents'!$C$64*0.1)</f>
        <v>320484.90000000002</v>
      </c>
      <c r="G9" s="13">
        <f t="shared" si="1"/>
        <v>16024.245000000003</v>
      </c>
      <c r="H9" s="13">
        <f t="shared" si="2"/>
        <v>32048.490000000005</v>
      </c>
      <c r="I9" s="12">
        <f t="shared" si="3"/>
        <v>46473355.106550001</v>
      </c>
    </row>
    <row r="10" spans="1:10" s="6" customFormat="1" ht="15" customHeight="1" x14ac:dyDescent="0.2">
      <c r="A10" s="9" t="s">
        <v>61</v>
      </c>
      <c r="B10" s="10">
        <f t="shared" si="0"/>
        <v>20</v>
      </c>
      <c r="C10" s="10">
        <v>1</v>
      </c>
      <c r="D10" s="10">
        <v>20</v>
      </c>
      <c r="E10" s="10">
        <v>0</v>
      </c>
      <c r="F10" s="13">
        <f>+D10*('Number of Respondents'!$C$64*0.9)+E10*('Number of Respondents'!$C$64*0.1)</f>
        <v>3786</v>
      </c>
      <c r="G10" s="13">
        <f t="shared" si="1"/>
        <v>189.3</v>
      </c>
      <c r="H10" s="13">
        <f t="shared" si="2"/>
        <v>378.6</v>
      </c>
      <c r="I10" s="12">
        <f t="shared" si="3"/>
        <v>549005.96700000006</v>
      </c>
    </row>
    <row r="11" spans="1:10" s="6" customFormat="1" ht="15" customHeight="1" x14ac:dyDescent="0.2">
      <c r="A11" s="9" t="s">
        <v>376</v>
      </c>
      <c r="B11" s="10">
        <f t="shared" si="0"/>
        <v>81.2</v>
      </c>
      <c r="C11" s="10">
        <v>5</v>
      </c>
      <c r="D11" s="10">
        <v>388</v>
      </c>
      <c r="E11" s="10">
        <v>18</v>
      </c>
      <c r="F11" s="13">
        <f>+D11*('Number of Respondents'!$C$64*0.9)+E11*('Number of Respondents'!$C$64*0.1)</f>
        <v>73827.000000000015</v>
      </c>
      <c r="G11" s="13">
        <f t="shared" si="1"/>
        <v>3691.3500000000008</v>
      </c>
      <c r="H11" s="13">
        <f t="shared" si="2"/>
        <v>7382.7000000000016</v>
      </c>
      <c r="I11" s="12">
        <f t="shared" si="3"/>
        <v>10705616.356500003</v>
      </c>
    </row>
    <row r="12" spans="1:10" s="6" customFormat="1" ht="15" customHeight="1" x14ac:dyDescent="0.2">
      <c r="A12" s="9" t="s">
        <v>63</v>
      </c>
      <c r="B12" s="31">
        <f t="shared" si="0"/>
        <v>17.46153846153846</v>
      </c>
      <c r="C12" s="10">
        <v>26</v>
      </c>
      <c r="D12" s="10">
        <v>442</v>
      </c>
      <c r="E12" s="10">
        <v>12</v>
      </c>
      <c r="F12" s="13">
        <f>+D12*('Number of Respondents'!$C$64*0.9)+E12*('Number of Respondents'!$C$64*0.1)</f>
        <v>83923</v>
      </c>
      <c r="G12" s="13">
        <f t="shared" si="1"/>
        <v>4196.1500000000005</v>
      </c>
      <c r="H12" s="13">
        <f t="shared" si="2"/>
        <v>8392.3000000000011</v>
      </c>
      <c r="I12" s="12">
        <f t="shared" si="3"/>
        <v>12169632.2685</v>
      </c>
    </row>
    <row r="13" spans="1:10" s="6" customFormat="1" ht="15" customHeight="1" x14ac:dyDescent="0.2">
      <c r="A13" s="9" t="s">
        <v>64</v>
      </c>
      <c r="B13" s="31">
        <f t="shared" si="0"/>
        <v>6.7714285714285714</v>
      </c>
      <c r="C13" s="10">
        <v>35</v>
      </c>
      <c r="D13" s="10">
        <v>222</v>
      </c>
      <c r="E13" s="10">
        <v>15</v>
      </c>
      <c r="F13" s="13">
        <f>+D13*('Number of Respondents'!$C$64*0.9)+E13*('Number of Respondents'!$C$64*0.1)</f>
        <v>42340.100000000006</v>
      </c>
      <c r="G13" s="13">
        <f t="shared" si="1"/>
        <v>2117.0050000000006</v>
      </c>
      <c r="H13" s="13">
        <f t="shared" si="2"/>
        <v>4234.0100000000011</v>
      </c>
      <c r="I13" s="12">
        <f t="shared" si="3"/>
        <v>6139716.7309500016</v>
      </c>
    </row>
    <row r="14" spans="1:10" s="6" customFormat="1" ht="15.75" x14ac:dyDescent="0.2">
      <c r="A14" s="14" t="s">
        <v>458</v>
      </c>
      <c r="B14" s="14"/>
      <c r="C14" s="14"/>
      <c r="D14" s="14"/>
      <c r="E14" s="14"/>
      <c r="F14" s="177">
        <f>ROUND(SUM(F5:H13),-3)</f>
        <v>992000</v>
      </c>
      <c r="G14" s="177"/>
      <c r="H14" s="177"/>
      <c r="I14" s="28">
        <f>ROUND(SUM(I5:I13),-5)</f>
        <v>125000000</v>
      </c>
      <c r="J14" s="107"/>
    </row>
    <row r="15" spans="1:10" s="6" customFormat="1" ht="15.75" x14ac:dyDescent="0.2">
      <c r="A15" s="14" t="s">
        <v>327</v>
      </c>
      <c r="B15" s="14"/>
      <c r="C15" s="14"/>
      <c r="D15" s="14"/>
      <c r="E15" s="14"/>
      <c r="F15" s="54"/>
      <c r="G15" s="54"/>
      <c r="H15" s="54"/>
      <c r="I15" s="28">
        <f>ROUND('Capital and O&amp;M Costs'!G28+'Capital and O&amp;M Costs'!G30+'Capital and O&amp;M Costs'!G32+'Capital and O&amp;M Costs'!G34, -5)</f>
        <v>58000000</v>
      </c>
    </row>
    <row r="16" spans="1:10" s="6" customFormat="1" ht="15.75" x14ac:dyDescent="0.2">
      <c r="A16" s="14" t="s">
        <v>328</v>
      </c>
      <c r="B16" s="14"/>
      <c r="C16" s="14"/>
      <c r="D16" s="14"/>
      <c r="E16" s="14"/>
      <c r="F16" s="54"/>
      <c r="G16" s="54"/>
      <c r="H16" s="54"/>
      <c r="I16" s="28">
        <f>ROUND(I14+I15,-6)</f>
        <v>183000000</v>
      </c>
    </row>
    <row r="17" spans="1:10" s="6" customFormat="1" ht="12.75" x14ac:dyDescent="0.2"/>
    <row r="18" spans="1:10" s="6" customFormat="1" ht="12.75" x14ac:dyDescent="0.2">
      <c r="A18" s="25" t="s">
        <v>27</v>
      </c>
    </row>
    <row r="19" spans="1:10" s="6" customFormat="1" ht="15.75" x14ac:dyDescent="0.2">
      <c r="A19" s="178" t="s">
        <v>455</v>
      </c>
      <c r="B19" s="178"/>
      <c r="C19" s="178"/>
      <c r="D19" s="178"/>
      <c r="E19" s="178"/>
      <c r="F19" s="178"/>
      <c r="G19" s="178"/>
      <c r="H19" s="178"/>
      <c r="I19" s="178"/>
    </row>
    <row r="20" spans="1:10" s="6" customFormat="1" ht="15.75" x14ac:dyDescent="0.2">
      <c r="A20" s="178" t="s">
        <v>501</v>
      </c>
      <c r="B20" s="178"/>
      <c r="C20" s="178"/>
      <c r="D20" s="178"/>
      <c r="E20" s="178"/>
      <c r="F20" s="178"/>
      <c r="G20" s="178"/>
      <c r="H20" s="178"/>
      <c r="I20" s="178"/>
      <c r="J20" s="108"/>
    </row>
    <row r="21" spans="1:10" s="6" customFormat="1" ht="15.75" x14ac:dyDescent="0.2">
      <c r="A21" s="178" t="s">
        <v>503</v>
      </c>
      <c r="B21" s="178"/>
      <c r="C21" s="178"/>
      <c r="D21" s="178"/>
      <c r="E21" s="178"/>
      <c r="F21" s="178"/>
      <c r="G21" s="178"/>
      <c r="H21" s="178"/>
      <c r="I21" s="178"/>
    </row>
    <row r="22" spans="1:10" s="6" customFormat="1" ht="60" customHeight="1" x14ac:dyDescent="0.2">
      <c r="A22" s="161" t="s">
        <v>532</v>
      </c>
      <c r="B22" s="161"/>
      <c r="C22" s="161"/>
      <c r="D22" s="161"/>
      <c r="E22" s="161"/>
      <c r="F22" s="161"/>
      <c r="G22" s="161"/>
      <c r="H22" s="161"/>
      <c r="I22" s="161"/>
    </row>
    <row r="23" spans="1:10" s="6" customFormat="1" ht="15.75" x14ac:dyDescent="0.2">
      <c r="A23" s="178" t="s">
        <v>229</v>
      </c>
      <c r="B23" s="178"/>
      <c r="C23" s="178"/>
      <c r="D23" s="178"/>
      <c r="E23" s="178"/>
      <c r="F23" s="178"/>
      <c r="G23" s="178"/>
      <c r="H23" s="178"/>
      <c r="I23" s="178"/>
    </row>
    <row r="24" spans="1:10" s="6" customFormat="1" ht="12.75" x14ac:dyDescent="0.2">
      <c r="A24" s="178" t="s">
        <v>382</v>
      </c>
      <c r="B24" s="178"/>
      <c r="C24" s="178"/>
      <c r="D24" s="178"/>
      <c r="E24" s="178"/>
      <c r="F24" s="178"/>
      <c r="G24" s="178"/>
      <c r="H24" s="178"/>
      <c r="I24" s="178"/>
    </row>
    <row r="25" spans="1:10" s="6" customFormat="1" ht="12.75" x14ac:dyDescent="0.2"/>
    <row r="26" spans="1:10" s="6" customFormat="1" ht="12.75" x14ac:dyDescent="0.2"/>
  </sheetData>
  <mergeCells count="8">
    <mergeCell ref="A22:I22"/>
    <mergeCell ref="A23:I23"/>
    <mergeCell ref="A24:I24"/>
    <mergeCell ref="F14:H14"/>
    <mergeCell ref="A3:A4"/>
    <mergeCell ref="A19:I19"/>
    <mergeCell ref="A20:I20"/>
    <mergeCell ref="A21:I21"/>
  </mergeCells>
  <pageMargins left="0.7" right="0.7" top="0.75" bottom="0.75" header="0.3" footer="0.3"/>
  <pageSetup scale="6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165"/>
  <sheetViews>
    <sheetView workbookViewId="0">
      <selection activeCell="A2" sqref="A2"/>
    </sheetView>
  </sheetViews>
  <sheetFormatPr defaultColWidth="9.140625" defaultRowHeight="15" x14ac:dyDescent="0.25"/>
  <cols>
    <col min="1" max="1" width="15.85546875" style="63" customWidth="1"/>
    <col min="2" max="2" width="11.140625" style="66" customWidth="1"/>
    <col min="3" max="3" width="11.5703125" style="66" customWidth="1"/>
    <col min="4" max="4" width="10.7109375" style="66" customWidth="1"/>
    <col min="5" max="5" width="9.7109375" style="66" customWidth="1"/>
    <col min="6" max="6" width="10.85546875" style="66" customWidth="1"/>
    <col min="7" max="7" width="13.85546875" style="63" customWidth="1"/>
    <col min="8" max="8" width="11" style="63" bestFit="1" customWidth="1"/>
    <col min="9" max="9" width="13.7109375" style="63" customWidth="1"/>
    <col min="10" max="10" width="11.5703125" style="63" bestFit="1" customWidth="1"/>
    <col min="11" max="16384" width="9.140625" style="63"/>
  </cols>
  <sheetData>
    <row r="1" spans="1:9" x14ac:dyDescent="0.25">
      <c r="A1" s="18" t="s">
        <v>384</v>
      </c>
    </row>
    <row r="2" spans="1:9" x14ac:dyDescent="0.25">
      <c r="A2" s="18"/>
    </row>
    <row r="3" spans="1:9" x14ac:dyDescent="0.25">
      <c r="A3" s="21" t="s">
        <v>19</v>
      </c>
      <c r="B3" s="21" t="s">
        <v>20</v>
      </c>
      <c r="C3" s="21" t="s">
        <v>21</v>
      </c>
      <c r="D3" s="21" t="s">
        <v>22</v>
      </c>
      <c r="E3" s="21" t="s">
        <v>23</v>
      </c>
      <c r="F3" s="21" t="s">
        <v>24</v>
      </c>
      <c r="G3" s="62" t="s">
        <v>25</v>
      </c>
      <c r="H3" s="84"/>
    </row>
    <row r="4" spans="1:9" ht="76.5" x14ac:dyDescent="0.25">
      <c r="A4" s="7" t="s">
        <v>118</v>
      </c>
      <c r="B4" s="21" t="s">
        <v>385</v>
      </c>
      <c r="C4" s="21" t="s">
        <v>390</v>
      </c>
      <c r="D4" s="21" t="s">
        <v>389</v>
      </c>
      <c r="E4" s="21" t="s">
        <v>386</v>
      </c>
      <c r="F4" s="21" t="s">
        <v>387</v>
      </c>
      <c r="G4" s="21" t="s">
        <v>388</v>
      </c>
      <c r="H4" s="6"/>
      <c r="I4" s="112"/>
    </row>
    <row r="5" spans="1:9" x14ac:dyDescent="0.25">
      <c r="A5" s="131" t="s">
        <v>123</v>
      </c>
      <c r="B5" s="132">
        <v>0</v>
      </c>
      <c r="C5" s="120">
        <f>'Number of Respondents'!B6</f>
        <v>0</v>
      </c>
      <c r="D5" s="132">
        <f>+B5*C5</f>
        <v>0</v>
      </c>
      <c r="E5" s="132">
        <v>0</v>
      </c>
      <c r="F5" s="120">
        <f>'Number of Respondents'!C9</f>
        <v>10</v>
      </c>
      <c r="G5" s="133">
        <f>+E5*F5</f>
        <v>0</v>
      </c>
      <c r="H5" s="108"/>
      <c r="I5" s="112"/>
    </row>
    <row r="6" spans="1:9" x14ac:dyDescent="0.25">
      <c r="A6" s="189" t="s">
        <v>150</v>
      </c>
      <c r="B6" s="189"/>
      <c r="C6" s="189"/>
      <c r="D6" s="189"/>
      <c r="E6" s="189"/>
      <c r="F6" s="189"/>
      <c r="G6" s="75">
        <f>+D5+G5</f>
        <v>0</v>
      </c>
      <c r="H6" s="6"/>
    </row>
    <row r="7" spans="1:9" ht="16.5" x14ac:dyDescent="0.25">
      <c r="A7" s="131" t="s">
        <v>488</v>
      </c>
      <c r="B7" s="132">
        <v>13500</v>
      </c>
      <c r="C7" s="120">
        <f>'Number of Respondents'!B14</f>
        <v>0</v>
      </c>
      <c r="D7" s="132">
        <f>+B7*C7</f>
        <v>0</v>
      </c>
      <c r="E7" s="132">
        <v>1350</v>
      </c>
      <c r="F7" s="134">
        <f>('Number of Respondents'!C14*11.3*0.05)+C7</f>
        <v>217.52500000000001</v>
      </c>
      <c r="G7" s="133">
        <f>+E7*F7</f>
        <v>293658.75</v>
      </c>
      <c r="H7" s="135"/>
      <c r="I7" s="127"/>
    </row>
    <row r="8" spans="1:9" x14ac:dyDescent="0.25">
      <c r="A8" s="189" t="s">
        <v>150</v>
      </c>
      <c r="B8" s="189"/>
      <c r="C8" s="189"/>
      <c r="D8" s="189"/>
      <c r="E8" s="189"/>
      <c r="F8" s="189"/>
      <c r="G8" s="75">
        <f>ROUND(D7+G7,-3)</f>
        <v>294000</v>
      </c>
      <c r="H8" s="135"/>
      <c r="I8" s="127"/>
    </row>
    <row r="9" spans="1:9" x14ac:dyDescent="0.25">
      <c r="A9" s="131" t="s">
        <v>125</v>
      </c>
      <c r="B9" s="132">
        <v>0</v>
      </c>
      <c r="C9" s="120">
        <f>'Number of Respondents'!B16</f>
        <v>0</v>
      </c>
      <c r="D9" s="132">
        <f>+B9*C9</f>
        <v>0</v>
      </c>
      <c r="E9" s="132">
        <v>0</v>
      </c>
      <c r="F9" s="120">
        <f>'Number of Respondents'!C19</f>
        <v>170</v>
      </c>
      <c r="G9" s="133">
        <f>+E9*F9</f>
        <v>0</v>
      </c>
      <c r="H9" s="135"/>
      <c r="I9" s="127"/>
    </row>
    <row r="10" spans="1:9" x14ac:dyDescent="0.25">
      <c r="A10" s="189" t="s">
        <v>150</v>
      </c>
      <c r="B10" s="189"/>
      <c r="C10" s="189"/>
      <c r="D10" s="189"/>
      <c r="E10" s="189"/>
      <c r="F10" s="189"/>
      <c r="G10" s="75">
        <f>+D9+G9</f>
        <v>0</v>
      </c>
      <c r="H10" s="135"/>
      <c r="I10" s="127"/>
    </row>
    <row r="11" spans="1:9" x14ac:dyDescent="0.25">
      <c r="A11" s="131" t="s">
        <v>126</v>
      </c>
      <c r="B11" s="132">
        <v>1400</v>
      </c>
      <c r="C11" s="134">
        <f>ROUND('Number of Respondents'!B21*0.15,0)</f>
        <v>0</v>
      </c>
      <c r="D11" s="132">
        <f>+B11*C11</f>
        <v>0</v>
      </c>
      <c r="E11" s="132">
        <v>0</v>
      </c>
      <c r="F11" s="120">
        <f>'Number of Respondents'!C24</f>
        <v>75</v>
      </c>
      <c r="G11" s="133">
        <f>+E11*F11</f>
        <v>0</v>
      </c>
      <c r="H11" s="135"/>
      <c r="I11" s="127"/>
    </row>
    <row r="12" spans="1:9" x14ac:dyDescent="0.25">
      <c r="A12" s="189" t="s">
        <v>150</v>
      </c>
      <c r="B12" s="189"/>
      <c r="C12" s="189"/>
      <c r="D12" s="189"/>
      <c r="E12" s="189"/>
      <c r="F12" s="189"/>
      <c r="G12" s="75">
        <f>ROUND(D11+G11,-1)</f>
        <v>0</v>
      </c>
      <c r="H12" s="135"/>
      <c r="I12" s="127"/>
    </row>
    <row r="13" spans="1:9" x14ac:dyDescent="0.25">
      <c r="A13" s="131" t="s">
        <v>127</v>
      </c>
      <c r="B13" s="132">
        <v>30000</v>
      </c>
      <c r="C13" s="120">
        <f>'Number of Respondents'!B26</f>
        <v>5</v>
      </c>
      <c r="D13" s="132">
        <f>+B13*C13</f>
        <v>150000</v>
      </c>
      <c r="E13" s="132">
        <v>7000</v>
      </c>
      <c r="F13" s="120">
        <f>'Number of Respondents'!C29+C13</f>
        <v>93</v>
      </c>
      <c r="G13" s="133">
        <f>+E13*F13</f>
        <v>651000</v>
      </c>
      <c r="H13" s="135"/>
      <c r="I13" s="127"/>
    </row>
    <row r="14" spans="1:9" x14ac:dyDescent="0.25">
      <c r="A14" s="189" t="s">
        <v>150</v>
      </c>
      <c r="B14" s="189"/>
      <c r="C14" s="189"/>
      <c r="D14" s="189"/>
      <c r="E14" s="189"/>
      <c r="F14" s="189"/>
      <c r="G14" s="75">
        <f>ROUND(D13+G13,-3)</f>
        <v>801000</v>
      </c>
      <c r="H14" s="135"/>
      <c r="I14" s="127"/>
    </row>
    <row r="15" spans="1:9" x14ac:dyDescent="0.25">
      <c r="A15" s="131" t="s">
        <v>128</v>
      </c>
      <c r="B15" s="132">
        <v>13500</v>
      </c>
      <c r="C15" s="120">
        <f>'Number of Respondents'!B31</f>
        <v>0</v>
      </c>
      <c r="D15" s="132">
        <f>+B15*C15</f>
        <v>0</v>
      </c>
      <c r="E15" s="132">
        <v>1350</v>
      </c>
      <c r="F15" s="120">
        <f>'Number of Respondents'!C34+C15</f>
        <v>40</v>
      </c>
      <c r="G15" s="133">
        <f>+E15*F15</f>
        <v>54000</v>
      </c>
      <c r="H15" s="135"/>
      <c r="I15" s="127"/>
    </row>
    <row r="16" spans="1:9" x14ac:dyDescent="0.25">
      <c r="A16" s="189" t="s">
        <v>150</v>
      </c>
      <c r="B16" s="189"/>
      <c r="C16" s="189"/>
      <c r="D16" s="189"/>
      <c r="E16" s="189"/>
      <c r="F16" s="189"/>
      <c r="G16" s="75">
        <f>ROUND(D15+G15,-2)</f>
        <v>54000</v>
      </c>
      <c r="H16" s="135"/>
      <c r="I16" s="127"/>
    </row>
    <row r="17" spans="1:10" x14ac:dyDescent="0.25">
      <c r="A17" s="131" t="s">
        <v>129</v>
      </c>
      <c r="B17" s="132">
        <v>13500</v>
      </c>
      <c r="C17" s="120">
        <f>'Number of Respondents'!B36</f>
        <v>0</v>
      </c>
      <c r="D17" s="132">
        <f>+B17*C17</f>
        <v>0</v>
      </c>
      <c r="E17" s="132">
        <v>1350</v>
      </c>
      <c r="F17" s="120">
        <f>'Number of Respondents'!C39+C17</f>
        <v>136</v>
      </c>
      <c r="G17" s="133">
        <f>+E17*F17</f>
        <v>183600</v>
      </c>
      <c r="H17" s="135"/>
      <c r="I17" s="127"/>
    </row>
    <row r="18" spans="1:10" x14ac:dyDescent="0.25">
      <c r="A18" s="189" t="s">
        <v>150</v>
      </c>
      <c r="B18" s="189"/>
      <c r="C18" s="189"/>
      <c r="D18" s="189"/>
      <c r="E18" s="189"/>
      <c r="F18" s="189"/>
      <c r="G18" s="75">
        <f>ROUND(D17+G17,-3)</f>
        <v>184000</v>
      </c>
      <c r="H18" s="135"/>
      <c r="I18" s="127"/>
    </row>
    <row r="19" spans="1:10" x14ac:dyDescent="0.25">
      <c r="A19" s="131" t="s">
        <v>130</v>
      </c>
      <c r="B19" s="132">
        <v>25000</v>
      </c>
      <c r="C19" s="120">
        <f>'Number of Respondents'!B41</f>
        <v>0</v>
      </c>
      <c r="D19" s="132">
        <f>+B19*C19</f>
        <v>0</v>
      </c>
      <c r="E19" s="132">
        <v>500</v>
      </c>
      <c r="F19" s="120">
        <f>'Number of Respondents'!C44+C19</f>
        <v>74</v>
      </c>
      <c r="G19" s="133">
        <f>+E19*F19</f>
        <v>37000</v>
      </c>
      <c r="H19" s="135"/>
      <c r="I19" s="127"/>
    </row>
    <row r="20" spans="1:10" x14ac:dyDescent="0.25">
      <c r="A20" s="189" t="s">
        <v>150</v>
      </c>
      <c r="B20" s="189"/>
      <c r="C20" s="189"/>
      <c r="D20" s="189"/>
      <c r="E20" s="189"/>
      <c r="F20" s="189"/>
      <c r="G20" s="75">
        <f>ROUND(D19+G19,-2)</f>
        <v>37000</v>
      </c>
      <c r="H20" s="135"/>
      <c r="I20" s="127"/>
    </row>
    <row r="21" spans="1:10" x14ac:dyDescent="0.25">
      <c r="A21" s="131" t="s">
        <v>131</v>
      </c>
      <c r="B21" s="132">
        <v>0</v>
      </c>
      <c r="C21" s="120">
        <f>'Number of Respondents'!B46</f>
        <v>0</v>
      </c>
      <c r="D21" s="132">
        <f>+B21*C21</f>
        <v>0</v>
      </c>
      <c r="E21" s="132">
        <v>0</v>
      </c>
      <c r="F21" s="120">
        <f>'Number of Respondents'!C49</f>
        <v>54</v>
      </c>
      <c r="G21" s="133">
        <f>+E21*F21</f>
        <v>0</v>
      </c>
      <c r="H21" s="135"/>
      <c r="I21" s="127"/>
    </row>
    <row r="22" spans="1:10" x14ac:dyDescent="0.25">
      <c r="A22" s="189" t="s">
        <v>150</v>
      </c>
      <c r="B22" s="189"/>
      <c r="C22" s="189"/>
      <c r="D22" s="189"/>
      <c r="E22" s="189"/>
      <c r="F22" s="189"/>
      <c r="G22" s="75">
        <f>ROUND(D21+G21,-3)</f>
        <v>0</v>
      </c>
      <c r="H22" s="135"/>
      <c r="I22" s="127"/>
    </row>
    <row r="23" spans="1:10" x14ac:dyDescent="0.25">
      <c r="A23" s="131" t="s">
        <v>132</v>
      </c>
      <c r="B23" s="132">
        <v>0</v>
      </c>
      <c r="C23" s="120">
        <f>'Number of Respondents'!B51</f>
        <v>0</v>
      </c>
      <c r="D23" s="132">
        <f>+B23*C23</f>
        <v>0</v>
      </c>
      <c r="E23" s="132">
        <v>0</v>
      </c>
      <c r="F23" s="120">
        <f>'Number of Respondents'!C54</f>
        <v>4</v>
      </c>
      <c r="G23" s="133">
        <f>+E23*F23</f>
        <v>0</v>
      </c>
      <c r="H23" s="135"/>
      <c r="I23" s="127"/>
    </row>
    <row r="24" spans="1:10" x14ac:dyDescent="0.25">
      <c r="A24" s="189" t="s">
        <v>150</v>
      </c>
      <c r="B24" s="189"/>
      <c r="C24" s="189"/>
      <c r="D24" s="189"/>
      <c r="E24" s="189"/>
      <c r="F24" s="189"/>
      <c r="G24" s="75">
        <f>ROUND(D23+G23,-3)</f>
        <v>0</v>
      </c>
      <c r="H24" s="135"/>
      <c r="I24" s="127"/>
    </row>
    <row r="25" spans="1:10" x14ac:dyDescent="0.25">
      <c r="A25" s="131" t="s">
        <v>133</v>
      </c>
      <c r="B25" s="132">
        <v>0</v>
      </c>
      <c r="C25" s="120">
        <f>'Number of Respondents'!B56</f>
        <v>0</v>
      </c>
      <c r="D25" s="132">
        <f>+B25*C25</f>
        <v>0</v>
      </c>
      <c r="E25" s="132">
        <v>0</v>
      </c>
      <c r="F25" s="120">
        <f>'Number of Respondents'!C59</f>
        <v>67</v>
      </c>
      <c r="G25" s="133">
        <f>+E25*F25</f>
        <v>0</v>
      </c>
      <c r="H25" s="135"/>
      <c r="I25" s="127"/>
    </row>
    <row r="26" spans="1:10" x14ac:dyDescent="0.25">
      <c r="A26" s="189" t="s">
        <v>150</v>
      </c>
      <c r="B26" s="189"/>
      <c r="C26" s="189"/>
      <c r="D26" s="189"/>
      <c r="E26" s="189"/>
      <c r="F26" s="189"/>
      <c r="G26" s="75">
        <f>ROUND(D25+G25,-3)</f>
        <v>0</v>
      </c>
      <c r="H26" s="135"/>
      <c r="I26" s="127"/>
    </row>
    <row r="27" spans="1:10" x14ac:dyDescent="0.25">
      <c r="A27" s="131" t="s">
        <v>391</v>
      </c>
      <c r="B27" s="132">
        <v>0</v>
      </c>
      <c r="C27" s="121">
        <v>0</v>
      </c>
      <c r="D27" s="132">
        <f>+B27*C27</f>
        <v>0</v>
      </c>
      <c r="E27" s="132">
        <v>0</v>
      </c>
      <c r="F27" s="121">
        <v>0</v>
      </c>
      <c r="G27" s="133">
        <f>+E27*F27</f>
        <v>0</v>
      </c>
      <c r="H27" s="135"/>
      <c r="I27" s="127"/>
      <c r="J27" s="85"/>
    </row>
    <row r="28" spans="1:10" x14ac:dyDescent="0.25">
      <c r="A28" s="189" t="s">
        <v>150</v>
      </c>
      <c r="B28" s="189"/>
      <c r="C28" s="189"/>
      <c r="D28" s="189"/>
      <c r="E28" s="189"/>
      <c r="F28" s="189"/>
      <c r="G28" s="75">
        <f>ROUND(D27+G27,-3)</f>
        <v>0</v>
      </c>
      <c r="H28" s="135"/>
      <c r="I28" s="127"/>
    </row>
    <row r="29" spans="1:10" x14ac:dyDescent="0.25">
      <c r="A29" s="131" t="s">
        <v>392</v>
      </c>
      <c r="B29" s="132">
        <v>25000</v>
      </c>
      <c r="C29" s="149">
        <f>'Number of Respondents'!B64</f>
        <v>0.66666666666666663</v>
      </c>
      <c r="D29" s="132">
        <f>+B29*C29</f>
        <v>16666.666666666664</v>
      </c>
      <c r="E29" s="132">
        <v>275000</v>
      </c>
      <c r="F29" s="121">
        <f>'Number of Respondents'!C64+C29</f>
        <v>211</v>
      </c>
      <c r="G29" s="133">
        <f>+E29*F29</f>
        <v>58025000</v>
      </c>
      <c r="H29" s="135"/>
      <c r="I29" s="127"/>
    </row>
    <row r="30" spans="1:10" x14ac:dyDescent="0.25">
      <c r="A30" s="189" t="s">
        <v>150</v>
      </c>
      <c r="B30" s="189"/>
      <c r="C30" s="189"/>
      <c r="D30" s="189"/>
      <c r="E30" s="189"/>
      <c r="F30" s="189"/>
      <c r="G30" s="75">
        <f>ROUND(D29+G29,-5)</f>
        <v>58000000</v>
      </c>
      <c r="H30" s="135"/>
      <c r="I30" s="127"/>
    </row>
    <row r="31" spans="1:10" ht="16.5" x14ac:dyDescent="0.25">
      <c r="A31" s="131" t="s">
        <v>541</v>
      </c>
      <c r="B31" s="132">
        <v>1400</v>
      </c>
      <c r="C31" s="149">
        <f>'Number of Respondents'!B64</f>
        <v>0.66666666666666663</v>
      </c>
      <c r="D31" s="132">
        <f>+B31*5</f>
        <v>7000</v>
      </c>
      <c r="E31" s="132">
        <v>0</v>
      </c>
      <c r="F31" s="121">
        <v>0</v>
      </c>
      <c r="G31" s="133">
        <f>+E31*F31</f>
        <v>0</v>
      </c>
      <c r="H31" s="135"/>
      <c r="I31" s="127"/>
    </row>
    <row r="32" spans="1:10" x14ac:dyDescent="0.25">
      <c r="A32" s="189" t="s">
        <v>150</v>
      </c>
      <c r="B32" s="189"/>
      <c r="C32" s="189"/>
      <c r="D32" s="189"/>
      <c r="E32" s="189"/>
      <c r="F32" s="189"/>
      <c r="G32" s="75">
        <f>ROUND(D31+G31,-1)</f>
        <v>7000</v>
      </c>
      <c r="H32" s="135"/>
      <c r="I32" s="127"/>
    </row>
    <row r="33" spans="1:10" x14ac:dyDescent="0.25">
      <c r="A33" s="131" t="s">
        <v>393</v>
      </c>
      <c r="B33" s="132">
        <v>0</v>
      </c>
      <c r="C33" s="121">
        <v>0</v>
      </c>
      <c r="D33" s="132">
        <f>+B33*C33</f>
        <v>0</v>
      </c>
      <c r="E33" s="132">
        <v>0</v>
      </c>
      <c r="F33" s="121">
        <v>0</v>
      </c>
      <c r="G33" s="133">
        <f>+E33*F33</f>
        <v>0</v>
      </c>
      <c r="H33" s="135"/>
      <c r="I33" s="127"/>
    </row>
    <row r="34" spans="1:10" x14ac:dyDescent="0.25">
      <c r="A34" s="189" t="s">
        <v>150</v>
      </c>
      <c r="B34" s="189"/>
      <c r="C34" s="189"/>
      <c r="D34" s="189"/>
      <c r="E34" s="189"/>
      <c r="F34" s="189"/>
      <c r="G34" s="75">
        <f>ROUND(D33+G33,-5)</f>
        <v>0</v>
      </c>
      <c r="H34" s="135"/>
      <c r="I34" s="127"/>
    </row>
    <row r="35" spans="1:10" x14ac:dyDescent="0.25">
      <c r="A35" s="131" t="s">
        <v>394</v>
      </c>
      <c r="B35" s="132">
        <v>0</v>
      </c>
      <c r="C35" s="121">
        <v>0</v>
      </c>
      <c r="D35" s="132">
        <f>+B35*C35</f>
        <v>0</v>
      </c>
      <c r="E35" s="132">
        <v>275000</v>
      </c>
      <c r="F35" s="148">
        <f>'Number of Respondents'!C64*0.1</f>
        <v>21.033333333333335</v>
      </c>
      <c r="G35" s="133">
        <f>+E35*F35</f>
        <v>5784166.666666667</v>
      </c>
      <c r="H35" s="135"/>
      <c r="I35" s="127"/>
    </row>
    <row r="36" spans="1:10" x14ac:dyDescent="0.25">
      <c r="A36" s="189" t="s">
        <v>150</v>
      </c>
      <c r="B36" s="189"/>
      <c r="C36" s="189"/>
      <c r="D36" s="189"/>
      <c r="E36" s="189"/>
      <c r="F36" s="189"/>
      <c r="G36" s="75">
        <f>ROUND(D35+G35,-4)</f>
        <v>5780000</v>
      </c>
      <c r="H36" s="135"/>
      <c r="I36" s="127"/>
    </row>
    <row r="37" spans="1:10" x14ac:dyDescent="0.25">
      <c r="A37" s="131" t="s">
        <v>395</v>
      </c>
      <c r="B37" s="132">
        <v>0</v>
      </c>
      <c r="C37" s="121">
        <v>0</v>
      </c>
      <c r="D37" s="132">
        <f>+B37*C37</f>
        <v>0</v>
      </c>
      <c r="E37" s="132">
        <v>0</v>
      </c>
      <c r="F37" s="121">
        <f>'Table 8'!B18</f>
        <v>6</v>
      </c>
      <c r="G37" s="133">
        <f>+E37*F37</f>
        <v>0</v>
      </c>
      <c r="H37" s="135"/>
      <c r="I37" s="127"/>
    </row>
    <row r="38" spans="1:10" x14ac:dyDescent="0.25">
      <c r="A38" s="189" t="s">
        <v>150</v>
      </c>
      <c r="B38" s="189"/>
      <c r="C38" s="189"/>
      <c r="D38" s="189"/>
      <c r="E38" s="189"/>
      <c r="F38" s="189"/>
      <c r="G38" s="75">
        <f>ROUND(D37+G37,-5)</f>
        <v>0</v>
      </c>
      <c r="H38" s="6"/>
    </row>
    <row r="39" spans="1:10" ht="16.5" x14ac:dyDescent="0.25">
      <c r="A39" s="190" t="s">
        <v>550</v>
      </c>
      <c r="B39" s="191"/>
      <c r="C39" s="191"/>
      <c r="D39" s="191"/>
      <c r="E39" s="191"/>
      <c r="F39" s="192"/>
      <c r="G39" s="75">
        <f>ROUND(G6+G8+G10+G12+G14+G16+G18+G20+G22+G24+G26+G28+G30+G32+G34+G36,-5)</f>
        <v>65200000</v>
      </c>
      <c r="H39" s="64"/>
      <c r="I39" s="64"/>
      <c r="J39" s="127"/>
    </row>
    <row r="40" spans="1:10" x14ac:dyDescent="0.25">
      <c r="A40" s="6"/>
      <c r="B40" s="67"/>
      <c r="C40" s="65"/>
      <c r="D40" s="67"/>
      <c r="E40" s="67"/>
      <c r="F40" s="65"/>
      <c r="G40" s="67"/>
      <c r="H40" s="64"/>
      <c r="I40" s="130"/>
    </row>
    <row r="41" spans="1:10" ht="32.25" customHeight="1" x14ac:dyDescent="0.25">
      <c r="A41" s="161" t="s">
        <v>540</v>
      </c>
      <c r="B41" s="161"/>
      <c r="C41" s="161"/>
      <c r="D41" s="161"/>
      <c r="E41" s="161"/>
      <c r="F41" s="161"/>
      <c r="G41" s="161"/>
      <c r="H41" s="6"/>
    </row>
    <row r="42" spans="1:10" ht="48.75" customHeight="1" x14ac:dyDescent="0.25">
      <c r="A42" s="161" t="s">
        <v>542</v>
      </c>
      <c r="B42" s="161"/>
      <c r="C42" s="161"/>
      <c r="D42" s="161"/>
      <c r="E42" s="161"/>
      <c r="F42" s="161"/>
      <c r="G42" s="161"/>
      <c r="H42" s="6"/>
    </row>
    <row r="43" spans="1:10" ht="16.5" x14ac:dyDescent="0.25">
      <c r="A43" s="6" t="s">
        <v>549</v>
      </c>
      <c r="B43" s="67"/>
      <c r="C43" s="65"/>
      <c r="D43" s="67"/>
      <c r="E43" s="67"/>
      <c r="F43" s="65"/>
      <c r="G43" s="64"/>
      <c r="H43" s="6"/>
    </row>
    <row r="44" spans="1:10" x14ac:dyDescent="0.25">
      <c r="A44" s="6"/>
      <c r="B44" s="67"/>
      <c r="C44" s="65"/>
      <c r="D44" s="67"/>
      <c r="E44" s="67"/>
      <c r="F44" s="65"/>
      <c r="G44" s="64"/>
      <c r="H44" s="6"/>
    </row>
    <row r="45" spans="1:10" x14ac:dyDescent="0.25">
      <c r="A45" s="6"/>
      <c r="B45" s="67"/>
      <c r="C45" s="65"/>
      <c r="D45" s="67"/>
      <c r="E45" s="67"/>
      <c r="F45" s="65"/>
      <c r="G45" s="64"/>
      <c r="H45" s="6"/>
    </row>
    <row r="46" spans="1:10" x14ac:dyDescent="0.25">
      <c r="A46" s="6"/>
      <c r="B46" s="67"/>
      <c r="C46" s="65"/>
      <c r="D46" s="67"/>
      <c r="E46" s="67"/>
      <c r="F46" s="65"/>
      <c r="G46" s="64"/>
      <c r="H46" s="6"/>
    </row>
    <row r="47" spans="1:10" x14ac:dyDescent="0.25">
      <c r="A47" s="6"/>
      <c r="B47" s="67"/>
      <c r="C47" s="65"/>
      <c r="D47" s="67"/>
      <c r="E47" s="67"/>
      <c r="F47" s="65"/>
      <c r="G47" s="64"/>
      <c r="H47" s="6"/>
    </row>
    <row r="48" spans="1:10" x14ac:dyDescent="0.25">
      <c r="A48" s="6"/>
      <c r="B48" s="67"/>
      <c r="C48" s="65"/>
      <c r="D48" s="67"/>
      <c r="E48" s="67"/>
      <c r="F48" s="65"/>
      <c r="G48" s="64"/>
      <c r="H48" s="6"/>
    </row>
    <row r="49" spans="1:8" x14ac:dyDescent="0.25">
      <c r="A49" s="6"/>
      <c r="B49" s="67"/>
      <c r="C49" s="65"/>
      <c r="D49" s="67"/>
      <c r="E49" s="67"/>
      <c r="F49" s="65"/>
      <c r="G49" s="64"/>
      <c r="H49" s="6"/>
    </row>
    <row r="50" spans="1:8" x14ac:dyDescent="0.25">
      <c r="A50" s="6"/>
      <c r="B50" s="67"/>
      <c r="C50" s="65"/>
      <c r="D50" s="67"/>
      <c r="E50" s="67"/>
      <c r="F50" s="65"/>
      <c r="G50" s="64"/>
      <c r="H50" s="6"/>
    </row>
    <row r="51" spans="1:8" x14ac:dyDescent="0.25">
      <c r="A51" s="6"/>
      <c r="B51" s="67"/>
      <c r="C51" s="65"/>
      <c r="D51" s="67"/>
      <c r="E51" s="67"/>
      <c r="F51" s="65"/>
      <c r="G51" s="64"/>
      <c r="H51" s="6"/>
    </row>
    <row r="52" spans="1:8" x14ac:dyDescent="0.25">
      <c r="A52" s="6"/>
      <c r="B52" s="67"/>
      <c r="C52" s="65"/>
      <c r="D52" s="67"/>
      <c r="E52" s="67"/>
      <c r="F52" s="65"/>
      <c r="G52" s="64"/>
      <c r="H52" s="6"/>
    </row>
    <row r="53" spans="1:8" x14ac:dyDescent="0.25">
      <c r="A53" s="6"/>
      <c r="B53" s="67"/>
      <c r="C53" s="65"/>
      <c r="D53" s="67"/>
      <c r="E53" s="67"/>
      <c r="F53" s="65"/>
      <c r="G53" s="64"/>
      <c r="H53" s="6"/>
    </row>
    <row r="54" spans="1:8" x14ac:dyDescent="0.25">
      <c r="A54" s="6"/>
      <c r="B54" s="67"/>
      <c r="C54" s="65"/>
      <c r="D54" s="67"/>
      <c r="E54" s="67"/>
      <c r="F54" s="65"/>
      <c r="G54" s="64"/>
      <c r="H54" s="6"/>
    </row>
    <row r="55" spans="1:8" x14ac:dyDescent="0.25">
      <c r="A55" s="6"/>
      <c r="B55" s="67"/>
      <c r="C55" s="65"/>
      <c r="D55" s="67"/>
      <c r="E55" s="67"/>
      <c r="F55" s="65"/>
      <c r="G55" s="64"/>
      <c r="H55" s="6"/>
    </row>
    <row r="56" spans="1:8" x14ac:dyDescent="0.25">
      <c r="A56" s="6"/>
      <c r="B56" s="67"/>
      <c r="C56" s="65"/>
      <c r="D56" s="67"/>
      <c r="E56" s="67"/>
      <c r="F56" s="65"/>
      <c r="G56" s="64"/>
      <c r="H56" s="6"/>
    </row>
    <row r="57" spans="1:8" x14ac:dyDescent="0.25">
      <c r="A57" s="6"/>
      <c r="B57" s="67"/>
      <c r="C57" s="65"/>
      <c r="D57" s="67"/>
      <c r="E57" s="67"/>
      <c r="F57" s="65"/>
      <c r="G57" s="64"/>
      <c r="H57" s="6"/>
    </row>
    <row r="58" spans="1:8" x14ac:dyDescent="0.25">
      <c r="A58" s="6"/>
      <c r="B58" s="67"/>
      <c r="C58" s="65"/>
      <c r="D58" s="67"/>
      <c r="E58" s="67"/>
      <c r="F58" s="65"/>
      <c r="G58" s="64"/>
      <c r="H58" s="6"/>
    </row>
    <row r="59" spans="1:8" x14ac:dyDescent="0.25">
      <c r="A59" s="6"/>
      <c r="B59" s="67"/>
      <c r="C59" s="65"/>
      <c r="D59" s="67"/>
      <c r="E59" s="67"/>
      <c r="F59" s="65"/>
      <c r="G59" s="64"/>
      <c r="H59" s="6"/>
    </row>
    <row r="60" spans="1:8" x14ac:dyDescent="0.25">
      <c r="A60" s="6"/>
      <c r="B60" s="67"/>
      <c r="C60" s="65"/>
      <c r="D60" s="67"/>
      <c r="E60" s="67"/>
      <c r="F60" s="65"/>
      <c r="G60" s="64"/>
      <c r="H60" s="6"/>
    </row>
    <row r="61" spans="1:8" x14ac:dyDescent="0.25">
      <c r="A61" s="6"/>
      <c r="B61" s="67"/>
      <c r="C61" s="65"/>
      <c r="D61" s="67"/>
      <c r="E61" s="67"/>
      <c r="F61" s="65"/>
      <c r="G61" s="64"/>
      <c r="H61" s="6"/>
    </row>
    <row r="62" spans="1:8" x14ac:dyDescent="0.25">
      <c r="A62" s="6"/>
      <c r="B62" s="67"/>
      <c r="C62" s="65"/>
      <c r="D62" s="67"/>
      <c r="E62" s="67"/>
      <c r="F62" s="65"/>
      <c r="G62" s="64"/>
      <c r="H62" s="6"/>
    </row>
    <row r="63" spans="1:8" x14ac:dyDescent="0.25">
      <c r="A63" s="6"/>
      <c r="B63" s="67"/>
      <c r="C63" s="65"/>
      <c r="D63" s="67"/>
      <c r="E63" s="67"/>
      <c r="F63" s="65"/>
      <c r="G63" s="64"/>
      <c r="H63" s="6"/>
    </row>
    <row r="64" spans="1:8" x14ac:dyDescent="0.25">
      <c r="A64" s="6"/>
      <c r="B64" s="67"/>
      <c r="C64" s="65"/>
      <c r="D64" s="67"/>
      <c r="E64" s="67"/>
      <c r="F64" s="65"/>
      <c r="G64" s="64"/>
      <c r="H64" s="6"/>
    </row>
    <row r="65" spans="1:8" x14ac:dyDescent="0.25">
      <c r="A65" s="6"/>
      <c r="B65" s="67"/>
      <c r="C65" s="65"/>
      <c r="D65" s="67"/>
      <c r="E65" s="67"/>
      <c r="F65" s="65"/>
      <c r="G65" s="64"/>
      <c r="H65" s="6"/>
    </row>
    <row r="66" spans="1:8" x14ac:dyDescent="0.25">
      <c r="A66" s="6"/>
      <c r="B66" s="67"/>
      <c r="C66" s="65"/>
      <c r="D66" s="67"/>
      <c r="E66" s="67"/>
      <c r="F66" s="65"/>
      <c r="G66" s="64"/>
      <c r="H66" s="6"/>
    </row>
    <row r="67" spans="1:8" x14ac:dyDescent="0.25">
      <c r="A67" s="6"/>
      <c r="B67" s="67"/>
      <c r="C67" s="65"/>
      <c r="D67" s="67"/>
      <c r="E67" s="67"/>
      <c r="F67" s="65"/>
      <c r="G67" s="64"/>
      <c r="H67" s="6"/>
    </row>
    <row r="68" spans="1:8" x14ac:dyDescent="0.25">
      <c r="A68" s="6"/>
      <c r="B68" s="67"/>
      <c r="C68" s="65"/>
      <c r="D68" s="67"/>
      <c r="E68" s="67"/>
      <c r="F68" s="65"/>
      <c r="G68" s="64"/>
      <c r="H68" s="6"/>
    </row>
    <row r="69" spans="1:8" x14ac:dyDescent="0.25">
      <c r="A69" s="6"/>
      <c r="B69" s="67"/>
      <c r="C69" s="65"/>
      <c r="D69" s="67"/>
      <c r="E69" s="67"/>
      <c r="F69" s="65"/>
      <c r="G69" s="64"/>
      <c r="H69" s="6"/>
    </row>
    <row r="70" spans="1:8" x14ac:dyDescent="0.25">
      <c r="A70" s="6"/>
      <c r="B70" s="67"/>
      <c r="C70" s="65"/>
      <c r="D70" s="67"/>
      <c r="E70" s="67"/>
      <c r="F70" s="65"/>
      <c r="G70" s="64"/>
      <c r="H70" s="6"/>
    </row>
    <row r="71" spans="1:8" x14ac:dyDescent="0.25">
      <c r="A71" s="6"/>
      <c r="B71" s="67"/>
      <c r="C71" s="65"/>
      <c r="D71" s="67"/>
      <c r="E71" s="67"/>
      <c r="F71" s="65"/>
      <c r="G71" s="64"/>
      <c r="H71" s="6"/>
    </row>
    <row r="72" spans="1:8" x14ac:dyDescent="0.25">
      <c r="A72" s="6"/>
      <c r="B72" s="67"/>
      <c r="C72" s="65"/>
      <c r="D72" s="67"/>
      <c r="E72" s="67"/>
      <c r="F72" s="65"/>
      <c r="G72" s="64"/>
      <c r="H72" s="6"/>
    </row>
    <row r="73" spans="1:8" x14ac:dyDescent="0.25">
      <c r="A73" s="6"/>
      <c r="B73" s="67"/>
      <c r="C73" s="65"/>
      <c r="D73" s="67"/>
      <c r="E73" s="67"/>
      <c r="F73" s="65"/>
      <c r="G73" s="64"/>
      <c r="H73" s="6"/>
    </row>
    <row r="74" spans="1:8" x14ac:dyDescent="0.25">
      <c r="A74" s="6"/>
      <c r="B74" s="67"/>
      <c r="C74" s="65"/>
      <c r="D74" s="67"/>
      <c r="E74" s="67"/>
      <c r="F74" s="65"/>
      <c r="G74" s="64"/>
      <c r="H74" s="6"/>
    </row>
    <row r="75" spans="1:8" x14ac:dyDescent="0.25">
      <c r="A75" s="6"/>
      <c r="B75" s="67"/>
      <c r="C75" s="65"/>
      <c r="D75" s="67"/>
      <c r="E75" s="67"/>
      <c r="F75" s="65"/>
      <c r="G75" s="64"/>
      <c r="H75" s="6"/>
    </row>
    <row r="76" spans="1:8" x14ac:dyDescent="0.25">
      <c r="A76" s="6"/>
      <c r="B76" s="67"/>
      <c r="C76" s="65"/>
      <c r="D76" s="67"/>
      <c r="E76" s="67"/>
      <c r="F76" s="65"/>
      <c r="G76" s="64"/>
      <c r="H76" s="6"/>
    </row>
    <row r="77" spans="1:8" x14ac:dyDescent="0.25">
      <c r="A77" s="6"/>
      <c r="B77" s="67"/>
      <c r="C77" s="65"/>
      <c r="D77" s="67"/>
      <c r="E77" s="67"/>
      <c r="F77" s="65"/>
      <c r="G77" s="64"/>
      <c r="H77" s="6"/>
    </row>
    <row r="78" spans="1:8" x14ac:dyDescent="0.25">
      <c r="A78" s="6"/>
      <c r="B78" s="67"/>
      <c r="C78" s="65"/>
      <c r="D78" s="67"/>
      <c r="E78" s="67"/>
      <c r="F78" s="65"/>
      <c r="G78" s="64"/>
      <c r="H78" s="6"/>
    </row>
    <row r="79" spans="1:8" x14ac:dyDescent="0.25">
      <c r="A79" s="6"/>
      <c r="B79" s="67"/>
      <c r="C79" s="65"/>
      <c r="D79" s="67"/>
      <c r="E79" s="67"/>
      <c r="F79" s="65"/>
      <c r="G79" s="64"/>
      <c r="H79" s="6"/>
    </row>
    <row r="80" spans="1:8" x14ac:dyDescent="0.25">
      <c r="A80" s="6"/>
      <c r="B80" s="67"/>
      <c r="C80" s="65"/>
      <c r="D80" s="67"/>
      <c r="E80" s="67"/>
      <c r="F80" s="65"/>
      <c r="G80" s="64"/>
      <c r="H80" s="6"/>
    </row>
    <row r="81" spans="1:8" x14ac:dyDescent="0.25">
      <c r="A81" s="6"/>
      <c r="B81" s="67"/>
      <c r="C81" s="65"/>
      <c r="D81" s="67"/>
      <c r="E81" s="67"/>
      <c r="F81" s="65"/>
      <c r="G81" s="64"/>
      <c r="H81" s="6"/>
    </row>
    <row r="82" spans="1:8" x14ac:dyDescent="0.25">
      <c r="A82" s="6"/>
      <c r="B82" s="67"/>
      <c r="C82" s="65"/>
      <c r="D82" s="67"/>
      <c r="E82" s="67"/>
      <c r="F82" s="65"/>
      <c r="G82" s="64"/>
      <c r="H82" s="6"/>
    </row>
    <row r="83" spans="1:8" x14ac:dyDescent="0.25">
      <c r="A83" s="6"/>
      <c r="B83" s="67"/>
      <c r="C83" s="65"/>
      <c r="D83" s="67"/>
      <c r="E83" s="67"/>
      <c r="F83" s="65"/>
      <c r="G83" s="64"/>
      <c r="H83" s="6"/>
    </row>
    <row r="84" spans="1:8" x14ac:dyDescent="0.25">
      <c r="A84" s="6"/>
      <c r="B84" s="67"/>
      <c r="C84" s="65"/>
      <c r="D84" s="67"/>
      <c r="E84" s="67"/>
      <c r="F84" s="65"/>
      <c r="G84" s="64"/>
      <c r="H84" s="6"/>
    </row>
    <row r="85" spans="1:8" x14ac:dyDescent="0.25">
      <c r="A85" s="6"/>
      <c r="B85" s="67"/>
      <c r="C85" s="65"/>
      <c r="D85" s="67"/>
      <c r="E85" s="67"/>
      <c r="F85" s="65"/>
      <c r="G85" s="64"/>
      <c r="H85" s="6"/>
    </row>
    <row r="86" spans="1:8" x14ac:dyDescent="0.25">
      <c r="A86" s="6"/>
      <c r="B86" s="67"/>
      <c r="C86" s="65"/>
      <c r="D86" s="67"/>
      <c r="E86" s="67"/>
      <c r="F86" s="65"/>
      <c r="G86" s="64"/>
      <c r="H86" s="6"/>
    </row>
    <row r="87" spans="1:8" x14ac:dyDescent="0.25">
      <c r="A87" s="6"/>
      <c r="B87" s="67"/>
      <c r="C87" s="65"/>
      <c r="D87" s="67"/>
      <c r="E87" s="67"/>
      <c r="F87" s="65"/>
      <c r="G87" s="64"/>
      <c r="H87" s="6"/>
    </row>
    <row r="88" spans="1:8" x14ac:dyDescent="0.25">
      <c r="A88" s="6"/>
      <c r="B88" s="67"/>
      <c r="C88" s="65"/>
      <c r="D88" s="67"/>
      <c r="E88" s="67"/>
      <c r="F88" s="65"/>
      <c r="G88" s="64"/>
      <c r="H88" s="6"/>
    </row>
    <row r="89" spans="1:8" x14ac:dyDescent="0.25">
      <c r="A89" s="6"/>
      <c r="B89" s="67"/>
      <c r="C89" s="65"/>
      <c r="D89" s="67"/>
      <c r="E89" s="67"/>
      <c r="F89" s="65"/>
      <c r="G89" s="64"/>
      <c r="H89" s="6"/>
    </row>
    <row r="90" spans="1:8" x14ac:dyDescent="0.25">
      <c r="A90" s="6"/>
      <c r="B90" s="67"/>
      <c r="C90" s="65"/>
      <c r="D90" s="67"/>
      <c r="E90" s="67"/>
      <c r="F90" s="65"/>
      <c r="G90" s="64"/>
      <c r="H90" s="6"/>
    </row>
    <row r="91" spans="1:8" x14ac:dyDescent="0.25">
      <c r="A91" s="6"/>
      <c r="B91" s="67"/>
      <c r="C91" s="65"/>
      <c r="D91" s="67"/>
      <c r="E91" s="67"/>
      <c r="F91" s="65"/>
      <c r="G91" s="64"/>
      <c r="H91" s="6"/>
    </row>
    <row r="92" spans="1:8" x14ac:dyDescent="0.25">
      <c r="A92" s="6"/>
      <c r="B92" s="67"/>
      <c r="C92" s="65"/>
      <c r="D92" s="67"/>
      <c r="E92" s="67"/>
      <c r="F92" s="65"/>
      <c r="G92" s="64"/>
      <c r="H92" s="6"/>
    </row>
    <row r="93" spans="1:8" x14ac:dyDescent="0.25">
      <c r="A93" s="6"/>
      <c r="B93" s="67"/>
      <c r="C93" s="65"/>
      <c r="D93" s="67"/>
      <c r="E93" s="67"/>
      <c r="F93" s="65"/>
      <c r="G93" s="64"/>
      <c r="H93" s="6"/>
    </row>
    <row r="94" spans="1:8" x14ac:dyDescent="0.25">
      <c r="A94" s="6"/>
      <c r="B94" s="67"/>
      <c r="C94" s="65"/>
      <c r="D94" s="67"/>
      <c r="E94" s="67"/>
      <c r="F94" s="65"/>
      <c r="G94" s="64"/>
      <c r="H94" s="6"/>
    </row>
    <row r="95" spans="1:8" x14ac:dyDescent="0.25">
      <c r="A95" s="6"/>
      <c r="B95" s="67"/>
      <c r="C95" s="65"/>
      <c r="D95" s="67"/>
      <c r="E95" s="67"/>
      <c r="F95" s="65"/>
      <c r="G95" s="64"/>
      <c r="H95" s="6"/>
    </row>
    <row r="96" spans="1:8" x14ac:dyDescent="0.25">
      <c r="A96" s="6"/>
      <c r="B96" s="67"/>
      <c r="C96" s="65"/>
      <c r="D96" s="67"/>
      <c r="E96" s="67"/>
      <c r="F96" s="65"/>
      <c r="G96" s="64"/>
      <c r="H96" s="6"/>
    </row>
    <row r="97" spans="1:8" x14ac:dyDescent="0.25">
      <c r="A97" s="6"/>
      <c r="B97" s="67"/>
      <c r="C97" s="65"/>
      <c r="D97" s="67"/>
      <c r="E97" s="67"/>
      <c r="F97" s="65"/>
      <c r="G97" s="64"/>
      <c r="H97" s="6"/>
    </row>
    <row r="98" spans="1:8" x14ac:dyDescent="0.25">
      <c r="A98" s="6"/>
      <c r="B98" s="67"/>
      <c r="C98" s="65"/>
      <c r="D98" s="67"/>
      <c r="E98" s="67"/>
      <c r="F98" s="65"/>
      <c r="G98" s="64"/>
      <c r="H98" s="6"/>
    </row>
    <row r="99" spans="1:8" x14ac:dyDescent="0.25">
      <c r="A99" s="6"/>
      <c r="B99" s="67"/>
      <c r="C99" s="65"/>
      <c r="D99" s="67"/>
      <c r="E99" s="67"/>
      <c r="F99" s="65"/>
      <c r="G99" s="64"/>
      <c r="H99" s="6"/>
    </row>
    <row r="100" spans="1:8" x14ac:dyDescent="0.25">
      <c r="A100" s="6"/>
      <c r="B100" s="67"/>
      <c r="C100" s="65"/>
      <c r="D100" s="67"/>
      <c r="E100" s="67"/>
      <c r="F100" s="65"/>
      <c r="G100" s="64"/>
      <c r="H100" s="6"/>
    </row>
    <row r="101" spans="1:8" x14ac:dyDescent="0.25">
      <c r="A101" s="6"/>
      <c r="B101" s="67"/>
      <c r="C101" s="65"/>
      <c r="D101" s="67"/>
      <c r="E101" s="67"/>
      <c r="F101" s="65"/>
      <c r="G101" s="64"/>
      <c r="H101" s="6"/>
    </row>
    <row r="102" spans="1:8" x14ac:dyDescent="0.25">
      <c r="A102" s="6"/>
      <c r="B102" s="67"/>
      <c r="C102" s="65"/>
      <c r="D102" s="67"/>
      <c r="E102" s="67"/>
      <c r="F102" s="65"/>
      <c r="G102" s="64"/>
      <c r="H102" s="6"/>
    </row>
    <row r="103" spans="1:8" x14ac:dyDescent="0.25">
      <c r="A103" s="6"/>
      <c r="B103" s="67"/>
      <c r="C103" s="65"/>
      <c r="D103" s="67"/>
      <c r="E103" s="67"/>
      <c r="F103" s="65"/>
      <c r="G103" s="64"/>
      <c r="H103" s="6"/>
    </row>
    <row r="104" spans="1:8" x14ac:dyDescent="0.25">
      <c r="A104" s="6"/>
      <c r="B104" s="67"/>
      <c r="C104" s="65"/>
      <c r="D104" s="67"/>
      <c r="E104" s="67"/>
      <c r="F104" s="65"/>
      <c r="G104" s="64"/>
      <c r="H104" s="6"/>
    </row>
    <row r="105" spans="1:8" x14ac:dyDescent="0.25">
      <c r="A105" s="6"/>
      <c r="B105" s="67"/>
      <c r="C105" s="65"/>
      <c r="D105" s="67"/>
      <c r="E105" s="67"/>
      <c r="F105" s="65"/>
      <c r="G105" s="64"/>
      <c r="H105" s="6"/>
    </row>
    <row r="106" spans="1:8" x14ac:dyDescent="0.25">
      <c r="A106" s="6"/>
      <c r="B106" s="67"/>
      <c r="C106" s="65"/>
      <c r="D106" s="67"/>
      <c r="E106" s="67"/>
      <c r="F106" s="65"/>
      <c r="G106" s="64"/>
      <c r="H106" s="6"/>
    </row>
    <row r="107" spans="1:8" x14ac:dyDescent="0.25">
      <c r="A107" s="6"/>
      <c r="B107" s="67"/>
      <c r="C107" s="65"/>
      <c r="D107" s="67"/>
      <c r="E107" s="67"/>
      <c r="F107" s="65"/>
      <c r="G107" s="64"/>
      <c r="H107" s="6"/>
    </row>
    <row r="108" spans="1:8" x14ac:dyDescent="0.25">
      <c r="A108" s="6"/>
      <c r="B108" s="67"/>
      <c r="C108" s="65"/>
      <c r="D108" s="67"/>
      <c r="E108" s="67"/>
      <c r="F108" s="65"/>
      <c r="G108" s="64"/>
      <c r="H108" s="6"/>
    </row>
    <row r="109" spans="1:8" x14ac:dyDescent="0.25">
      <c r="A109" s="6"/>
      <c r="B109" s="67"/>
      <c r="C109" s="65"/>
      <c r="D109" s="67"/>
      <c r="E109" s="67"/>
      <c r="F109" s="65"/>
      <c r="G109" s="64"/>
      <c r="H109" s="6"/>
    </row>
    <row r="110" spans="1:8" x14ac:dyDescent="0.25">
      <c r="A110" s="6"/>
      <c r="B110" s="67"/>
      <c r="C110" s="65"/>
      <c r="D110" s="67"/>
      <c r="E110" s="67"/>
      <c r="F110" s="65"/>
      <c r="G110" s="64"/>
      <c r="H110" s="6"/>
    </row>
    <row r="111" spans="1:8" x14ac:dyDescent="0.25">
      <c r="A111" s="6"/>
      <c r="B111" s="67"/>
      <c r="C111" s="65"/>
      <c r="D111" s="67"/>
      <c r="E111" s="67"/>
      <c r="F111" s="65"/>
      <c r="G111" s="64"/>
      <c r="H111" s="6"/>
    </row>
    <row r="112" spans="1:8" x14ac:dyDescent="0.25">
      <c r="A112" s="6"/>
      <c r="B112" s="67"/>
      <c r="C112" s="65"/>
      <c r="D112" s="67"/>
      <c r="E112" s="67"/>
      <c r="F112" s="65"/>
      <c r="G112" s="64"/>
      <c r="H112" s="6"/>
    </row>
    <row r="113" spans="1:8" x14ac:dyDescent="0.25">
      <c r="A113" s="6"/>
      <c r="B113" s="67"/>
      <c r="C113" s="65"/>
      <c r="D113" s="67"/>
      <c r="E113" s="67"/>
      <c r="F113" s="65"/>
      <c r="G113" s="64"/>
      <c r="H113" s="6"/>
    </row>
    <row r="114" spans="1:8" x14ac:dyDescent="0.25">
      <c r="A114" s="6"/>
      <c r="B114" s="67"/>
      <c r="C114" s="65"/>
      <c r="D114" s="67"/>
      <c r="E114" s="67"/>
      <c r="F114" s="65"/>
      <c r="G114" s="64"/>
      <c r="H114" s="6"/>
    </row>
    <row r="115" spans="1:8" x14ac:dyDescent="0.25">
      <c r="A115" s="6"/>
      <c r="B115" s="67"/>
      <c r="C115" s="65"/>
      <c r="D115" s="67"/>
      <c r="E115" s="67"/>
      <c r="F115" s="65"/>
      <c r="G115" s="64"/>
      <c r="H115" s="6"/>
    </row>
    <row r="116" spans="1:8" x14ac:dyDescent="0.25">
      <c r="A116" s="6"/>
      <c r="B116" s="65"/>
      <c r="C116" s="65"/>
      <c r="D116" s="65"/>
      <c r="E116" s="67"/>
      <c r="F116" s="65"/>
      <c r="G116" s="64"/>
      <c r="H116" s="6"/>
    </row>
    <row r="117" spans="1:8" x14ac:dyDescent="0.25">
      <c r="A117" s="6"/>
      <c r="B117" s="65"/>
      <c r="C117" s="65"/>
      <c r="D117" s="65"/>
      <c r="E117" s="67"/>
      <c r="F117" s="65"/>
      <c r="G117" s="64"/>
      <c r="H117" s="6"/>
    </row>
    <row r="118" spans="1:8" x14ac:dyDescent="0.25">
      <c r="A118" s="6"/>
      <c r="B118" s="65"/>
      <c r="C118" s="65"/>
      <c r="D118" s="65"/>
      <c r="E118" s="67"/>
      <c r="F118" s="65"/>
      <c r="G118" s="64"/>
      <c r="H118" s="6"/>
    </row>
    <row r="119" spans="1:8" x14ac:dyDescent="0.25">
      <c r="A119" s="6"/>
      <c r="B119" s="65"/>
      <c r="C119" s="65"/>
      <c r="D119" s="65"/>
      <c r="E119" s="67"/>
      <c r="F119" s="65"/>
      <c r="G119" s="64"/>
      <c r="H119" s="6"/>
    </row>
    <row r="120" spans="1:8" x14ac:dyDescent="0.25">
      <c r="A120" s="6"/>
      <c r="B120" s="65"/>
      <c r="C120" s="65"/>
      <c r="D120" s="65"/>
      <c r="E120" s="67"/>
      <c r="F120" s="65"/>
      <c r="G120" s="64"/>
      <c r="H120" s="6"/>
    </row>
    <row r="121" spans="1:8" x14ac:dyDescent="0.25">
      <c r="A121" s="6"/>
      <c r="B121" s="65"/>
      <c r="C121" s="65"/>
      <c r="D121" s="65"/>
      <c r="E121" s="67"/>
      <c r="F121" s="65"/>
      <c r="G121" s="64"/>
      <c r="H121" s="6"/>
    </row>
    <row r="122" spans="1:8" x14ac:dyDescent="0.25">
      <c r="A122" s="6"/>
      <c r="B122" s="65"/>
      <c r="C122" s="65"/>
      <c r="D122" s="65"/>
      <c r="E122" s="67"/>
      <c r="F122" s="65"/>
      <c r="G122" s="64"/>
      <c r="H122" s="6"/>
    </row>
    <row r="123" spans="1:8" x14ac:dyDescent="0.25">
      <c r="A123" s="6"/>
      <c r="B123" s="65"/>
      <c r="C123" s="65"/>
      <c r="D123" s="65"/>
      <c r="E123" s="67"/>
      <c r="F123" s="65"/>
      <c r="G123" s="64"/>
      <c r="H123" s="6"/>
    </row>
    <row r="124" spans="1:8" x14ac:dyDescent="0.25">
      <c r="A124" s="6"/>
      <c r="B124" s="65"/>
      <c r="C124" s="65"/>
      <c r="D124" s="65"/>
      <c r="E124" s="67"/>
      <c r="F124" s="65"/>
      <c r="G124" s="64"/>
      <c r="H124" s="6"/>
    </row>
    <row r="125" spans="1:8" x14ac:dyDescent="0.25">
      <c r="A125" s="6"/>
      <c r="B125" s="65"/>
      <c r="C125" s="65"/>
      <c r="D125" s="65"/>
      <c r="E125" s="65"/>
      <c r="F125" s="65"/>
      <c r="G125" s="64"/>
      <c r="H125" s="6"/>
    </row>
    <row r="126" spans="1:8" x14ac:dyDescent="0.25">
      <c r="A126" s="6"/>
      <c r="B126" s="65"/>
      <c r="C126" s="65"/>
      <c r="D126" s="65"/>
      <c r="E126" s="65"/>
      <c r="F126" s="65"/>
      <c r="G126" s="64"/>
      <c r="H126" s="6"/>
    </row>
    <row r="127" spans="1:8" x14ac:dyDescent="0.25">
      <c r="A127" s="6"/>
      <c r="B127" s="65"/>
      <c r="C127" s="65"/>
      <c r="D127" s="65"/>
      <c r="E127" s="65"/>
      <c r="F127" s="65"/>
      <c r="G127" s="64"/>
      <c r="H127" s="6"/>
    </row>
    <row r="128" spans="1:8" x14ac:dyDescent="0.25">
      <c r="A128" s="6"/>
      <c r="B128" s="65"/>
      <c r="C128" s="65"/>
      <c r="D128" s="65"/>
      <c r="E128" s="65"/>
      <c r="F128" s="65"/>
      <c r="G128" s="64"/>
      <c r="H128" s="6"/>
    </row>
    <row r="129" spans="1:8" x14ac:dyDescent="0.25">
      <c r="A129" s="6"/>
      <c r="B129" s="65"/>
      <c r="C129" s="65"/>
      <c r="D129" s="65"/>
      <c r="E129" s="65"/>
      <c r="F129" s="65"/>
      <c r="G129" s="64"/>
      <c r="H129" s="6"/>
    </row>
    <row r="130" spans="1:8" x14ac:dyDescent="0.25">
      <c r="A130" s="6"/>
      <c r="B130" s="65"/>
      <c r="C130" s="65"/>
      <c r="D130" s="65"/>
      <c r="E130" s="65"/>
      <c r="F130" s="65"/>
      <c r="G130" s="64"/>
      <c r="H130" s="6"/>
    </row>
    <row r="131" spans="1:8" x14ac:dyDescent="0.25">
      <c r="A131" s="6"/>
      <c r="B131" s="65"/>
      <c r="C131" s="65"/>
      <c r="D131" s="65"/>
      <c r="E131" s="65"/>
      <c r="F131" s="65"/>
      <c r="G131" s="64"/>
      <c r="H131" s="6"/>
    </row>
    <row r="132" spans="1:8" x14ac:dyDescent="0.25">
      <c r="A132" s="6"/>
      <c r="B132" s="65"/>
      <c r="C132" s="65"/>
      <c r="D132" s="65"/>
      <c r="E132" s="65"/>
      <c r="F132" s="65"/>
      <c r="G132" s="64"/>
      <c r="H132" s="6"/>
    </row>
    <row r="133" spans="1:8" x14ac:dyDescent="0.25">
      <c r="A133" s="6"/>
      <c r="B133" s="65"/>
      <c r="C133" s="65"/>
      <c r="D133" s="65"/>
      <c r="E133" s="65"/>
      <c r="F133" s="65"/>
      <c r="G133" s="64"/>
      <c r="H133" s="6"/>
    </row>
    <row r="134" spans="1:8" x14ac:dyDescent="0.25">
      <c r="A134" s="6"/>
      <c r="B134" s="65"/>
      <c r="C134" s="65"/>
      <c r="D134" s="65"/>
      <c r="E134" s="65"/>
      <c r="F134" s="65"/>
      <c r="G134" s="64"/>
      <c r="H134" s="6"/>
    </row>
    <row r="135" spans="1:8" x14ac:dyDescent="0.25">
      <c r="A135" s="6"/>
      <c r="B135" s="65"/>
      <c r="C135" s="65"/>
      <c r="D135" s="65"/>
      <c r="E135" s="65"/>
      <c r="F135" s="65"/>
      <c r="G135" s="64"/>
      <c r="H135" s="6"/>
    </row>
    <row r="136" spans="1:8" x14ac:dyDescent="0.25">
      <c r="A136" s="6"/>
      <c r="B136" s="65"/>
      <c r="C136" s="65"/>
      <c r="D136" s="65"/>
      <c r="E136" s="65"/>
      <c r="F136" s="65"/>
      <c r="G136" s="64"/>
      <c r="H136" s="6"/>
    </row>
    <row r="137" spans="1:8" x14ac:dyDescent="0.25">
      <c r="A137" s="6"/>
      <c r="B137" s="65"/>
      <c r="C137" s="65"/>
      <c r="D137" s="65"/>
      <c r="E137" s="65"/>
      <c r="F137" s="65"/>
      <c r="G137" s="64"/>
      <c r="H137" s="6"/>
    </row>
    <row r="138" spans="1:8" x14ac:dyDescent="0.25">
      <c r="A138" s="6"/>
      <c r="B138" s="65"/>
      <c r="C138" s="65"/>
      <c r="D138" s="65"/>
      <c r="E138" s="65"/>
      <c r="F138" s="65"/>
      <c r="G138" s="64"/>
      <c r="H138" s="6"/>
    </row>
    <row r="139" spans="1:8" x14ac:dyDescent="0.25">
      <c r="A139" s="6"/>
      <c r="B139" s="65"/>
      <c r="C139" s="65"/>
      <c r="D139" s="65"/>
      <c r="E139" s="65"/>
      <c r="F139" s="65"/>
      <c r="G139" s="64"/>
      <c r="H139" s="6"/>
    </row>
    <row r="140" spans="1:8" x14ac:dyDescent="0.25">
      <c r="A140" s="6"/>
      <c r="B140" s="65"/>
      <c r="C140" s="65"/>
      <c r="D140" s="65"/>
      <c r="E140" s="65"/>
      <c r="F140" s="65"/>
      <c r="G140" s="64"/>
      <c r="H140" s="6"/>
    </row>
    <row r="141" spans="1:8" x14ac:dyDescent="0.25">
      <c r="A141" s="6"/>
      <c r="B141" s="65"/>
      <c r="C141" s="65"/>
      <c r="D141" s="65"/>
      <c r="E141" s="65"/>
      <c r="F141" s="65"/>
      <c r="G141" s="64"/>
      <c r="H141" s="6"/>
    </row>
    <row r="142" spans="1:8" x14ac:dyDescent="0.25">
      <c r="A142" s="6"/>
      <c r="B142" s="65"/>
      <c r="C142" s="65"/>
      <c r="D142" s="65"/>
      <c r="E142" s="65"/>
      <c r="F142" s="65"/>
      <c r="G142" s="64"/>
      <c r="H142" s="6"/>
    </row>
    <row r="143" spans="1:8" x14ac:dyDescent="0.25">
      <c r="A143" s="6"/>
      <c r="B143" s="65"/>
      <c r="C143" s="65"/>
      <c r="D143" s="65"/>
      <c r="E143" s="65"/>
      <c r="F143" s="65"/>
      <c r="G143" s="64"/>
      <c r="H143" s="6"/>
    </row>
    <row r="144" spans="1:8" x14ac:dyDescent="0.25">
      <c r="A144" s="6"/>
      <c r="B144" s="65"/>
      <c r="C144" s="65"/>
      <c r="D144" s="65"/>
      <c r="E144" s="65"/>
      <c r="F144" s="65"/>
      <c r="G144" s="64"/>
      <c r="H144" s="6"/>
    </row>
    <row r="145" spans="1:8" x14ac:dyDescent="0.25">
      <c r="A145" s="6"/>
      <c r="B145" s="65"/>
      <c r="C145" s="65"/>
      <c r="D145" s="65"/>
      <c r="E145" s="65"/>
      <c r="F145" s="65"/>
      <c r="G145" s="64"/>
      <c r="H145" s="6"/>
    </row>
    <row r="146" spans="1:8" x14ac:dyDescent="0.25">
      <c r="A146" s="6"/>
      <c r="B146" s="65"/>
      <c r="C146" s="65"/>
      <c r="D146" s="65"/>
      <c r="E146" s="65"/>
      <c r="F146" s="65"/>
      <c r="G146" s="64"/>
      <c r="H146" s="6"/>
    </row>
    <row r="147" spans="1:8" x14ac:dyDescent="0.25">
      <c r="A147" s="6"/>
      <c r="B147" s="65"/>
      <c r="C147" s="65"/>
      <c r="D147" s="65"/>
      <c r="E147" s="65"/>
      <c r="F147" s="65"/>
      <c r="G147" s="64"/>
      <c r="H147" s="6"/>
    </row>
    <row r="148" spans="1:8" x14ac:dyDescent="0.25">
      <c r="A148" s="6"/>
      <c r="B148" s="65"/>
      <c r="C148" s="65"/>
      <c r="D148" s="65"/>
      <c r="E148" s="65"/>
      <c r="F148" s="65"/>
      <c r="G148" s="64"/>
      <c r="H148" s="6"/>
    </row>
    <row r="149" spans="1:8" x14ac:dyDescent="0.25">
      <c r="A149" s="6"/>
      <c r="B149" s="65"/>
      <c r="C149" s="65"/>
      <c r="D149" s="65"/>
      <c r="E149" s="65"/>
      <c r="F149" s="65"/>
      <c r="G149" s="64"/>
      <c r="H149" s="6"/>
    </row>
    <row r="150" spans="1:8" x14ac:dyDescent="0.25">
      <c r="A150" s="6"/>
      <c r="B150" s="65"/>
      <c r="C150" s="65"/>
      <c r="D150" s="65"/>
      <c r="E150" s="65"/>
      <c r="F150" s="65"/>
      <c r="G150" s="64"/>
      <c r="H150" s="6"/>
    </row>
    <row r="151" spans="1:8" x14ac:dyDescent="0.25">
      <c r="A151" s="6"/>
      <c r="B151" s="65"/>
      <c r="C151" s="65"/>
      <c r="D151" s="65"/>
      <c r="E151" s="65"/>
      <c r="F151" s="65"/>
      <c r="G151" s="64"/>
      <c r="H151" s="6"/>
    </row>
    <row r="152" spans="1:8" x14ac:dyDescent="0.25">
      <c r="A152" s="6"/>
      <c r="B152" s="65"/>
      <c r="C152" s="65"/>
      <c r="D152" s="65"/>
      <c r="E152" s="65"/>
      <c r="F152" s="65"/>
      <c r="G152" s="64"/>
      <c r="H152" s="6"/>
    </row>
    <row r="153" spans="1:8" x14ac:dyDescent="0.25">
      <c r="A153" s="6"/>
      <c r="B153" s="65"/>
      <c r="C153" s="65"/>
      <c r="D153" s="65"/>
      <c r="E153" s="65"/>
      <c r="F153" s="65"/>
      <c r="G153" s="64"/>
      <c r="H153" s="6"/>
    </row>
    <row r="154" spans="1:8" x14ac:dyDescent="0.25">
      <c r="A154" s="6"/>
      <c r="B154" s="65"/>
      <c r="C154" s="65"/>
      <c r="D154" s="65"/>
      <c r="E154" s="65"/>
      <c r="F154" s="65"/>
      <c r="G154" s="64"/>
      <c r="H154" s="6"/>
    </row>
    <row r="155" spans="1:8" x14ac:dyDescent="0.25">
      <c r="A155" s="6"/>
      <c r="B155" s="65"/>
      <c r="C155" s="65"/>
      <c r="D155" s="65"/>
      <c r="E155" s="65"/>
      <c r="F155" s="65"/>
      <c r="G155" s="64"/>
      <c r="H155" s="6"/>
    </row>
    <row r="156" spans="1:8" x14ac:dyDescent="0.25">
      <c r="A156" s="6"/>
      <c r="B156" s="65"/>
      <c r="C156" s="65"/>
      <c r="D156" s="65"/>
      <c r="E156" s="65"/>
      <c r="F156" s="65"/>
      <c r="G156" s="64"/>
      <c r="H156" s="6"/>
    </row>
    <row r="157" spans="1:8" x14ac:dyDescent="0.25">
      <c r="A157" s="6"/>
      <c r="B157" s="65"/>
      <c r="C157" s="65"/>
      <c r="D157" s="65"/>
      <c r="E157" s="65"/>
      <c r="F157" s="65"/>
      <c r="G157" s="64"/>
      <c r="H157" s="6"/>
    </row>
    <row r="158" spans="1:8" x14ac:dyDescent="0.25">
      <c r="A158" s="6"/>
      <c r="B158" s="65"/>
      <c r="C158" s="65"/>
      <c r="D158" s="65"/>
      <c r="E158" s="65"/>
      <c r="F158" s="65"/>
      <c r="G158" s="64"/>
      <c r="H158" s="6"/>
    </row>
    <row r="159" spans="1:8" x14ac:dyDescent="0.25">
      <c r="A159" s="6"/>
      <c r="B159" s="65"/>
      <c r="C159" s="65"/>
      <c r="D159" s="65"/>
      <c r="E159" s="65"/>
      <c r="F159" s="65"/>
      <c r="G159" s="64"/>
      <c r="H159" s="6"/>
    </row>
    <row r="160" spans="1:8" x14ac:dyDescent="0.25">
      <c r="A160" s="6"/>
      <c r="B160" s="65"/>
      <c r="C160" s="65"/>
      <c r="D160" s="65"/>
      <c r="E160" s="65"/>
      <c r="F160" s="65"/>
      <c r="G160" s="64"/>
      <c r="H160" s="6"/>
    </row>
    <row r="161" spans="1:8" x14ac:dyDescent="0.25">
      <c r="A161" s="6"/>
      <c r="B161" s="65"/>
      <c r="C161" s="65"/>
      <c r="D161" s="65"/>
      <c r="E161" s="65"/>
      <c r="F161" s="65"/>
      <c r="G161" s="64"/>
      <c r="H161" s="6"/>
    </row>
    <row r="162" spans="1:8" x14ac:dyDescent="0.25">
      <c r="A162" s="6"/>
      <c r="B162" s="65"/>
      <c r="C162" s="65"/>
      <c r="D162" s="65"/>
      <c r="E162" s="65"/>
      <c r="F162" s="65"/>
      <c r="G162" s="64"/>
      <c r="H162" s="6"/>
    </row>
    <row r="163" spans="1:8" x14ac:dyDescent="0.25">
      <c r="A163" s="6"/>
      <c r="B163" s="65"/>
      <c r="C163" s="65"/>
      <c r="D163" s="65"/>
      <c r="E163" s="65"/>
      <c r="F163" s="65"/>
      <c r="G163" s="6"/>
      <c r="H163" s="6"/>
    </row>
    <row r="164" spans="1:8" x14ac:dyDescent="0.25">
      <c r="A164" s="6"/>
      <c r="B164" s="65"/>
      <c r="C164" s="65"/>
      <c r="D164" s="65"/>
      <c r="E164" s="65"/>
      <c r="F164" s="65"/>
      <c r="G164" s="6"/>
      <c r="H164" s="6"/>
    </row>
    <row r="165" spans="1:8" x14ac:dyDescent="0.25">
      <c r="A165" s="6"/>
      <c r="B165" s="65"/>
      <c r="C165" s="65"/>
      <c r="D165" s="65"/>
      <c r="E165" s="65"/>
      <c r="F165" s="65"/>
      <c r="G165" s="6"/>
      <c r="H165" s="6"/>
    </row>
  </sheetData>
  <mergeCells count="20">
    <mergeCell ref="A20:F20"/>
    <mergeCell ref="A6:F6"/>
    <mergeCell ref="A8:F8"/>
    <mergeCell ref="A10:F10"/>
    <mergeCell ref="A12:F12"/>
    <mergeCell ref="A14:F14"/>
    <mergeCell ref="A16:F16"/>
    <mergeCell ref="A18:F18"/>
    <mergeCell ref="A41:G41"/>
    <mergeCell ref="A42:G42"/>
    <mergeCell ref="A22:F22"/>
    <mergeCell ref="A24:F24"/>
    <mergeCell ref="A26:F26"/>
    <mergeCell ref="A28:F28"/>
    <mergeCell ref="A30:F30"/>
    <mergeCell ref="A32:F32"/>
    <mergeCell ref="A39:F39"/>
    <mergeCell ref="A34:F34"/>
    <mergeCell ref="A36:F36"/>
    <mergeCell ref="A38:F38"/>
  </mergeCells>
  <pageMargins left="0.7" right="0.7" top="0.75" bottom="0.75" header="0.3" footer="0.3"/>
  <pageSetup orientation="portrait"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B341-AEF7-4AE8-84B9-5407B7857556}">
  <dimension ref="A1:H11"/>
  <sheetViews>
    <sheetView workbookViewId="0">
      <selection activeCell="A13" sqref="A13"/>
    </sheetView>
  </sheetViews>
  <sheetFormatPr defaultRowHeight="15" x14ac:dyDescent="0.25"/>
  <cols>
    <col min="2" max="2" width="10.85546875" customWidth="1"/>
    <col min="5" max="5" width="11" customWidth="1"/>
  </cols>
  <sheetData>
    <row r="1" spans="1:8" x14ac:dyDescent="0.25">
      <c r="A1" s="73" t="s">
        <v>422</v>
      </c>
    </row>
    <row r="2" spans="1:8" x14ac:dyDescent="0.25">
      <c r="A2" s="73"/>
    </row>
    <row r="3" spans="1:8" x14ac:dyDescent="0.25">
      <c r="A3" s="193" t="s">
        <v>417</v>
      </c>
      <c r="B3" s="193"/>
      <c r="C3" s="193"/>
    </row>
    <row r="4" spans="1:8" x14ac:dyDescent="0.25">
      <c r="A4" s="119" t="s">
        <v>421</v>
      </c>
      <c r="B4" s="119" t="s">
        <v>420</v>
      </c>
      <c r="C4" s="119" t="s">
        <v>419</v>
      </c>
    </row>
    <row r="5" spans="1:8" x14ac:dyDescent="0.25">
      <c r="A5" s="83">
        <v>130.28</v>
      </c>
      <c r="B5" s="83">
        <v>163.16999999999999</v>
      </c>
      <c r="C5" s="83">
        <v>65.709999999999994</v>
      </c>
    </row>
    <row r="6" spans="1:8" ht="130.5" customHeight="1" x14ac:dyDescent="0.25">
      <c r="A6" s="194" t="s">
        <v>551</v>
      </c>
      <c r="B6" s="194"/>
      <c r="C6" s="194"/>
      <c r="D6" s="194"/>
      <c r="E6" s="194"/>
      <c r="F6" s="194"/>
      <c r="G6" s="194"/>
      <c r="H6" s="194"/>
    </row>
    <row r="8" spans="1:8" x14ac:dyDescent="0.25">
      <c r="A8" s="193" t="s">
        <v>418</v>
      </c>
      <c r="B8" s="193"/>
      <c r="C8" s="193"/>
    </row>
    <row r="9" spans="1:8" x14ac:dyDescent="0.25">
      <c r="A9" s="119" t="s">
        <v>421</v>
      </c>
      <c r="B9" s="119" t="s">
        <v>420</v>
      </c>
      <c r="C9" s="119" t="s">
        <v>419</v>
      </c>
    </row>
    <row r="10" spans="1:8" x14ac:dyDescent="0.25">
      <c r="A10" s="83">
        <v>54.51</v>
      </c>
      <c r="B10" s="83">
        <v>73.459999999999994</v>
      </c>
      <c r="C10" s="83">
        <v>29.5</v>
      </c>
    </row>
    <row r="11" spans="1:8" ht="110.25" customHeight="1" x14ac:dyDescent="0.25">
      <c r="A11" s="194" t="s">
        <v>495</v>
      </c>
      <c r="B11" s="194"/>
      <c r="C11" s="194"/>
      <c r="D11" s="194"/>
      <c r="E11" s="194"/>
      <c r="F11" s="194"/>
      <c r="G11" s="194"/>
      <c r="H11" s="194"/>
    </row>
  </sheetData>
  <mergeCells count="4">
    <mergeCell ref="A3:C3"/>
    <mergeCell ref="A8:C8"/>
    <mergeCell ref="A6:H6"/>
    <mergeCell ref="A11:H11"/>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election activeCell="B26" sqref="B26"/>
    </sheetView>
  </sheetViews>
  <sheetFormatPr defaultRowHeight="15" x14ac:dyDescent="0.25"/>
  <cols>
    <col min="1" max="1" width="38.42578125" customWidth="1"/>
  </cols>
  <sheetData>
    <row r="1" spans="1:1" ht="15.75" x14ac:dyDescent="0.25">
      <c r="A1" s="1" t="s">
        <v>0</v>
      </c>
    </row>
    <row r="2" spans="1:1" ht="15.75" thickBot="1" x14ac:dyDescent="0.3"/>
    <row r="3" spans="1:1" ht="15.75" x14ac:dyDescent="0.25">
      <c r="A3" s="3" t="s">
        <v>1</v>
      </c>
    </row>
    <row r="4" spans="1:1" ht="15.75" x14ac:dyDescent="0.25">
      <c r="A4" s="2" t="s">
        <v>2</v>
      </c>
    </row>
    <row r="5" spans="1:1" ht="15.75" x14ac:dyDescent="0.25">
      <c r="A5" s="2" t="s">
        <v>3</v>
      </c>
    </row>
    <row r="6" spans="1:1" ht="15.75" x14ac:dyDescent="0.25">
      <c r="A6" s="2" t="s">
        <v>4</v>
      </c>
    </row>
    <row r="7" spans="1:1" ht="15.75" x14ac:dyDescent="0.25">
      <c r="A7" s="2" t="s">
        <v>5</v>
      </c>
    </row>
    <row r="8" spans="1:1" ht="15.75" x14ac:dyDescent="0.25">
      <c r="A8" s="2" t="s">
        <v>6</v>
      </c>
    </row>
    <row r="9" spans="1:1" ht="15.75" x14ac:dyDescent="0.25">
      <c r="A9" s="2" t="s">
        <v>7</v>
      </c>
    </row>
    <row r="10" spans="1:1" ht="31.5" x14ac:dyDescent="0.25">
      <c r="A10" s="2" t="s">
        <v>8</v>
      </c>
    </row>
    <row r="11" spans="1:1" ht="16.5" thickBot="1" x14ac:dyDescent="0.3">
      <c r="A11" s="4" t="s">
        <v>9</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workbookViewId="0">
      <selection activeCell="A19" sqref="A19"/>
    </sheetView>
  </sheetViews>
  <sheetFormatPr defaultColWidth="9.140625" defaultRowHeight="15" x14ac:dyDescent="0.25"/>
  <cols>
    <col min="1" max="1" width="42.140625" style="63" customWidth="1"/>
    <col min="2" max="3" width="9.140625" style="63"/>
    <col min="4" max="4" width="10.140625" style="63" customWidth="1"/>
    <col min="5" max="6" width="9.140625" style="63" customWidth="1"/>
    <col min="7" max="7" width="10" style="63" customWidth="1"/>
    <col min="8" max="8" width="9.140625" style="63"/>
    <col min="9" max="9" width="11.28515625" style="63" bestFit="1" customWidth="1"/>
    <col min="10" max="16384" width="9.140625" style="63"/>
  </cols>
  <sheetData>
    <row r="1" spans="1:10" ht="15.75" x14ac:dyDescent="0.25">
      <c r="A1" s="5" t="s">
        <v>10</v>
      </c>
    </row>
    <row r="2" spans="1:10" s="6" customFormat="1" ht="12.75" x14ac:dyDescent="0.2">
      <c r="F2" s="86">
        <f>Labor!A10</f>
        <v>54.51</v>
      </c>
      <c r="G2" s="86">
        <f>Labor!B10</f>
        <v>73.459999999999994</v>
      </c>
      <c r="H2" s="86">
        <f>Labor!C10</f>
        <v>29.5</v>
      </c>
      <c r="I2" s="86"/>
    </row>
    <row r="3" spans="1:10" s="6" customFormat="1" ht="12.75" x14ac:dyDescent="0.2">
      <c r="A3" s="162" t="s">
        <v>11</v>
      </c>
      <c r="B3" s="7" t="s">
        <v>19</v>
      </c>
      <c r="C3" s="7" t="s">
        <v>20</v>
      </c>
      <c r="D3" s="7" t="s">
        <v>21</v>
      </c>
      <c r="E3" s="7" t="s">
        <v>22</v>
      </c>
      <c r="F3" s="21" t="s">
        <v>23</v>
      </c>
      <c r="G3" s="7" t="s">
        <v>24</v>
      </c>
      <c r="H3" s="7" t="s">
        <v>25</v>
      </c>
      <c r="I3" s="7" t="s">
        <v>26</v>
      </c>
    </row>
    <row r="4" spans="1:10" s="6" customFormat="1" ht="76.5" x14ac:dyDescent="0.2">
      <c r="A4" s="163"/>
      <c r="B4" s="8" t="s">
        <v>12</v>
      </c>
      <c r="C4" s="8" t="s">
        <v>412</v>
      </c>
      <c r="D4" s="8" t="s">
        <v>18</v>
      </c>
      <c r="E4" s="8" t="s">
        <v>95</v>
      </c>
      <c r="F4" s="8" t="s">
        <v>91</v>
      </c>
      <c r="G4" s="8" t="s">
        <v>92</v>
      </c>
      <c r="H4" s="8" t="s">
        <v>93</v>
      </c>
      <c r="I4" s="8" t="s">
        <v>94</v>
      </c>
    </row>
    <row r="5" spans="1:10" s="6" customFormat="1" ht="12.75" x14ac:dyDescent="0.2">
      <c r="A5" s="9" t="s">
        <v>14</v>
      </c>
      <c r="B5" s="10"/>
      <c r="C5" s="10"/>
      <c r="D5" s="10"/>
      <c r="E5" s="10"/>
      <c r="F5" s="10"/>
      <c r="G5" s="10"/>
      <c r="H5" s="10"/>
      <c r="I5" s="9" t="s">
        <v>15</v>
      </c>
    </row>
    <row r="6" spans="1:10" s="6" customFormat="1" ht="28.5" x14ac:dyDescent="0.2">
      <c r="A6" s="11" t="s">
        <v>416</v>
      </c>
      <c r="B6" s="10">
        <v>2</v>
      </c>
      <c r="C6" s="10">
        <v>1</v>
      </c>
      <c r="D6" s="10">
        <f>B6*C6</f>
        <v>2</v>
      </c>
      <c r="E6" s="10">
        <v>0</v>
      </c>
      <c r="F6" s="10">
        <f>D6*E6</f>
        <v>0</v>
      </c>
      <c r="G6" s="10">
        <f>F6*0.05</f>
        <v>0</v>
      </c>
      <c r="H6" s="10">
        <f>F6*0.1</f>
        <v>0</v>
      </c>
      <c r="I6" s="53" t="s">
        <v>406</v>
      </c>
    </row>
    <row r="7" spans="1:10" s="6" customFormat="1" ht="15.75" x14ac:dyDescent="0.2">
      <c r="A7" s="11" t="s">
        <v>16</v>
      </c>
      <c r="B7" s="10">
        <v>5</v>
      </c>
      <c r="C7" s="10">
        <v>2</v>
      </c>
      <c r="D7" s="10">
        <f t="shared" ref="D7:D8" si="0">B7*C7</f>
        <v>10</v>
      </c>
      <c r="E7" s="13">
        <f>'Table 4'!B21+'Table 4'!B12+'Table 4'!B11+'Table 4'!B13</f>
        <v>94</v>
      </c>
      <c r="F7" s="13">
        <f t="shared" ref="F7:F8" si="1">D7*E7</f>
        <v>940</v>
      </c>
      <c r="G7" s="10">
        <f t="shared" ref="G7:G8" si="2">F7*0.05</f>
        <v>47</v>
      </c>
      <c r="H7" s="10">
        <f t="shared" ref="H7:H8" si="3">F7*0.1</f>
        <v>94</v>
      </c>
      <c r="I7" s="12">
        <f>$F$2*F7+$G$2*G7+$H$2*H7</f>
        <v>57465.020000000004</v>
      </c>
      <c r="J7" s="108"/>
    </row>
    <row r="8" spans="1:10" s="6" customFormat="1" ht="15.75" x14ac:dyDescent="0.2">
      <c r="A8" s="11" t="s">
        <v>17</v>
      </c>
      <c r="B8" s="10">
        <v>4</v>
      </c>
      <c r="C8" s="10">
        <v>1</v>
      </c>
      <c r="D8" s="10">
        <f t="shared" si="0"/>
        <v>4</v>
      </c>
      <c r="E8" s="33">
        <f>'Number of Respondents'!C64*0.1</f>
        <v>21.033333333333335</v>
      </c>
      <c r="F8" s="31">
        <f t="shared" si="1"/>
        <v>84.13333333333334</v>
      </c>
      <c r="G8" s="31">
        <f t="shared" si="2"/>
        <v>4.206666666666667</v>
      </c>
      <c r="H8" s="31">
        <f t="shared" si="3"/>
        <v>8.413333333333334</v>
      </c>
      <c r="I8" s="12">
        <f t="shared" ref="I8" si="4">$F$2*F8+$G$2*G8+$H$2*H8</f>
        <v>5143.3230666666668</v>
      </c>
      <c r="J8" s="84"/>
    </row>
    <row r="9" spans="1:10" s="6" customFormat="1" ht="15" customHeight="1" x14ac:dyDescent="0.2">
      <c r="A9" s="17" t="s">
        <v>475</v>
      </c>
      <c r="B9" s="17"/>
      <c r="C9" s="17"/>
      <c r="D9" s="87"/>
      <c r="E9" s="16"/>
      <c r="F9" s="164">
        <f>ROUND(SUM(F6:H8),-1)</f>
        <v>1180</v>
      </c>
      <c r="G9" s="165"/>
      <c r="H9" s="166"/>
      <c r="I9" s="15">
        <f>ROUND(SUM(I6:I8),-3)</f>
        <v>63000</v>
      </c>
    </row>
    <row r="10" spans="1:10" s="6" customFormat="1" ht="12.75" x14ac:dyDescent="0.2"/>
    <row r="11" spans="1:10" s="6" customFormat="1" ht="12.75" x14ac:dyDescent="0.2">
      <c r="A11" s="27" t="s">
        <v>27</v>
      </c>
    </row>
    <row r="12" spans="1:10" s="6" customFormat="1" ht="58.15" customHeight="1" x14ac:dyDescent="0.2">
      <c r="A12" s="161" t="s">
        <v>494</v>
      </c>
      <c r="B12" s="161"/>
      <c r="C12" s="161"/>
      <c r="D12" s="161"/>
      <c r="E12" s="161"/>
      <c r="F12" s="161"/>
      <c r="G12" s="161"/>
      <c r="H12" s="161"/>
      <c r="I12" s="161"/>
    </row>
    <row r="13" spans="1:10" s="6" customFormat="1" ht="15.75" customHeight="1" x14ac:dyDescent="0.2">
      <c r="A13" s="167" t="s">
        <v>478</v>
      </c>
      <c r="B13" s="167"/>
      <c r="C13" s="167"/>
      <c r="D13" s="167"/>
      <c r="E13" s="167"/>
      <c r="F13" s="167"/>
      <c r="G13" s="167"/>
      <c r="H13" s="167"/>
      <c r="I13" s="167"/>
      <c r="J13" s="84"/>
    </row>
    <row r="14" spans="1:10" s="6" customFormat="1" ht="31.5" customHeight="1" x14ac:dyDescent="0.2">
      <c r="A14" s="161" t="s">
        <v>514</v>
      </c>
      <c r="B14" s="161"/>
      <c r="C14" s="161"/>
      <c r="D14" s="161"/>
      <c r="E14" s="161"/>
      <c r="F14" s="161"/>
      <c r="G14" s="161"/>
      <c r="H14" s="161"/>
      <c r="I14" s="161"/>
    </row>
    <row r="15" spans="1:10" s="6" customFormat="1" ht="18.75" customHeight="1" x14ac:dyDescent="0.2">
      <c r="A15" s="161" t="s">
        <v>498</v>
      </c>
      <c r="B15" s="161"/>
      <c r="C15" s="161"/>
      <c r="D15" s="161"/>
      <c r="E15" s="161"/>
      <c r="F15" s="161"/>
      <c r="G15" s="161"/>
      <c r="H15" s="161"/>
      <c r="I15" s="161"/>
      <c r="J15" s="84"/>
    </row>
    <row r="16" spans="1:10" s="6" customFormat="1" ht="19.5" customHeight="1" x14ac:dyDescent="0.2">
      <c r="A16" s="161" t="s">
        <v>229</v>
      </c>
      <c r="B16" s="161"/>
      <c r="C16" s="161"/>
      <c r="D16" s="161"/>
      <c r="E16" s="161"/>
      <c r="F16" s="161"/>
      <c r="G16" s="161"/>
      <c r="H16" s="161"/>
      <c r="I16" s="161"/>
    </row>
  </sheetData>
  <mergeCells count="7">
    <mergeCell ref="A16:I16"/>
    <mergeCell ref="A15:I15"/>
    <mergeCell ref="A3:A4"/>
    <mergeCell ref="F9:H9"/>
    <mergeCell ref="A12:I12"/>
    <mergeCell ref="A13:I13"/>
    <mergeCell ref="A14:I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
  <sheetViews>
    <sheetView workbookViewId="0">
      <selection activeCell="A13" sqref="A13"/>
    </sheetView>
  </sheetViews>
  <sheetFormatPr defaultColWidth="9.140625" defaultRowHeight="15" x14ac:dyDescent="0.25"/>
  <cols>
    <col min="1" max="1" width="42" style="63" customWidth="1"/>
    <col min="2" max="2" width="10.42578125" style="63" customWidth="1"/>
    <col min="3" max="3" width="9.28515625" style="63" customWidth="1"/>
    <col min="4" max="4" width="9.85546875" style="63" customWidth="1"/>
    <col min="5" max="5" width="10.5703125" style="63" customWidth="1"/>
    <col min="6" max="16384" width="9.140625" style="63"/>
  </cols>
  <sheetData>
    <row r="1" spans="1:10" ht="15.75" x14ac:dyDescent="0.25">
      <c r="A1" s="35" t="s">
        <v>86</v>
      </c>
    </row>
    <row r="2" spans="1:10" s="6" customFormat="1" ht="12.75" x14ac:dyDescent="0.2">
      <c r="F2" s="86">
        <f>Labor!A10</f>
        <v>54.51</v>
      </c>
      <c r="G2" s="86">
        <f>Labor!B10</f>
        <v>73.459999999999994</v>
      </c>
      <c r="H2" s="86">
        <f>Labor!C10</f>
        <v>29.5</v>
      </c>
      <c r="I2" s="86"/>
    </row>
    <row r="3" spans="1:10" s="6" customFormat="1" ht="12.75" x14ac:dyDescent="0.2">
      <c r="A3" s="168" t="s">
        <v>11</v>
      </c>
      <c r="B3" s="7" t="s">
        <v>19</v>
      </c>
      <c r="C3" s="7" t="s">
        <v>20</v>
      </c>
      <c r="D3" s="7" t="s">
        <v>21</v>
      </c>
      <c r="E3" s="7" t="s">
        <v>22</v>
      </c>
      <c r="F3" s="21" t="s">
        <v>23</v>
      </c>
      <c r="G3" s="7" t="s">
        <v>24</v>
      </c>
      <c r="H3" s="7" t="s">
        <v>25</v>
      </c>
      <c r="I3" s="7" t="s">
        <v>26</v>
      </c>
    </row>
    <row r="4" spans="1:10" s="6" customFormat="1" ht="76.5" x14ac:dyDescent="0.2">
      <c r="A4" s="168"/>
      <c r="B4" s="8" t="s">
        <v>88</v>
      </c>
      <c r="C4" s="8" t="s">
        <v>89</v>
      </c>
      <c r="D4" s="8" t="s">
        <v>90</v>
      </c>
      <c r="E4" s="8" t="s">
        <v>81</v>
      </c>
      <c r="F4" s="8" t="s">
        <v>91</v>
      </c>
      <c r="G4" s="8" t="s">
        <v>92</v>
      </c>
      <c r="H4" s="8" t="s">
        <v>93</v>
      </c>
      <c r="I4" s="8" t="s">
        <v>94</v>
      </c>
    </row>
    <row r="5" spans="1:10" s="6" customFormat="1" ht="12.75" x14ac:dyDescent="0.2">
      <c r="A5" s="9" t="s">
        <v>87</v>
      </c>
      <c r="B5" s="10">
        <v>1</v>
      </c>
      <c r="C5" s="10">
        <v>1</v>
      </c>
      <c r="D5" s="10">
        <f>+B5*C5</f>
        <v>1</v>
      </c>
      <c r="E5" s="10">
        <v>6</v>
      </c>
      <c r="F5" s="10">
        <f>+D5*E5</f>
        <v>6</v>
      </c>
      <c r="G5" s="10">
        <f>+F5*0.05</f>
        <v>0.30000000000000004</v>
      </c>
      <c r="H5" s="10">
        <f>+F5*0.1</f>
        <v>0.60000000000000009</v>
      </c>
      <c r="I5" s="12">
        <f>+$F$2*F5+$G$2*G5+$H$2*H5</f>
        <v>366.798</v>
      </c>
      <c r="J5" s="84"/>
    </row>
    <row r="6" spans="1:10" s="6" customFormat="1" ht="15" customHeight="1" x14ac:dyDescent="0.2">
      <c r="A6" s="14" t="s">
        <v>474</v>
      </c>
      <c r="B6" s="14"/>
      <c r="C6" s="14"/>
      <c r="D6" s="14"/>
      <c r="E6" s="14"/>
      <c r="F6" s="169">
        <f>SUM(F5:H5)</f>
        <v>6.9</v>
      </c>
      <c r="G6" s="169"/>
      <c r="H6" s="169"/>
      <c r="I6" s="28">
        <f>I5</f>
        <v>366.798</v>
      </c>
    </row>
    <row r="7" spans="1:10" s="6" customFormat="1" ht="15" customHeight="1" x14ac:dyDescent="0.2">
      <c r="A7" s="36"/>
      <c r="B7" s="36"/>
      <c r="C7" s="36"/>
      <c r="D7" s="36"/>
      <c r="E7" s="36"/>
      <c r="F7" s="37"/>
      <c r="G7" s="37"/>
      <c r="H7" s="37"/>
      <c r="I7" s="38"/>
    </row>
    <row r="8" spans="1:10" s="6" customFormat="1" ht="15" customHeight="1" x14ac:dyDescent="0.2">
      <c r="A8" s="27" t="s">
        <v>27</v>
      </c>
      <c r="B8" s="36"/>
      <c r="C8" s="36"/>
      <c r="D8" s="36"/>
      <c r="E8" s="36"/>
      <c r="F8" s="37"/>
      <c r="G8" s="37"/>
      <c r="H8" s="37"/>
      <c r="I8" s="38"/>
    </row>
    <row r="9" spans="1:10" s="6" customFormat="1" ht="55.9" customHeight="1" x14ac:dyDescent="0.2">
      <c r="A9" s="161" t="s">
        <v>494</v>
      </c>
      <c r="B9" s="161"/>
      <c r="C9" s="161"/>
      <c r="D9" s="161"/>
      <c r="E9" s="161"/>
      <c r="F9" s="161"/>
      <c r="G9" s="161"/>
      <c r="H9" s="161"/>
      <c r="I9" s="161"/>
    </row>
    <row r="10" spans="1:10" s="6" customFormat="1" ht="19.5" customHeight="1" x14ac:dyDescent="0.2">
      <c r="A10" s="161" t="s">
        <v>423</v>
      </c>
      <c r="B10" s="161"/>
      <c r="C10" s="161"/>
      <c r="D10" s="161"/>
      <c r="E10" s="161"/>
      <c r="F10" s="161"/>
      <c r="G10" s="161"/>
      <c r="H10" s="161"/>
      <c r="I10" s="161"/>
    </row>
  </sheetData>
  <mergeCells count="4">
    <mergeCell ref="A3:A4"/>
    <mergeCell ref="F6:H6"/>
    <mergeCell ref="A9:I9"/>
    <mergeCell ref="A10:I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0"/>
  <sheetViews>
    <sheetView zoomScaleNormal="100" workbookViewId="0">
      <pane ySplit="3" topLeftCell="A4" activePane="bottomLeft" state="frozen"/>
      <selection pane="bottomLeft" activeCell="C3" sqref="C3"/>
    </sheetView>
  </sheetViews>
  <sheetFormatPr defaultRowHeight="15" x14ac:dyDescent="0.25"/>
  <cols>
    <col min="1" max="1" width="31.140625" customWidth="1"/>
    <col min="2" max="2" width="30.140625" customWidth="1"/>
    <col min="3" max="3" width="9.42578125" customWidth="1"/>
    <col min="4" max="4" width="9.42578125" style="137" customWidth="1"/>
  </cols>
  <sheetData>
    <row r="1" spans="1:13" x14ac:dyDescent="0.25">
      <c r="A1" s="18" t="s">
        <v>85</v>
      </c>
    </row>
    <row r="2" spans="1:13" x14ac:dyDescent="0.25">
      <c r="A2" s="73"/>
    </row>
    <row r="3" spans="1:13" ht="48.75" customHeight="1" x14ac:dyDescent="0.25">
      <c r="A3" s="19" t="s">
        <v>28</v>
      </c>
      <c r="B3" s="19" t="s">
        <v>29</v>
      </c>
      <c r="C3" s="95"/>
      <c r="D3" s="50"/>
      <c r="E3" s="95"/>
      <c r="F3" s="95"/>
    </row>
    <row r="4" spans="1:13" x14ac:dyDescent="0.25">
      <c r="A4" s="20" t="s">
        <v>30</v>
      </c>
      <c r="B4" s="20"/>
      <c r="C4" s="26"/>
      <c r="D4" s="138" t="s">
        <v>489</v>
      </c>
      <c r="E4" s="26"/>
      <c r="F4" s="26"/>
    </row>
    <row r="5" spans="1:13" x14ac:dyDescent="0.25">
      <c r="A5" s="20" t="s">
        <v>31</v>
      </c>
      <c r="B5" s="20">
        <f>10*50*0.05</f>
        <v>25</v>
      </c>
      <c r="C5" s="145"/>
      <c r="D5" s="138" t="s">
        <v>491</v>
      </c>
      <c r="E5" s="26"/>
      <c r="F5" s="26"/>
    </row>
    <row r="6" spans="1:13" x14ac:dyDescent="0.25">
      <c r="A6" s="20" t="s">
        <v>32</v>
      </c>
      <c r="B6" s="20">
        <f>3500*0.05</f>
        <v>175</v>
      </c>
      <c r="C6" s="145"/>
      <c r="D6" s="138" t="s">
        <v>492</v>
      </c>
      <c r="E6" s="26"/>
      <c r="F6" s="26"/>
    </row>
    <row r="7" spans="1:13" x14ac:dyDescent="0.25">
      <c r="A7" s="20" t="s">
        <v>33</v>
      </c>
      <c r="B7" s="20">
        <f>ROUND(4*0.05,0)</f>
        <v>0</v>
      </c>
      <c r="C7" s="145"/>
      <c r="D7" s="138" t="s">
        <v>509</v>
      </c>
      <c r="E7" s="26"/>
      <c r="F7" s="26"/>
    </row>
    <row r="8" spans="1:13" x14ac:dyDescent="0.25">
      <c r="A8" s="20" t="s">
        <v>34</v>
      </c>
      <c r="B8" s="20"/>
      <c r="C8" s="136"/>
      <c r="D8" s="138" t="s">
        <v>490</v>
      </c>
      <c r="E8" s="26"/>
      <c r="F8" s="26"/>
    </row>
    <row r="9" spans="1:13" x14ac:dyDescent="0.25">
      <c r="A9" s="20" t="s">
        <v>35</v>
      </c>
      <c r="B9" s="20">
        <v>0</v>
      </c>
      <c r="C9" s="145"/>
      <c r="D9" s="138" t="s">
        <v>510</v>
      </c>
      <c r="E9" s="26"/>
      <c r="F9" s="26"/>
    </row>
    <row r="10" spans="1:13" x14ac:dyDescent="0.25">
      <c r="A10" s="20" t="s">
        <v>36</v>
      </c>
      <c r="B10" s="20"/>
      <c r="C10" s="136"/>
      <c r="D10" s="138" t="s">
        <v>511</v>
      </c>
      <c r="E10" s="26"/>
      <c r="F10" s="26"/>
    </row>
    <row r="11" spans="1:13" x14ac:dyDescent="0.25">
      <c r="A11" s="20" t="s">
        <v>37</v>
      </c>
      <c r="B11" s="20">
        <f>ROUND(19*0.1/0.25,0)</f>
        <v>8</v>
      </c>
      <c r="C11" s="145"/>
      <c r="D11" s="171" t="s">
        <v>512</v>
      </c>
      <c r="E11" s="171"/>
      <c r="F11" s="171"/>
      <c r="G11" s="171"/>
      <c r="H11" s="171"/>
      <c r="I11" s="171"/>
      <c r="J11" s="171"/>
      <c r="K11" s="171"/>
      <c r="L11" s="171"/>
      <c r="M11" s="171"/>
    </row>
    <row r="12" spans="1:13" x14ac:dyDescent="0.25">
      <c r="A12" s="20" t="s">
        <v>38</v>
      </c>
      <c r="B12" s="20">
        <f>ROUND((23/0.05/170)*'Number of Respondents'!F19*0.05,0)</f>
        <v>23</v>
      </c>
      <c r="C12" s="144"/>
      <c r="D12" s="171"/>
      <c r="E12" s="171"/>
      <c r="F12" s="171"/>
      <c r="G12" s="171"/>
      <c r="H12" s="171"/>
      <c r="I12" s="171"/>
      <c r="J12" s="171"/>
      <c r="K12" s="171"/>
      <c r="L12" s="171"/>
      <c r="M12" s="171"/>
    </row>
    <row r="13" spans="1:13" x14ac:dyDescent="0.25">
      <c r="A13" s="20" t="s">
        <v>39</v>
      </c>
      <c r="B13" s="20">
        <v>0</v>
      </c>
      <c r="C13" s="144"/>
      <c r="E13" s="26"/>
      <c r="F13" s="26"/>
    </row>
    <row r="14" spans="1:13" x14ac:dyDescent="0.25">
      <c r="A14" s="20" t="s">
        <v>40</v>
      </c>
      <c r="B14" s="20"/>
      <c r="C14" s="26"/>
      <c r="D14" s="136"/>
      <c r="E14" s="26"/>
      <c r="F14" s="26"/>
    </row>
    <row r="15" spans="1:13" x14ac:dyDescent="0.25">
      <c r="A15" s="20" t="s">
        <v>41</v>
      </c>
      <c r="B15" s="20">
        <f>ROUND((2/39/0.05)*'Number of Respondents'!F34*0.05,0)</f>
        <v>2</v>
      </c>
      <c r="C15" s="145"/>
      <c r="D15" s="136"/>
      <c r="E15" s="26"/>
      <c r="F15" s="26"/>
    </row>
    <row r="16" spans="1:13" x14ac:dyDescent="0.25">
      <c r="A16" s="20" t="s">
        <v>42</v>
      </c>
      <c r="B16" s="20">
        <f>ROUND((4/0.05/127)*'Number of Respondents'!F39*0.05,0)</f>
        <v>4</v>
      </c>
      <c r="C16" s="145"/>
      <c r="D16" s="136"/>
      <c r="E16" s="26"/>
      <c r="F16" s="26"/>
    </row>
    <row r="17" spans="1:6" x14ac:dyDescent="0.25">
      <c r="A17" s="20" t="s">
        <v>43</v>
      </c>
      <c r="B17" s="20">
        <f>ROUND((2/0.05/69)*'Number of Respondents'!F44*0.05,0)</f>
        <v>2</v>
      </c>
      <c r="C17" s="145"/>
      <c r="D17" s="136"/>
      <c r="E17" s="26"/>
      <c r="F17" s="26"/>
    </row>
    <row r="18" spans="1:6" x14ac:dyDescent="0.25">
      <c r="A18" s="20" t="s">
        <v>44</v>
      </c>
      <c r="B18" s="20">
        <f>ROUND((3/0.05/78)*'Number of Respondents'!F29*0.05,0)</f>
        <v>4</v>
      </c>
      <c r="C18" s="146"/>
      <c r="D18" s="136"/>
      <c r="E18" s="26"/>
      <c r="F18" s="26"/>
    </row>
    <row r="19" spans="1:6" x14ac:dyDescent="0.25">
      <c r="A19" s="20" t="s">
        <v>45</v>
      </c>
      <c r="B19" s="20">
        <f>ROUND((463/0.25/185)*'Number of Respondents'!F64*0.1,0)</f>
        <v>211</v>
      </c>
      <c r="C19" s="145"/>
      <c r="D19" s="136"/>
      <c r="E19" s="26"/>
      <c r="F19" s="26"/>
    </row>
    <row r="20" spans="1:6" x14ac:dyDescent="0.25">
      <c r="A20" s="20" t="s">
        <v>46</v>
      </c>
      <c r="B20" s="20">
        <f>ROUND((185/0.25/185)*'Number of Respondents'!F64*0.1,0)</f>
        <v>84</v>
      </c>
      <c r="C20" s="145"/>
      <c r="D20" s="136"/>
      <c r="E20" s="26"/>
      <c r="F20" s="26"/>
    </row>
    <row r="21" spans="1:6" x14ac:dyDescent="0.25">
      <c r="A21" s="20" t="s">
        <v>47</v>
      </c>
      <c r="B21" s="20">
        <f>ROUND((139/0.25/185)*'Number of Respondents'!F64*0.1,0)</f>
        <v>63</v>
      </c>
      <c r="C21" s="145"/>
      <c r="D21" s="136"/>
      <c r="E21" s="26"/>
      <c r="F21" s="26"/>
    </row>
    <row r="22" spans="1:6" x14ac:dyDescent="0.25">
      <c r="A22" s="20" t="s">
        <v>48</v>
      </c>
      <c r="B22" s="20">
        <f>ROUND((370/0.25/185)*'Number of Respondents'!F64*0.1,0)</f>
        <v>169</v>
      </c>
      <c r="C22" s="145"/>
      <c r="D22" s="136"/>
      <c r="E22" s="26"/>
      <c r="F22" s="26"/>
    </row>
    <row r="23" spans="1:6" x14ac:dyDescent="0.25">
      <c r="A23" s="26"/>
      <c r="B23" s="26"/>
    </row>
    <row r="24" spans="1:6" x14ac:dyDescent="0.25">
      <c r="A24" s="27" t="s">
        <v>27</v>
      </c>
    </row>
    <row r="25" spans="1:6" ht="45" customHeight="1" x14ac:dyDescent="0.25">
      <c r="A25" s="161" t="s">
        <v>428</v>
      </c>
      <c r="B25" s="161"/>
      <c r="C25" s="161"/>
      <c r="D25" s="161"/>
      <c r="E25" s="161"/>
      <c r="F25" s="161"/>
    </row>
    <row r="26" spans="1:6" x14ac:dyDescent="0.25">
      <c r="A26" s="94" t="s">
        <v>70</v>
      </c>
    </row>
    <row r="27" spans="1:6" x14ac:dyDescent="0.25">
      <c r="A27" s="94" t="s">
        <v>71</v>
      </c>
    </row>
    <row r="28" spans="1:6" x14ac:dyDescent="0.25">
      <c r="A28" s="94" t="s">
        <v>72</v>
      </c>
    </row>
    <row r="29" spans="1:6" x14ac:dyDescent="0.25">
      <c r="A29" s="94" t="s">
        <v>73</v>
      </c>
    </row>
    <row r="30" spans="1:6" ht="108" customHeight="1" x14ac:dyDescent="0.25">
      <c r="A30" s="170" t="s">
        <v>513</v>
      </c>
      <c r="B30" s="170"/>
      <c r="C30" s="170"/>
      <c r="D30" s="170"/>
      <c r="E30" s="170"/>
      <c r="F30" s="170"/>
    </row>
  </sheetData>
  <mergeCells count="3">
    <mergeCell ref="A25:F25"/>
    <mergeCell ref="A30:F30"/>
    <mergeCell ref="D11:M12"/>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
  <sheetViews>
    <sheetView zoomScaleNormal="100" workbookViewId="0">
      <selection activeCell="A2" sqref="A2"/>
    </sheetView>
  </sheetViews>
  <sheetFormatPr defaultRowHeight="15" x14ac:dyDescent="0.25"/>
  <cols>
    <col min="1" max="1" width="40.7109375" customWidth="1"/>
    <col min="7" max="7" width="9.7109375" customWidth="1"/>
  </cols>
  <sheetData>
    <row r="1" spans="1:14" ht="15.75" x14ac:dyDescent="0.25">
      <c r="A1" s="5" t="s">
        <v>84</v>
      </c>
    </row>
    <row r="2" spans="1:14" x14ac:dyDescent="0.25">
      <c r="B2" s="81"/>
    </row>
    <row r="3" spans="1:14" x14ac:dyDescent="0.25">
      <c r="A3" s="173" t="s">
        <v>49</v>
      </c>
      <c r="B3" s="173" t="s">
        <v>50</v>
      </c>
      <c r="C3" s="173"/>
      <c r="D3" s="173"/>
      <c r="E3" s="173"/>
      <c r="F3" s="173"/>
      <c r="G3" s="173"/>
      <c r="H3" s="173"/>
      <c r="I3" s="173"/>
      <c r="J3" s="173"/>
      <c r="K3" s="173"/>
      <c r="L3" s="173"/>
      <c r="M3" s="173"/>
      <c r="N3" s="173"/>
    </row>
    <row r="4" spans="1:14" x14ac:dyDescent="0.25">
      <c r="A4" s="173"/>
      <c r="B4" s="173" t="s">
        <v>40</v>
      </c>
      <c r="C4" s="173"/>
      <c r="D4" s="173" t="s">
        <v>30</v>
      </c>
      <c r="E4" s="173"/>
      <c r="F4" s="173" t="s">
        <v>34</v>
      </c>
      <c r="G4" s="173"/>
      <c r="H4" s="173" t="s">
        <v>36</v>
      </c>
      <c r="I4" s="173"/>
      <c r="J4" s="173"/>
      <c r="K4" s="173"/>
      <c r="L4" s="173" t="s">
        <v>51</v>
      </c>
      <c r="M4" s="173"/>
      <c r="N4" s="173" t="s">
        <v>52</v>
      </c>
    </row>
    <row r="5" spans="1:14" ht="29.25" customHeight="1" x14ac:dyDescent="0.25">
      <c r="A5" s="173"/>
      <c r="B5" s="173"/>
      <c r="C5" s="173"/>
      <c r="D5" s="173"/>
      <c r="E5" s="173"/>
      <c r="F5" s="173"/>
      <c r="G5" s="173"/>
      <c r="H5" s="173" t="s">
        <v>53</v>
      </c>
      <c r="I5" s="173"/>
      <c r="J5" s="173" t="s">
        <v>54</v>
      </c>
      <c r="K5" s="173"/>
      <c r="L5" s="173"/>
      <c r="M5" s="173"/>
      <c r="N5" s="173"/>
    </row>
    <row r="6" spans="1:14" x14ac:dyDescent="0.25">
      <c r="A6" s="173"/>
      <c r="B6" s="173" t="s">
        <v>55</v>
      </c>
      <c r="C6" s="173" t="s">
        <v>56</v>
      </c>
      <c r="D6" s="173" t="s">
        <v>55</v>
      </c>
      <c r="E6" s="173" t="s">
        <v>56</v>
      </c>
      <c r="F6" s="173" t="s">
        <v>55</v>
      </c>
      <c r="G6" s="173" t="s">
        <v>56</v>
      </c>
      <c r="H6" s="173" t="s">
        <v>55</v>
      </c>
      <c r="I6" s="173" t="s">
        <v>56</v>
      </c>
      <c r="J6" s="173" t="s">
        <v>55</v>
      </c>
      <c r="K6" s="173" t="s">
        <v>56</v>
      </c>
      <c r="L6" s="173" t="s">
        <v>55</v>
      </c>
      <c r="M6" s="173" t="s">
        <v>56</v>
      </c>
      <c r="N6" s="173"/>
    </row>
    <row r="7" spans="1:14" x14ac:dyDescent="0.25">
      <c r="A7" s="173"/>
      <c r="B7" s="173"/>
      <c r="C7" s="173"/>
      <c r="D7" s="173"/>
      <c r="E7" s="173"/>
      <c r="F7" s="173"/>
      <c r="G7" s="173"/>
      <c r="H7" s="173"/>
      <c r="I7" s="173"/>
      <c r="J7" s="173"/>
      <c r="K7" s="173"/>
      <c r="L7" s="173"/>
      <c r="M7" s="173"/>
      <c r="N7" s="173"/>
    </row>
    <row r="8" spans="1:14" ht="15.75" x14ac:dyDescent="0.25">
      <c r="A8" s="24" t="s">
        <v>114</v>
      </c>
      <c r="B8" s="20">
        <v>2.9</v>
      </c>
      <c r="C8" s="78">
        <f>B8*(+'Table 4'!$B$15+'Table 4'!$B$16+'Table 4'!$B$17+'Table 4'!$B$18+'Table 4'!$B$22)</f>
        <v>524.9</v>
      </c>
      <c r="D8" s="20">
        <v>1.1000000000000001</v>
      </c>
      <c r="E8" s="78">
        <f>D8*('Table 4'!$B$5+'Table 4'!$B$6+'Table 4'!$B$7+'Table 4'!$B$19)</f>
        <v>452.1</v>
      </c>
      <c r="F8" s="20">
        <v>1.1000000000000001</v>
      </c>
      <c r="G8" s="78">
        <f>F8*(+'Table 4'!$B$9+'Table 4'!$B$20)</f>
        <v>92.4</v>
      </c>
      <c r="H8" s="20">
        <v>2.5</v>
      </c>
      <c r="I8" s="78">
        <f>H8*(+'Table 4'!$B$21)</f>
        <v>157.5</v>
      </c>
      <c r="J8" s="20">
        <v>1</v>
      </c>
      <c r="K8" s="78">
        <f>J8*(+'Table 4'!$B$11+'Table 4'!$B$12+'Table 4'!$B$13)</f>
        <v>31</v>
      </c>
      <c r="L8" s="20">
        <v>1.8</v>
      </c>
      <c r="M8" s="77">
        <f>L8*('Number of Respondents'!$C$64*0.1)</f>
        <v>37.860000000000007</v>
      </c>
      <c r="N8" s="22">
        <f>C8+E8+G8+I8+K8+M8</f>
        <v>1295.76</v>
      </c>
    </row>
    <row r="9" spans="1:14" x14ac:dyDescent="0.25">
      <c r="A9" s="9" t="s">
        <v>57</v>
      </c>
      <c r="B9" s="20">
        <v>2.1</v>
      </c>
      <c r="C9" s="78">
        <f>B9*(+'Table 4'!$B$15+'Table 4'!$B$16+'Table 4'!$B$17+'Table 4'!$B$18+'Table 4'!$B$22)</f>
        <v>380.1</v>
      </c>
      <c r="D9" s="20">
        <v>1.7</v>
      </c>
      <c r="E9" s="78">
        <f>D9*('Table 4'!$B$5+'Table 4'!$B$6+'Table 4'!$B$7+'Table 4'!$B$19)</f>
        <v>698.69999999999993</v>
      </c>
      <c r="F9" s="20">
        <v>0.85</v>
      </c>
      <c r="G9" s="78">
        <f>F9*(+'Table 4'!$B$9+'Table 4'!$B$20)</f>
        <v>71.399999999999991</v>
      </c>
      <c r="H9" s="20">
        <v>0.56999999999999995</v>
      </c>
      <c r="I9" s="78">
        <f>H9*(+'Table 4'!$B$21)</f>
        <v>35.909999999999997</v>
      </c>
      <c r="J9" s="20">
        <v>0.23</v>
      </c>
      <c r="K9" s="77">
        <f>J9*(+'Table 4'!$B$11+'Table 4'!$B$12+'Table 4'!$B$13)</f>
        <v>7.13</v>
      </c>
      <c r="L9" s="20">
        <v>4.5</v>
      </c>
      <c r="M9" s="78">
        <f>L9*('Number of Respondents'!$C$64*0.1)</f>
        <v>94.65</v>
      </c>
      <c r="N9" s="22">
        <f t="shared" ref="N9:N16" si="0">C9+E9+G9+I9+K9+M9</f>
        <v>1287.8900000000003</v>
      </c>
    </row>
    <row r="10" spans="1:14" x14ac:dyDescent="0.25">
      <c r="A10" s="9" t="s">
        <v>58</v>
      </c>
      <c r="B10" s="20">
        <v>1.3</v>
      </c>
      <c r="C10" s="78">
        <f>B10*(+'Table 4'!$B$15+'Table 4'!$B$16+'Table 4'!$B$17+'Table 4'!$B$18+'Table 4'!$B$22)</f>
        <v>235.3</v>
      </c>
      <c r="D10" s="20">
        <v>0.5</v>
      </c>
      <c r="E10" s="78">
        <f>D10*('Table 4'!$B$5+'Table 4'!$B$6+'Table 4'!$B$7+'Table 4'!$B$19)</f>
        <v>205.5</v>
      </c>
      <c r="F10" s="20">
        <v>0.5</v>
      </c>
      <c r="G10" s="78">
        <f>F10*(+'Table 4'!$B$9+'Table 4'!$B$20)</f>
        <v>42</v>
      </c>
      <c r="H10" s="20">
        <v>0</v>
      </c>
      <c r="I10" s="78">
        <f>H10*(+'Table 4'!$B$21)</f>
        <v>0</v>
      </c>
      <c r="J10" s="20">
        <v>0</v>
      </c>
      <c r="K10" s="78">
        <f>J10*(+'Table 4'!$B$11+'Table 4'!$B$12+'Table 4'!$B$13)</f>
        <v>0</v>
      </c>
      <c r="L10" s="20">
        <v>0</v>
      </c>
      <c r="M10" s="78">
        <f>L10*('Number of Respondents'!$C$64*0.1)</f>
        <v>0</v>
      </c>
      <c r="N10" s="22">
        <f t="shared" si="0"/>
        <v>482.8</v>
      </c>
    </row>
    <row r="11" spans="1:14" x14ac:dyDescent="0.25">
      <c r="A11" s="24" t="s">
        <v>59</v>
      </c>
      <c r="B11" s="20">
        <v>28</v>
      </c>
      <c r="C11" s="78">
        <f>B11*(+'Table 4'!$B$15+'Table 4'!$B$16+'Table 4'!$B$17+'Table 4'!$B$18+'Table 4'!$B$22)</f>
        <v>5068</v>
      </c>
      <c r="D11" s="20">
        <v>16</v>
      </c>
      <c r="E11" s="78">
        <f>D11*('Table 4'!$B$5+'Table 4'!$B$6+'Table 4'!$B$7+'Table 4'!$B$19)</f>
        <v>6576</v>
      </c>
      <c r="F11" s="20">
        <v>16</v>
      </c>
      <c r="G11" s="78">
        <f>F11*(+'Table 4'!$B$9+'Table 4'!$B$20)</f>
        <v>1344</v>
      </c>
      <c r="H11" s="20">
        <v>380</v>
      </c>
      <c r="I11" s="78">
        <f>H11*(+'Table 4'!$B$21)</f>
        <v>23940</v>
      </c>
      <c r="J11" s="20">
        <v>155</v>
      </c>
      <c r="K11" s="78">
        <f>J11*(+'Table 4'!$B$11+'Table 4'!$B$12+'Table 4'!$B$13)</f>
        <v>4805</v>
      </c>
      <c r="L11" s="20">
        <v>0</v>
      </c>
      <c r="M11" s="78">
        <f>L11*('Number of Respondents'!$C$64*0.1)</f>
        <v>0</v>
      </c>
      <c r="N11" s="22">
        <f t="shared" si="0"/>
        <v>41733</v>
      </c>
    </row>
    <row r="12" spans="1:14" x14ac:dyDescent="0.25">
      <c r="A12" s="9" t="s">
        <v>60</v>
      </c>
      <c r="B12" s="20">
        <v>14</v>
      </c>
      <c r="C12" s="78">
        <f>B12*(+'Table 4'!$B$15+'Table 4'!$B$16+'Table 4'!$B$17+'Table 4'!$B$18+'Table 4'!$B$22)</f>
        <v>2534</v>
      </c>
      <c r="D12" s="20">
        <v>17</v>
      </c>
      <c r="E12" s="78">
        <f>D12*('Table 4'!$B$5+'Table 4'!$B$6+'Table 4'!$B$7+'Table 4'!$B$19)</f>
        <v>6987</v>
      </c>
      <c r="F12" s="20">
        <v>17</v>
      </c>
      <c r="G12" s="78">
        <f>F12*(+'Table 4'!$B$9+'Table 4'!$B$20)</f>
        <v>1428</v>
      </c>
      <c r="H12" s="20">
        <v>263</v>
      </c>
      <c r="I12" s="78">
        <f>H12*(+'Table 4'!$B$21)</f>
        <v>16569</v>
      </c>
      <c r="J12" s="20">
        <v>108</v>
      </c>
      <c r="K12" s="78">
        <f>J12*(+'Table 4'!$B$11+'Table 4'!$B$12+'Table 4'!$B$13)</f>
        <v>3348</v>
      </c>
      <c r="L12" s="20">
        <v>54</v>
      </c>
      <c r="M12" s="78">
        <f>L12*('Number of Respondents'!$C$64*0.1)</f>
        <v>1135.8000000000002</v>
      </c>
      <c r="N12" s="22">
        <f t="shared" si="0"/>
        <v>32001.8</v>
      </c>
    </row>
    <row r="13" spans="1:14" x14ac:dyDescent="0.25">
      <c r="A13" s="24" t="s">
        <v>61</v>
      </c>
      <c r="B13" s="20">
        <v>0</v>
      </c>
      <c r="C13" s="78">
        <f>B13*(+'Table 4'!$B$15+'Table 4'!$B$16+'Table 4'!$B$17+'Table 4'!$B$18+'Table 4'!$B$22)</f>
        <v>0</v>
      </c>
      <c r="D13" s="20">
        <v>0</v>
      </c>
      <c r="E13" s="78">
        <f>D13*('Table 4'!$B$5+'Table 4'!$B$6+'Table 4'!$B$7+'Table 4'!$B$19)</f>
        <v>0</v>
      </c>
      <c r="F13" s="20">
        <v>0</v>
      </c>
      <c r="G13" s="78">
        <f>F13*(+'Table 4'!$B$9+'Table 4'!$B$20)</f>
        <v>0</v>
      </c>
      <c r="H13" s="20">
        <v>0</v>
      </c>
      <c r="I13" s="78">
        <f>H13*(+'Table 4'!$B$21)</f>
        <v>0</v>
      </c>
      <c r="J13" s="20">
        <v>0</v>
      </c>
      <c r="K13" s="78">
        <f>J13*(+'Table 4'!$B$11+'Table 4'!$B$12+'Table 4'!$B$13)</f>
        <v>0</v>
      </c>
      <c r="L13" s="20">
        <v>18</v>
      </c>
      <c r="M13" s="78">
        <f>L13*('Number of Respondents'!$C$64*0.1)</f>
        <v>378.6</v>
      </c>
      <c r="N13" s="22">
        <f t="shared" si="0"/>
        <v>378.6</v>
      </c>
    </row>
    <row r="14" spans="1:14" x14ac:dyDescent="0.25">
      <c r="A14" s="9" t="s">
        <v>62</v>
      </c>
      <c r="B14" s="20">
        <v>9</v>
      </c>
      <c r="C14" s="78">
        <f>B14*(+'Table 4'!$B$15+'Table 4'!$B$16+'Table 4'!$B$17+'Table 4'!$B$18+'Table 4'!$B$22)</f>
        <v>1629</v>
      </c>
      <c r="D14" s="20">
        <v>5.4</v>
      </c>
      <c r="E14" s="78">
        <f>D14*('Table 4'!$B$5+'Table 4'!$B$6+'Table 4'!$B$7+'Table 4'!$B$19)</f>
        <v>2219.4</v>
      </c>
      <c r="F14" s="20">
        <v>5.4</v>
      </c>
      <c r="G14" s="78">
        <f>F14*(+'Table 4'!$B$9+'Table 4'!$B$20)</f>
        <v>453.6</v>
      </c>
      <c r="H14" s="20">
        <v>57</v>
      </c>
      <c r="I14" s="78">
        <f>H14*(+'Table 4'!$B$21)</f>
        <v>3591</v>
      </c>
      <c r="J14" s="20">
        <v>23</v>
      </c>
      <c r="K14" s="78">
        <f>J14*(+'Table 4'!$B$11+'Table 4'!$B$12+'Table 4'!$B$13)</f>
        <v>713</v>
      </c>
      <c r="L14" s="20">
        <v>5.4</v>
      </c>
      <c r="M14" s="78">
        <f>L14*('Number of Respondents'!$C$64*0.1)</f>
        <v>113.58000000000001</v>
      </c>
      <c r="N14" s="22">
        <f t="shared" si="0"/>
        <v>8719.58</v>
      </c>
    </row>
    <row r="15" spans="1:14" x14ac:dyDescent="0.25">
      <c r="A15" s="9" t="s">
        <v>63</v>
      </c>
      <c r="B15" s="20">
        <v>28</v>
      </c>
      <c r="C15" s="78">
        <f>B15*(+'Table 4'!$B$15+'Table 4'!$B$16+'Table 4'!$B$17+'Table 4'!$B$18+'Table 4'!$B$22)</f>
        <v>5068</v>
      </c>
      <c r="D15" s="20">
        <v>2.8</v>
      </c>
      <c r="E15" s="78">
        <f>D15*('Table 4'!$B$5+'Table 4'!$B$6+'Table 4'!$B$7+'Table 4'!$B$19)</f>
        <v>1150.8</v>
      </c>
      <c r="F15" s="20">
        <v>2.8</v>
      </c>
      <c r="G15" s="78">
        <f>F15*(+'Table 4'!$B$9+'Table 4'!$B$20)</f>
        <v>235.2</v>
      </c>
      <c r="H15" s="20">
        <v>4.7</v>
      </c>
      <c r="I15" s="78">
        <f>H15*(+'Table 4'!$B$21)</f>
        <v>296.10000000000002</v>
      </c>
      <c r="J15" s="20">
        <v>1.9</v>
      </c>
      <c r="K15" s="77">
        <f>J15*(+'Table 4'!$B$11+'Table 4'!$B$12+'Table 4'!$B$13)</f>
        <v>58.9</v>
      </c>
      <c r="L15" s="20">
        <v>9</v>
      </c>
      <c r="M15" s="78">
        <f>L15*('Number of Respondents'!$C$64*0.1)</f>
        <v>189.3</v>
      </c>
      <c r="N15" s="22">
        <f t="shared" si="0"/>
        <v>6998.3</v>
      </c>
    </row>
    <row r="16" spans="1:14" x14ac:dyDescent="0.25">
      <c r="A16" s="9" t="s">
        <v>64</v>
      </c>
      <c r="B16" s="20">
        <v>3</v>
      </c>
      <c r="C16" s="78">
        <f>B16*(+'Table 4'!$B$15+'Table 4'!$B$16+'Table 4'!$B$17+'Table 4'!$B$18+'Table 4'!$B$22)</f>
        <v>543</v>
      </c>
      <c r="D16" s="20">
        <v>1.25</v>
      </c>
      <c r="E16" s="78">
        <f>D16*('Table 4'!$B$5+'Table 4'!$B$6+'Table 4'!$B$7+'Table 4'!$B$19)</f>
        <v>513.75</v>
      </c>
      <c r="F16" s="20">
        <v>1.25</v>
      </c>
      <c r="G16" s="78">
        <f>F16*(+'Table 4'!$B$9+'Table 4'!$B$20)</f>
        <v>105</v>
      </c>
      <c r="H16" s="20">
        <v>2.75</v>
      </c>
      <c r="I16" s="78">
        <f>H16*(+'Table 4'!$B$21)</f>
        <v>173.25</v>
      </c>
      <c r="J16" s="20">
        <v>0.9</v>
      </c>
      <c r="K16" s="77">
        <f>J16*(+'Table 4'!$B$11+'Table 4'!$B$12+'Table 4'!$B$13)</f>
        <v>27.900000000000002</v>
      </c>
      <c r="L16" s="20">
        <v>1.58</v>
      </c>
      <c r="M16" s="77">
        <f>L16*('Number of Respondents'!$C$64*0.1)</f>
        <v>33.232666666666674</v>
      </c>
      <c r="N16" s="22">
        <f t="shared" si="0"/>
        <v>1396.1326666666669</v>
      </c>
    </row>
    <row r="17" spans="1:16" x14ac:dyDescent="0.25">
      <c r="A17" s="14" t="s">
        <v>65</v>
      </c>
      <c r="B17" s="79">
        <f>SUM(B8:B16)</f>
        <v>88.3</v>
      </c>
      <c r="C17" s="80">
        <f t="shared" ref="C17:N17" si="1">SUM(C8:C16)</f>
        <v>15982.3</v>
      </c>
      <c r="D17" s="79">
        <f t="shared" si="1"/>
        <v>45.749999999999993</v>
      </c>
      <c r="E17" s="80">
        <f t="shared" si="1"/>
        <v>18803.25</v>
      </c>
      <c r="F17" s="79">
        <f t="shared" si="1"/>
        <v>44.9</v>
      </c>
      <c r="G17" s="80">
        <f t="shared" si="1"/>
        <v>3771.6</v>
      </c>
      <c r="H17" s="79">
        <f t="shared" si="1"/>
        <v>710.52</v>
      </c>
      <c r="I17" s="80">
        <f t="shared" si="1"/>
        <v>44762.76</v>
      </c>
      <c r="J17" s="79">
        <f t="shared" si="1"/>
        <v>290.02999999999997</v>
      </c>
      <c r="K17" s="80">
        <f t="shared" si="1"/>
        <v>8990.93</v>
      </c>
      <c r="L17" s="79">
        <f t="shared" si="1"/>
        <v>94.28</v>
      </c>
      <c r="M17" s="80">
        <f>SUM(M8:M16)</f>
        <v>1983.022666666667</v>
      </c>
      <c r="N17" s="23">
        <f t="shared" si="1"/>
        <v>94293.862666666682</v>
      </c>
    </row>
    <row r="19" spans="1:16" x14ac:dyDescent="0.25">
      <c r="A19" s="25" t="s">
        <v>27</v>
      </c>
    </row>
    <row r="20" spans="1:16" ht="49.5" customHeight="1" x14ac:dyDescent="0.25">
      <c r="A20" s="172" t="s">
        <v>66</v>
      </c>
      <c r="B20" s="172"/>
      <c r="C20" s="172"/>
      <c r="D20" s="172"/>
      <c r="E20" s="172"/>
      <c r="F20" s="172"/>
      <c r="G20" s="172"/>
      <c r="H20" s="172"/>
      <c r="I20" s="172"/>
      <c r="J20" s="172"/>
      <c r="K20" s="172"/>
      <c r="L20" s="172"/>
      <c r="M20" s="172"/>
      <c r="N20" s="172"/>
    </row>
    <row r="21" spans="1:16" ht="15.75" x14ac:dyDescent="0.25">
      <c r="A21" s="172" t="s">
        <v>67</v>
      </c>
      <c r="B21" s="172"/>
      <c r="C21" s="172"/>
      <c r="D21" s="172"/>
      <c r="E21" s="172"/>
      <c r="F21" s="172"/>
      <c r="G21" s="172"/>
      <c r="H21" s="172"/>
      <c r="I21" s="172"/>
      <c r="J21" s="172"/>
      <c r="K21" s="172"/>
      <c r="L21" s="172"/>
      <c r="M21" s="172"/>
      <c r="N21" s="172"/>
    </row>
    <row r="22" spans="1:16" ht="30.75" customHeight="1" x14ac:dyDescent="0.25">
      <c r="A22" s="172" t="s">
        <v>68</v>
      </c>
      <c r="B22" s="172"/>
      <c r="C22" s="172"/>
      <c r="D22" s="172"/>
      <c r="E22" s="172"/>
      <c r="F22" s="172"/>
      <c r="G22" s="172"/>
      <c r="H22" s="172"/>
      <c r="I22" s="172"/>
      <c r="J22" s="172"/>
      <c r="K22" s="172"/>
      <c r="L22" s="172"/>
      <c r="M22" s="172"/>
      <c r="N22" s="172"/>
    </row>
    <row r="23" spans="1:16" x14ac:dyDescent="0.25">
      <c r="A23" s="88" t="s">
        <v>515</v>
      </c>
      <c r="B23" s="88"/>
      <c r="C23" s="88"/>
      <c r="D23" s="88"/>
      <c r="E23" s="88"/>
      <c r="F23" s="88"/>
      <c r="G23" s="88"/>
      <c r="H23" s="88"/>
      <c r="I23" s="88"/>
      <c r="J23" s="88"/>
      <c r="K23" s="88"/>
      <c r="L23" s="88"/>
      <c r="M23" s="88"/>
      <c r="N23" s="88"/>
      <c r="P23" s="81"/>
    </row>
    <row r="24" spans="1:16" x14ac:dyDescent="0.25">
      <c r="A24" s="88" t="s">
        <v>516</v>
      </c>
      <c r="B24" s="88"/>
      <c r="C24" s="88"/>
      <c r="D24" s="88"/>
      <c r="E24" s="88"/>
      <c r="F24" s="88"/>
      <c r="G24" s="88"/>
      <c r="H24" s="88"/>
      <c r="I24" s="88"/>
      <c r="J24" s="88"/>
      <c r="K24" s="88"/>
      <c r="L24" s="88"/>
      <c r="M24" s="88"/>
      <c r="N24" s="88"/>
      <c r="P24" s="81"/>
    </row>
    <row r="25" spans="1:16" x14ac:dyDescent="0.25">
      <c r="A25" s="88" t="s">
        <v>517</v>
      </c>
      <c r="B25" s="88"/>
      <c r="C25" s="88"/>
      <c r="D25" s="88"/>
      <c r="E25" s="88"/>
      <c r="F25" s="88"/>
      <c r="G25" s="88"/>
      <c r="H25" s="88"/>
      <c r="I25" s="88"/>
      <c r="J25" s="88"/>
      <c r="K25" s="88"/>
      <c r="L25" s="88"/>
      <c r="M25" s="88"/>
      <c r="N25" s="88"/>
      <c r="P25" s="81"/>
    </row>
    <row r="26" spans="1:16" x14ac:dyDescent="0.25">
      <c r="A26" s="88" t="s">
        <v>518</v>
      </c>
      <c r="B26" s="88"/>
      <c r="C26" s="88"/>
      <c r="D26" s="88"/>
      <c r="E26" s="88"/>
      <c r="F26" s="88"/>
      <c r="G26" s="88"/>
      <c r="H26" s="88"/>
      <c r="I26" s="88"/>
      <c r="J26" s="88"/>
      <c r="K26" s="88"/>
      <c r="L26" s="88"/>
      <c r="M26" s="88"/>
      <c r="N26" s="88"/>
      <c r="P26" s="81"/>
    </row>
    <row r="27" spans="1:16" x14ac:dyDescent="0.25">
      <c r="A27" s="88" t="s">
        <v>519</v>
      </c>
      <c r="B27" s="88"/>
      <c r="C27" s="88"/>
      <c r="D27" s="88"/>
      <c r="E27" s="88"/>
      <c r="F27" s="88"/>
      <c r="G27" s="88"/>
      <c r="H27" s="88"/>
      <c r="I27" s="88"/>
      <c r="J27" s="88"/>
      <c r="K27" s="88"/>
      <c r="L27" s="88"/>
      <c r="M27" s="88"/>
      <c r="N27" s="88"/>
      <c r="P27" s="81"/>
    </row>
    <row r="28" spans="1:16" x14ac:dyDescent="0.25">
      <c r="A28" s="88" t="s">
        <v>520</v>
      </c>
      <c r="B28" s="109"/>
      <c r="C28" s="88"/>
      <c r="D28" s="88"/>
      <c r="E28" s="88"/>
      <c r="F28" s="88"/>
      <c r="G28" s="88"/>
      <c r="H28" s="88"/>
      <c r="I28" s="88"/>
      <c r="J28" s="88"/>
      <c r="K28" s="88"/>
      <c r="L28" s="88"/>
      <c r="M28" s="88"/>
      <c r="N28" s="88"/>
      <c r="O28" s="74"/>
      <c r="P28" s="81"/>
    </row>
    <row r="29" spans="1:16" ht="15.75" x14ac:dyDescent="0.25">
      <c r="A29" s="172" t="s">
        <v>69</v>
      </c>
      <c r="B29" s="172"/>
      <c r="C29" s="172"/>
      <c r="D29" s="172"/>
      <c r="E29" s="172"/>
      <c r="F29" s="172"/>
      <c r="G29" s="172"/>
      <c r="H29" s="172"/>
      <c r="I29" s="172"/>
      <c r="J29" s="172"/>
      <c r="K29" s="172"/>
      <c r="L29" s="172"/>
      <c r="M29" s="172"/>
      <c r="N29" s="172"/>
    </row>
    <row r="30" spans="1:16" x14ac:dyDescent="0.25">
      <c r="A30" s="161" t="s">
        <v>424</v>
      </c>
      <c r="B30" s="161"/>
      <c r="C30" s="161"/>
      <c r="D30" s="161"/>
      <c r="E30" s="161"/>
      <c r="F30" s="161"/>
      <c r="G30" s="161"/>
      <c r="H30" s="161"/>
      <c r="I30" s="161"/>
      <c r="J30" s="161"/>
      <c r="K30" s="161"/>
      <c r="L30" s="161"/>
      <c r="M30" s="161"/>
      <c r="N30" s="161"/>
    </row>
  </sheetData>
  <mergeCells count="27">
    <mergeCell ref="L6:L7"/>
    <mergeCell ref="G6:G7"/>
    <mergeCell ref="H6:H7"/>
    <mergeCell ref="I6:I7"/>
    <mergeCell ref="J6:J7"/>
    <mergeCell ref="K6:K7"/>
    <mergeCell ref="A3:A7"/>
    <mergeCell ref="B3:N3"/>
    <mergeCell ref="B4:C5"/>
    <mergeCell ref="D4:E5"/>
    <mergeCell ref="F4:G5"/>
    <mergeCell ref="H4:K4"/>
    <mergeCell ref="L4:M5"/>
    <mergeCell ref="N4:N7"/>
    <mergeCell ref="H5:I5"/>
    <mergeCell ref="J5:K5"/>
    <mergeCell ref="M6:M7"/>
    <mergeCell ref="B6:B7"/>
    <mergeCell ref="C6:C7"/>
    <mergeCell ref="D6:D7"/>
    <mergeCell ref="E6:E7"/>
    <mergeCell ref="F6:F7"/>
    <mergeCell ref="A20:N20"/>
    <mergeCell ref="A21:N21"/>
    <mergeCell ref="A22:N22"/>
    <mergeCell ref="A29:N29"/>
    <mergeCell ref="A30:N3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1"/>
  <sheetViews>
    <sheetView workbookViewId="0">
      <selection activeCell="A2" sqref="A2"/>
    </sheetView>
  </sheetViews>
  <sheetFormatPr defaultColWidth="9.140625" defaultRowHeight="15" x14ac:dyDescent="0.25"/>
  <cols>
    <col min="1" max="1" width="46.7109375" style="63" customWidth="1"/>
    <col min="2" max="2" width="8.5703125" style="63" bestFit="1" customWidth="1"/>
    <col min="3" max="3" width="13.5703125" style="63" customWidth="1"/>
    <col min="4" max="4" width="11" style="63" customWidth="1"/>
    <col min="5" max="5" width="9.140625" style="63"/>
    <col min="6" max="6" width="10.140625" style="63" customWidth="1"/>
    <col min="7" max="7" width="9.140625" style="63"/>
    <col min="8" max="8" width="13.85546875" style="63" bestFit="1" customWidth="1"/>
    <col min="9" max="16384" width="9.140625" style="63"/>
  </cols>
  <sheetData>
    <row r="1" spans="1:11" ht="15.75" x14ac:dyDescent="0.25">
      <c r="A1" s="1" t="s">
        <v>74</v>
      </c>
    </row>
    <row r="2" spans="1:11" s="6" customFormat="1" ht="12.75" x14ac:dyDescent="0.2">
      <c r="E2" s="86">
        <f>Labor!A5</f>
        <v>130.28</v>
      </c>
      <c r="F2" s="86">
        <f>Labor!B5</f>
        <v>163.16999999999999</v>
      </c>
      <c r="G2" s="86">
        <f>Labor!C5</f>
        <v>65.709999999999994</v>
      </c>
    </row>
    <row r="3" spans="1:11" s="6" customFormat="1" ht="12.75" x14ac:dyDescent="0.2">
      <c r="A3" s="168" t="s">
        <v>112</v>
      </c>
      <c r="B3" s="7" t="s">
        <v>19</v>
      </c>
      <c r="C3" s="7" t="s">
        <v>20</v>
      </c>
      <c r="D3" s="7" t="s">
        <v>21</v>
      </c>
      <c r="E3" s="7" t="s">
        <v>22</v>
      </c>
      <c r="F3" s="21" t="s">
        <v>23</v>
      </c>
      <c r="G3" s="7" t="s">
        <v>24</v>
      </c>
      <c r="H3" s="7" t="s">
        <v>25</v>
      </c>
      <c r="I3" s="30"/>
    </row>
    <row r="4" spans="1:11" s="6" customFormat="1" ht="63.75" x14ac:dyDescent="0.2">
      <c r="A4" s="168"/>
      <c r="B4" s="8" t="s">
        <v>12</v>
      </c>
      <c r="C4" s="8" t="s">
        <v>77</v>
      </c>
      <c r="D4" s="8" t="s">
        <v>78</v>
      </c>
      <c r="E4" s="8" t="s">
        <v>79</v>
      </c>
      <c r="F4" s="8" t="s">
        <v>82</v>
      </c>
      <c r="G4" s="8" t="s">
        <v>83</v>
      </c>
      <c r="H4" s="8" t="s">
        <v>80</v>
      </c>
      <c r="I4" s="96"/>
    </row>
    <row r="5" spans="1:11" s="6" customFormat="1" ht="15.75" x14ac:dyDescent="0.2">
      <c r="A5" s="24" t="s">
        <v>115</v>
      </c>
      <c r="B5" s="31">
        <f>+D5/C5</f>
        <v>2.6784813615379313</v>
      </c>
      <c r="C5" s="10">
        <v>23</v>
      </c>
      <c r="D5" s="32">
        <f>+'Table 5'!N8/('Number of Respondents'!$C$64*0.1)</f>
        <v>61.60507131537242</v>
      </c>
      <c r="E5" s="13">
        <f>+'Table 5'!N8</f>
        <v>1295.76</v>
      </c>
      <c r="F5" s="13">
        <f>+E5*0.05</f>
        <v>64.787999999999997</v>
      </c>
      <c r="G5" s="13">
        <f>+E5*0.1</f>
        <v>129.57599999999999</v>
      </c>
      <c r="H5" s="12">
        <f>+$E$2*E5+$F$2*F5+$G$2*G5</f>
        <v>187897.50972</v>
      </c>
    </row>
    <row r="6" spans="1:11" s="6" customFormat="1" ht="12.75" x14ac:dyDescent="0.2">
      <c r="A6" s="9" t="s">
        <v>57</v>
      </c>
      <c r="B6" s="32">
        <f t="shared" ref="B6:B13" si="0">+D6/C6</f>
        <v>4.7100694867731328</v>
      </c>
      <c r="C6" s="10">
        <v>13</v>
      </c>
      <c r="D6" s="32">
        <f>+'Table 5'!N9/('Number of Respondents'!$C$64*0.1)</f>
        <v>61.230903328050722</v>
      </c>
      <c r="E6" s="13">
        <f>+'Table 5'!N9</f>
        <v>1287.8900000000003</v>
      </c>
      <c r="F6" s="13">
        <f t="shared" ref="F6:F13" si="1">+E6*0.05</f>
        <v>64.394500000000022</v>
      </c>
      <c r="G6" s="13">
        <f t="shared" ref="G6:G13" si="2">+E6*0.1</f>
        <v>128.78900000000004</v>
      </c>
      <c r="H6" s="12">
        <f t="shared" ref="H6:H13" si="3">+$E$2*E6+$F$2*F6+$G$2*G6</f>
        <v>186756.28495500004</v>
      </c>
    </row>
    <row r="7" spans="1:11" s="6" customFormat="1" ht="12.75" x14ac:dyDescent="0.2">
      <c r="A7" s="9" t="s">
        <v>58</v>
      </c>
      <c r="B7" s="31">
        <f t="shared" si="0"/>
        <v>5.7385103011093497</v>
      </c>
      <c r="C7" s="10">
        <v>4</v>
      </c>
      <c r="D7" s="32">
        <f>+'Table 5'!N10/('Number of Respondents'!$C$64*0.1)</f>
        <v>22.954041204437399</v>
      </c>
      <c r="E7" s="13">
        <f>+'Table 5'!N10</f>
        <v>482.8</v>
      </c>
      <c r="F7" s="34">
        <f t="shared" si="1"/>
        <v>24.14</v>
      </c>
      <c r="G7" s="34">
        <f t="shared" si="2"/>
        <v>48.28</v>
      </c>
      <c r="H7" s="12">
        <f t="shared" si="3"/>
        <v>70010.586599999995</v>
      </c>
    </row>
    <row r="8" spans="1:11" s="6" customFormat="1" ht="12.75" x14ac:dyDescent="0.2">
      <c r="A8" s="24" t="s">
        <v>75</v>
      </c>
      <c r="B8" s="32">
        <f t="shared" si="0"/>
        <v>20.041780723238723</v>
      </c>
      <c r="C8" s="10">
        <v>99</v>
      </c>
      <c r="D8" s="13">
        <f>+'Table 5'!N11/('Number of Respondents'!$C$64*0.1)</f>
        <v>1984.1362916006337</v>
      </c>
      <c r="E8" s="13">
        <f>+'Table 5'!N11</f>
        <v>41733</v>
      </c>
      <c r="F8" s="13">
        <f t="shared" si="1"/>
        <v>2086.65</v>
      </c>
      <c r="G8" s="13">
        <f t="shared" si="2"/>
        <v>4173.3</v>
      </c>
      <c r="H8" s="12">
        <f t="shared" si="3"/>
        <v>6051681.4634999996</v>
      </c>
      <c r="K8" s="89"/>
    </row>
    <row r="9" spans="1:11" s="6" customFormat="1" ht="12.75" x14ac:dyDescent="0.2">
      <c r="A9" s="24" t="s">
        <v>76</v>
      </c>
      <c r="B9" s="32">
        <f t="shared" si="0"/>
        <v>2.2473858052796549</v>
      </c>
      <c r="C9" s="10">
        <v>677</v>
      </c>
      <c r="D9" s="13">
        <f>+'Table 5'!N12/('Number of Respondents'!$C$64*0.1)</f>
        <v>1521.4801901743263</v>
      </c>
      <c r="E9" s="13">
        <f>+'Table 5'!N12</f>
        <v>32001.8</v>
      </c>
      <c r="F9" s="13">
        <f t="shared" si="1"/>
        <v>1600.0900000000001</v>
      </c>
      <c r="G9" s="13">
        <f t="shared" si="2"/>
        <v>3200.1800000000003</v>
      </c>
      <c r="H9" s="12">
        <f t="shared" si="3"/>
        <v>4640565.0170999998</v>
      </c>
      <c r="K9" s="89"/>
    </row>
    <row r="10" spans="1:11" s="6" customFormat="1" ht="12.75" x14ac:dyDescent="0.2">
      <c r="A10" s="9" t="s">
        <v>61</v>
      </c>
      <c r="B10" s="33">
        <f t="shared" si="0"/>
        <v>18</v>
      </c>
      <c r="C10" s="10">
        <v>1</v>
      </c>
      <c r="D10" s="32">
        <f>+'Table 5'!N13/('Number of Respondents'!$C$64*0.1)</f>
        <v>18</v>
      </c>
      <c r="E10" s="13">
        <f>+'Table 5'!N13</f>
        <v>378.6</v>
      </c>
      <c r="F10" s="34">
        <f t="shared" si="1"/>
        <v>18.930000000000003</v>
      </c>
      <c r="G10" s="13">
        <f t="shared" si="2"/>
        <v>37.860000000000007</v>
      </c>
      <c r="H10" s="12">
        <f t="shared" si="3"/>
        <v>54900.596700000002</v>
      </c>
    </row>
    <row r="11" spans="1:11" s="6" customFormat="1" ht="12.75" x14ac:dyDescent="0.2">
      <c r="A11" s="9" t="s">
        <v>62</v>
      </c>
      <c r="B11" s="32">
        <f t="shared" si="0"/>
        <v>82.91201267828842</v>
      </c>
      <c r="C11" s="10">
        <v>5</v>
      </c>
      <c r="D11" s="33">
        <f>+'Table 5'!N14/('Number of Respondents'!$C$64*0.1)</f>
        <v>414.5600633914421</v>
      </c>
      <c r="E11" s="13">
        <f>+'Table 5'!N14</f>
        <v>8719.58</v>
      </c>
      <c r="F11" s="13">
        <f t="shared" si="1"/>
        <v>435.97900000000004</v>
      </c>
      <c r="G11" s="13">
        <f t="shared" si="2"/>
        <v>871.95800000000008</v>
      </c>
      <c r="H11" s="12">
        <f t="shared" si="3"/>
        <v>1264421.9360100001</v>
      </c>
    </row>
    <row r="12" spans="1:11" s="6" customFormat="1" ht="12.75" x14ac:dyDescent="0.2">
      <c r="A12" s="9" t="s">
        <v>63</v>
      </c>
      <c r="B12" s="32">
        <f t="shared" si="0"/>
        <v>12.797086431793247</v>
      </c>
      <c r="C12" s="10">
        <v>26</v>
      </c>
      <c r="D12" s="33">
        <f>+'Table 5'!N15/('Number of Respondents'!$C$64*0.1)</f>
        <v>332.72424722662441</v>
      </c>
      <c r="E12" s="13">
        <f>+'Table 5'!N15</f>
        <v>6998.3</v>
      </c>
      <c r="F12" s="13">
        <f t="shared" si="1"/>
        <v>349.91500000000002</v>
      </c>
      <c r="G12" s="13">
        <f t="shared" si="2"/>
        <v>699.83</v>
      </c>
      <c r="H12" s="12">
        <f t="shared" si="3"/>
        <v>1014819.98385</v>
      </c>
    </row>
    <row r="13" spans="1:11" s="6" customFormat="1" ht="12.75" x14ac:dyDescent="0.2">
      <c r="A13" s="9" t="s">
        <v>64</v>
      </c>
      <c r="B13" s="31">
        <f t="shared" si="0"/>
        <v>1.8964899252886576</v>
      </c>
      <c r="C13" s="10">
        <v>35</v>
      </c>
      <c r="D13" s="32">
        <f>+'Table 5'!N16/('Number of Respondents'!$C$64*0.1)</f>
        <v>66.377147385103015</v>
      </c>
      <c r="E13" s="13">
        <f>+'Table 5'!N16</f>
        <v>1396.1326666666669</v>
      </c>
      <c r="F13" s="13">
        <f t="shared" si="1"/>
        <v>69.806633333333352</v>
      </c>
      <c r="G13" s="13">
        <f t="shared" si="2"/>
        <v>139.6132666666667</v>
      </c>
      <c r="H13" s="12">
        <f t="shared" si="3"/>
        <v>202452.49992700003</v>
      </c>
    </row>
    <row r="14" spans="1:11" s="6" customFormat="1" ht="15.75" x14ac:dyDescent="0.2">
      <c r="A14" s="14" t="s">
        <v>473</v>
      </c>
      <c r="B14" s="14"/>
      <c r="C14" s="14"/>
      <c r="D14" s="14"/>
      <c r="E14" s="177">
        <f>+ROUND(SUM(E5:G13),-3)</f>
        <v>108000</v>
      </c>
      <c r="F14" s="177"/>
      <c r="G14" s="177"/>
      <c r="H14" s="28">
        <f>ROUND(SUM(H5:H13),-5)</f>
        <v>13700000</v>
      </c>
    </row>
    <row r="15" spans="1:11" s="6" customFormat="1" ht="15.75" x14ac:dyDescent="0.2">
      <c r="A15" s="14" t="s">
        <v>409</v>
      </c>
      <c r="B15" s="14"/>
      <c r="C15" s="14"/>
      <c r="D15" s="14"/>
      <c r="E15" s="14"/>
      <c r="F15" s="54"/>
      <c r="G15" s="54"/>
      <c r="H15" s="28">
        <f>'Capital and O&amp;M Costs'!G36</f>
        <v>5780000</v>
      </c>
    </row>
    <row r="16" spans="1:11" s="6" customFormat="1" ht="15.75" x14ac:dyDescent="0.2">
      <c r="A16" s="14" t="s">
        <v>408</v>
      </c>
      <c r="B16" s="14"/>
      <c r="C16" s="14"/>
      <c r="D16" s="14"/>
      <c r="E16" s="14"/>
      <c r="F16" s="54"/>
      <c r="G16" s="54"/>
      <c r="H16" s="28">
        <f>ROUND(H14+H15,-5)</f>
        <v>19500000</v>
      </c>
    </row>
    <row r="17" spans="1:9" s="6" customFormat="1" ht="12.75" x14ac:dyDescent="0.2"/>
    <row r="18" spans="1:9" s="6" customFormat="1" ht="12.75" x14ac:dyDescent="0.2">
      <c r="A18" s="29" t="s">
        <v>27</v>
      </c>
    </row>
    <row r="19" spans="1:9" s="6" customFormat="1" ht="15.75" x14ac:dyDescent="0.2">
      <c r="A19" s="178" t="s">
        <v>113</v>
      </c>
      <c r="B19" s="178"/>
      <c r="C19" s="178"/>
      <c r="D19" s="178"/>
      <c r="E19" s="178"/>
      <c r="F19" s="178"/>
      <c r="G19" s="178"/>
      <c r="H19" s="178"/>
    </row>
    <row r="20" spans="1:9" s="6" customFormat="1" ht="12.75" x14ac:dyDescent="0.2">
      <c r="A20" s="175" t="s">
        <v>433</v>
      </c>
      <c r="B20" s="175"/>
      <c r="C20" s="175"/>
      <c r="D20" s="175"/>
      <c r="E20" s="175"/>
      <c r="F20" s="175"/>
      <c r="G20" s="175"/>
      <c r="H20" s="175"/>
    </row>
    <row r="21" spans="1:9" s="6" customFormat="1" ht="27" customHeight="1" x14ac:dyDescent="0.2">
      <c r="A21" s="176" t="s">
        <v>429</v>
      </c>
      <c r="B21" s="176"/>
      <c r="C21" s="176"/>
      <c r="D21" s="176"/>
      <c r="E21" s="176"/>
      <c r="F21" s="176"/>
      <c r="G21" s="176"/>
      <c r="H21" s="176"/>
    </row>
    <row r="22" spans="1:9" s="6" customFormat="1" ht="12.75" x14ac:dyDescent="0.2">
      <c r="A22" s="174" t="s">
        <v>499</v>
      </c>
      <c r="B22" s="174"/>
      <c r="C22" s="174"/>
      <c r="D22" s="174"/>
      <c r="E22" s="174"/>
      <c r="F22" s="174"/>
      <c r="G22" s="174"/>
      <c r="H22" s="174"/>
      <c r="I22" s="141"/>
    </row>
    <row r="23" spans="1:9" s="6" customFormat="1" ht="12.75" x14ac:dyDescent="0.2">
      <c r="A23" s="175" t="s">
        <v>430</v>
      </c>
      <c r="B23" s="175"/>
      <c r="C23" s="175"/>
      <c r="D23" s="175"/>
      <c r="E23" s="175"/>
      <c r="F23" s="175"/>
      <c r="G23" s="175"/>
      <c r="H23" s="175"/>
    </row>
    <row r="24" spans="1:9" s="6" customFormat="1" ht="12.75" x14ac:dyDescent="0.2">
      <c r="A24" s="175" t="s">
        <v>431</v>
      </c>
      <c r="B24" s="175"/>
      <c r="C24" s="175"/>
      <c r="D24" s="175"/>
      <c r="E24" s="175"/>
      <c r="F24" s="175"/>
      <c r="G24" s="175"/>
      <c r="H24" s="175"/>
    </row>
    <row r="25" spans="1:9" s="6" customFormat="1" ht="12.75" x14ac:dyDescent="0.2">
      <c r="A25" s="175" t="s">
        <v>432</v>
      </c>
      <c r="B25" s="175"/>
      <c r="C25" s="175"/>
      <c r="D25" s="175"/>
      <c r="E25" s="175"/>
      <c r="F25" s="175"/>
      <c r="G25" s="175"/>
      <c r="H25" s="175"/>
    </row>
    <row r="26" spans="1:9" s="6" customFormat="1" ht="69.75" customHeight="1" x14ac:dyDescent="0.2">
      <c r="A26" s="176" t="s">
        <v>521</v>
      </c>
      <c r="B26" s="176"/>
      <c r="C26" s="176"/>
      <c r="D26" s="176"/>
      <c r="E26" s="176"/>
      <c r="F26" s="176"/>
      <c r="G26" s="176"/>
      <c r="H26" s="176"/>
    </row>
    <row r="27" spans="1:9" s="6" customFormat="1" ht="18.75" customHeight="1" x14ac:dyDescent="0.2">
      <c r="A27" s="161" t="s">
        <v>425</v>
      </c>
      <c r="B27" s="161"/>
      <c r="C27" s="161"/>
      <c r="D27" s="161"/>
      <c r="E27" s="161"/>
      <c r="F27" s="161"/>
      <c r="G27" s="161"/>
      <c r="H27" s="161"/>
    </row>
    <row r="28" spans="1:9" s="6" customFormat="1" ht="18.75" customHeight="1" x14ac:dyDescent="0.2">
      <c r="A28" s="161" t="s">
        <v>116</v>
      </c>
      <c r="B28" s="161"/>
      <c r="C28" s="161"/>
      <c r="D28" s="161"/>
      <c r="E28" s="161"/>
      <c r="F28" s="161"/>
      <c r="G28" s="161"/>
      <c r="H28" s="161"/>
    </row>
    <row r="29" spans="1:9" s="6" customFormat="1" ht="12.75" x14ac:dyDescent="0.2"/>
    <row r="30" spans="1:9" s="6" customFormat="1" ht="12.75" x14ac:dyDescent="0.2">
      <c r="D30" s="86"/>
    </row>
    <row r="31" spans="1:9" s="6" customFormat="1" ht="12.75" x14ac:dyDescent="0.2"/>
  </sheetData>
  <mergeCells count="12">
    <mergeCell ref="A3:A4"/>
    <mergeCell ref="E14:G14"/>
    <mergeCell ref="A19:H19"/>
    <mergeCell ref="A20:H20"/>
    <mergeCell ref="A21:H21"/>
    <mergeCell ref="A27:H27"/>
    <mergeCell ref="A28:H28"/>
    <mergeCell ref="A22:H22"/>
    <mergeCell ref="A23:H23"/>
    <mergeCell ref="A24:H24"/>
    <mergeCell ref="A25:H25"/>
    <mergeCell ref="A26:H26"/>
  </mergeCells>
  <phoneticPr fontId="25" type="noConversion"/>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Summary</vt:lpstr>
      <vt:lpstr>Read Me</vt:lpstr>
      <vt:lpstr>Number of Respondents</vt:lpstr>
      <vt:lpstr>Table 1</vt:lpstr>
      <vt:lpstr>Table 2</vt:lpstr>
      <vt:lpstr>Table 3</vt:lpstr>
      <vt:lpstr>Table 4</vt:lpstr>
      <vt:lpstr>Table 5</vt:lpstr>
      <vt:lpstr>Table 6</vt:lpstr>
      <vt:lpstr>Table 7</vt:lpstr>
      <vt:lpstr>Table 8</vt:lpstr>
      <vt:lpstr>Table 9</vt:lpstr>
      <vt:lpstr>Table F-1</vt:lpstr>
      <vt:lpstr>Table F-2</vt:lpstr>
      <vt:lpstr>Table F-3</vt:lpstr>
      <vt:lpstr>Table F-4</vt:lpstr>
      <vt:lpstr>Table F-5</vt:lpstr>
      <vt:lpstr>Table F-6</vt:lpstr>
      <vt:lpstr>Table F-7</vt:lpstr>
      <vt:lpstr>Table F-8</vt:lpstr>
      <vt:lpstr>Table F-9</vt:lpstr>
      <vt:lpstr>Table F-10</vt:lpstr>
      <vt:lpstr>Table F-11</vt:lpstr>
      <vt:lpstr>Table F-12</vt:lpstr>
      <vt:lpstr>Table G-1</vt:lpstr>
      <vt:lpstr>Table G-2</vt:lpstr>
      <vt:lpstr>Table G-3</vt:lpstr>
      <vt:lpstr>Table G-4</vt:lpstr>
      <vt:lpstr>Table G-5</vt:lpstr>
      <vt:lpstr>Table G-6</vt:lpstr>
      <vt:lpstr>Table G-7</vt:lpstr>
      <vt:lpstr>Table G-8</vt:lpstr>
      <vt:lpstr>Table G-9</vt:lpstr>
      <vt:lpstr>Table G-10</vt:lpstr>
      <vt:lpstr>Table G-11</vt:lpstr>
      <vt:lpstr>Table G-12</vt:lpstr>
      <vt:lpstr>Table G-13</vt:lpstr>
      <vt:lpstr>Capital and O&amp;M Costs</vt:lpstr>
      <vt:lpstr>Labor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Schultz, Eric</cp:lastModifiedBy>
  <dcterms:created xsi:type="dcterms:W3CDTF">2017-02-17T15:06:45Z</dcterms:created>
  <dcterms:modified xsi:type="dcterms:W3CDTF">2024-12-27T18:59:02Z</dcterms:modified>
</cp:coreProperties>
</file>