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mc:AlternateContent xmlns:mc="http://schemas.openxmlformats.org/markup-compatibility/2006">
    <mc:Choice Requires="x15">
      <x15ac:absPath xmlns:x15ac="http://schemas.microsoft.com/office/spreadsheetml/2010/11/ac" url="https://usdagcc-my.sharepoint.com/personal/michael_burke_usda_gov/Documents/Desktop/ombUpdates/"/>
    </mc:Choice>
  </mc:AlternateContent>
  <xr:revisionPtr revIDLastSave="2" documentId="13_ncr:1_{B1161043-1390-4D19-9B17-A8C11815BD64}" xr6:coauthVersionLast="47" xr6:coauthVersionMax="47" xr10:uidLastSave="{056B97A1-D8DC-4761-BB1F-40E9B5966B46}"/>
  <bookViews>
    <workbookView xWindow="28680" yWindow="-120" windowWidth="29040" windowHeight="15840" xr2:uid="{00000000-000D-0000-FFFF-FFFF00000000}"/>
  </bookViews>
  <sheets>
    <sheet name="Burden Table" sheetId="4" r:id="rId1"/>
    <sheet name="Assumptions" sheetId="3" r:id="rId2"/>
  </sheets>
  <calcPr calcId="191029"/>
  <customWorkbookViews>
    <customWorkbookView name="Burke, Michael - FNS - Personal View" guid="{38390634-4F22-4D97-AB49-04E6A0545BC2}" mergeInterval="0" personalView="1" maximized="1" xWindow="-9" yWindow="-9" windowWidth="1938" windowHeight="1048" activeSheetId="1" showComments="commIndAndComment"/>
    <customWorkbookView name="Ragland-Greene, Rachelle - FNS - Personal View" guid="{32F1B225-A1CC-4251-88CE-F6396962FA32}" mergeInterval="0" personalView="1" maximized="1" xWindow="2869" yWindow="-11" windowWidth="2902" windowHeight="1762" activeSheetId="1"/>
    <customWorkbookView name="Mary Gabay - Personal View" guid="{1CF121E1-0D2E-4DBE-8B37-D80C99A94FC9}" mergeInterval="0" personalView="1" maximized="1" xWindow="-8" yWindow="-8" windowWidth="1936" windowHeight="1056" activeSheetId="1" showComments="commIndAndComment"/>
    <customWorkbookView name="Frank Bennici - Personal View" guid="{665DFA43-4282-4471-A288-BCD9B5461D48}" mergeInterval="0" personalView="1" maximized="1" xWindow="-9" yWindow="-9" windowWidth="1938" windowHeight="1048" activeSheetId="1"/>
    <customWorkbookView name="Pamela Holcomb - Personal View" guid="{C13BA298-BBBA-4D93-BCCF-69D56F175A17}" mergeInterval="0" personalView="1" maximized="1" xWindow="-11" yWindow="-11" windowWidth="1942" windowHeight="1042" tabRatio="584" activeSheetId="2" showComments="commIndAndComment"/>
    <customWorkbookView name="Emily Weaver - Personal View" guid="{D6F80B4A-7710-4924-B3BE-56E45DF09AC8}" mergeInterval="0" personalView="1" maximized="1" xWindow="-11" yWindow="-11" windowWidth="1942" windowHeight="1042" activeSheetId="1"/>
    <customWorkbookView name="Danielle Jacobs - Personal View" guid="{3B1AEEFB-F68F-4A75-A3A1-6CFBA100364C}" mergeInterval="0" personalView="1"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4" l="1"/>
  <c r="K30" i="4"/>
  <c r="P30" i="4"/>
  <c r="H3" i="4"/>
  <c r="H17" i="4"/>
  <c r="H31" i="4" s="1"/>
  <c r="F30" i="4"/>
  <c r="E30" i="4"/>
  <c r="E22" i="4"/>
  <c r="J22" i="4"/>
  <c r="F17" i="4"/>
  <c r="F31" i="4" s="1"/>
  <c r="F22" i="4"/>
  <c r="K17" i="4"/>
  <c r="K16" i="4"/>
  <c r="K15" i="4"/>
  <c r="K14" i="4"/>
  <c r="K13" i="4"/>
  <c r="K12" i="4"/>
  <c r="K11" i="4"/>
  <c r="K10" i="4"/>
  <c r="K9" i="4"/>
  <c r="K8" i="4"/>
  <c r="K7" i="4"/>
  <c r="K6" i="4"/>
  <c r="K5" i="4"/>
  <c r="K4" i="4"/>
  <c r="K3" i="4"/>
  <c r="E17" i="4"/>
  <c r="E31" i="4" s="1"/>
  <c r="J3" i="4"/>
  <c r="H4" i="4"/>
  <c r="F28" i="4"/>
  <c r="F29" i="4"/>
  <c r="F27" i="4"/>
  <c r="F26" i="4"/>
  <c r="F25" i="4"/>
  <c r="F24" i="4"/>
  <c r="F12" i="4"/>
  <c r="F10" i="4"/>
  <c r="F9" i="4"/>
  <c r="F8" i="4"/>
  <c r="F7" i="4"/>
  <c r="F6" i="4"/>
  <c r="F5" i="4"/>
  <c r="F4" i="4"/>
  <c r="F3" i="4"/>
  <c r="E9" i="4"/>
  <c r="E8" i="4"/>
  <c r="E7" i="4" l="1"/>
  <c r="E6" i="4"/>
  <c r="E5" i="4"/>
  <c r="M20" i="4" l="1"/>
  <c r="M21" i="4"/>
  <c r="M19" i="4"/>
  <c r="M18" i="4"/>
  <c r="M16" i="4"/>
  <c r="O16" i="4" s="1"/>
  <c r="K19" i="4"/>
  <c r="K20" i="4"/>
  <c r="H18" i="4"/>
  <c r="H16" i="4"/>
  <c r="H21" i="4"/>
  <c r="H20" i="4"/>
  <c r="H19" i="4"/>
  <c r="H14" i="4"/>
  <c r="J16" i="4"/>
  <c r="M15" i="4"/>
  <c r="O15" i="4" s="1"/>
  <c r="H15" i="4"/>
  <c r="J15" i="4" s="1"/>
  <c r="M14" i="4"/>
  <c r="O14" i="4" s="1"/>
  <c r="J14" i="4"/>
  <c r="M13" i="4"/>
  <c r="O13" i="4" s="1"/>
  <c r="H13" i="4"/>
  <c r="J13" i="4" s="1"/>
  <c r="M12" i="4"/>
  <c r="O12" i="4" s="1"/>
  <c r="M22" i="4" l="1"/>
  <c r="P15" i="4"/>
  <c r="R15" i="4" s="1"/>
  <c r="P13" i="4"/>
  <c r="R13" i="4" s="1"/>
  <c r="P14" i="4"/>
  <c r="R14" i="4" s="1"/>
  <c r="P16" i="4"/>
  <c r="H12" i="4"/>
  <c r="J12" i="4" s="1"/>
  <c r="P12" i="4" s="1"/>
  <c r="R16" i="4" l="1"/>
  <c r="R12" i="4"/>
  <c r="H25" i="4" l="1"/>
  <c r="Q27" i="4" l="1"/>
  <c r="H27" i="4"/>
  <c r="J27" i="4" s="1"/>
  <c r="Q26" i="4"/>
  <c r="H26" i="4"/>
  <c r="J26" i="4" s="1"/>
  <c r="Q29" i="4"/>
  <c r="K29" i="4"/>
  <c r="Q28" i="4"/>
  <c r="K28" i="4"/>
  <c r="Q25" i="4"/>
  <c r="K25" i="4"/>
  <c r="M25" i="4" s="1"/>
  <c r="O25" i="4" s="1"/>
  <c r="J25" i="4"/>
  <c r="Q24" i="4"/>
  <c r="K24" i="4"/>
  <c r="H24" i="4"/>
  <c r="J24" i="4" s="1"/>
  <c r="Q23" i="4"/>
  <c r="N23" i="4"/>
  <c r="F23" i="4"/>
  <c r="H23" i="4" s="1"/>
  <c r="O19" i="4"/>
  <c r="J19" i="4"/>
  <c r="O18" i="4"/>
  <c r="K18" i="4"/>
  <c r="J18" i="4"/>
  <c r="O21" i="4"/>
  <c r="K21" i="4"/>
  <c r="J21" i="4"/>
  <c r="J20" i="4"/>
  <c r="H11" i="4"/>
  <c r="N10" i="4"/>
  <c r="H10" i="4"/>
  <c r="J10" i="4" s="1"/>
  <c r="N9" i="4"/>
  <c r="H9" i="4"/>
  <c r="J9" i="4" s="1"/>
  <c r="N8" i="4"/>
  <c r="N7" i="4"/>
  <c r="N6" i="4"/>
  <c r="H6" i="4"/>
  <c r="N5" i="4"/>
  <c r="H5" i="4"/>
  <c r="J5" i="4" s="1"/>
  <c r="N4" i="4"/>
  <c r="M4" i="4"/>
  <c r="N3" i="4"/>
  <c r="M28" i="4" l="1"/>
  <c r="O28" i="4" s="1"/>
  <c r="M29" i="4"/>
  <c r="O29" i="4" s="1"/>
  <c r="J6" i="4"/>
  <c r="R39" i="4"/>
  <c r="J11" i="4"/>
  <c r="O4" i="4"/>
  <c r="J4" i="4"/>
  <c r="M11" i="4"/>
  <c r="K23" i="4"/>
  <c r="M23" i="4" s="1"/>
  <c r="O23" i="4" s="1"/>
  <c r="J23" i="4"/>
  <c r="H28" i="4"/>
  <c r="H22" i="4"/>
  <c r="G22" i="4" s="1"/>
  <c r="P19" i="4"/>
  <c r="R19" i="4" s="1"/>
  <c r="P25" i="4"/>
  <c r="R25" i="4" s="1"/>
  <c r="P21" i="4"/>
  <c r="R21" i="4" s="1"/>
  <c r="O20" i="4"/>
  <c r="O22" i="4" s="1"/>
  <c r="N22" i="4" s="1"/>
  <c r="H8" i="4"/>
  <c r="J8" i="4" s="1"/>
  <c r="P18" i="4"/>
  <c r="R18" i="4" s="1"/>
  <c r="M24" i="4"/>
  <c r="O24" i="4" s="1"/>
  <c r="P24" i="4" s="1"/>
  <c r="R24" i="4" s="1"/>
  <c r="H29" i="4"/>
  <c r="J29" i="4" s="1"/>
  <c r="M5" i="4"/>
  <c r="O5" i="4" s="1"/>
  <c r="P5" i="4" s="1"/>
  <c r="R5" i="4" s="1"/>
  <c r="K26" i="4"/>
  <c r="M26" i="4" s="1"/>
  <c r="O26" i="4" s="1"/>
  <c r="P26" i="4" s="1"/>
  <c r="R26" i="4" s="1"/>
  <c r="M10" i="4"/>
  <c r="O10" i="4" s="1"/>
  <c r="P10" i="4" s="1"/>
  <c r="R10" i="4" s="1"/>
  <c r="K27" i="4"/>
  <c r="M27" i="4" s="1"/>
  <c r="O27" i="4" s="1"/>
  <c r="P27" i="4" s="1"/>
  <c r="R27" i="4" s="1"/>
  <c r="M6" i="4"/>
  <c r="O6" i="4" s="1"/>
  <c r="P29" i="4" l="1"/>
  <c r="R29" i="4" s="1"/>
  <c r="P6" i="4"/>
  <c r="R6" i="4" s="1"/>
  <c r="M3" i="4"/>
  <c r="O3" i="4" s="1"/>
  <c r="O11" i="4"/>
  <c r="J28" i="4"/>
  <c r="P28" i="4" s="1"/>
  <c r="R28" i="4" s="1"/>
  <c r="M9" i="4"/>
  <c r="O9" i="4" s="1"/>
  <c r="P9" i="4" s="1"/>
  <c r="R9" i="4" s="1"/>
  <c r="P3" i="4"/>
  <c r="P4" i="4"/>
  <c r="R4" i="4" s="1"/>
  <c r="I22" i="4"/>
  <c r="L22" i="4"/>
  <c r="P23" i="4"/>
  <c r="R23" i="4" s="1"/>
  <c r="M8" i="4"/>
  <c r="O8" i="4" s="1"/>
  <c r="P8" i="4" s="1"/>
  <c r="R8" i="4" s="1"/>
  <c r="O30" i="4"/>
  <c r="H7" i="4"/>
  <c r="M7" i="4"/>
  <c r="O7" i="4" s="1"/>
  <c r="M30" i="4"/>
  <c r="H30" i="4"/>
  <c r="P20" i="4"/>
  <c r="M17" i="4" l="1"/>
  <c r="L17" i="4" s="1"/>
  <c r="O17" i="4"/>
  <c r="G17" i="4"/>
  <c r="P11" i="4"/>
  <c r="R11" i="4" s="1"/>
  <c r="J30" i="4"/>
  <c r="I30" i="4" s="1"/>
  <c r="K31" i="4"/>
  <c r="R30" i="4"/>
  <c r="R44" i="4"/>
  <c r="R43" i="4"/>
  <c r="N30" i="4"/>
  <c r="R20" i="4"/>
  <c r="R22" i="4" s="1"/>
  <c r="P22" i="4"/>
  <c r="G30" i="4"/>
  <c r="J7" i="4"/>
  <c r="J17" i="4" s="1"/>
  <c r="I17" i="4" s="1"/>
  <c r="R3" i="4"/>
  <c r="L30" i="4"/>
  <c r="N17" i="4" l="1"/>
  <c r="O31" i="4"/>
  <c r="R45" i="4"/>
  <c r="R40" i="4"/>
  <c r="M31" i="4"/>
  <c r="L31" i="4"/>
  <c r="P7" i="4"/>
  <c r="P17" i="4" s="1"/>
  <c r="R35" i="4" l="1"/>
  <c r="R34" i="4"/>
  <c r="J31" i="4"/>
  <c r="R7" i="4"/>
  <c r="R17" i="4" l="1"/>
  <c r="R31" i="4" s="1"/>
  <c r="R41" i="4"/>
  <c r="P31" i="4"/>
  <c r="R37" i="4" l="1"/>
  <c r="R36" i="4"/>
</calcChain>
</file>

<file path=xl/sharedStrings.xml><?xml version="1.0" encoding="utf-8"?>
<sst xmlns="http://schemas.openxmlformats.org/spreadsheetml/2006/main" count="183" uniqueCount="143">
  <si>
    <t>Responsive</t>
  </si>
  <si>
    <t>Non-Responsive</t>
  </si>
  <si>
    <t>Respondent Category</t>
  </si>
  <si>
    <t>Type of respondents</t>
  </si>
  <si>
    <t>Appendix</t>
  </si>
  <si>
    <t>Sample Size</t>
  </si>
  <si>
    <t>Number of respondents</t>
  </si>
  <si>
    <t>Frequency of response</t>
  </si>
  <si>
    <t>Total Annual responses</t>
  </si>
  <si>
    <t>Hours per response</t>
  </si>
  <si>
    <t>Annual burden (hours)</t>
  </si>
  <si>
    <t>Number of 
Non-respondents</t>
  </si>
  <si>
    <t>Grand Total Annual Burden Estimate (hours)</t>
  </si>
  <si>
    <t>COMBINED TOTAL</t>
  </si>
  <si>
    <t>Hourly rate</t>
  </si>
  <si>
    <t>Cost</t>
  </si>
  <si>
    <t>Estimated time per respondent</t>
  </si>
  <si>
    <t>Total survey responses</t>
  </si>
  <si>
    <t>Estimated time per survey respt</t>
  </si>
  <si>
    <t>Number of responses per State respt</t>
  </si>
  <si>
    <t>Total state responses</t>
  </si>
  <si>
    <t>Estimated time per State respt</t>
  </si>
  <si>
    <t>Cell</t>
  </si>
  <si>
    <t>Total annual burden hours (respondent + nonrespondent</t>
  </si>
  <si>
    <t>Study Brochure</t>
  </si>
  <si>
    <t>Thank You Letter</t>
  </si>
  <si>
    <t>Endorsement Letter</t>
  </si>
  <si>
    <t>Police Station Letter</t>
  </si>
  <si>
    <t>Document</t>
  </si>
  <si>
    <t>Sample Size Assumption</t>
  </si>
  <si>
    <t>Notes</t>
  </si>
  <si>
    <t>IDI Consent Form</t>
  </si>
  <si>
    <t>IDI Invitation Call Script</t>
  </si>
  <si>
    <t>State, Local, or Tribal Government</t>
  </si>
  <si>
    <t>Individual/ Household</t>
  </si>
  <si>
    <t>Individual/ Household Sub-Total</t>
  </si>
  <si>
    <t>State, Local, or Tribal Government Sub-Total</t>
  </si>
  <si>
    <t>Instruments</t>
  </si>
  <si>
    <t xml:space="preserve">First Survey Reminder Letter </t>
  </si>
  <si>
    <t xml:space="preserve">Second Survey Reminder Letter </t>
  </si>
  <si>
    <t xml:space="preserve">State, local, or Tribal agency direct service staff: Average hourly earnings of workers in community and social services occupations; </t>
  </si>
  <si>
    <t>Private sector not-for-profit direct service staff : Average hourly earnings of community and social service specialists;</t>
  </si>
  <si>
    <t>Number of responses per respondent (includes respondents and non-respondents</t>
  </si>
  <si>
    <r>
      <rPr>
        <b/>
        <sz val="10"/>
        <rFont val="Calibri"/>
        <family val="2"/>
        <scheme val="minor"/>
      </rPr>
      <t>Private sector not-for-profit agency director/manager:</t>
    </r>
    <r>
      <rPr>
        <sz val="10"/>
        <rFont val="Calibri"/>
        <family val="2"/>
        <scheme val="minor"/>
      </rPr>
      <t xml:space="preserve"> Average hourly earnings of social and community services managers = $$ 36.92</t>
    </r>
  </si>
  <si>
    <r>
      <rPr>
        <b/>
        <sz val="10"/>
        <rFont val="Calibri"/>
        <family val="2"/>
        <scheme val="minor"/>
      </rPr>
      <t>Private sector for-profit business director/manager</t>
    </r>
    <r>
      <rPr>
        <sz val="10"/>
        <rFont val="Calibri"/>
        <family val="2"/>
        <scheme val="minor"/>
      </rPr>
      <t>: Average hourly earnings of workers in management occupations;</t>
    </r>
  </si>
  <si>
    <r>
      <rPr>
        <b/>
        <sz val="10"/>
        <rFont val="Calibri"/>
        <family val="2"/>
        <scheme val="minor"/>
      </rPr>
      <t>State, local, or Tribal agency director/manager:</t>
    </r>
    <r>
      <rPr>
        <sz val="10"/>
        <rFont val="Calibri"/>
        <family val="2"/>
        <scheme val="minor"/>
      </rPr>
      <t xml:space="preserve"> Average hourly earnings of workers in management occupations; = $59.31</t>
    </r>
  </si>
  <si>
    <t>First Survey Reminder Letter</t>
  </si>
  <si>
    <t>Second Survey Reminder Letter</t>
  </si>
  <si>
    <t>C3</t>
  </si>
  <si>
    <t>C20</t>
  </si>
  <si>
    <t>C6</t>
  </si>
  <si>
    <t>C10</t>
  </si>
  <si>
    <t>C4</t>
  </si>
  <si>
    <t>C5</t>
  </si>
  <si>
    <t>C7</t>
  </si>
  <si>
    <t>C8</t>
  </si>
  <si>
    <t>C9</t>
  </si>
  <si>
    <t>C11</t>
  </si>
  <si>
    <t>C13</t>
  </si>
  <si>
    <t>C14</t>
  </si>
  <si>
    <t>C15</t>
  </si>
  <si>
    <t>C16</t>
  </si>
  <si>
    <t>C19</t>
  </si>
  <si>
    <t>C21</t>
  </si>
  <si>
    <t>C24</t>
  </si>
  <si>
    <t>Focus Group Discussion Guide</t>
  </si>
  <si>
    <t>C25</t>
  </si>
  <si>
    <t>C26</t>
  </si>
  <si>
    <t>C27</t>
  </si>
  <si>
    <t>C28</t>
  </si>
  <si>
    <t>C29</t>
  </si>
  <si>
    <t>Number of responses per survey respt</t>
  </si>
  <si>
    <t>IDI Reminder Call Script</t>
  </si>
  <si>
    <t>Total Annual Responses</t>
  </si>
  <si>
    <t>Household Survey</t>
  </si>
  <si>
    <t>Survey participants</t>
  </si>
  <si>
    <t>Focus groups</t>
  </si>
  <si>
    <t>IDI Confirmation Letter/Email</t>
  </si>
  <si>
    <t>IDI Interview Guide</t>
  </si>
  <si>
    <t>Focus Group Consent Form</t>
  </si>
  <si>
    <t>Study Description</t>
  </si>
  <si>
    <t>Household survey</t>
  </si>
  <si>
    <t>Sample of all participants who receive initial letter+brochure</t>
  </si>
  <si>
    <t>Send 1st survey reminder 2 weeks after start</t>
  </si>
  <si>
    <t>Send 2nd survey reminder 8 weeks after start</t>
  </si>
  <si>
    <t>Use door hanger 8 weeks after start</t>
  </si>
  <si>
    <t>Send refusal letters between 4-8 weeks after participant refusal</t>
  </si>
  <si>
    <t>Send IDI confirmation letter/email</t>
  </si>
  <si>
    <t>Send reminder call script</t>
  </si>
  <si>
    <t>Use consent form with IDI</t>
  </si>
  <si>
    <t>Respondents invited to complete IDI</t>
  </si>
  <si>
    <t>Sample of focus group participants from community based organizations - send invitation letter</t>
  </si>
  <si>
    <t>Sample of focus group participants from community based organizations - send study description</t>
  </si>
  <si>
    <t>Number of police stations to alert regarding field staff</t>
  </si>
  <si>
    <t>Sample of focus group participants from State, Local, or Tribal government  - send invitation letter</t>
  </si>
  <si>
    <t>Sample of focus group participants from State, Local, or Tribal government  - send study description</t>
  </si>
  <si>
    <t>Use consent form with focus groups - State, local or tribal government</t>
  </si>
  <si>
    <t>Use consent form with focus groups - community based organizations</t>
  </si>
  <si>
    <t>Respondents from community based organizations invited to complete focus group</t>
  </si>
  <si>
    <t>Respondents from State, local, or tribal government invited to complete focus group</t>
  </si>
  <si>
    <t>Survey Door Hanger</t>
  </si>
  <si>
    <t>Survey Refusal Letter</t>
  </si>
  <si>
    <t>SNAP Agency Data Request</t>
  </si>
  <si>
    <t>Respondents who are mailed thank you letter for participation - just phone and web completes</t>
  </si>
  <si>
    <t>E1/E2</t>
  </si>
  <si>
    <t>F1/F2</t>
  </si>
  <si>
    <t>J1/J2</t>
  </si>
  <si>
    <t>L1/L2</t>
  </si>
  <si>
    <t>K1/K2</t>
  </si>
  <si>
    <t>M1/M2</t>
  </si>
  <si>
    <t>N1/N2</t>
  </si>
  <si>
    <t>O1/O2</t>
  </si>
  <si>
    <t>Focus Group Invitation</t>
  </si>
  <si>
    <t>H</t>
  </si>
  <si>
    <t>State or county staff</t>
  </si>
  <si>
    <t>State or local police station staff</t>
  </si>
  <si>
    <t>Business (Profit, Non-Profit, or Farm)</t>
  </si>
  <si>
    <t>Business (Profit, Non-Profit, or Farm) Sub-Total</t>
  </si>
  <si>
    <t>Hourly rate for State agency staff includes 33% adjustment to include fringe benefits</t>
  </si>
  <si>
    <t>Individuals/Participant: Federal minimum wage = $7.25</t>
  </si>
  <si>
    <t>Sources: Department of Labor Wage and Hour Division (http://www.dol.gov/whd/minimumwage.htm). Bureau of Labor Statistics, Occupational Employment Statistics Survey, May 2021. (https://www.bls.gov/oes/current/oes_stru.htm). Individual/Household: Federal minimum wage.  Business (Profit, Non-Profit, or Farm): Average hourly earnings of Social and Community Service Management Occupations. State, Local, or Tribal Government: Average hourly earnings of Management Occupations. State, Local, or Tribal Government.</t>
  </si>
  <si>
    <t>B</t>
  </si>
  <si>
    <t>Survey Invitation</t>
  </si>
  <si>
    <t>C1/C2</t>
  </si>
  <si>
    <t>D</t>
  </si>
  <si>
    <t>G1/G2</t>
  </si>
  <si>
    <t>I</t>
  </si>
  <si>
    <t>P1/P2</t>
  </si>
  <si>
    <t>Q1</t>
  </si>
  <si>
    <t>Q2</t>
  </si>
  <si>
    <t>Q3</t>
  </si>
  <si>
    <t>R</t>
  </si>
  <si>
    <t>C12</t>
  </si>
  <si>
    <t>C18</t>
  </si>
  <si>
    <t>C23</t>
  </si>
  <si>
    <t>6 States + 1 County agency provide SNAP administrative data</t>
  </si>
  <si>
    <t>S1/S2/S3</t>
  </si>
  <si>
    <t>IDI participants</t>
  </si>
  <si>
    <t>Total Individual/HH Respondents</t>
  </si>
  <si>
    <t>19,800 household survey sample members + 312 IDI sample members (the half of the IDI sample that is not included in the HH survey sample)</t>
  </si>
  <si>
    <t>Sample of all participants invited to participate in the survey</t>
  </si>
  <si>
    <t>Respondents invited to participate in the IDI. Half of these sample members will have completed the household survey, while the other half will be household members who were not included in the survey sample.</t>
  </si>
  <si>
    <t>C17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</si>
</sst>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_(* #,##0.000_);_(* \(#,##0.000\);_(* &quot;-&quot;??_);_(@_)"/>
    <numFmt numFmtId="168" formatCode="0.000"/>
    <numFmt numFmtId="169" formatCode="#,##0.000"/>
    <numFmt numFmtId="170" formatCode="_(* #,##0.0_);_(* \(#,##0.0\);_(* &quot;-&quot;??_);_(@_)"/>
  </numFmts>
  <fonts count="11"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sz val="9"/>
      <name val="Calibri"/>
      <family val="2"/>
      <scheme val="minor"/>
    </font>
    <font>
      <b/>
      <sz val="9"/>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8"/>
      <name val="Arial"/>
      <family val="2"/>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9">
    <xf numFmtId="0" fontId="0" fillId="0" borderId="0" xfId="0"/>
    <xf numFmtId="0" fontId="2" fillId="0" borderId="5" xfId="0" applyFont="1" applyFill="1" applyBorder="1" applyAlignment="1">
      <alignment vertical="center" textRotation="90" wrapText="1"/>
    </xf>
    <xf numFmtId="0" fontId="2" fillId="0" borderId="1" xfId="0" applyFont="1" applyFill="1" applyBorder="1" applyAlignment="1">
      <alignment horizontal="center" vertical="center" wrapText="1"/>
    </xf>
    <xf numFmtId="164" fontId="4" fillId="0" borderId="1" xfId="1" applyNumberFormat="1" applyFont="1" applyFill="1" applyBorder="1" applyAlignment="1">
      <alignment horizontal="right"/>
    </xf>
    <xf numFmtId="0" fontId="4" fillId="0" borderId="1" xfId="0" applyFont="1" applyFill="1" applyBorder="1" applyAlignment="1">
      <alignment horizontal="right"/>
    </xf>
    <xf numFmtId="3" fontId="4" fillId="0" borderId="1" xfId="0" applyNumberFormat="1" applyFont="1" applyFill="1" applyBorder="1" applyAlignment="1">
      <alignment horizontal="right"/>
    </xf>
    <xf numFmtId="0" fontId="6" fillId="0" borderId="0" xfId="0" applyFont="1" applyFill="1"/>
    <xf numFmtId="44" fontId="4" fillId="0" borderId="1" xfId="2" applyFont="1" applyFill="1" applyBorder="1" applyAlignment="1">
      <alignment horizontal="right"/>
    </xf>
    <xf numFmtId="165" fontId="4" fillId="0" borderId="1" xfId="2" applyNumberFormat="1" applyFont="1" applyFill="1" applyBorder="1" applyAlignment="1">
      <alignment horizontal="right"/>
    </xf>
    <xf numFmtId="8" fontId="4" fillId="0" borderId="1" xfId="0" applyNumberFormat="1" applyFont="1" applyFill="1" applyBorder="1" applyAlignment="1">
      <alignment horizontal="right"/>
    </xf>
    <xf numFmtId="0" fontId="8" fillId="0" borderId="0" xfId="0" applyFont="1" applyFill="1"/>
    <xf numFmtId="0" fontId="9" fillId="0" borderId="0" xfId="0" applyFont="1" applyFill="1"/>
    <xf numFmtId="164" fontId="5" fillId="2" borderId="4" xfId="1" applyNumberFormat="1" applyFont="1" applyFill="1" applyBorder="1" applyAlignment="1">
      <alignment horizontal="right"/>
    </xf>
    <xf numFmtId="0" fontId="5" fillId="2" borderId="1" xfId="0" applyFont="1" applyFill="1" applyBorder="1" applyAlignment="1">
      <alignment horizontal="right"/>
    </xf>
    <xf numFmtId="43" fontId="5" fillId="2" borderId="1" xfId="0" applyNumberFormat="1" applyFont="1" applyFill="1" applyBorder="1" applyAlignment="1">
      <alignment horizontal="right"/>
    </xf>
    <xf numFmtId="166" fontId="5" fillId="2" borderId="1" xfId="0" applyNumberFormat="1" applyFont="1" applyFill="1" applyBorder="1" applyAlignment="1">
      <alignment horizontal="right"/>
    </xf>
    <xf numFmtId="3" fontId="4" fillId="0" borderId="4" xfId="0" applyNumberFormat="1" applyFont="1" applyFill="1" applyBorder="1" applyAlignment="1">
      <alignment horizontal="right"/>
    </xf>
    <xf numFmtId="0" fontId="4" fillId="0" borderId="4" xfId="0" applyFont="1" applyFill="1" applyBorder="1" applyAlignment="1">
      <alignment horizontal="right"/>
    </xf>
    <xf numFmtId="167" fontId="4" fillId="0" borderId="1" xfId="1" applyNumberFormat="1" applyFont="1" applyFill="1" applyBorder="1" applyAlignment="1">
      <alignment horizontal="right"/>
    </xf>
    <xf numFmtId="3" fontId="5" fillId="2" borderId="1" xfId="0" applyNumberFormat="1" applyFont="1" applyFill="1" applyBorder="1" applyAlignment="1">
      <alignment horizontal="right"/>
    </xf>
    <xf numFmtId="164" fontId="5" fillId="2" borderId="1" xfId="1" applyNumberFormat="1" applyFont="1" applyFill="1" applyBorder="1" applyAlignment="1">
      <alignment horizontal="right"/>
    </xf>
    <xf numFmtId="167" fontId="5" fillId="2" borderId="1" xfId="1" applyNumberFormat="1" applyFont="1" applyFill="1" applyBorder="1" applyAlignment="1">
      <alignment horizontal="right"/>
    </xf>
    <xf numFmtId="0" fontId="6" fillId="0" borderId="0" xfId="0" applyFont="1" applyFill="1" applyAlignment="1">
      <alignment vertical="top" wrapText="1"/>
    </xf>
    <xf numFmtId="0" fontId="9" fillId="0" borderId="0" xfId="0" applyFont="1" applyFill="1" applyAlignment="1">
      <alignment vertical="top" wrapText="1"/>
    </xf>
    <xf numFmtId="0" fontId="9" fillId="0" borderId="0" xfId="0" applyFont="1" applyFill="1" applyBorder="1" applyAlignment="1">
      <alignment vertical="top" wrapText="1"/>
    </xf>
    <xf numFmtId="44" fontId="5" fillId="2" borderId="1" xfId="2" applyFont="1" applyFill="1" applyBorder="1" applyAlignment="1">
      <alignment horizontal="right"/>
    </xf>
    <xf numFmtId="3" fontId="4" fillId="0" borderId="15" xfId="0" applyNumberFormat="1" applyFont="1" applyFill="1" applyBorder="1" applyAlignment="1">
      <alignment horizontal="right"/>
    </xf>
    <xf numFmtId="0" fontId="4" fillId="0" borderId="15" xfId="0" applyFont="1" applyFill="1" applyBorder="1" applyAlignment="1">
      <alignment horizontal="right"/>
    </xf>
    <xf numFmtId="164" fontId="4" fillId="0" borderId="15" xfId="1" applyNumberFormat="1" applyFont="1" applyFill="1" applyBorder="1" applyAlignment="1">
      <alignment horizontal="right"/>
    </xf>
    <xf numFmtId="166" fontId="4" fillId="0" borderId="15" xfId="0" applyNumberFormat="1" applyFont="1" applyFill="1" applyBorder="1" applyAlignment="1">
      <alignment horizontal="right"/>
    </xf>
    <xf numFmtId="167" fontId="4" fillId="0" borderId="15" xfId="1" applyNumberFormat="1" applyFont="1" applyFill="1" applyBorder="1" applyAlignment="1">
      <alignment horizontal="right"/>
    </xf>
    <xf numFmtId="44" fontId="4" fillId="0" borderId="15" xfId="2" applyFont="1" applyFill="1" applyBorder="1" applyAlignment="1">
      <alignment horizontal="right"/>
    </xf>
    <xf numFmtId="165" fontId="4" fillId="0" borderId="15" xfId="2" applyNumberFormat="1" applyFont="1" applyFill="1" applyBorder="1" applyAlignment="1">
      <alignment horizontal="right"/>
    </xf>
    <xf numFmtId="0" fontId="2" fillId="0" borderId="18" xfId="0" applyFont="1" applyFill="1" applyBorder="1" applyAlignment="1">
      <alignment horizontal="center" vertical="top" wrapText="1"/>
    </xf>
    <xf numFmtId="0" fontId="2" fillId="0" borderId="19" xfId="0" applyFont="1" applyFill="1" applyBorder="1" applyAlignment="1">
      <alignment horizontal="center" vertical="center" wrapText="1"/>
    </xf>
    <xf numFmtId="0" fontId="2" fillId="0" borderId="15" xfId="0" applyFont="1" applyFill="1" applyBorder="1" applyAlignment="1">
      <alignment horizontal="center" vertical="center" wrapText="1"/>
    </xf>
    <xf numFmtId="3" fontId="5" fillId="0" borderId="4" xfId="0" applyNumberFormat="1" applyFont="1" applyFill="1" applyBorder="1" applyAlignment="1">
      <alignment horizontal="right"/>
    </xf>
    <xf numFmtId="167" fontId="5" fillId="2" borderId="4" xfId="1" applyNumberFormat="1" applyFont="1" applyFill="1" applyBorder="1" applyAlignment="1">
      <alignment horizontal="right"/>
    </xf>
    <xf numFmtId="44" fontId="5" fillId="2" borderId="4" xfId="2" applyFont="1" applyFill="1" applyBorder="1" applyAlignment="1">
      <alignment horizontal="right"/>
    </xf>
    <xf numFmtId="44" fontId="5" fillId="0" borderId="4" xfId="2" applyFont="1" applyFill="1" applyBorder="1" applyAlignment="1">
      <alignment horizontal="right"/>
    </xf>
    <xf numFmtId="1" fontId="4" fillId="0" borderId="1" xfId="0" applyNumberFormat="1" applyFont="1" applyFill="1" applyBorder="1" applyAlignment="1">
      <alignment horizontal="right"/>
    </xf>
    <xf numFmtId="168" fontId="5" fillId="2" borderId="1" xfId="0" applyNumberFormat="1" applyFont="1" applyFill="1" applyBorder="1" applyAlignment="1">
      <alignment horizontal="right"/>
    </xf>
    <xf numFmtId="169" fontId="5" fillId="0" borderId="4" xfId="0" applyNumberFormat="1" applyFont="1" applyFill="1" applyBorder="1" applyAlignment="1">
      <alignment horizontal="right"/>
    </xf>
    <xf numFmtId="167" fontId="5" fillId="2" borderId="1" xfId="0" applyNumberFormat="1" applyFont="1" applyFill="1" applyBorder="1" applyAlignment="1">
      <alignment horizontal="right"/>
    </xf>
    <xf numFmtId="170" fontId="4" fillId="0" borderId="1" xfId="1" applyNumberFormat="1" applyFont="1" applyFill="1" applyBorder="1" applyAlignment="1">
      <alignment horizontal="right"/>
    </xf>
    <xf numFmtId="44" fontId="5" fillId="2" borderId="1" xfId="2" applyNumberFormat="1" applyFont="1" applyFill="1" applyBorder="1" applyAlignment="1">
      <alignment horizontal="right"/>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1" xfId="0" applyFont="1" applyFill="1" applyBorder="1" applyAlignment="1">
      <alignment horizontal="center" vertical="center" textRotation="90" wrapText="1"/>
    </xf>
    <xf numFmtId="0" fontId="9" fillId="0" borderId="0" xfId="0" applyFont="1" applyAlignment="1"/>
    <xf numFmtId="4" fontId="5" fillId="0" borderId="4" xfId="0" applyNumberFormat="1" applyFont="1" applyFill="1" applyBorder="1" applyAlignment="1">
      <alignment horizontal="right"/>
    </xf>
    <xf numFmtId="0" fontId="3" fillId="0" borderId="0" xfId="0" applyFont="1" applyFill="1"/>
    <xf numFmtId="0" fontId="3" fillId="0" borderId="0" xfId="0" applyFont="1" applyFill="1" applyAlignment="1">
      <alignment vertical="top" wrapText="1"/>
    </xf>
    <xf numFmtId="3" fontId="3" fillId="0" borderId="0" xfId="0" applyNumberFormat="1" applyFont="1" applyFill="1"/>
    <xf numFmtId="166" fontId="3" fillId="0" borderId="8" xfId="0" applyNumberFormat="1" applyFont="1" applyFill="1" applyBorder="1"/>
    <xf numFmtId="0" fontId="3" fillId="0" borderId="13" xfId="0" applyFont="1" applyFill="1" applyBorder="1"/>
    <xf numFmtId="0" fontId="3" fillId="0" borderId="14" xfId="0" applyFont="1" applyFill="1" applyBorder="1"/>
    <xf numFmtId="3" fontId="3" fillId="0" borderId="8" xfId="0" applyNumberFormat="1" applyFont="1" applyFill="1" applyBorder="1"/>
    <xf numFmtId="0" fontId="3" fillId="0" borderId="9" xfId="0" applyFont="1" applyFill="1" applyBorder="1" applyAlignment="1"/>
    <xf numFmtId="0" fontId="3" fillId="0" borderId="0" xfId="0" applyFont="1" applyFill="1" applyBorder="1" applyAlignment="1"/>
    <xf numFmtId="3" fontId="3" fillId="0" borderId="10" xfId="0" applyNumberFormat="1" applyFont="1" applyFill="1" applyBorder="1"/>
    <xf numFmtId="164" fontId="3" fillId="0" borderId="8" xfId="0" applyNumberFormat="1" applyFont="1" applyFill="1" applyBorder="1" applyAlignment="1">
      <alignment horizontal="right" indent="1"/>
    </xf>
    <xf numFmtId="0" fontId="3" fillId="0" borderId="9" xfId="0" applyFont="1" applyFill="1" applyBorder="1"/>
    <xf numFmtId="0" fontId="3" fillId="0" borderId="0" xfId="0" applyFont="1" applyFill="1" applyBorder="1"/>
    <xf numFmtId="0" fontId="3" fillId="0" borderId="10" xfId="0" applyFont="1" applyFill="1" applyBorder="1"/>
    <xf numFmtId="1" fontId="3" fillId="0" borderId="8" xfId="0" applyNumberFormat="1" applyFont="1" applyFill="1" applyBorder="1"/>
    <xf numFmtId="0" fontId="3" fillId="0" borderId="11" xfId="0" applyFont="1" applyFill="1" applyBorder="1"/>
    <xf numFmtId="0" fontId="3" fillId="0" borderId="12" xfId="0" applyFont="1" applyFill="1" applyBorder="1"/>
    <xf numFmtId="0" fontId="3" fillId="0" borderId="7" xfId="0" applyFont="1" applyBorder="1" applyAlignment="1">
      <alignment horizontal="left" vertical="center" wrapText="1"/>
    </xf>
    <xf numFmtId="166" fontId="4" fillId="0" borderId="1" xfId="0" applyNumberFormat="1" applyFont="1" applyFill="1" applyBorder="1" applyAlignment="1">
      <alignment horizontal="right"/>
    </xf>
    <xf numFmtId="166" fontId="4" fillId="0" borderId="4" xfId="0" applyNumberFormat="1" applyFont="1" applyFill="1" applyBorder="1" applyAlignment="1">
      <alignment horizontal="right"/>
    </xf>
    <xf numFmtId="0" fontId="3" fillId="0" borderId="13" xfId="0" applyFont="1" applyFill="1" applyBorder="1" applyAlignment="1"/>
    <xf numFmtId="0" fontId="3" fillId="0" borderId="14" xfId="0" applyFont="1" applyFill="1" applyBorder="1" applyAlignment="1"/>
    <xf numFmtId="0" fontId="3" fillId="0" borderId="23" xfId="0" applyFont="1" applyFill="1" applyBorder="1" applyAlignment="1"/>
    <xf numFmtId="164" fontId="4" fillId="0" borderId="4" xfId="1" applyNumberFormat="1" applyFont="1" applyFill="1" applyBorder="1" applyAlignment="1">
      <alignment horizontal="right"/>
    </xf>
    <xf numFmtId="0" fontId="2" fillId="0" borderId="6" xfId="0" applyFont="1" applyFill="1" applyBorder="1" applyAlignment="1">
      <alignment horizontal="center" vertical="center" wrapText="1"/>
    </xf>
    <xf numFmtId="0" fontId="3" fillId="0" borderId="15" xfId="0" applyFont="1" applyFill="1" applyBorder="1" applyAlignment="1">
      <alignment horizontal="center" vertical="center" wrapText="1"/>
    </xf>
    <xf numFmtId="164" fontId="5" fillId="2" borderId="1" xfId="0" applyNumberFormat="1" applyFont="1" applyFill="1" applyBorder="1" applyAlignment="1">
      <alignment horizontal="right"/>
    </xf>
    <xf numFmtId="0" fontId="7" fillId="0" borderId="28" xfId="0" applyFont="1" applyBorder="1" applyAlignment="1">
      <alignment horizontal="left" vertical="center"/>
    </xf>
    <xf numFmtId="0" fontId="7" fillId="0" borderId="1" xfId="0" applyFont="1" applyFill="1" applyBorder="1" applyAlignment="1">
      <alignment horizontal="left" vertical="center" wrapText="1"/>
    </xf>
    <xf numFmtId="0" fontId="9" fillId="0" borderId="28" xfId="0" applyFont="1" applyBorder="1"/>
    <xf numFmtId="0" fontId="9" fillId="0" borderId="28" xfId="0" applyFont="1" applyFill="1" applyBorder="1"/>
    <xf numFmtId="0" fontId="9" fillId="0" borderId="0" xfId="0" applyFont="1"/>
    <xf numFmtId="3" fontId="9" fillId="0" borderId="0" xfId="0" applyNumberFormat="1" applyFont="1" applyBorder="1"/>
    <xf numFmtId="3" fontId="9" fillId="0" borderId="0" xfId="0" applyNumberFormat="1" applyFont="1" applyFill="1"/>
    <xf numFmtId="3" fontId="9" fillId="0" borderId="0" xfId="0" applyNumberFormat="1" applyFont="1" applyAlignment="1">
      <alignment horizontal="right"/>
    </xf>
    <xf numFmtId="0" fontId="9" fillId="2" borderId="0" xfId="0" applyFont="1" applyFill="1"/>
    <xf numFmtId="3" fontId="9" fillId="2" borderId="0" xfId="0" applyNumberFormat="1" applyFont="1" applyFill="1" applyBorder="1"/>
    <xf numFmtId="3" fontId="9" fillId="2" borderId="0" xfId="0" applyNumberFormat="1" applyFont="1" applyFill="1" applyAlignment="1">
      <alignment horizontal="right"/>
    </xf>
    <xf numFmtId="0" fontId="9" fillId="2" borderId="0" xfId="0" applyFont="1" applyFill="1" applyAlignment="1"/>
    <xf numFmtId="0" fontId="9" fillId="0" borderId="0" xfId="0" applyFont="1" applyBorder="1"/>
    <xf numFmtId="3" fontId="9" fillId="0" borderId="0" xfId="0" applyNumberFormat="1" applyFont="1" applyAlignment="1"/>
    <xf numFmtId="3" fontId="9" fillId="0" borderId="0" xfId="0" applyNumberFormat="1" applyFont="1"/>
    <xf numFmtId="0" fontId="9" fillId="0" borderId="0" xfId="0" applyFont="1" applyFill="1" applyBorder="1"/>
    <xf numFmtId="0" fontId="9" fillId="0" borderId="0" xfId="0" applyFont="1" applyFill="1" applyAlignment="1"/>
    <xf numFmtId="0" fontId="9" fillId="0" borderId="0" xfId="0" applyFont="1" applyAlignment="1">
      <alignment vertical="center"/>
    </xf>
    <xf numFmtId="3" fontId="9" fillId="0" borderId="0" xfId="0" applyNumberFormat="1" applyFont="1" applyFill="1" applyBorder="1"/>
    <xf numFmtId="3" fontId="9" fillId="0" borderId="0" xfId="0" applyNumberFormat="1" applyFont="1" applyFill="1" applyAlignment="1">
      <alignment horizontal="right"/>
    </xf>
    <xf numFmtId="0" fontId="9" fillId="0" borderId="0" xfId="0" applyFont="1" applyFill="1" applyAlignment="1">
      <alignment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27" xfId="0" applyFont="1" applyBorder="1" applyAlignment="1">
      <alignment horizontal="left" vertical="center" wrapText="1"/>
    </xf>
    <xf numFmtId="0" fontId="3" fillId="0" borderId="13" xfId="0" applyFont="1" applyFill="1" applyBorder="1" applyAlignment="1">
      <alignment horizontal="left" wrapText="1"/>
    </xf>
    <xf numFmtId="0" fontId="3" fillId="0" borderId="14" xfId="0" applyFont="1" applyFill="1" applyBorder="1" applyAlignment="1">
      <alignment horizontal="left" wrapText="1"/>
    </xf>
    <xf numFmtId="0" fontId="3" fillId="0" borderId="23" xfId="0" applyFont="1" applyFill="1" applyBorder="1" applyAlignment="1">
      <alignment horizontal="left"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7"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2" borderId="16" xfId="0" applyFont="1" applyFill="1" applyBorder="1" applyAlignment="1">
      <alignment horizontal="center" vertical="top" wrapText="1"/>
    </xf>
    <xf numFmtId="0" fontId="2" fillId="2" borderId="17"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9" xfId="0"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1ACB-E319-4444-A3EE-EB664EF421D9}">
  <sheetPr>
    <pageSetUpPr fitToPage="1"/>
  </sheetPr>
  <dimension ref="A1:R53"/>
  <sheetViews>
    <sheetView tabSelected="1" zoomScaleNormal="100" zoomScalePageLayoutView="110" workbookViewId="0">
      <pane xSplit="2" ySplit="2" topLeftCell="C6" activePane="bottomRight" state="frozen"/>
      <selection pane="topRight" activeCell="C1" sqref="C1"/>
      <selection pane="bottomLeft" activeCell="A3" sqref="A3"/>
      <selection pane="bottomRight" activeCell="K23" sqref="K23"/>
    </sheetView>
  </sheetViews>
  <sheetFormatPr defaultColWidth="8.5546875" defaultRowHeight="14.4" x14ac:dyDescent="0.3"/>
  <cols>
    <col min="1" max="1" width="11.33203125" style="6" customWidth="1"/>
    <col min="2" max="2" width="15.44140625" style="6" customWidth="1"/>
    <col min="3" max="3" width="21.6640625" style="22" bestFit="1" customWidth="1"/>
    <col min="4" max="4" width="6.6640625" style="6" bestFit="1" customWidth="1"/>
    <col min="5" max="5" width="9" style="6" customWidth="1"/>
    <col min="6" max="11" width="9.33203125" style="6" customWidth="1"/>
    <col min="12" max="12" width="9.6640625" style="6" customWidth="1"/>
    <col min="13" max="15" width="9.33203125" style="6" customWidth="1"/>
    <col min="16" max="16" width="12.5546875" style="6" customWidth="1"/>
    <col min="17" max="17" width="16" style="6" customWidth="1"/>
    <col min="18" max="18" width="10.5546875" style="6" bestFit="1" customWidth="1"/>
    <col min="19" max="16384" width="8.5546875" style="6"/>
  </cols>
  <sheetData>
    <row r="1" spans="1:18" ht="15" thickBot="1" x14ac:dyDescent="0.35">
      <c r="A1" s="1"/>
      <c r="B1" s="82"/>
      <c r="C1" s="33"/>
      <c r="D1" s="34"/>
      <c r="E1" s="34"/>
      <c r="F1" s="130" t="s">
        <v>0</v>
      </c>
      <c r="G1" s="131"/>
      <c r="H1" s="131"/>
      <c r="I1" s="131"/>
      <c r="J1" s="132"/>
      <c r="K1" s="133" t="s">
        <v>1</v>
      </c>
      <c r="L1" s="131"/>
      <c r="M1" s="131"/>
      <c r="N1" s="131"/>
      <c r="O1" s="134"/>
      <c r="P1" s="35"/>
      <c r="Q1" s="35"/>
      <c r="R1" s="35"/>
    </row>
    <row r="2" spans="1:18" ht="53.25" customHeight="1" thickBot="1" x14ac:dyDescent="0.35">
      <c r="A2" s="2" t="s">
        <v>2</v>
      </c>
      <c r="B2" s="2" t="s">
        <v>3</v>
      </c>
      <c r="C2" s="2" t="s">
        <v>37</v>
      </c>
      <c r="D2" s="55" t="s">
        <v>4</v>
      </c>
      <c r="E2" s="2" t="s">
        <v>5</v>
      </c>
      <c r="F2" s="2" t="s">
        <v>6</v>
      </c>
      <c r="G2" s="2" t="s">
        <v>7</v>
      </c>
      <c r="H2" s="2" t="s">
        <v>8</v>
      </c>
      <c r="I2" s="2" t="s">
        <v>9</v>
      </c>
      <c r="J2" s="2" t="s">
        <v>10</v>
      </c>
      <c r="K2" s="2" t="s">
        <v>11</v>
      </c>
      <c r="L2" s="2" t="s">
        <v>7</v>
      </c>
      <c r="M2" s="2" t="s">
        <v>8</v>
      </c>
      <c r="N2" s="2" t="s">
        <v>9</v>
      </c>
      <c r="O2" s="2" t="s">
        <v>10</v>
      </c>
      <c r="P2" s="2" t="s">
        <v>12</v>
      </c>
      <c r="Q2" s="2" t="s">
        <v>14</v>
      </c>
      <c r="R2" s="2" t="s">
        <v>15</v>
      </c>
    </row>
    <row r="3" spans="1:18" ht="15.75" customHeight="1" thickBot="1" x14ac:dyDescent="0.35">
      <c r="A3" s="136" t="s">
        <v>34</v>
      </c>
      <c r="B3" s="121" t="s">
        <v>75</v>
      </c>
      <c r="C3" s="49" t="s">
        <v>122</v>
      </c>
      <c r="D3" s="46" t="s">
        <v>123</v>
      </c>
      <c r="E3" s="5">
        <v>19800</v>
      </c>
      <c r="F3" s="5">
        <f>ROUNDUP(E3*0.8,0)</f>
        <v>15840</v>
      </c>
      <c r="G3" s="4">
        <v>1</v>
      </c>
      <c r="H3" s="3">
        <f>(F3*G3)</f>
        <v>15840</v>
      </c>
      <c r="I3" s="76">
        <v>3.3399999999999999E-2</v>
      </c>
      <c r="J3" s="3">
        <f>H3*I3</f>
        <v>529.05600000000004</v>
      </c>
      <c r="K3" s="5">
        <f>(E3-F3)</f>
        <v>3960</v>
      </c>
      <c r="L3" s="4">
        <v>1</v>
      </c>
      <c r="M3" s="3">
        <f>(K3*L3)</f>
        <v>3960</v>
      </c>
      <c r="N3" s="76">
        <f>I3</f>
        <v>3.3399999999999999E-2</v>
      </c>
      <c r="O3" s="18">
        <f>M3*N3</f>
        <v>132.26400000000001</v>
      </c>
      <c r="P3" s="3">
        <f>(J3+O3)</f>
        <v>661.32</v>
      </c>
      <c r="Q3" s="7">
        <v>7.25</v>
      </c>
      <c r="R3" s="8">
        <f>(P3*Q3)</f>
        <v>4794.5700000000006</v>
      </c>
    </row>
    <row r="4" spans="1:18" ht="15" thickBot="1" x14ac:dyDescent="0.35">
      <c r="A4" s="137"/>
      <c r="B4" s="122"/>
      <c r="C4" s="49" t="s">
        <v>24</v>
      </c>
      <c r="D4" s="46" t="s">
        <v>124</v>
      </c>
      <c r="E4" s="5">
        <v>19800</v>
      </c>
      <c r="F4" s="5">
        <f>ROUNDUP(E4*0.8,0)</f>
        <v>15840</v>
      </c>
      <c r="G4" s="4">
        <v>1</v>
      </c>
      <c r="H4" s="3">
        <f>(F4*G4)</f>
        <v>15840</v>
      </c>
      <c r="I4" s="76">
        <v>3.3399999999999999E-2</v>
      </c>
      <c r="J4" s="3">
        <f>H4*I4</f>
        <v>529.05600000000004</v>
      </c>
      <c r="K4" s="5">
        <f t="shared" ref="K4:K16" si="0">(E4-F4)</f>
        <v>3960</v>
      </c>
      <c r="L4" s="4">
        <v>1</v>
      </c>
      <c r="M4" s="3">
        <f>(K4*L4)</f>
        <v>3960</v>
      </c>
      <c r="N4" s="76">
        <f t="shared" ref="N4:N10" si="1">I4</f>
        <v>3.3399999999999999E-2</v>
      </c>
      <c r="O4" s="18">
        <f>M4*N4</f>
        <v>132.26400000000001</v>
      </c>
      <c r="P4" s="3">
        <f>(J4+O4)</f>
        <v>661.32</v>
      </c>
      <c r="Q4" s="7">
        <v>7.25</v>
      </c>
      <c r="R4" s="8">
        <f t="shared" ref="R4:R10" si="2">(P4*Q4)</f>
        <v>4794.5700000000006</v>
      </c>
    </row>
    <row r="5" spans="1:18" ht="15" thickBot="1" x14ac:dyDescent="0.35">
      <c r="A5" s="137"/>
      <c r="B5" s="122"/>
      <c r="C5" s="54" t="s">
        <v>26</v>
      </c>
      <c r="D5" s="46" t="s">
        <v>104</v>
      </c>
      <c r="E5" s="5">
        <f>E3</f>
        <v>19800</v>
      </c>
      <c r="F5" s="5">
        <f>ROUNDUP(E5*0.8,0)</f>
        <v>15840</v>
      </c>
      <c r="G5" s="4">
        <v>1</v>
      </c>
      <c r="H5" s="3">
        <f>(F5*G5)</f>
        <v>15840</v>
      </c>
      <c r="I5" s="76">
        <v>3.3399999999999999E-2</v>
      </c>
      <c r="J5" s="3">
        <f>H5*I5</f>
        <v>529.05600000000004</v>
      </c>
      <c r="K5" s="5">
        <f t="shared" si="0"/>
        <v>3960</v>
      </c>
      <c r="L5" s="4">
        <v>1</v>
      </c>
      <c r="M5" s="3">
        <f>(K5*L5)</f>
        <v>3960</v>
      </c>
      <c r="N5" s="76">
        <f t="shared" si="1"/>
        <v>3.3399999999999999E-2</v>
      </c>
      <c r="O5" s="18">
        <f>M5*N5</f>
        <v>132.26400000000001</v>
      </c>
      <c r="P5" s="3">
        <f>(J5+O5)</f>
        <v>661.32</v>
      </c>
      <c r="Q5" s="7">
        <v>7.25</v>
      </c>
      <c r="R5" s="8">
        <f>(P5*Q5)</f>
        <v>4794.5700000000006</v>
      </c>
    </row>
    <row r="6" spans="1:18" ht="15" thickBot="1" x14ac:dyDescent="0.35">
      <c r="A6" s="137"/>
      <c r="B6" s="122"/>
      <c r="C6" s="49" t="s">
        <v>38</v>
      </c>
      <c r="D6" s="46" t="s">
        <v>105</v>
      </c>
      <c r="E6" s="5">
        <f>ROUNDUP(0.875*E3,0)</f>
        <v>17325</v>
      </c>
      <c r="F6" s="5">
        <f>ROUNDUP(0.6*E6,0)</f>
        <v>10395</v>
      </c>
      <c r="G6" s="4">
        <v>1</v>
      </c>
      <c r="H6" s="3">
        <f t="shared" ref="H6:H11" si="3">(F6*G6)</f>
        <v>10395</v>
      </c>
      <c r="I6" s="76">
        <v>3.3399999999999999E-2</v>
      </c>
      <c r="J6" s="3">
        <f t="shared" ref="J6:J11" si="4">H6*I6</f>
        <v>347.19299999999998</v>
      </c>
      <c r="K6" s="5">
        <f t="shared" si="0"/>
        <v>6930</v>
      </c>
      <c r="L6" s="4">
        <v>1</v>
      </c>
      <c r="M6" s="3">
        <f t="shared" ref="M6:M10" si="5">(K6*L6)</f>
        <v>6930</v>
      </c>
      <c r="N6" s="76">
        <f t="shared" si="1"/>
        <v>3.3399999999999999E-2</v>
      </c>
      <c r="O6" s="18">
        <f t="shared" ref="O6:O21" si="6">M6*N6</f>
        <v>231.46199999999999</v>
      </c>
      <c r="P6" s="3">
        <f t="shared" ref="P6:P10" si="7">(J6+O6)</f>
        <v>578.65499999999997</v>
      </c>
      <c r="Q6" s="7">
        <v>7.25</v>
      </c>
      <c r="R6" s="8">
        <f t="shared" si="2"/>
        <v>4195.2487499999997</v>
      </c>
    </row>
    <row r="7" spans="1:18" ht="15" customHeight="1" thickBot="1" x14ac:dyDescent="0.35">
      <c r="A7" s="137"/>
      <c r="B7" s="122"/>
      <c r="C7" s="49" t="s">
        <v>39</v>
      </c>
      <c r="D7" s="46" t="s">
        <v>125</v>
      </c>
      <c r="E7" s="5">
        <f>ROUNDUP(0.7*E3,0)</f>
        <v>13860</v>
      </c>
      <c r="F7" s="5">
        <f>ROUNDUP(0.4*E7,0)</f>
        <v>5544</v>
      </c>
      <c r="G7" s="4">
        <v>1</v>
      </c>
      <c r="H7" s="3">
        <f t="shared" si="3"/>
        <v>5544</v>
      </c>
      <c r="I7" s="76">
        <v>3.3399999999999999E-2</v>
      </c>
      <c r="J7" s="3">
        <f t="shared" si="4"/>
        <v>185.1696</v>
      </c>
      <c r="K7" s="5">
        <f t="shared" si="0"/>
        <v>8316</v>
      </c>
      <c r="L7" s="4">
        <v>1</v>
      </c>
      <c r="M7" s="3">
        <f t="shared" si="5"/>
        <v>8316</v>
      </c>
      <c r="N7" s="76">
        <f t="shared" si="1"/>
        <v>3.3399999999999999E-2</v>
      </c>
      <c r="O7" s="18">
        <f t="shared" si="6"/>
        <v>277.75439999999998</v>
      </c>
      <c r="P7" s="3">
        <f t="shared" si="7"/>
        <v>462.92399999999998</v>
      </c>
      <c r="Q7" s="7">
        <v>7.25</v>
      </c>
      <c r="R7" s="8">
        <f t="shared" si="2"/>
        <v>3356.1989999999996</v>
      </c>
    </row>
    <row r="8" spans="1:18" ht="15" thickBot="1" x14ac:dyDescent="0.35">
      <c r="A8" s="137"/>
      <c r="B8" s="122"/>
      <c r="C8" s="49" t="s">
        <v>100</v>
      </c>
      <c r="D8" s="46" t="s">
        <v>113</v>
      </c>
      <c r="E8" s="5">
        <f>ROUNDUP(0.75*E7,0)</f>
        <v>10395</v>
      </c>
      <c r="F8" s="5">
        <f>ROUNDUP(0.95*E8,0)</f>
        <v>9876</v>
      </c>
      <c r="G8" s="4">
        <v>1</v>
      </c>
      <c r="H8" s="3">
        <f t="shared" si="3"/>
        <v>9876</v>
      </c>
      <c r="I8" s="76">
        <v>1.67E-2</v>
      </c>
      <c r="J8" s="3">
        <f t="shared" si="4"/>
        <v>164.92920000000001</v>
      </c>
      <c r="K8" s="5">
        <f t="shared" si="0"/>
        <v>519</v>
      </c>
      <c r="L8" s="4">
        <v>1</v>
      </c>
      <c r="M8" s="3">
        <f t="shared" si="5"/>
        <v>519</v>
      </c>
      <c r="N8" s="76">
        <f t="shared" si="1"/>
        <v>1.67E-2</v>
      </c>
      <c r="O8" s="18">
        <f t="shared" si="6"/>
        <v>8.6672999999999991</v>
      </c>
      <c r="P8" s="3">
        <f t="shared" si="7"/>
        <v>173.59650000000002</v>
      </c>
      <c r="Q8" s="7">
        <v>7.25</v>
      </c>
      <c r="R8" s="8">
        <f t="shared" si="2"/>
        <v>1258.5746250000002</v>
      </c>
    </row>
    <row r="9" spans="1:18" ht="15" thickBot="1" x14ac:dyDescent="0.35">
      <c r="A9" s="137"/>
      <c r="B9" s="122"/>
      <c r="C9" s="54" t="s">
        <v>101</v>
      </c>
      <c r="D9" s="46" t="s">
        <v>106</v>
      </c>
      <c r="E9" s="5">
        <f>ROUNDUP(0.2*E3,0)</f>
        <v>3960</v>
      </c>
      <c r="F9" s="5">
        <f>ROUNDUP(0.8*E9,0)</f>
        <v>3168</v>
      </c>
      <c r="G9" s="4">
        <v>1</v>
      </c>
      <c r="H9" s="3">
        <f t="shared" si="3"/>
        <v>3168</v>
      </c>
      <c r="I9" s="76">
        <v>3.3399999999999999E-2</v>
      </c>
      <c r="J9" s="3">
        <f t="shared" si="4"/>
        <v>105.8112</v>
      </c>
      <c r="K9" s="5">
        <f t="shared" si="0"/>
        <v>792</v>
      </c>
      <c r="L9" s="4">
        <v>1</v>
      </c>
      <c r="M9" s="3">
        <f>(K9*L9)</f>
        <v>792</v>
      </c>
      <c r="N9" s="76">
        <f t="shared" si="1"/>
        <v>3.3399999999999999E-2</v>
      </c>
      <c r="O9" s="18">
        <f>M9*N9</f>
        <v>26.4528</v>
      </c>
      <c r="P9" s="3">
        <f t="shared" si="7"/>
        <v>132.26400000000001</v>
      </c>
      <c r="Q9" s="7">
        <v>7.25</v>
      </c>
      <c r="R9" s="8">
        <f t="shared" si="2"/>
        <v>958.9140000000001</v>
      </c>
    </row>
    <row r="10" spans="1:18" ht="15" thickBot="1" x14ac:dyDescent="0.35">
      <c r="A10" s="137"/>
      <c r="B10" s="122"/>
      <c r="C10" s="54" t="s">
        <v>25</v>
      </c>
      <c r="D10" s="46" t="s">
        <v>108</v>
      </c>
      <c r="E10" s="5">
        <v>2178</v>
      </c>
      <c r="F10" s="5">
        <f>E10</f>
        <v>2178</v>
      </c>
      <c r="G10" s="4">
        <v>1</v>
      </c>
      <c r="H10" s="3">
        <f t="shared" si="3"/>
        <v>2178</v>
      </c>
      <c r="I10" s="76">
        <v>1.67E-2</v>
      </c>
      <c r="J10" s="3">
        <f t="shared" si="4"/>
        <v>36.372599999999998</v>
      </c>
      <c r="K10" s="5">
        <f t="shared" si="0"/>
        <v>0</v>
      </c>
      <c r="L10" s="4">
        <v>0</v>
      </c>
      <c r="M10" s="3">
        <f t="shared" si="5"/>
        <v>0</v>
      </c>
      <c r="N10" s="76">
        <f t="shared" si="1"/>
        <v>1.67E-2</v>
      </c>
      <c r="O10" s="18">
        <f t="shared" si="6"/>
        <v>0</v>
      </c>
      <c r="P10" s="3">
        <f t="shared" si="7"/>
        <v>36.372599999999998</v>
      </c>
      <c r="Q10" s="7">
        <v>7.25</v>
      </c>
      <c r="R10" s="8">
        <f t="shared" si="2"/>
        <v>263.70134999999999</v>
      </c>
    </row>
    <row r="11" spans="1:18" ht="15" thickBot="1" x14ac:dyDescent="0.35">
      <c r="A11" s="137"/>
      <c r="B11" s="122"/>
      <c r="C11" s="54" t="s">
        <v>74</v>
      </c>
      <c r="D11" s="46" t="s">
        <v>136</v>
      </c>
      <c r="E11" s="5">
        <v>19800</v>
      </c>
      <c r="F11" s="5">
        <v>6600</v>
      </c>
      <c r="G11" s="4">
        <v>1</v>
      </c>
      <c r="H11" s="3">
        <f t="shared" si="3"/>
        <v>6600</v>
      </c>
      <c r="I11" s="76">
        <v>0.58450000000000002</v>
      </c>
      <c r="J11" s="3">
        <f t="shared" si="4"/>
        <v>3857.7000000000003</v>
      </c>
      <c r="K11" s="5">
        <f t="shared" si="0"/>
        <v>13200</v>
      </c>
      <c r="L11" s="4">
        <v>1</v>
      </c>
      <c r="M11" s="3">
        <f>(K11*L11)</f>
        <v>13200</v>
      </c>
      <c r="N11" s="76">
        <v>0</v>
      </c>
      <c r="O11" s="18">
        <f>M11*N11</f>
        <v>0</v>
      </c>
      <c r="P11" s="3">
        <f>(J11+O11)</f>
        <v>3857.7000000000003</v>
      </c>
      <c r="Q11" s="7">
        <v>7.25</v>
      </c>
      <c r="R11" s="8">
        <f>(P11*Q11)</f>
        <v>27968.325000000001</v>
      </c>
    </row>
    <row r="12" spans="1:18" ht="15" thickBot="1" x14ac:dyDescent="0.35">
      <c r="A12" s="137"/>
      <c r="B12" s="121" t="s">
        <v>137</v>
      </c>
      <c r="C12" s="75" t="s">
        <v>32</v>
      </c>
      <c r="D12" s="46" t="s">
        <v>107</v>
      </c>
      <c r="E12" s="5">
        <v>624</v>
      </c>
      <c r="F12" s="5">
        <f>ROUNDUP(0.9*E12,0)</f>
        <v>562</v>
      </c>
      <c r="G12" s="4">
        <v>1</v>
      </c>
      <c r="H12" s="3">
        <f t="shared" ref="H12:H15" si="8">(F12*G12)</f>
        <v>562</v>
      </c>
      <c r="I12" s="76">
        <v>0.1002</v>
      </c>
      <c r="J12" s="3">
        <f t="shared" ref="J12:J16" si="9">H12*I12</f>
        <v>56.312399999999997</v>
      </c>
      <c r="K12" s="5">
        <f t="shared" si="0"/>
        <v>62</v>
      </c>
      <c r="L12" s="4">
        <v>1</v>
      </c>
      <c r="M12" s="3">
        <f>(K12*L12)</f>
        <v>62</v>
      </c>
      <c r="N12" s="76">
        <v>0.1002</v>
      </c>
      <c r="O12" s="18">
        <f>M12*N12</f>
        <v>6.2123999999999997</v>
      </c>
      <c r="P12" s="3">
        <f t="shared" ref="P12:P16" si="10">(J12+O12)</f>
        <v>62.524799999999999</v>
      </c>
      <c r="Q12" s="7">
        <v>7.25</v>
      </c>
      <c r="R12" s="8">
        <f t="shared" ref="R12:R15" si="11">(P12*Q12)</f>
        <v>453.3048</v>
      </c>
    </row>
    <row r="13" spans="1:18" ht="15" thickBot="1" x14ac:dyDescent="0.35">
      <c r="A13" s="137"/>
      <c r="B13" s="122"/>
      <c r="C13" s="75" t="s">
        <v>77</v>
      </c>
      <c r="D13" s="46" t="s">
        <v>109</v>
      </c>
      <c r="E13" s="5">
        <v>624</v>
      </c>
      <c r="F13" s="5">
        <v>156</v>
      </c>
      <c r="G13" s="4">
        <v>1</v>
      </c>
      <c r="H13" s="3">
        <f t="shared" si="8"/>
        <v>156</v>
      </c>
      <c r="I13" s="76">
        <v>1.67E-2</v>
      </c>
      <c r="J13" s="3">
        <f t="shared" si="9"/>
        <v>2.6052</v>
      </c>
      <c r="K13" s="5">
        <f t="shared" si="0"/>
        <v>468</v>
      </c>
      <c r="L13" s="4">
        <v>1</v>
      </c>
      <c r="M13" s="3">
        <f t="shared" ref="M13:M15" si="12">(K13*L13)</f>
        <v>468</v>
      </c>
      <c r="N13" s="76">
        <v>1.67E-2</v>
      </c>
      <c r="O13" s="18">
        <f t="shared" ref="O13:O16" si="13">M13*N13</f>
        <v>7.8155999999999999</v>
      </c>
      <c r="P13" s="3">
        <f t="shared" si="10"/>
        <v>10.4208</v>
      </c>
      <c r="Q13" s="7">
        <v>7.25</v>
      </c>
      <c r="R13" s="8">
        <f t="shared" si="11"/>
        <v>75.550799999999995</v>
      </c>
    </row>
    <row r="14" spans="1:18" ht="15" thickBot="1" x14ac:dyDescent="0.35">
      <c r="A14" s="137"/>
      <c r="B14" s="122"/>
      <c r="C14" s="75" t="s">
        <v>72</v>
      </c>
      <c r="D14" s="46" t="s">
        <v>110</v>
      </c>
      <c r="E14" s="5">
        <v>624</v>
      </c>
      <c r="F14" s="5">
        <v>156</v>
      </c>
      <c r="G14" s="4">
        <v>1</v>
      </c>
      <c r="H14" s="3">
        <f>(F14*G14)</f>
        <v>156</v>
      </c>
      <c r="I14" s="76">
        <v>3.3399999999999999E-2</v>
      </c>
      <c r="J14" s="3">
        <f t="shared" si="9"/>
        <v>5.2103999999999999</v>
      </c>
      <c r="K14" s="5">
        <f t="shared" si="0"/>
        <v>468</v>
      </c>
      <c r="L14" s="4">
        <v>1</v>
      </c>
      <c r="M14" s="3">
        <f t="shared" si="12"/>
        <v>468</v>
      </c>
      <c r="N14" s="76">
        <v>3.3399999999999999E-2</v>
      </c>
      <c r="O14" s="18">
        <f t="shared" si="13"/>
        <v>15.6312</v>
      </c>
      <c r="P14" s="3">
        <f t="shared" si="10"/>
        <v>20.8416</v>
      </c>
      <c r="Q14" s="7">
        <v>7.25</v>
      </c>
      <c r="R14" s="8">
        <f t="shared" si="11"/>
        <v>151.10159999999999</v>
      </c>
    </row>
    <row r="15" spans="1:18" ht="15" thickBot="1" x14ac:dyDescent="0.35">
      <c r="A15" s="137"/>
      <c r="B15" s="122"/>
      <c r="C15" s="75" t="s">
        <v>31</v>
      </c>
      <c r="D15" s="46" t="s">
        <v>111</v>
      </c>
      <c r="E15" s="5">
        <v>624</v>
      </c>
      <c r="F15" s="5">
        <v>156</v>
      </c>
      <c r="G15" s="4">
        <v>1</v>
      </c>
      <c r="H15" s="3">
        <f t="shared" si="8"/>
        <v>156</v>
      </c>
      <c r="I15" s="76">
        <v>3.3399999999999999E-2</v>
      </c>
      <c r="J15" s="3">
        <f t="shared" si="9"/>
        <v>5.2103999999999999</v>
      </c>
      <c r="K15" s="5">
        <f t="shared" si="0"/>
        <v>468</v>
      </c>
      <c r="L15" s="4">
        <v>1</v>
      </c>
      <c r="M15" s="3">
        <f t="shared" si="12"/>
        <v>468</v>
      </c>
      <c r="N15" s="76">
        <v>3.3399999999999999E-2</v>
      </c>
      <c r="O15" s="18">
        <f t="shared" si="13"/>
        <v>15.6312</v>
      </c>
      <c r="P15" s="3">
        <f t="shared" si="10"/>
        <v>20.8416</v>
      </c>
      <c r="Q15" s="7">
        <v>7.25</v>
      </c>
      <c r="R15" s="8">
        <f t="shared" si="11"/>
        <v>151.10159999999999</v>
      </c>
    </row>
    <row r="16" spans="1:18" ht="15" thickBot="1" x14ac:dyDescent="0.35">
      <c r="A16" s="138"/>
      <c r="B16" s="123"/>
      <c r="C16" s="52" t="s">
        <v>78</v>
      </c>
      <c r="D16" s="47" t="s">
        <v>127</v>
      </c>
      <c r="E16" s="26">
        <v>624</v>
      </c>
      <c r="F16" s="26">
        <v>156</v>
      </c>
      <c r="G16" s="27">
        <v>1</v>
      </c>
      <c r="H16" s="3">
        <f>(F16*G16)</f>
        <v>156</v>
      </c>
      <c r="I16" s="29">
        <v>2</v>
      </c>
      <c r="J16" s="28">
        <f t="shared" si="9"/>
        <v>312</v>
      </c>
      <c r="K16" s="5">
        <f t="shared" si="0"/>
        <v>468</v>
      </c>
      <c r="L16" s="27">
        <v>1</v>
      </c>
      <c r="M16" s="28">
        <f>(K16*L16)</f>
        <v>468</v>
      </c>
      <c r="N16" s="29">
        <v>0</v>
      </c>
      <c r="O16" s="30">
        <f t="shared" si="13"/>
        <v>0</v>
      </c>
      <c r="P16" s="28">
        <f t="shared" si="10"/>
        <v>312</v>
      </c>
      <c r="Q16" s="31">
        <v>7.25</v>
      </c>
      <c r="R16" s="32">
        <f>(P16*Q16)</f>
        <v>2262</v>
      </c>
    </row>
    <row r="17" spans="1:18" s="10" customFormat="1" ht="15" customHeight="1" thickBot="1" x14ac:dyDescent="0.35">
      <c r="A17" s="118" t="s">
        <v>35</v>
      </c>
      <c r="B17" s="135"/>
      <c r="C17" s="119"/>
      <c r="D17" s="120"/>
      <c r="E17" s="19">
        <f>ROUNDUP(E3+(E12/2),0)</f>
        <v>20112</v>
      </c>
      <c r="F17" s="19">
        <f>ROUNDUP(F3+(F12/2),0)</f>
        <v>16121</v>
      </c>
      <c r="G17" s="14">
        <f>SUM(H17/F17)</f>
        <v>5.3636250852924761</v>
      </c>
      <c r="H17" s="20">
        <f>SUM(H3:H16)</f>
        <v>86467</v>
      </c>
      <c r="I17" s="15">
        <f>J17/H17</f>
        <v>7.7089317311806821E-2</v>
      </c>
      <c r="J17" s="20">
        <f>SUM(J3:J16)</f>
        <v>6665.6819999999998</v>
      </c>
      <c r="K17" s="19">
        <f>K3+(K12/2)</f>
        <v>3991</v>
      </c>
      <c r="L17" s="14">
        <f>M17/K17</f>
        <v>10.917313956401903</v>
      </c>
      <c r="M17" s="20">
        <f>SUM(M3:M16)</f>
        <v>43571</v>
      </c>
      <c r="N17" s="15">
        <f>O17/M17</f>
        <v>2.263934497716371E-2</v>
      </c>
      <c r="O17" s="21">
        <f>SUM(O3:O16)</f>
        <v>986.41890000000001</v>
      </c>
      <c r="P17" s="21">
        <f>SUM(P3:P16)</f>
        <v>7652.1009000000004</v>
      </c>
      <c r="Q17" s="25"/>
      <c r="R17" s="45">
        <f>SUM(R3:R16)</f>
        <v>55477.731525000003</v>
      </c>
    </row>
    <row r="18" spans="1:18" ht="15" customHeight="1" thickBot="1" x14ac:dyDescent="0.35">
      <c r="A18" s="122" t="s">
        <v>116</v>
      </c>
      <c r="B18" s="122" t="s">
        <v>76</v>
      </c>
      <c r="C18" s="54" t="s">
        <v>79</v>
      </c>
      <c r="D18" s="48" t="s">
        <v>128</v>
      </c>
      <c r="E18" s="16">
        <v>96</v>
      </c>
      <c r="F18" s="16">
        <v>36</v>
      </c>
      <c r="G18" s="17">
        <v>1</v>
      </c>
      <c r="H18" s="81">
        <f>F18*G18</f>
        <v>36</v>
      </c>
      <c r="I18" s="77">
        <v>3.3399999999999999E-2</v>
      </c>
      <c r="J18" s="3">
        <f>H18*I18</f>
        <v>1.2023999999999999</v>
      </c>
      <c r="K18" s="16">
        <f>E18-F18</f>
        <v>60</v>
      </c>
      <c r="L18" s="17">
        <v>1</v>
      </c>
      <c r="M18" s="3">
        <f>L18*K18</f>
        <v>60</v>
      </c>
      <c r="N18" s="77">
        <v>3.3399999999999999E-2</v>
      </c>
      <c r="O18" s="18">
        <f>M18*N18</f>
        <v>2.004</v>
      </c>
      <c r="P18" s="3">
        <f>(J18+O18)</f>
        <v>3.2063999999999999</v>
      </c>
      <c r="Q18" s="7">
        <v>25.94</v>
      </c>
      <c r="R18" s="8">
        <f>(P18*Q18)</f>
        <v>83.174016000000009</v>
      </c>
    </row>
    <row r="19" spans="1:18" ht="15" customHeight="1" thickBot="1" x14ac:dyDescent="0.35">
      <c r="A19" s="122"/>
      <c r="B19" s="122"/>
      <c r="C19" s="53" t="s">
        <v>65</v>
      </c>
      <c r="D19" s="48" t="s">
        <v>129</v>
      </c>
      <c r="E19" s="16">
        <v>96</v>
      </c>
      <c r="F19" s="16">
        <v>36</v>
      </c>
      <c r="G19" s="17">
        <v>1</v>
      </c>
      <c r="H19" s="3">
        <f>(F19*G19)</f>
        <v>36</v>
      </c>
      <c r="I19" s="77">
        <v>1.5</v>
      </c>
      <c r="J19" s="3">
        <f>H19*I19</f>
        <v>54</v>
      </c>
      <c r="K19" s="16">
        <f>E19-F19</f>
        <v>60</v>
      </c>
      <c r="L19" s="17">
        <v>1</v>
      </c>
      <c r="M19" s="3">
        <f>L19*K19</f>
        <v>60</v>
      </c>
      <c r="N19" s="77">
        <v>0</v>
      </c>
      <c r="O19" s="18">
        <f>M19*N19</f>
        <v>0</v>
      </c>
      <c r="P19" s="3">
        <f>(J19+O19)</f>
        <v>54</v>
      </c>
      <c r="Q19" s="7">
        <v>25.94</v>
      </c>
      <c r="R19" s="8">
        <f>(P19*Q19)</f>
        <v>1400.76</v>
      </c>
    </row>
    <row r="20" spans="1:18" ht="15" customHeight="1" thickBot="1" x14ac:dyDescent="0.35">
      <c r="A20" s="122"/>
      <c r="B20" s="122"/>
      <c r="C20" s="49" t="s">
        <v>112</v>
      </c>
      <c r="D20" s="48" t="s">
        <v>130</v>
      </c>
      <c r="E20" s="16">
        <v>96</v>
      </c>
      <c r="F20" s="16">
        <v>36</v>
      </c>
      <c r="G20" s="17">
        <v>1</v>
      </c>
      <c r="H20" s="3">
        <f>(F20*G20)</f>
        <v>36</v>
      </c>
      <c r="I20" s="77">
        <v>1.67E-2</v>
      </c>
      <c r="J20" s="3">
        <f>H20*I20</f>
        <v>0.60119999999999996</v>
      </c>
      <c r="K20" s="16">
        <f>E20-F20</f>
        <v>60</v>
      </c>
      <c r="L20" s="17">
        <v>1</v>
      </c>
      <c r="M20" s="3">
        <f>L20*K20</f>
        <v>60</v>
      </c>
      <c r="N20" s="76">
        <v>1.67E-2</v>
      </c>
      <c r="O20" s="18">
        <f>M20*N20</f>
        <v>1.002</v>
      </c>
      <c r="P20" s="3">
        <f>(J20+O20)</f>
        <v>1.6032</v>
      </c>
      <c r="Q20" s="7">
        <v>25.94</v>
      </c>
      <c r="R20" s="8">
        <f>(P20*Q20)</f>
        <v>41.587008000000004</v>
      </c>
    </row>
    <row r="21" spans="1:18" ht="15" thickBot="1" x14ac:dyDescent="0.35">
      <c r="A21" s="122"/>
      <c r="B21" s="122"/>
      <c r="C21" s="54" t="s">
        <v>80</v>
      </c>
      <c r="D21" s="48" t="s">
        <v>131</v>
      </c>
      <c r="E21" s="16">
        <v>96</v>
      </c>
      <c r="F21" s="16">
        <v>36</v>
      </c>
      <c r="G21" s="17">
        <v>1</v>
      </c>
      <c r="H21" s="3">
        <f>(F21*G21)</f>
        <v>36</v>
      </c>
      <c r="I21" s="77">
        <v>3.3399999999999999E-2</v>
      </c>
      <c r="J21" s="3">
        <f t="shared" ref="J21" si="14">H21*I21</f>
        <v>1.2023999999999999</v>
      </c>
      <c r="K21" s="16">
        <f t="shared" ref="K21" si="15">E21-F21</f>
        <v>60</v>
      </c>
      <c r="L21" s="17">
        <v>1</v>
      </c>
      <c r="M21" s="3">
        <f>L21*K21</f>
        <v>60</v>
      </c>
      <c r="N21" s="77">
        <v>3.3399999999999999E-2</v>
      </c>
      <c r="O21" s="18">
        <f t="shared" si="6"/>
        <v>2.004</v>
      </c>
      <c r="P21" s="3">
        <f t="shared" ref="P21" si="16">(J21+O21)</f>
        <v>3.2063999999999999</v>
      </c>
      <c r="Q21" s="7">
        <v>25.94</v>
      </c>
      <c r="R21" s="8">
        <f t="shared" ref="R21" si="17">(P21*Q21)</f>
        <v>83.174016000000009</v>
      </c>
    </row>
    <row r="22" spans="1:18" ht="15" customHeight="1" thickBot="1" x14ac:dyDescent="0.35">
      <c r="A22" s="118" t="s">
        <v>117</v>
      </c>
      <c r="B22" s="119"/>
      <c r="C22" s="119"/>
      <c r="D22" s="120"/>
      <c r="E22" s="19">
        <f>E20</f>
        <v>96</v>
      </c>
      <c r="F22" s="19">
        <f>F20</f>
        <v>36</v>
      </c>
      <c r="G22" s="37">
        <f>SUM(H22/F22)</f>
        <v>4</v>
      </c>
      <c r="H22" s="12">
        <f>SUM(H18:H21)</f>
        <v>144</v>
      </c>
      <c r="I22" s="37">
        <f>J22/H22</f>
        <v>0.39587499999999998</v>
      </c>
      <c r="J22" s="12">
        <f>SUM(J18:J21)</f>
        <v>57.005999999999993</v>
      </c>
      <c r="K22" s="12">
        <f>K20</f>
        <v>60</v>
      </c>
      <c r="L22" s="12">
        <f>M22/K22</f>
        <v>4</v>
      </c>
      <c r="M22" s="12">
        <f>SUM(M18:M21)</f>
        <v>240</v>
      </c>
      <c r="N22" s="37">
        <f>O22/M22</f>
        <v>2.0874999999999998E-2</v>
      </c>
      <c r="O22" s="12">
        <f>SUM(O18:O21)</f>
        <v>5.01</v>
      </c>
      <c r="P22" s="12">
        <f>SUM(P18:P21)</f>
        <v>62.016000000000005</v>
      </c>
      <c r="Q22" s="12"/>
      <c r="R22" s="38">
        <f>SUM(R18:R21)</f>
        <v>1608.6950399999998</v>
      </c>
    </row>
    <row r="23" spans="1:18" ht="15" thickBot="1" x14ac:dyDescent="0.35">
      <c r="A23" s="121" t="s">
        <v>33</v>
      </c>
      <c r="B23" s="83" t="s">
        <v>114</v>
      </c>
      <c r="C23" s="50" t="s">
        <v>102</v>
      </c>
      <c r="D23" s="46" t="s">
        <v>121</v>
      </c>
      <c r="E23" s="4">
        <v>7</v>
      </c>
      <c r="F23" s="4">
        <f>E23</f>
        <v>7</v>
      </c>
      <c r="G23" s="4">
        <v>1</v>
      </c>
      <c r="H23" s="4">
        <f>F23</f>
        <v>7</v>
      </c>
      <c r="I23" s="76">
        <v>8</v>
      </c>
      <c r="J23" s="3">
        <f t="shared" ref="J23" si="18">H23*I23</f>
        <v>56</v>
      </c>
      <c r="K23" s="4">
        <f>E23-F23</f>
        <v>0</v>
      </c>
      <c r="L23" s="4">
        <v>0</v>
      </c>
      <c r="M23" s="3">
        <f t="shared" ref="M23:M25" si="19">(K23*L23)</f>
        <v>0</v>
      </c>
      <c r="N23" s="76">
        <f>I23</f>
        <v>8</v>
      </c>
      <c r="O23" s="18">
        <f t="shared" ref="O23" si="20">M23*N23</f>
        <v>0</v>
      </c>
      <c r="P23" s="3">
        <f t="shared" ref="P23" si="21">(J23+O23)</f>
        <v>56</v>
      </c>
      <c r="Q23" s="9">
        <f>59.31*1.33</f>
        <v>78.882300000000001</v>
      </c>
      <c r="R23" s="8">
        <f>(P23*Q23)</f>
        <v>4417.4088000000002</v>
      </c>
    </row>
    <row r="24" spans="1:18" ht="15" thickBot="1" x14ac:dyDescent="0.35">
      <c r="A24" s="122"/>
      <c r="B24" s="121" t="s">
        <v>115</v>
      </c>
      <c r="C24" s="51" t="s">
        <v>27</v>
      </c>
      <c r="D24" s="46" t="s">
        <v>126</v>
      </c>
      <c r="E24" s="5">
        <v>38</v>
      </c>
      <c r="F24" s="5">
        <f>ROUNDUP(0.8*E24,0)</f>
        <v>31</v>
      </c>
      <c r="G24" s="4">
        <v>1</v>
      </c>
      <c r="H24" s="40">
        <f t="shared" ref="H24:H29" si="22">F24</f>
        <v>31</v>
      </c>
      <c r="I24" s="76">
        <v>1.67E-2</v>
      </c>
      <c r="J24" s="3">
        <f>H24*I24</f>
        <v>0.51769999999999994</v>
      </c>
      <c r="K24" s="4">
        <f t="shared" ref="K24:K29" si="23">E24-F24</f>
        <v>7</v>
      </c>
      <c r="L24" s="4">
        <v>1</v>
      </c>
      <c r="M24" s="3">
        <f t="shared" si="19"/>
        <v>7</v>
      </c>
      <c r="N24" s="76">
        <v>1.67E-2</v>
      </c>
      <c r="O24" s="18">
        <f>M24*N24</f>
        <v>0.1169</v>
      </c>
      <c r="P24" s="3">
        <f>(J24+O24)</f>
        <v>0.63459999999999994</v>
      </c>
      <c r="Q24" s="9">
        <f t="shared" ref="Q24:Q29" si="24">59.31*1.33</f>
        <v>78.882300000000001</v>
      </c>
      <c r="R24" s="8">
        <f t="shared" ref="R24:R28" si="25">(P24*Q24)</f>
        <v>50.058707579999997</v>
      </c>
    </row>
    <row r="25" spans="1:18" ht="15" thickBot="1" x14ac:dyDescent="0.35">
      <c r="A25" s="122"/>
      <c r="B25" s="123"/>
      <c r="C25" s="51" t="s">
        <v>80</v>
      </c>
      <c r="D25" s="46" t="s">
        <v>131</v>
      </c>
      <c r="E25" s="5">
        <v>38</v>
      </c>
      <c r="F25" s="5">
        <f>ROUNDUP(0.8*E25,0)</f>
        <v>31</v>
      </c>
      <c r="G25" s="4">
        <v>1</v>
      </c>
      <c r="H25" s="40">
        <f t="shared" si="22"/>
        <v>31</v>
      </c>
      <c r="I25" s="77">
        <v>3.3399999999999999E-2</v>
      </c>
      <c r="J25" s="3">
        <f>H25*I25</f>
        <v>1.0353999999999999</v>
      </c>
      <c r="K25" s="4">
        <f t="shared" si="23"/>
        <v>7</v>
      </c>
      <c r="L25" s="4">
        <v>1</v>
      </c>
      <c r="M25" s="3">
        <f t="shared" si="19"/>
        <v>7</v>
      </c>
      <c r="N25" s="77">
        <v>3.3399999999999999E-2</v>
      </c>
      <c r="O25" s="18">
        <f>M25*N25</f>
        <v>0.23380000000000001</v>
      </c>
      <c r="P25" s="44">
        <f>(J25+O25)</f>
        <v>1.2691999999999999</v>
      </c>
      <c r="Q25" s="9">
        <f t="shared" si="24"/>
        <v>78.882300000000001</v>
      </c>
      <c r="R25" s="8">
        <f t="shared" si="25"/>
        <v>100.11741515999999</v>
      </c>
    </row>
    <row r="26" spans="1:18" ht="15" customHeight="1" thickBot="1" x14ac:dyDescent="0.35">
      <c r="A26" s="122"/>
      <c r="B26" s="122" t="s">
        <v>76</v>
      </c>
      <c r="C26" s="50" t="s">
        <v>79</v>
      </c>
      <c r="D26" s="46" t="s">
        <v>128</v>
      </c>
      <c r="E26" s="5">
        <v>24</v>
      </c>
      <c r="F26" s="5">
        <f>ROUNDUP(0.5*E26,0)</f>
        <v>12</v>
      </c>
      <c r="G26" s="4">
        <v>1</v>
      </c>
      <c r="H26" s="4">
        <f>F26</f>
        <v>12</v>
      </c>
      <c r="I26" s="76">
        <v>3.3399999999999999E-2</v>
      </c>
      <c r="J26" s="3">
        <f>H26*I26</f>
        <v>0.40079999999999999</v>
      </c>
      <c r="K26" s="4">
        <f>E26-F26</f>
        <v>12</v>
      </c>
      <c r="L26" s="4">
        <v>1</v>
      </c>
      <c r="M26" s="3">
        <f>(K26*L26)</f>
        <v>12</v>
      </c>
      <c r="N26" s="76">
        <v>3.3399999999999999E-2</v>
      </c>
      <c r="O26" s="18">
        <f>M26*N26</f>
        <v>0.40079999999999999</v>
      </c>
      <c r="P26" s="3">
        <f>(J26+O26)</f>
        <v>0.80159999999999998</v>
      </c>
      <c r="Q26" s="9">
        <f t="shared" si="24"/>
        <v>78.882300000000001</v>
      </c>
      <c r="R26" s="8">
        <f t="shared" si="25"/>
        <v>63.232051679999998</v>
      </c>
    </row>
    <row r="27" spans="1:18" ht="15" customHeight="1" thickBot="1" x14ac:dyDescent="0.35">
      <c r="A27" s="122"/>
      <c r="B27" s="122"/>
      <c r="C27" s="52" t="s">
        <v>65</v>
      </c>
      <c r="D27" s="46" t="s">
        <v>129</v>
      </c>
      <c r="E27" s="5">
        <v>24</v>
      </c>
      <c r="F27" s="5">
        <f>ROUNDUP(0.5*E27,0)</f>
        <v>12</v>
      </c>
      <c r="G27" s="4">
        <v>1</v>
      </c>
      <c r="H27" s="4">
        <f>F27</f>
        <v>12</v>
      </c>
      <c r="I27" s="76">
        <v>1.5</v>
      </c>
      <c r="J27" s="3">
        <f>H27*I27</f>
        <v>18</v>
      </c>
      <c r="K27" s="4">
        <f>E27-F27</f>
        <v>12</v>
      </c>
      <c r="L27" s="4">
        <v>1</v>
      </c>
      <c r="M27" s="3">
        <f>(K27*L27)</f>
        <v>12</v>
      </c>
      <c r="N27" s="76">
        <v>0</v>
      </c>
      <c r="O27" s="18">
        <f>M27*N27</f>
        <v>0</v>
      </c>
      <c r="P27" s="3">
        <f>(J27+O27)</f>
        <v>18</v>
      </c>
      <c r="Q27" s="9">
        <f t="shared" si="24"/>
        <v>78.882300000000001</v>
      </c>
      <c r="R27" s="8">
        <f t="shared" si="25"/>
        <v>1419.8814</v>
      </c>
    </row>
    <row r="28" spans="1:18" ht="15" customHeight="1" thickBot="1" x14ac:dyDescent="0.35">
      <c r="A28" s="122"/>
      <c r="B28" s="122"/>
      <c r="C28" s="50" t="s">
        <v>112</v>
      </c>
      <c r="D28" s="46" t="s">
        <v>130</v>
      </c>
      <c r="E28" s="5">
        <v>24</v>
      </c>
      <c r="F28" s="5">
        <f t="shared" ref="F28:F29" si="26">ROUNDUP(0.5*E28,0)</f>
        <v>12</v>
      </c>
      <c r="G28" s="4">
        <v>1</v>
      </c>
      <c r="H28" s="4">
        <f>F28</f>
        <v>12</v>
      </c>
      <c r="I28" s="76">
        <v>1.67E-2</v>
      </c>
      <c r="J28" s="3">
        <f>H28*I28</f>
        <v>0.20039999999999999</v>
      </c>
      <c r="K28" s="4">
        <f>E28-F28</f>
        <v>12</v>
      </c>
      <c r="L28" s="4">
        <v>1</v>
      </c>
      <c r="M28" s="3">
        <f>(K28*L28)</f>
        <v>12</v>
      </c>
      <c r="N28" s="76">
        <v>1.67E-2</v>
      </c>
      <c r="O28" s="18">
        <f>M28*N28</f>
        <v>0.20039999999999999</v>
      </c>
      <c r="P28" s="3">
        <f>(J28+O28)</f>
        <v>0.40079999999999999</v>
      </c>
      <c r="Q28" s="9">
        <f t="shared" si="24"/>
        <v>78.882300000000001</v>
      </c>
      <c r="R28" s="8">
        <f t="shared" si="25"/>
        <v>31.616025839999999</v>
      </c>
    </row>
    <row r="29" spans="1:18" ht="15" thickBot="1" x14ac:dyDescent="0.35">
      <c r="A29" s="122"/>
      <c r="B29" s="122"/>
      <c r="C29" s="54" t="s">
        <v>80</v>
      </c>
      <c r="D29" s="46" t="s">
        <v>131</v>
      </c>
      <c r="E29" s="5">
        <v>24</v>
      </c>
      <c r="F29" s="5">
        <f t="shared" si="26"/>
        <v>12</v>
      </c>
      <c r="G29" s="4">
        <v>1</v>
      </c>
      <c r="H29" s="4">
        <f t="shared" si="22"/>
        <v>12</v>
      </c>
      <c r="I29" s="76">
        <v>3.3399999999999999E-2</v>
      </c>
      <c r="J29" s="3">
        <f t="shared" ref="J29" si="27">H29*I29</f>
        <v>0.40079999999999999</v>
      </c>
      <c r="K29" s="4">
        <f t="shared" si="23"/>
        <v>12</v>
      </c>
      <c r="L29" s="4">
        <v>1</v>
      </c>
      <c r="M29" s="3">
        <f t="shared" ref="M29" si="28">(K29*L29)</f>
        <v>12</v>
      </c>
      <c r="N29" s="76">
        <v>3.3399999999999999E-2</v>
      </c>
      <c r="O29" s="18">
        <f t="shared" ref="O29" si="29">M29*N29</f>
        <v>0.40079999999999999</v>
      </c>
      <c r="P29" s="3">
        <f t="shared" ref="P29" si="30">(J29+O29)</f>
        <v>0.80159999999999998</v>
      </c>
      <c r="Q29" s="9">
        <f t="shared" si="24"/>
        <v>78.882300000000001</v>
      </c>
      <c r="R29" s="8">
        <f t="shared" ref="R29" si="31">(P29*Q29)</f>
        <v>63.232051679999998</v>
      </c>
    </row>
    <row r="30" spans="1:18" ht="15" customHeight="1" thickBot="1" x14ac:dyDescent="0.35">
      <c r="A30" s="124" t="s">
        <v>36</v>
      </c>
      <c r="B30" s="125"/>
      <c r="C30" s="125"/>
      <c r="D30" s="126"/>
      <c r="E30" s="19">
        <f>E23+E24+E28</f>
        <v>69</v>
      </c>
      <c r="F30" s="19">
        <f>F23+F24+F28</f>
        <v>50</v>
      </c>
      <c r="G30" s="14">
        <f>SUM(H30/F30)</f>
        <v>2.34</v>
      </c>
      <c r="H30" s="13">
        <f>SUM(H23:H29)</f>
        <v>117</v>
      </c>
      <c r="I30" s="41">
        <f>J30/H30</f>
        <v>0.65431709401709415</v>
      </c>
      <c r="J30" s="43">
        <f>SUM(J23:J29)</f>
        <v>76.55510000000001</v>
      </c>
      <c r="K30" s="19">
        <f>K23+K24+K28</f>
        <v>19</v>
      </c>
      <c r="L30" s="41">
        <f>M30/K30</f>
        <v>3.263157894736842</v>
      </c>
      <c r="M30" s="13">
        <f>SUM(M23:M29)</f>
        <v>62</v>
      </c>
      <c r="N30" s="41">
        <f>O30/M30</f>
        <v>2.1817741935483873E-2</v>
      </c>
      <c r="O30" s="41">
        <f>SUM(O23:O29)</f>
        <v>1.3527</v>
      </c>
      <c r="P30" s="84">
        <f>SUM(P23:P29)</f>
        <v>77.907799999999995</v>
      </c>
      <c r="Q30" s="13"/>
      <c r="R30" s="25">
        <f>SUM(R23:R29)</f>
        <v>6145.5464519400002</v>
      </c>
    </row>
    <row r="31" spans="1:18" ht="15" thickBot="1" x14ac:dyDescent="0.35">
      <c r="A31" s="127" t="s">
        <v>13</v>
      </c>
      <c r="B31" s="128"/>
      <c r="C31" s="128"/>
      <c r="D31" s="129"/>
      <c r="E31" s="36">
        <f>E30+E22+E17</f>
        <v>20277</v>
      </c>
      <c r="F31" s="36">
        <f>F30+F22+F17</f>
        <v>16207</v>
      </c>
      <c r="G31" s="36"/>
      <c r="H31" s="36">
        <f>H30+H22+H17</f>
        <v>86728</v>
      </c>
      <c r="I31" s="36"/>
      <c r="J31" s="36">
        <f>J30+J22+J17</f>
        <v>6799.2430999999997</v>
      </c>
      <c r="K31" s="36">
        <f>K30+K22+K17</f>
        <v>4070</v>
      </c>
      <c r="L31" s="36">
        <f>L30+L22+L17</f>
        <v>18.180471851138748</v>
      </c>
      <c r="M31" s="36">
        <f>M30+M22+M17</f>
        <v>43873</v>
      </c>
      <c r="N31" s="42"/>
      <c r="O31" s="36">
        <f>O30+O22+O17</f>
        <v>992.78160000000003</v>
      </c>
      <c r="P31" s="57">
        <f>P30+P22+P17</f>
        <v>7792.0246999999999</v>
      </c>
      <c r="Q31" s="36"/>
      <c r="R31" s="39">
        <f>R30+R22+R17</f>
        <v>63231.973016939999</v>
      </c>
    </row>
    <row r="32" spans="1:18" s="58" customFormat="1" ht="10.199999999999999" x14ac:dyDescent="0.2">
      <c r="C32" s="59"/>
      <c r="F32" s="60"/>
    </row>
    <row r="33" spans="1:18" s="58" customFormat="1" ht="10.199999999999999" x14ac:dyDescent="0.2">
      <c r="A33" s="106" t="s">
        <v>120</v>
      </c>
      <c r="B33" s="107"/>
      <c r="C33" s="107"/>
      <c r="D33" s="107"/>
      <c r="E33" s="107"/>
      <c r="F33" s="107"/>
      <c r="G33" s="107"/>
      <c r="H33" s="107"/>
      <c r="I33" s="107"/>
      <c r="J33" s="107"/>
      <c r="K33" s="107"/>
      <c r="L33" s="108"/>
    </row>
    <row r="34" spans="1:18" s="58" customFormat="1" ht="22.5" customHeight="1" x14ac:dyDescent="0.2">
      <c r="A34" s="109"/>
      <c r="B34" s="110"/>
      <c r="C34" s="110"/>
      <c r="D34" s="110"/>
      <c r="E34" s="110"/>
      <c r="F34" s="110"/>
      <c r="G34" s="110"/>
      <c r="H34" s="110"/>
      <c r="I34" s="110"/>
      <c r="J34" s="110"/>
      <c r="K34" s="110"/>
      <c r="L34" s="111"/>
      <c r="N34" s="115" t="s">
        <v>42</v>
      </c>
      <c r="O34" s="116"/>
      <c r="P34" s="116"/>
      <c r="Q34" s="117"/>
      <c r="R34" s="61">
        <f>(H31+M31)/E31</f>
        <v>6.440844306356956</v>
      </c>
    </row>
    <row r="35" spans="1:18" s="58" customFormat="1" ht="10.199999999999999" x14ac:dyDescent="0.2">
      <c r="A35" s="112"/>
      <c r="B35" s="113"/>
      <c r="C35" s="113"/>
      <c r="D35" s="113"/>
      <c r="E35" s="113"/>
      <c r="F35" s="113"/>
      <c r="G35" s="113"/>
      <c r="H35" s="113"/>
      <c r="I35" s="113"/>
      <c r="J35" s="113"/>
      <c r="K35" s="113"/>
      <c r="L35" s="114"/>
      <c r="N35" s="62" t="s">
        <v>73</v>
      </c>
      <c r="O35" s="63"/>
      <c r="P35" s="63"/>
      <c r="Q35" s="63"/>
      <c r="R35" s="64">
        <f>(H31+M31)</f>
        <v>130601</v>
      </c>
    </row>
    <row r="36" spans="1:18" s="58" customFormat="1" ht="10.199999999999999" x14ac:dyDescent="0.2">
      <c r="C36" s="59"/>
      <c r="N36" s="62" t="s">
        <v>16</v>
      </c>
      <c r="O36" s="63"/>
      <c r="P36" s="63"/>
      <c r="Q36" s="63"/>
      <c r="R36" s="61">
        <f>(P31/R35)</f>
        <v>5.9662825705775607E-2</v>
      </c>
    </row>
    <row r="37" spans="1:18" s="58" customFormat="1" ht="10.199999999999999" x14ac:dyDescent="0.2">
      <c r="C37" s="59"/>
      <c r="N37" s="78" t="s">
        <v>23</v>
      </c>
      <c r="O37" s="79"/>
      <c r="P37" s="79"/>
      <c r="Q37" s="80"/>
      <c r="R37" s="64">
        <f>SUM(P31)</f>
        <v>7792.0246999999999</v>
      </c>
    </row>
    <row r="38" spans="1:18" s="58" customFormat="1" ht="10.199999999999999" x14ac:dyDescent="0.2">
      <c r="C38" s="59"/>
      <c r="N38" s="65"/>
      <c r="O38" s="66"/>
      <c r="P38" s="66"/>
      <c r="Q38" s="66"/>
      <c r="R38" s="67"/>
    </row>
    <row r="39" spans="1:18" s="58" customFormat="1" ht="10.199999999999999" x14ac:dyDescent="0.2">
      <c r="C39" s="59"/>
      <c r="N39" s="115" t="s">
        <v>71</v>
      </c>
      <c r="O39" s="116"/>
      <c r="P39" s="116"/>
      <c r="Q39" s="117"/>
      <c r="R39" s="61">
        <f>(H11+E13)/(E11+H13)</f>
        <v>0.36199639206253759</v>
      </c>
    </row>
    <row r="40" spans="1:18" s="58" customFormat="1" ht="10.199999999999999" x14ac:dyDescent="0.2">
      <c r="C40" s="59"/>
      <c r="N40" s="62" t="s">
        <v>17</v>
      </c>
      <c r="O40" s="63"/>
      <c r="P40" s="63"/>
      <c r="Q40" s="63"/>
      <c r="R40" s="68">
        <f>(H17+M17)</f>
        <v>130038</v>
      </c>
    </row>
    <row r="41" spans="1:18" s="58" customFormat="1" ht="10.199999999999999" x14ac:dyDescent="0.2">
      <c r="C41" s="59"/>
      <c r="N41" s="62" t="s">
        <v>18</v>
      </c>
      <c r="O41" s="63"/>
      <c r="P41" s="63"/>
      <c r="Q41" s="63"/>
      <c r="R41" s="61">
        <f>P17/R40</f>
        <v>5.8845113735984868E-2</v>
      </c>
    </row>
    <row r="42" spans="1:18" s="58" customFormat="1" ht="10.199999999999999" x14ac:dyDescent="0.2">
      <c r="C42" s="59"/>
      <c r="N42" s="69"/>
      <c r="O42" s="70"/>
      <c r="P42" s="70"/>
      <c r="Q42" s="70"/>
      <c r="R42" s="71"/>
    </row>
    <row r="43" spans="1:18" s="58" customFormat="1" ht="10.199999999999999" x14ac:dyDescent="0.2">
      <c r="C43" s="59"/>
      <c r="N43" s="62" t="s">
        <v>19</v>
      </c>
      <c r="O43" s="63"/>
      <c r="P43" s="63"/>
      <c r="Q43" s="63"/>
      <c r="R43" s="61">
        <f>(H30+M30)/E30</f>
        <v>2.5942028985507246</v>
      </c>
    </row>
    <row r="44" spans="1:18" s="58" customFormat="1" ht="10.199999999999999" x14ac:dyDescent="0.2">
      <c r="C44" s="59"/>
      <c r="N44" s="62" t="s">
        <v>20</v>
      </c>
      <c r="O44" s="63"/>
      <c r="P44" s="63"/>
      <c r="Q44" s="63"/>
      <c r="R44" s="72">
        <f>(H30+M30)</f>
        <v>179</v>
      </c>
    </row>
    <row r="45" spans="1:18" s="58" customFormat="1" ht="10.199999999999999" x14ac:dyDescent="0.2">
      <c r="C45" s="59"/>
      <c r="N45" s="73" t="s">
        <v>21</v>
      </c>
      <c r="O45" s="74"/>
      <c r="P45" s="74"/>
      <c r="Q45" s="74"/>
      <c r="R45" s="61">
        <f>(P30/R44)</f>
        <v>0.43523910614525135</v>
      </c>
    </row>
    <row r="46" spans="1:18" s="58" customFormat="1" ht="10.199999999999999" x14ac:dyDescent="0.2">
      <c r="C46" s="59"/>
    </row>
    <row r="47" spans="1:18" s="58" customFormat="1" ht="10.199999999999999" x14ac:dyDescent="0.2">
      <c r="C47" s="59"/>
    </row>
    <row r="48" spans="1:18" s="58" customFormat="1" ht="10.199999999999999" x14ac:dyDescent="0.2">
      <c r="C48" s="59"/>
    </row>
    <row r="49" spans="1:7" x14ac:dyDescent="0.3">
      <c r="A49" s="11"/>
      <c r="B49" s="11"/>
      <c r="C49" s="23"/>
      <c r="D49" s="11"/>
      <c r="E49" s="11"/>
      <c r="F49" s="11"/>
      <c r="G49" s="11"/>
    </row>
    <row r="50" spans="1:7" x14ac:dyDescent="0.3">
      <c r="A50" s="11"/>
      <c r="B50" s="11"/>
    </row>
    <row r="51" spans="1:7" x14ac:dyDescent="0.3">
      <c r="A51" s="11"/>
      <c r="B51" s="11"/>
    </row>
    <row r="52" spans="1:7" x14ac:dyDescent="0.3">
      <c r="A52" s="11"/>
      <c r="B52" s="11"/>
    </row>
    <row r="53" spans="1:7" x14ac:dyDescent="0.3">
      <c r="A53" s="11"/>
      <c r="B53" s="11"/>
    </row>
  </sheetData>
  <mergeCells count="17">
    <mergeCell ref="A18:A21"/>
    <mergeCell ref="B18:B21"/>
    <mergeCell ref="F1:J1"/>
    <mergeCell ref="K1:O1"/>
    <mergeCell ref="B3:B11"/>
    <mergeCell ref="A17:D17"/>
    <mergeCell ref="A3:A16"/>
    <mergeCell ref="B12:B16"/>
    <mergeCell ref="A33:L35"/>
    <mergeCell ref="N34:Q34"/>
    <mergeCell ref="N39:Q39"/>
    <mergeCell ref="A22:D22"/>
    <mergeCell ref="A23:A29"/>
    <mergeCell ref="B24:B25"/>
    <mergeCell ref="B26:B29"/>
    <mergeCell ref="A30:D30"/>
    <mergeCell ref="A31:D31"/>
  </mergeCells>
  <printOptions gridLines="1"/>
  <pageMargins left="0.7" right="0.7" top="0.75" bottom="0.75" header="0.3" footer="0.3"/>
  <pageSetup scale="41" orientation="landscape" r:id="rId1"/>
  <headerFooter>
    <oddHeader>&amp;LAppendix - Burden Table for The Study of Food Access and Well-Being</oddHeader>
  </headerFooter>
  <ignoredErrors>
    <ignoredError sqref="I31:R31 O27:R27 Q17 O29:R29 I28:K28 N28:R28 I29:K29 M27 I27:K27 M26:R26 I26:K26 I30:J30 N21:R21 N20:R20 I20:K20 N18:R18 I18:K18 O19:R19 I19:J19 I21:K21 O22:R22 I22 I23:R25 I17:J17 L28:M28 S23:T25 M22:N22 T22 L21:M21 L20:M20 K19:N19 S19:T19 L18:M18 S18:T18 S20:T20 S21:T21 S30:T30 L26 T26 L27 N27 L29:N29 S28:T28 S29:T29 R17:T17 S27:T27 L17:P17 L22 L30:O30 Q30:R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E76C-E29A-4BFD-BA5E-827C94019907}">
  <dimension ref="A1:U39"/>
  <sheetViews>
    <sheetView zoomScale="85" zoomScaleNormal="85" workbookViewId="0">
      <pane ySplit="1" topLeftCell="A2" activePane="bottomLeft" state="frozen"/>
      <selection pane="bottomLeft" activeCell="B31" sqref="B31"/>
    </sheetView>
  </sheetViews>
  <sheetFormatPr defaultColWidth="9.109375" defaultRowHeight="13.8" x14ac:dyDescent="0.3"/>
  <cols>
    <col min="1" max="1" width="9.109375" style="89"/>
    <col min="2" max="2" width="27.5546875" style="97" bestFit="1" customWidth="1"/>
    <col min="3" max="3" width="10.6640625" style="89" bestFit="1" customWidth="1"/>
    <col min="4" max="4" width="78.5546875" style="56" bestFit="1" customWidth="1"/>
    <col min="5" max="16384" width="9.109375" style="89"/>
  </cols>
  <sheetData>
    <row r="1" spans="1:21" s="87" customFormat="1" ht="28.2" thickBot="1" x14ac:dyDescent="0.35">
      <c r="A1" s="85" t="s">
        <v>22</v>
      </c>
      <c r="B1" s="85" t="s">
        <v>28</v>
      </c>
      <c r="C1" s="86" t="s">
        <v>29</v>
      </c>
      <c r="D1" s="85" t="s">
        <v>30</v>
      </c>
      <c r="N1" s="88"/>
      <c r="O1" s="88"/>
      <c r="P1" s="88"/>
      <c r="Q1" s="88"/>
      <c r="R1" s="88"/>
      <c r="S1" s="88"/>
      <c r="T1" s="88"/>
      <c r="U1" s="88"/>
    </row>
    <row r="2" spans="1:21" x14ac:dyDescent="0.3">
      <c r="A2" s="89" t="s">
        <v>48</v>
      </c>
      <c r="B2" s="90" t="s">
        <v>122</v>
      </c>
      <c r="C2" s="91">
        <v>19800</v>
      </c>
      <c r="D2" s="56" t="s">
        <v>82</v>
      </c>
      <c r="N2" s="11"/>
      <c r="O2" s="11"/>
      <c r="P2" s="11"/>
      <c r="Q2" s="11"/>
      <c r="R2" s="11"/>
      <c r="S2" s="11"/>
      <c r="T2" s="11"/>
      <c r="U2" s="11"/>
    </row>
    <row r="3" spans="1:21" x14ac:dyDescent="0.3">
      <c r="A3" s="89" t="s">
        <v>52</v>
      </c>
      <c r="B3" s="90" t="s">
        <v>24</v>
      </c>
      <c r="C3" s="91">
        <v>19800</v>
      </c>
      <c r="D3" s="56" t="s">
        <v>82</v>
      </c>
      <c r="N3" s="11"/>
      <c r="O3" s="11"/>
      <c r="P3" s="11"/>
      <c r="Q3" s="11"/>
      <c r="R3" s="11"/>
      <c r="S3" s="11"/>
      <c r="T3" s="11"/>
      <c r="U3" s="11"/>
    </row>
    <row r="4" spans="1:21" x14ac:dyDescent="0.3">
      <c r="A4" s="89" t="s">
        <v>53</v>
      </c>
      <c r="B4" s="90" t="s">
        <v>26</v>
      </c>
      <c r="C4" s="91">
        <v>19800</v>
      </c>
      <c r="D4" s="56" t="s">
        <v>82</v>
      </c>
    </row>
    <row r="5" spans="1:21" x14ac:dyDescent="0.3">
      <c r="A5" s="89" t="s">
        <v>50</v>
      </c>
      <c r="B5" s="90" t="s">
        <v>46</v>
      </c>
      <c r="C5" s="91">
        <v>17325</v>
      </c>
      <c r="D5" s="56" t="s">
        <v>83</v>
      </c>
    </row>
    <row r="6" spans="1:21" x14ac:dyDescent="0.3">
      <c r="A6" s="11" t="s">
        <v>54</v>
      </c>
      <c r="B6" s="103" t="s">
        <v>47</v>
      </c>
      <c r="C6" s="91">
        <v>13860</v>
      </c>
      <c r="D6" s="101" t="s">
        <v>84</v>
      </c>
    </row>
    <row r="7" spans="1:21" x14ac:dyDescent="0.3">
      <c r="A7" s="11" t="s">
        <v>55</v>
      </c>
      <c r="B7" s="103" t="s">
        <v>100</v>
      </c>
      <c r="C7" s="91">
        <v>10395</v>
      </c>
      <c r="D7" s="101" t="s">
        <v>85</v>
      </c>
    </row>
    <row r="8" spans="1:21" x14ac:dyDescent="0.3">
      <c r="A8" s="11" t="s">
        <v>56</v>
      </c>
      <c r="B8" s="103" t="s">
        <v>101</v>
      </c>
      <c r="C8" s="91">
        <v>3960</v>
      </c>
      <c r="D8" s="101" t="s">
        <v>86</v>
      </c>
    </row>
    <row r="9" spans="1:21" x14ac:dyDescent="0.3">
      <c r="A9" s="11" t="s">
        <v>51</v>
      </c>
      <c r="B9" s="103" t="s">
        <v>25</v>
      </c>
      <c r="C9" s="91">
        <v>2178</v>
      </c>
      <c r="D9" s="101" t="s">
        <v>103</v>
      </c>
    </row>
    <row r="10" spans="1:21" x14ac:dyDescent="0.3">
      <c r="A10" s="11" t="s">
        <v>57</v>
      </c>
      <c r="B10" s="103" t="s">
        <v>81</v>
      </c>
      <c r="C10" s="91">
        <v>19800</v>
      </c>
      <c r="D10" s="101" t="s">
        <v>140</v>
      </c>
    </row>
    <row r="11" spans="1:21" ht="41.4" x14ac:dyDescent="0.3">
      <c r="A11" s="11" t="s">
        <v>132</v>
      </c>
      <c r="B11" s="103" t="s">
        <v>32</v>
      </c>
      <c r="C11" s="104">
        <v>624</v>
      </c>
      <c r="D11" s="105" t="s">
        <v>141</v>
      </c>
    </row>
    <row r="12" spans="1:21" x14ac:dyDescent="0.3">
      <c r="A12" s="11" t="s">
        <v>58</v>
      </c>
      <c r="B12" s="103" t="s">
        <v>77</v>
      </c>
      <c r="C12" s="104">
        <v>624</v>
      </c>
      <c r="D12" s="101" t="s">
        <v>87</v>
      </c>
    </row>
    <row r="13" spans="1:21" x14ac:dyDescent="0.3">
      <c r="A13" s="11" t="s">
        <v>59</v>
      </c>
      <c r="B13" s="103" t="s">
        <v>72</v>
      </c>
      <c r="C13" s="104">
        <v>624</v>
      </c>
      <c r="D13" s="101" t="s">
        <v>88</v>
      </c>
    </row>
    <row r="14" spans="1:21" x14ac:dyDescent="0.3">
      <c r="A14" s="11" t="s">
        <v>60</v>
      </c>
      <c r="B14" s="103" t="s">
        <v>31</v>
      </c>
      <c r="C14" s="104">
        <v>624</v>
      </c>
      <c r="D14" s="101" t="s">
        <v>89</v>
      </c>
    </row>
    <row r="15" spans="1:21" x14ac:dyDescent="0.3">
      <c r="A15" s="11" t="s">
        <v>61</v>
      </c>
      <c r="B15" s="103" t="s">
        <v>78</v>
      </c>
      <c r="C15" s="104">
        <v>624</v>
      </c>
      <c r="D15" s="101" t="s">
        <v>90</v>
      </c>
    </row>
    <row r="16" spans="1:21" ht="27.6" x14ac:dyDescent="0.3">
      <c r="A16" s="11" t="s">
        <v>142</v>
      </c>
      <c r="B16" s="103" t="s">
        <v>138</v>
      </c>
      <c r="C16" s="104">
        <v>20112</v>
      </c>
      <c r="D16" s="105" t="s">
        <v>139</v>
      </c>
    </row>
    <row r="17" spans="1:5" s="93" customFormat="1" x14ac:dyDescent="0.3">
      <c r="B17" s="94"/>
      <c r="C17" s="95"/>
      <c r="D17" s="96"/>
    </row>
    <row r="18" spans="1:5" x14ac:dyDescent="0.3">
      <c r="A18" s="89" t="s">
        <v>133</v>
      </c>
      <c r="B18" s="90" t="s">
        <v>79</v>
      </c>
      <c r="C18" s="92">
        <v>96</v>
      </c>
      <c r="D18" s="56" t="s">
        <v>97</v>
      </c>
      <c r="E18" s="56"/>
    </row>
    <row r="19" spans="1:5" x14ac:dyDescent="0.3">
      <c r="A19" s="89" t="s">
        <v>62</v>
      </c>
      <c r="B19" s="97" t="s">
        <v>65</v>
      </c>
      <c r="C19" s="92">
        <v>96</v>
      </c>
      <c r="D19" s="56" t="s">
        <v>98</v>
      </c>
      <c r="E19" s="56"/>
    </row>
    <row r="20" spans="1:5" x14ac:dyDescent="0.3">
      <c r="A20" s="89" t="s">
        <v>49</v>
      </c>
      <c r="B20" s="90" t="s">
        <v>112</v>
      </c>
      <c r="C20" s="92">
        <v>96</v>
      </c>
      <c r="D20" s="98" t="s">
        <v>91</v>
      </c>
      <c r="E20" s="98"/>
    </row>
    <row r="21" spans="1:5" x14ac:dyDescent="0.3">
      <c r="A21" s="89" t="s">
        <v>63</v>
      </c>
      <c r="B21" s="97" t="s">
        <v>80</v>
      </c>
      <c r="C21" s="92">
        <v>96</v>
      </c>
      <c r="D21" s="56" t="s">
        <v>92</v>
      </c>
      <c r="E21" s="56"/>
    </row>
    <row r="22" spans="1:5" s="93" customFormat="1" x14ac:dyDescent="0.3">
      <c r="B22" s="94"/>
      <c r="C22" s="95"/>
      <c r="D22" s="96"/>
    </row>
    <row r="23" spans="1:5" x14ac:dyDescent="0.3">
      <c r="A23" s="89" t="s">
        <v>134</v>
      </c>
      <c r="B23" s="24" t="s">
        <v>102</v>
      </c>
      <c r="C23" s="99">
        <v>7</v>
      </c>
      <c r="D23" s="56" t="s">
        <v>135</v>
      </c>
    </row>
    <row r="24" spans="1:5" x14ac:dyDescent="0.3">
      <c r="A24" s="89" t="s">
        <v>64</v>
      </c>
      <c r="B24" s="24" t="s">
        <v>27</v>
      </c>
      <c r="C24" s="99">
        <v>38</v>
      </c>
      <c r="D24" s="56" t="s">
        <v>93</v>
      </c>
    </row>
    <row r="25" spans="1:5" x14ac:dyDescent="0.3">
      <c r="A25" s="89" t="s">
        <v>66</v>
      </c>
      <c r="B25" s="24" t="s">
        <v>80</v>
      </c>
      <c r="C25" s="99">
        <v>38</v>
      </c>
      <c r="D25" s="56" t="s">
        <v>93</v>
      </c>
    </row>
    <row r="26" spans="1:5" x14ac:dyDescent="0.3">
      <c r="A26" s="89" t="s">
        <v>67</v>
      </c>
      <c r="B26" s="90" t="s">
        <v>79</v>
      </c>
      <c r="C26" s="99">
        <v>24</v>
      </c>
      <c r="D26" s="56" t="s">
        <v>96</v>
      </c>
      <c r="E26" s="56"/>
    </row>
    <row r="27" spans="1:5" x14ac:dyDescent="0.3">
      <c r="A27" s="89" t="s">
        <v>68</v>
      </c>
      <c r="B27" s="24" t="s">
        <v>65</v>
      </c>
      <c r="C27" s="99">
        <v>24</v>
      </c>
      <c r="D27" s="56" t="s">
        <v>99</v>
      </c>
      <c r="E27" s="56"/>
    </row>
    <row r="28" spans="1:5" x14ac:dyDescent="0.3">
      <c r="A28" s="89" t="s">
        <v>69</v>
      </c>
      <c r="B28" s="90" t="s">
        <v>112</v>
      </c>
      <c r="C28" s="99">
        <v>24</v>
      </c>
      <c r="D28" s="56" t="s">
        <v>94</v>
      </c>
      <c r="E28" s="56"/>
    </row>
    <row r="29" spans="1:5" x14ac:dyDescent="0.3">
      <c r="A29" s="89" t="s">
        <v>70</v>
      </c>
      <c r="B29" s="24" t="s">
        <v>80</v>
      </c>
      <c r="C29" s="99">
        <v>24</v>
      </c>
      <c r="D29" s="56" t="s">
        <v>95</v>
      </c>
      <c r="E29" s="56"/>
    </row>
    <row r="32" spans="1:5" s="11" customFormat="1" x14ac:dyDescent="0.3">
      <c r="B32" s="100"/>
      <c r="D32" s="101"/>
    </row>
    <row r="33" spans="1:4" s="11" customFormat="1" x14ac:dyDescent="0.3">
      <c r="A33" s="11" t="s">
        <v>118</v>
      </c>
      <c r="B33" s="100"/>
      <c r="D33" s="101"/>
    </row>
    <row r="34" spans="1:4" x14ac:dyDescent="0.3">
      <c r="A34" s="102" t="s">
        <v>119</v>
      </c>
    </row>
    <row r="35" spans="1:4" x14ac:dyDescent="0.3">
      <c r="A35" s="11" t="s">
        <v>45</v>
      </c>
    </row>
    <row r="36" spans="1:4" x14ac:dyDescent="0.3">
      <c r="A36" s="11" t="s">
        <v>40</v>
      </c>
    </row>
    <row r="37" spans="1:4" x14ac:dyDescent="0.3">
      <c r="A37" s="11" t="s">
        <v>44</v>
      </c>
    </row>
    <row r="38" spans="1:4" x14ac:dyDescent="0.3">
      <c r="A38" s="11" t="s">
        <v>43</v>
      </c>
    </row>
    <row r="39" spans="1:4" x14ac:dyDescent="0.3">
      <c r="A39" s="11" t="s">
        <v>41</v>
      </c>
    </row>
  </sheetData>
  <phoneticPr fontId="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Burden Table</vt:lpstr>
      <vt:lpstr>Assumptions</vt:lpstr>
    </vt:vector>
  </TitlesOfParts>
  <Company>Westat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Bennici</dc:creator>
  <cp:lastModifiedBy>Burke, Michael - FNS</cp:lastModifiedBy>
  <cp:lastPrinted>2021-06-04T15:16:30Z</cp:lastPrinted>
  <dcterms:created xsi:type="dcterms:W3CDTF">2019-07-26T12:10:08Z</dcterms:created>
  <dcterms:modified xsi:type="dcterms:W3CDTF">2023-02-03T21:40:04Z</dcterms:modified>
</cp:coreProperties>
</file>