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howInkAnnotation="0"/>
  <mc:AlternateContent xmlns:mc="http://schemas.openxmlformats.org/markup-compatibility/2006">
    <mc:Choice Requires="x15">
      <x15ac:absPath xmlns:x15ac="http://schemas.microsoft.com/office/spreadsheetml/2010/11/ac" url="\\mathematica.Net\NDrive\Project\51946_WIC_IO\NJ1\Pretest memo and OMB\10. Back from FNS-revisions_May2025\Timeline adjustments 5-21-2025\"/>
    </mc:Choice>
  </mc:AlternateContent>
  <xr:revisionPtr revIDLastSave="0" documentId="13_ncr:1_{95CAE778-449D-449F-A37B-0DD6CA87E653}" xr6:coauthVersionLast="47" xr6:coauthVersionMax="47" xr10:uidLastSave="{00000000-0000-0000-0000-000000000000}"/>
  <bookViews>
    <workbookView xWindow="-120" yWindow="-120" windowWidth="29040" windowHeight="15840" xr2:uid="{7A573E92-A4A0-46A1-A3D8-356F3D72F02B}"/>
  </bookViews>
  <sheets>
    <sheet name="Burden Table" sheetId="4" r:id="rId1"/>
    <sheet name="Assumptions" sheetId="3" r:id="rId2"/>
  </sheets>
  <calcPr calcId="191028"/>
  <customWorkbookViews>
    <customWorkbookView name="Burke, Michael - FNS - Personal View" guid="{38390634-4F22-4D97-AB49-04E6A0545BC2}" mergeInterval="0" personalView="1" maximized="1" xWindow="-9" yWindow="-9" windowWidth="1938" windowHeight="1048" activeSheetId="1" showComments="commIndAndComment"/>
    <customWorkbookView name="Ragland-Greene, Rachelle - FNS - Personal View" guid="{32F1B225-A1CC-4251-88CE-F6396962FA32}" mergeInterval="0" personalView="1" maximized="1" xWindow="2869" yWindow="-11" windowWidth="2902" windowHeight="1762" activeSheetId="1"/>
    <customWorkbookView name="Mary Gabay - Personal View" guid="{1CF121E1-0D2E-4DBE-8B37-D80C99A94FC9}" mergeInterval="0" personalView="1" maximized="1" xWindow="-8" yWindow="-8" windowWidth="1936" windowHeight="1056" activeSheetId="1" showComments="commIndAndComment"/>
    <customWorkbookView name="Frank Bennici - Personal View" guid="{665DFA43-4282-4471-A288-BCD9B5461D48}" mergeInterval="0" personalView="1" maximized="1" xWindow="-9" yWindow="-9" windowWidth="1938" windowHeight="1048" activeSheetId="1"/>
    <customWorkbookView name="Pamela Holcomb - Personal View" guid="{C13BA298-BBBA-4D93-BCCF-69D56F175A17}" mergeInterval="0" personalView="1" maximized="1" xWindow="-11" yWindow="-11" windowWidth="1942" windowHeight="1042" tabRatio="584" activeSheetId="2" showComments="commIndAndComment"/>
    <customWorkbookView name="Emily Weaver - Personal View" guid="{D6F80B4A-7710-4924-B3BE-56E45DF09AC8}" mergeInterval="0" personalView="1" maximized="1" xWindow="-11" yWindow="-11" windowWidth="1942" windowHeight="1042" activeSheetId="1"/>
    <customWorkbookView name="Danielle Jacobs - Personal View" guid="{3B1AEEFB-F68F-4A75-A3A1-6CFBA100364C}" mergeInterval="0" personalView="1"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4" l="1"/>
  <c r="Q5" i="4"/>
  <c r="Q6" i="4"/>
  <c r="Q7" i="4"/>
  <c r="Q8" i="4"/>
  <c r="Q9" i="4"/>
  <c r="Q10" i="4"/>
  <c r="Q11" i="4"/>
  <c r="Q12" i="4"/>
  <c r="Q13" i="4"/>
  <c r="Q14" i="4"/>
  <c r="Q15" i="4"/>
  <c r="Q16" i="4"/>
  <c r="Q17" i="4"/>
  <c r="Q18" i="4"/>
  <c r="Q19" i="4"/>
  <c r="Q20" i="4"/>
  <c r="Q21" i="4"/>
  <c r="Q22" i="4"/>
  <c r="Q23" i="4"/>
  <c r="Q3" i="4"/>
  <c r="Q57" i="4"/>
  <c r="Q58" i="4"/>
  <c r="Q59" i="4"/>
  <c r="Q60" i="4"/>
  <c r="Q61" i="4"/>
  <c r="Q62" i="4"/>
  <c r="Q63" i="4"/>
  <c r="Q64" i="4"/>
  <c r="Q65" i="4"/>
  <c r="Q66" i="4"/>
  <c r="Q67" i="4"/>
  <c r="Q68" i="4"/>
  <c r="Q69" i="4"/>
  <c r="Q70" i="4"/>
  <c r="Q56" i="4"/>
  <c r="Q46" i="4"/>
  <c r="Q47" i="4"/>
  <c r="Q48" i="4"/>
  <c r="Q49" i="4"/>
  <c r="Q50" i="4"/>
  <c r="Q51" i="4"/>
  <c r="Q52" i="4"/>
  <c r="Q53" i="4"/>
  <c r="Q54" i="4"/>
  <c r="Q55" i="4"/>
  <c r="Q45" i="4"/>
  <c r="Q26" i="4"/>
  <c r="Q27" i="4"/>
  <c r="Q28" i="4"/>
  <c r="Q29" i="4"/>
  <c r="Q30" i="4"/>
  <c r="Q31" i="4"/>
  <c r="Q32" i="4"/>
  <c r="Q33" i="4"/>
  <c r="Q34" i="4"/>
  <c r="Q35" i="4"/>
  <c r="Q36" i="4"/>
  <c r="Q37" i="4"/>
  <c r="Q38" i="4"/>
  <c r="Q39" i="4"/>
  <c r="Q40" i="4"/>
  <c r="Q41" i="4"/>
  <c r="Q42" i="4"/>
  <c r="Q43" i="4"/>
  <c r="Q25" i="4"/>
  <c r="R99" i="4"/>
  <c r="I56" i="4"/>
  <c r="R87" i="4"/>
  <c r="R101" i="4"/>
  <c r="R94" i="4"/>
  <c r="F8" i="4"/>
  <c r="F6" i="4"/>
  <c r="H10" i="4"/>
  <c r="F15" i="4" l="1"/>
  <c r="R83" i="4"/>
  <c r="C8" i="3"/>
  <c r="I18" i="4" l="1"/>
  <c r="I39" i="4"/>
  <c r="C40" i="3"/>
  <c r="M19" i="4" l="1"/>
  <c r="M18" i="4"/>
  <c r="N19" i="4"/>
  <c r="F19" i="4"/>
  <c r="H19" i="4" s="1"/>
  <c r="J19" i="4" s="1"/>
  <c r="N18" i="4"/>
  <c r="F18" i="4"/>
  <c r="H18" i="4" s="1"/>
  <c r="J18" i="4" s="1"/>
  <c r="C19" i="3"/>
  <c r="C18" i="3"/>
  <c r="N39" i="4"/>
  <c r="C59" i="3"/>
  <c r="E56" i="4"/>
  <c r="C49" i="3"/>
  <c r="C48" i="3"/>
  <c r="N68" i="4"/>
  <c r="F68" i="4"/>
  <c r="H68" i="4" s="1"/>
  <c r="J68" i="4" s="1"/>
  <c r="E71" i="4" l="1"/>
  <c r="R76" i="4"/>
  <c r="O19" i="4"/>
  <c r="P19" i="4" s="1"/>
  <c r="R19" i="4" s="1"/>
  <c r="O18" i="4"/>
  <c r="P18" i="4" s="1"/>
  <c r="R18" i="4" s="1"/>
  <c r="K68" i="4"/>
  <c r="M68" i="4" s="1"/>
  <c r="O68" i="4" s="1"/>
  <c r="P68" i="4" s="1"/>
  <c r="R68" i="4" s="1"/>
  <c r="C50" i="3"/>
  <c r="C51" i="3" s="1"/>
  <c r="C54" i="3"/>
  <c r="N67" i="4"/>
  <c r="F67" i="4"/>
  <c r="K67" i="4" s="1"/>
  <c r="M67" i="4" s="1"/>
  <c r="O67" i="4" l="1"/>
  <c r="H67" i="4"/>
  <c r="J67" i="4" s="1"/>
  <c r="C2" i="3"/>
  <c r="N70" i="4"/>
  <c r="F70" i="4"/>
  <c r="K70" i="4" s="1"/>
  <c r="M70" i="4" s="1"/>
  <c r="C66" i="3"/>
  <c r="F62" i="4" s="1"/>
  <c r="C35" i="3"/>
  <c r="F34" i="4" s="1"/>
  <c r="C25" i="3"/>
  <c r="F13" i="4"/>
  <c r="C17" i="3"/>
  <c r="F17" i="4" s="1"/>
  <c r="C16" i="3"/>
  <c r="F16" i="4" s="1"/>
  <c r="F20" i="4"/>
  <c r="C15" i="3"/>
  <c r="C23" i="3"/>
  <c r="F23" i="4" s="1"/>
  <c r="C14" i="3"/>
  <c r="F14" i="4" s="1"/>
  <c r="O70" i="4" l="1"/>
  <c r="P67" i="4"/>
  <c r="R67" i="4" s="1"/>
  <c r="C3" i="3"/>
  <c r="C4" i="3" s="1"/>
  <c r="C26" i="3"/>
  <c r="F26" i="4" s="1"/>
  <c r="C27" i="3"/>
  <c r="C28" i="3" s="1"/>
  <c r="F28" i="4" s="1"/>
  <c r="C67" i="3"/>
  <c r="F63" i="4" s="1"/>
  <c r="C68" i="3"/>
  <c r="H70" i="4"/>
  <c r="J70" i="4" s="1"/>
  <c r="C21" i="3"/>
  <c r="F21" i="4" s="1"/>
  <c r="K21" i="4" s="1"/>
  <c r="C39" i="3"/>
  <c r="F49" i="4"/>
  <c r="C38" i="3"/>
  <c r="F37" i="4" s="1"/>
  <c r="F25" i="4"/>
  <c r="F48" i="4"/>
  <c r="F50" i="4"/>
  <c r="C22" i="3"/>
  <c r="F22" i="4" s="1"/>
  <c r="C36" i="3"/>
  <c r="F35" i="4" s="1"/>
  <c r="C37" i="3"/>
  <c r="F36" i="4" s="1"/>
  <c r="C41" i="3"/>
  <c r="F40" i="4" s="1"/>
  <c r="C44" i="3"/>
  <c r="F43" i="4" s="1"/>
  <c r="P70" i="4" l="1"/>
  <c r="R70" i="4" s="1"/>
  <c r="F38" i="4"/>
  <c r="F39" i="4"/>
  <c r="F27" i="4"/>
  <c r="C29" i="3"/>
  <c r="F29" i="4" s="1"/>
  <c r="C30" i="3"/>
  <c r="F64" i="4"/>
  <c r="C69" i="3"/>
  <c r="F65" i="4" s="1"/>
  <c r="K65" i="4" s="1"/>
  <c r="C43" i="3"/>
  <c r="F42" i="4" s="1"/>
  <c r="C42" i="3"/>
  <c r="F41" i="4" s="1"/>
  <c r="K64" i="4" l="1"/>
  <c r="M39" i="4"/>
  <c r="O39" i="4" s="1"/>
  <c r="H39" i="4"/>
  <c r="J39" i="4" s="1"/>
  <c r="F30" i="4"/>
  <c r="C31" i="3"/>
  <c r="H64" i="4"/>
  <c r="J64" i="4" s="1"/>
  <c r="M65" i="4"/>
  <c r="O65" i="4" s="1"/>
  <c r="K63" i="4"/>
  <c r="M63" i="4" s="1"/>
  <c r="H62" i="4"/>
  <c r="J62" i="4" s="1"/>
  <c r="N63" i="4"/>
  <c r="N62" i="4"/>
  <c r="F56" i="4"/>
  <c r="E44" i="4"/>
  <c r="R90" i="4" s="1"/>
  <c r="E24" i="4"/>
  <c r="R97" i="4" s="1"/>
  <c r="P39" i="4" l="1"/>
  <c r="R39" i="4" s="1"/>
  <c r="C33" i="3"/>
  <c r="F33" i="4" s="1"/>
  <c r="K33" i="4" s="1"/>
  <c r="C32" i="3"/>
  <c r="F32" i="4" s="1"/>
  <c r="K32" i="4" s="1"/>
  <c r="F31" i="4"/>
  <c r="F44" i="4" s="1"/>
  <c r="O63" i="4"/>
  <c r="H65" i="4"/>
  <c r="J65" i="4" s="1"/>
  <c r="M64" i="4"/>
  <c r="H63" i="4"/>
  <c r="J63" i="4" s="1"/>
  <c r="K62" i="4"/>
  <c r="F57" i="4"/>
  <c r="K57" i="4" s="1"/>
  <c r="M57" i="4" s="1"/>
  <c r="F58" i="4"/>
  <c r="K58" i="4" s="1"/>
  <c r="M58" i="4" s="1"/>
  <c r="F59" i="4"/>
  <c r="F60" i="4"/>
  <c r="K60" i="4" s="1"/>
  <c r="M60" i="4" s="1"/>
  <c r="K61" i="4"/>
  <c r="M61" i="4" s="1"/>
  <c r="F66" i="4"/>
  <c r="K66" i="4" s="1"/>
  <c r="M66" i="4" s="1"/>
  <c r="F69" i="4"/>
  <c r="K69" i="4" s="1"/>
  <c r="M69" i="4" s="1"/>
  <c r="K56" i="4"/>
  <c r="M56" i="4" s="1"/>
  <c r="K49" i="4"/>
  <c r="M49" i="4" s="1"/>
  <c r="O49" i="4" s="1"/>
  <c r="K50" i="4"/>
  <c r="M50" i="4" s="1"/>
  <c r="O50" i="4" s="1"/>
  <c r="K48" i="4"/>
  <c r="H14" i="4"/>
  <c r="J14" i="4" s="1"/>
  <c r="H15" i="4"/>
  <c r="J15" i="4" s="1"/>
  <c r="K16" i="4"/>
  <c r="M16" i="4" s="1"/>
  <c r="K17" i="4"/>
  <c r="M17" i="4" s="1"/>
  <c r="H23" i="4"/>
  <c r="J23" i="4" s="1"/>
  <c r="K22" i="4"/>
  <c r="H20" i="4"/>
  <c r="H13" i="4"/>
  <c r="J13" i="4" s="1"/>
  <c r="H26" i="4"/>
  <c r="H27" i="4"/>
  <c r="J27" i="4" s="1"/>
  <c r="H28" i="4"/>
  <c r="J28" i="4" s="1"/>
  <c r="K29" i="4"/>
  <c r="K30" i="4"/>
  <c r="H25" i="4"/>
  <c r="K35" i="4"/>
  <c r="M35" i="4" s="1"/>
  <c r="K36" i="4"/>
  <c r="M36" i="4" s="1"/>
  <c r="K37" i="4"/>
  <c r="M37" i="4" s="1"/>
  <c r="K38" i="4"/>
  <c r="M38" i="4" s="1"/>
  <c r="K34" i="4"/>
  <c r="M34" i="4" s="1"/>
  <c r="K40" i="4"/>
  <c r="M40" i="4" s="1"/>
  <c r="O40" i="4" s="1"/>
  <c r="K41" i="4"/>
  <c r="M41" i="4" s="1"/>
  <c r="O41" i="4" s="1"/>
  <c r="H42" i="4"/>
  <c r="J42" i="4" s="1"/>
  <c r="N60" i="4"/>
  <c r="N59" i="4"/>
  <c r="N57" i="4"/>
  <c r="N58" i="4"/>
  <c r="N69" i="4"/>
  <c r="N61" i="4"/>
  <c r="N56" i="4"/>
  <c r="N53" i="4"/>
  <c r="N52" i="4"/>
  <c r="N51" i="4"/>
  <c r="N47" i="4"/>
  <c r="N46" i="4"/>
  <c r="N66" i="4"/>
  <c r="N43" i="4"/>
  <c r="N38" i="4"/>
  <c r="N37" i="4"/>
  <c r="N36" i="4"/>
  <c r="N35" i="4"/>
  <c r="N34" i="4"/>
  <c r="N26" i="4"/>
  <c r="N25" i="4"/>
  <c r="N23" i="4"/>
  <c r="N17" i="4"/>
  <c r="N16" i="4"/>
  <c r="N15" i="4"/>
  <c r="N14" i="4"/>
  <c r="N13" i="4"/>
  <c r="N3" i="4"/>
  <c r="N4" i="4"/>
  <c r="N12" i="4"/>
  <c r="H59" i="4" l="1"/>
  <c r="J59" i="4" s="1"/>
  <c r="K31" i="4"/>
  <c r="M31" i="4" s="1"/>
  <c r="O31" i="4" s="1"/>
  <c r="P63" i="4"/>
  <c r="R63" i="4" s="1"/>
  <c r="M22" i="4"/>
  <c r="O22" i="4" s="1"/>
  <c r="M33" i="4"/>
  <c r="O33" i="4" s="1"/>
  <c r="M21" i="4"/>
  <c r="O21" i="4" s="1"/>
  <c r="M32" i="4"/>
  <c r="O32" i="4" s="1"/>
  <c r="M30" i="4"/>
  <c r="O30" i="4" s="1"/>
  <c r="M29" i="4"/>
  <c r="O29" i="4" s="1"/>
  <c r="M62" i="4"/>
  <c r="O62" i="4" s="1"/>
  <c r="P62" i="4" s="1"/>
  <c r="R62" i="4" s="1"/>
  <c r="M48" i="4"/>
  <c r="O48" i="4" s="1"/>
  <c r="O64" i="4"/>
  <c r="P64" i="4" s="1"/>
  <c r="R64" i="4" s="1"/>
  <c r="P65" i="4"/>
  <c r="R65" i="4" s="1"/>
  <c r="H38" i="4"/>
  <c r="J38" i="4" s="1"/>
  <c r="H35" i="4"/>
  <c r="J35" i="4" s="1"/>
  <c r="O34" i="4"/>
  <c r="K28" i="4"/>
  <c r="K20" i="4"/>
  <c r="O17" i="4"/>
  <c r="O56" i="4"/>
  <c r="O38" i="4"/>
  <c r="K15" i="4"/>
  <c r="M15" i="4" s="1"/>
  <c r="O15" i="4" s="1"/>
  <c r="P15" i="4" s="1"/>
  <c r="R15" i="4" s="1"/>
  <c r="H41" i="4"/>
  <c r="J41" i="4" s="1"/>
  <c r="P41" i="4" s="1"/>
  <c r="R41" i="4" s="1"/>
  <c r="O66" i="4"/>
  <c r="O61" i="4"/>
  <c r="H60" i="4"/>
  <c r="J60" i="4" s="1"/>
  <c r="H48" i="4"/>
  <c r="J48" i="4" s="1"/>
  <c r="K42" i="4"/>
  <c r="M42" i="4" s="1"/>
  <c r="O42" i="4" s="1"/>
  <c r="P42" i="4" s="1"/>
  <c r="R42" i="4" s="1"/>
  <c r="O35" i="4"/>
  <c r="O16" i="4"/>
  <c r="O58" i="4"/>
  <c r="O69" i="4"/>
  <c r="O57" i="4"/>
  <c r="K13" i="4"/>
  <c r="M13" i="4" s="1"/>
  <c r="O13" i="4" s="1"/>
  <c r="P13" i="4" s="1"/>
  <c r="R13" i="4" s="1"/>
  <c r="H37" i="4"/>
  <c r="J37" i="4" s="1"/>
  <c r="H33" i="4"/>
  <c r="J33" i="4" s="1"/>
  <c r="H66" i="4"/>
  <c r="J66" i="4" s="1"/>
  <c r="O36" i="4"/>
  <c r="O60" i="4"/>
  <c r="H57" i="4"/>
  <c r="J57" i="4" s="1"/>
  <c r="O37" i="4"/>
  <c r="H31" i="4"/>
  <c r="J31" i="4" s="1"/>
  <c r="K59" i="4"/>
  <c r="M59" i="4" s="1"/>
  <c r="O59" i="4" s="1"/>
  <c r="H40" i="4"/>
  <c r="J40" i="4" s="1"/>
  <c r="P40" i="4" s="1"/>
  <c r="R40" i="4" s="1"/>
  <c r="H32" i="4"/>
  <c r="J32" i="4" s="1"/>
  <c r="H21" i="4"/>
  <c r="J21" i="4" s="1"/>
  <c r="K14" i="4"/>
  <c r="M14" i="4" s="1"/>
  <c r="O14" i="4" s="1"/>
  <c r="P14" i="4" s="1"/>
  <c r="R14" i="4" s="1"/>
  <c r="K23" i="4"/>
  <c r="M23" i="4" s="1"/>
  <c r="O23" i="4" s="1"/>
  <c r="P23" i="4" s="1"/>
  <c r="R23" i="4" s="1"/>
  <c r="H22" i="4"/>
  <c r="J22" i="4" s="1"/>
  <c r="H30" i="4"/>
  <c r="J30" i="4" s="1"/>
  <c r="H17" i="4"/>
  <c r="J17" i="4" s="1"/>
  <c r="H36" i="4"/>
  <c r="J36" i="4" s="1"/>
  <c r="H29" i="4"/>
  <c r="J29" i="4" s="1"/>
  <c r="H58" i="4"/>
  <c r="J58" i="4" s="1"/>
  <c r="H69" i="4"/>
  <c r="J69" i="4" s="1"/>
  <c r="H16" i="4"/>
  <c r="J16" i="4" s="1"/>
  <c r="H34" i="4"/>
  <c r="J34" i="4" s="1"/>
  <c r="H50" i="4"/>
  <c r="J50" i="4" s="1"/>
  <c r="P50" i="4" s="1"/>
  <c r="R50" i="4" s="1"/>
  <c r="H61" i="4"/>
  <c r="J20" i="4"/>
  <c r="H56" i="4"/>
  <c r="H49" i="4"/>
  <c r="J49" i="4" s="1"/>
  <c r="P49" i="4" s="1"/>
  <c r="R49" i="4" s="1"/>
  <c r="J61" i="4" l="1"/>
  <c r="P61" i="4" s="1"/>
  <c r="R61" i="4" s="1"/>
  <c r="R78" i="4"/>
  <c r="R77" i="4" s="1"/>
  <c r="P59" i="4"/>
  <c r="R59" i="4" s="1"/>
  <c r="P35" i="4"/>
  <c r="R35" i="4" s="1"/>
  <c r="P22" i="4"/>
  <c r="R22" i="4" s="1"/>
  <c r="P21" i="4"/>
  <c r="R21" i="4" s="1"/>
  <c r="P29" i="4"/>
  <c r="R29" i="4" s="1"/>
  <c r="M20" i="4"/>
  <c r="O20" i="4" s="1"/>
  <c r="P20" i="4" s="1"/>
  <c r="R20" i="4" s="1"/>
  <c r="P32" i="4"/>
  <c r="R32" i="4" s="1"/>
  <c r="P33" i="4"/>
  <c r="R33" i="4" s="1"/>
  <c r="P48" i="4"/>
  <c r="R48" i="4" s="1"/>
  <c r="M28" i="4"/>
  <c r="O28" i="4" s="1"/>
  <c r="P28" i="4" s="1"/>
  <c r="R28" i="4" s="1"/>
  <c r="P30" i="4"/>
  <c r="R30" i="4" s="1"/>
  <c r="P34" i="4"/>
  <c r="R34" i="4" s="1"/>
  <c r="P38" i="4"/>
  <c r="R38" i="4" s="1"/>
  <c r="J56" i="4"/>
  <c r="P56" i="4" s="1"/>
  <c r="R80" i="4" s="1"/>
  <c r="P31" i="4"/>
  <c r="R31" i="4" s="1"/>
  <c r="P17" i="4"/>
  <c r="R17" i="4" s="1"/>
  <c r="P57" i="4"/>
  <c r="R57" i="4" s="1"/>
  <c r="P60" i="4"/>
  <c r="R60" i="4" s="1"/>
  <c r="P66" i="4"/>
  <c r="R66" i="4" s="1"/>
  <c r="P69" i="4"/>
  <c r="R69" i="4" s="1"/>
  <c r="P36" i="4"/>
  <c r="R36" i="4" s="1"/>
  <c r="P37" i="4"/>
  <c r="R37" i="4" s="1"/>
  <c r="P16" i="4"/>
  <c r="R16" i="4" s="1"/>
  <c r="P58" i="4"/>
  <c r="R58" i="4" s="1"/>
  <c r="E72" i="4"/>
  <c r="R104" i="4" s="1"/>
  <c r="K26" i="4"/>
  <c r="K27" i="4"/>
  <c r="H43" i="4"/>
  <c r="M26" i="4" l="1"/>
  <c r="O26" i="4" s="1"/>
  <c r="K44" i="4"/>
  <c r="M27" i="4"/>
  <c r="O27" i="4" s="1"/>
  <c r="R56" i="4"/>
  <c r="N45" i="4"/>
  <c r="J26" i="4"/>
  <c r="P26" i="4" s="1"/>
  <c r="K25" i="4"/>
  <c r="M25" i="4" s="1"/>
  <c r="J25" i="4"/>
  <c r="K43" i="4"/>
  <c r="M43" i="4" s="1"/>
  <c r="O43" i="4" s="1"/>
  <c r="J43" i="4"/>
  <c r="R79" i="4" l="1"/>
  <c r="M44" i="4"/>
  <c r="O25" i="4"/>
  <c r="P25" i="4" s="1"/>
  <c r="R25" i="4" s="1"/>
  <c r="H44" i="4"/>
  <c r="G44" i="4" s="1"/>
  <c r="R26" i="4"/>
  <c r="P43" i="4"/>
  <c r="R43" i="4" s="1"/>
  <c r="J44" i="4"/>
  <c r="R92" i="4" l="1"/>
  <c r="R91" i="4" s="1"/>
  <c r="O44" i="4"/>
  <c r="N44" i="4" s="1"/>
  <c r="I44" i="4"/>
  <c r="L44" i="4"/>
  <c r="P27" i="4"/>
  <c r="R27" i="4" l="1"/>
  <c r="R44" i="4" s="1"/>
  <c r="P44" i="4"/>
  <c r="R93" i="4" l="1"/>
  <c r="F4" i="4" l="1"/>
  <c r="H4" i="4" s="1"/>
  <c r="F12" i="4"/>
  <c r="H12" i="4" s="1"/>
  <c r="J12" i="4" s="1"/>
  <c r="F3" i="4"/>
  <c r="H3" i="4" s="1"/>
  <c r="J3" i="4" s="1"/>
  <c r="C7" i="3"/>
  <c r="F5" i="4"/>
  <c r="K5" i="4" s="1"/>
  <c r="C6" i="3"/>
  <c r="F7" i="4" s="1"/>
  <c r="K7" i="4" s="1"/>
  <c r="M7" i="4" s="1"/>
  <c r="O7" i="4" s="1"/>
  <c r="C5" i="3"/>
  <c r="K12" i="4" l="1"/>
  <c r="M12" i="4" s="1"/>
  <c r="O12" i="4" s="1"/>
  <c r="P12" i="4" s="1"/>
  <c r="R12" i="4" s="1"/>
  <c r="K8" i="4"/>
  <c r="M8" i="4" s="1"/>
  <c r="O8" i="4" s="1"/>
  <c r="K4" i="4"/>
  <c r="H7" i="4"/>
  <c r="J7" i="4" s="1"/>
  <c r="P7" i="4" s="1"/>
  <c r="R7" i="4" s="1"/>
  <c r="H5" i="4"/>
  <c r="J5" i="4" s="1"/>
  <c r="K3" i="4"/>
  <c r="M3" i="4" s="1"/>
  <c r="O3" i="4" s="1"/>
  <c r="K6" i="4"/>
  <c r="M6" i="4" s="1"/>
  <c r="O6" i="4" s="1"/>
  <c r="H6" i="4"/>
  <c r="J6" i="4" s="1"/>
  <c r="M5" i="4"/>
  <c r="O5" i="4" s="1"/>
  <c r="J4" i="4"/>
  <c r="M4" i="4" l="1"/>
  <c r="O4" i="4" s="1"/>
  <c r="P4" i="4" s="1"/>
  <c r="R4" i="4" s="1"/>
  <c r="H8" i="4"/>
  <c r="J8" i="4" s="1"/>
  <c r="P8" i="4" s="1"/>
  <c r="R8" i="4" s="1"/>
  <c r="C10" i="3"/>
  <c r="F11" i="4" s="1"/>
  <c r="F9" i="4"/>
  <c r="F24" i="4" s="1"/>
  <c r="C9" i="3"/>
  <c r="P6" i="4"/>
  <c r="R6" i="4" s="1"/>
  <c r="P5" i="4"/>
  <c r="R5" i="4" s="1"/>
  <c r="P3" i="4"/>
  <c r="K9" i="4" l="1"/>
  <c r="H9" i="4"/>
  <c r="J9" i="4" s="1"/>
  <c r="H11" i="4"/>
  <c r="J11" i="4" s="1"/>
  <c r="K11" i="4"/>
  <c r="M11" i="4" s="1"/>
  <c r="O11" i="4" s="1"/>
  <c r="R3" i="4"/>
  <c r="M9" i="4" l="1"/>
  <c r="O9" i="4" s="1"/>
  <c r="P9" i="4" s="1"/>
  <c r="R9" i="4" s="1"/>
  <c r="K24" i="4"/>
  <c r="P11" i="4"/>
  <c r="R11" i="4" s="1"/>
  <c r="F10" i="4"/>
  <c r="K10" i="4" l="1"/>
  <c r="M10" i="4" s="1"/>
  <c r="M24" i="4" s="1"/>
  <c r="J10" i="4"/>
  <c r="H24" i="4"/>
  <c r="G24" i="4" s="1"/>
  <c r="L24" i="4" l="1"/>
  <c r="R98" i="4"/>
  <c r="O10" i="4"/>
  <c r="O24" i="4" s="1"/>
  <c r="N24" i="4" s="1"/>
  <c r="J24" i="4"/>
  <c r="P10" i="4" l="1"/>
  <c r="R10" i="4" s="1"/>
  <c r="R24" i="4" s="1"/>
  <c r="I24" i="4"/>
  <c r="P24" i="4" l="1"/>
  <c r="F52" i="4"/>
  <c r="R100" i="4" l="1"/>
  <c r="C56" i="3"/>
  <c r="C55" i="3"/>
  <c r="F53" i="4" s="1"/>
  <c r="H52" i="4"/>
  <c r="K52" i="4"/>
  <c r="M52" i="4" s="1"/>
  <c r="K53" i="4" l="1"/>
  <c r="M53" i="4" s="1"/>
  <c r="O53" i="4" s="1"/>
  <c r="H53" i="4"/>
  <c r="J53" i="4" s="1"/>
  <c r="F54" i="4"/>
  <c r="C57" i="3"/>
  <c r="F55" i="4" s="1"/>
  <c r="O52" i="4"/>
  <c r="J52" i="4"/>
  <c r="K55" i="4" l="1"/>
  <c r="M55" i="4" s="1"/>
  <c r="O55" i="4" s="1"/>
  <c r="H55" i="4"/>
  <c r="J55" i="4" s="1"/>
  <c r="K54" i="4"/>
  <c r="H54" i="4"/>
  <c r="P53" i="4"/>
  <c r="R53" i="4" s="1"/>
  <c r="P52" i="4"/>
  <c r="J54" i="4" l="1"/>
  <c r="M54" i="4"/>
  <c r="P55" i="4"/>
  <c r="R55" i="4" s="1"/>
  <c r="R52" i="4"/>
  <c r="O54" i="4" l="1"/>
  <c r="P54" i="4" l="1"/>
  <c r="R54" i="4" l="1"/>
  <c r="C52" i="3"/>
  <c r="F51" i="4" s="1"/>
  <c r="F45" i="4"/>
  <c r="F47" i="4"/>
  <c r="C47" i="3"/>
  <c r="F46" i="4" s="1"/>
  <c r="K45" i="4" l="1"/>
  <c r="M45" i="4" s="1"/>
  <c r="F71" i="4"/>
  <c r="F72" i="4" s="1"/>
  <c r="H51" i="4"/>
  <c r="J51" i="4" s="1"/>
  <c r="K51" i="4"/>
  <c r="M51" i="4" s="1"/>
  <c r="O51" i="4" s="1"/>
  <c r="H45" i="4"/>
  <c r="K46" i="4"/>
  <c r="M46" i="4" s="1"/>
  <c r="O46" i="4" s="1"/>
  <c r="H46" i="4"/>
  <c r="H47" i="4"/>
  <c r="J47" i="4" s="1"/>
  <c r="K47" i="4"/>
  <c r="O45" i="4" l="1"/>
  <c r="M47" i="4"/>
  <c r="O47" i="4" s="1"/>
  <c r="O71" i="4" s="1"/>
  <c r="K71" i="4"/>
  <c r="K72" i="4" s="1"/>
  <c r="P51" i="4"/>
  <c r="R51" i="4" s="1"/>
  <c r="J45" i="4"/>
  <c r="P45" i="4" s="1"/>
  <c r="H71" i="4"/>
  <c r="J46" i="4"/>
  <c r="R85" i="4" l="1"/>
  <c r="R84" i="4" s="1"/>
  <c r="H72" i="4"/>
  <c r="G71" i="4"/>
  <c r="O72" i="4"/>
  <c r="P47" i="4"/>
  <c r="R47" i="4" s="1"/>
  <c r="M71" i="4"/>
  <c r="M72" i="4" s="1"/>
  <c r="L72" i="4" s="1"/>
  <c r="R45" i="4"/>
  <c r="P46" i="4"/>
  <c r="R46" i="4" s="1"/>
  <c r="J71" i="4"/>
  <c r="N71" i="4" l="1"/>
  <c r="N72" i="4"/>
  <c r="G72" i="4"/>
  <c r="R106" i="4"/>
  <c r="L71" i="4"/>
  <c r="P71" i="4"/>
  <c r="P72" i="4" s="1"/>
  <c r="R108" i="4" s="1"/>
  <c r="R71" i="4"/>
  <c r="J72" i="4"/>
  <c r="I72" i="4" s="1"/>
  <c r="I71" i="4"/>
  <c r="R86" i="4" l="1"/>
  <c r="R107" i="4"/>
  <c r="R105" i="4"/>
  <c r="R72" i="4"/>
</calcChain>
</file>

<file path=xl/sharedStrings.xml><?xml version="1.0" encoding="utf-8"?>
<sst xmlns="http://schemas.openxmlformats.org/spreadsheetml/2006/main" count="416" uniqueCount="329">
  <si>
    <t>Responsive</t>
  </si>
  <si>
    <t>Non-Responsive</t>
  </si>
  <si>
    <t>Respondent Category</t>
  </si>
  <si>
    <t>Type of respondents</t>
  </si>
  <si>
    <t>Instruments</t>
  </si>
  <si>
    <t>Appendix</t>
  </si>
  <si>
    <t>Sample Size</t>
  </si>
  <si>
    <t>Number of respondents</t>
  </si>
  <si>
    <t>Frequency of response</t>
  </si>
  <si>
    <t>Hours per response</t>
  </si>
  <si>
    <t>Number of 
Non-respondents</t>
  </si>
  <si>
    <t>Hourly rate</t>
  </si>
  <si>
    <t>Cost</t>
  </si>
  <si>
    <t>Individual/ Household</t>
  </si>
  <si>
    <t>WIC participants participating in experience surveys</t>
  </si>
  <si>
    <t>WIC Participant Survey Invitation Email from WIC State Agency</t>
  </si>
  <si>
    <t>WIC Participant Survey Invitation Text</t>
  </si>
  <si>
    <t>WIC Participant Survey Reminder Email</t>
  </si>
  <si>
    <t>WIC Participant Survey Reminder Text</t>
  </si>
  <si>
    <t>WIC Participant Experience Survey</t>
  </si>
  <si>
    <t>WIC Participant Experience Survey Thank You Email</t>
  </si>
  <si>
    <t>WIC Participant Experience Survey Thank You Text</t>
  </si>
  <si>
    <t>Study Description for WIC Participants</t>
  </si>
  <si>
    <t>Individual/ Household Sub-Total</t>
  </si>
  <si>
    <t xml:space="preserve"> - </t>
  </si>
  <si>
    <t>Business (Profit, Non-Profit, or Farm)</t>
  </si>
  <si>
    <t>Business (Profit, Non-Profit, or Farm) Sub-Total</t>
  </si>
  <si>
    <t>State, Local, or Tribal Government</t>
  </si>
  <si>
    <t>Study Description for WIC Local Agencies</t>
  </si>
  <si>
    <t>WIC Program Staff Experience Survey</t>
  </si>
  <si>
    <t>WIC State Agency Staff Interview</t>
  </si>
  <si>
    <t>Study Description for WIC State Agencies</t>
  </si>
  <si>
    <t>USDA Endorsement Letter for WIC State Agencies</t>
  </si>
  <si>
    <t>State, Local, or Tribal Government Sub-Total</t>
  </si>
  <si>
    <t>COMBINED TOTAL</t>
  </si>
  <si>
    <t>SSA Table A.12.1. Summary of burden for affected public (includes respondents and non-respondents)</t>
  </si>
  <si>
    <t>WIC State agency staff</t>
  </si>
  <si>
    <t>Number of responses per respondent</t>
  </si>
  <si>
    <t>Estimated total hours per response</t>
  </si>
  <si>
    <t>Estimated total burden (hours)</t>
  </si>
  <si>
    <t>WIC local agency/clinic staff</t>
  </si>
  <si>
    <t>WIC vendor/authorized outlet staff</t>
  </si>
  <si>
    <t>WIC participants</t>
  </si>
  <si>
    <t>Total burden estimate</t>
  </si>
  <si>
    <t>Cell</t>
  </si>
  <si>
    <t>Document</t>
  </si>
  <si>
    <t>Notes</t>
  </si>
  <si>
    <t>C3</t>
  </si>
  <si>
    <t>C4</t>
  </si>
  <si>
    <t>C5</t>
  </si>
  <si>
    <t>C6</t>
  </si>
  <si>
    <t>C7</t>
  </si>
  <si>
    <t>Participants are sent a reminder email a few days before their focus group.</t>
  </si>
  <si>
    <t>C8</t>
  </si>
  <si>
    <t>Participants are sent a reminder text message a few days before their focus group.</t>
  </si>
  <si>
    <t>C9</t>
  </si>
  <si>
    <t>C10</t>
  </si>
  <si>
    <t>Respondents are sent a thank you email for their participation.</t>
  </si>
  <si>
    <t>C11</t>
  </si>
  <si>
    <t>Respondents are sent a thank you text message for their participation.</t>
  </si>
  <si>
    <t>C12</t>
  </si>
  <si>
    <t>C13</t>
  </si>
  <si>
    <t>C14</t>
  </si>
  <si>
    <t xml:space="preserve">Sample members will be sent a link to the online survey. </t>
  </si>
  <si>
    <t>C15</t>
  </si>
  <si>
    <t>C16</t>
  </si>
  <si>
    <t>C17</t>
  </si>
  <si>
    <t>C18</t>
  </si>
  <si>
    <t>C19</t>
  </si>
  <si>
    <t>Respondents are sent a thank you email for their participation with a link to redeem their gift card.</t>
  </si>
  <si>
    <t>C20</t>
  </si>
  <si>
    <t>Respondents are sent a thank you text message for their participation with a link to redeem their gift card.</t>
  </si>
  <si>
    <t>C21</t>
  </si>
  <si>
    <t xml:space="preserve">One-pager to provide an overview of the data collection components involved in the evaluation, used for recruitment. </t>
  </si>
  <si>
    <t>C23</t>
  </si>
  <si>
    <t>Will be sent one week after the WIC Vendor Interview Recruitment Email from State or Local Agency.</t>
  </si>
  <si>
    <t>C25</t>
  </si>
  <si>
    <t xml:space="preserve">Will be sent after vendor staff schedule their interview. </t>
  </si>
  <si>
    <t>C26</t>
  </si>
  <si>
    <t>C27</t>
  </si>
  <si>
    <t xml:space="preserve">Vendor staff are sent a reminder email a few days before their interview. </t>
  </si>
  <si>
    <t>C28</t>
  </si>
  <si>
    <t xml:space="preserve">Vendor staff are sent a reminder text a few days before their interview. </t>
  </si>
  <si>
    <t>C29</t>
  </si>
  <si>
    <t>C30</t>
  </si>
  <si>
    <t>Vendor staff are sent a thank you email for their participation.</t>
  </si>
  <si>
    <t>C31</t>
  </si>
  <si>
    <t>Vendor staff are sent a thank you text message for their participation.</t>
  </si>
  <si>
    <t>C32</t>
  </si>
  <si>
    <t>C33</t>
  </si>
  <si>
    <t>C34</t>
  </si>
  <si>
    <t>C35</t>
  </si>
  <si>
    <t xml:space="preserve">Sample members who have not yet completed the survey will receive a reminder email. </t>
  </si>
  <si>
    <t>C36</t>
  </si>
  <si>
    <t xml:space="preserve">Sample members who have not yet completed the survey will receive a reminder text. </t>
  </si>
  <si>
    <t>C37</t>
  </si>
  <si>
    <t>Assuming 80% response rate.</t>
  </si>
  <si>
    <t>C38</t>
  </si>
  <si>
    <t>C39</t>
  </si>
  <si>
    <t>C40</t>
  </si>
  <si>
    <t>C42</t>
  </si>
  <si>
    <t>C43</t>
  </si>
  <si>
    <t>Will be sent one week after the WIC Local Agency Case Study Recruitment Email from State Agency.</t>
  </si>
  <si>
    <t>C45</t>
  </si>
  <si>
    <t>C46</t>
  </si>
  <si>
    <t>C47</t>
  </si>
  <si>
    <t>Local Agency staff are sent a thank you email for their participation.</t>
  </si>
  <si>
    <t>C48</t>
  </si>
  <si>
    <t>C49</t>
  </si>
  <si>
    <t>C50</t>
  </si>
  <si>
    <t>C51</t>
  </si>
  <si>
    <t>C52</t>
  </si>
  <si>
    <t>C53</t>
  </si>
  <si>
    <t xml:space="preserve">Respondents are sent a thank you email for their participation. Program staff are not given an incentive for completing the survey. </t>
  </si>
  <si>
    <t>C54</t>
  </si>
  <si>
    <t>C55</t>
  </si>
  <si>
    <t>C56</t>
  </si>
  <si>
    <t>C57</t>
  </si>
  <si>
    <t>C58</t>
  </si>
  <si>
    <t>C59</t>
  </si>
  <si>
    <t>C60</t>
  </si>
  <si>
    <t>C61</t>
  </si>
  <si>
    <t>C62</t>
  </si>
  <si>
    <t>C63</t>
  </si>
  <si>
    <t>C64</t>
  </si>
  <si>
    <t xml:space="preserve">Sent from FNS to all 88 State Agency directors introducing the WIC Modernization Evaluation and Mathematica. </t>
  </si>
  <si>
    <t>C65</t>
  </si>
  <si>
    <t>WIC local agency/clinic staff participating in experience surveys</t>
  </si>
  <si>
    <t>WIC State agency staff coordinating logistics</t>
  </si>
  <si>
    <t> Appendix L.3</t>
  </si>
  <si>
    <t> Appendix L.4</t>
  </si>
  <si>
    <t>Appendix L.6 </t>
  </si>
  <si>
    <t>Appendix K.2 </t>
  </si>
  <si>
    <t> Appendix K.4</t>
  </si>
  <si>
    <t> Appendix M.3</t>
  </si>
  <si>
    <t> Appendix M.4</t>
  </si>
  <si>
    <t> Appendix M.5</t>
  </si>
  <si>
    <t>Total responses</t>
  </si>
  <si>
    <t>Total burden (hours)</t>
  </si>
  <si>
    <t>Grand Total Burden Estimate (hours)</t>
  </si>
  <si>
    <t xml:space="preserve">Participants who have not yet completed the survey will receive a reminder email </t>
  </si>
  <si>
    <t>Participants who have not yet completed the survey will receive a reminder text</t>
  </si>
  <si>
    <t>Participants are sent a confirmation text</t>
  </si>
  <si>
    <t>Recruitment outreach to approximately 29 people in each of 32 case study sites to recruit about 18 participants (62.5% response rate; 8-10 participants for each of the two focus groups per site).</t>
  </si>
  <si>
    <t>Sample of about 18 WIC participants per case study site (to conduct focus groups with 8-10 participants per focus group). Assuming 62.5% response rate.</t>
  </si>
  <si>
    <t>Recruitment outreach. Assume half of case study sites (16 sites) include vendors.  Reach out to a sample of about 6 vendor staff at each case study site (to recruit 4 vendor staff at each site; 67% response rate). For each local agency site identified within a State agency for the case study, the study team will work closely with the local agency to identify vendors for in-person interviews during site visits.</t>
  </si>
  <si>
    <t>Sample of 2,300 randomly selected WIC participants from each agency (to recruit 200 respondents for each State agency). In State agencies with fewer than 2,300 participants, all participants will be included (24 States)</t>
  </si>
  <si>
    <t xml:space="preserve">The study team will ask State agencies for contact information for 25 randomly selected vendor staff of each type (online, in-store, and farmers’ market) to achieve 20 respondents of each type in each State agency. For State agencies with fewer than 25 vendor staff in a category, we will ask them for contact information for all vendors. Assume States with fewer than 7,500 participants (38 States) average 10 vendor staff per State. </t>
  </si>
  <si>
    <t>WIC State agency staff participating in experience surveys</t>
  </si>
  <si>
    <t>C66</t>
  </si>
  <si>
    <t>Respondents are sent a thank you email for their participation. Program staff are not given an incentive for completing the survey</t>
  </si>
  <si>
    <t>C67</t>
  </si>
  <si>
    <t>WIC Participant Survey Recruitment Email from WIC State Agency</t>
  </si>
  <si>
    <t>WIC Program Staff Experience Survey Reminder Email</t>
  </si>
  <si>
    <t>WIC Program Staff Experience Survey Thank You Email</t>
  </si>
  <si>
    <t>WIC State Agency Staff Interview Reminder Email</t>
  </si>
  <si>
    <t>WIC &amp; FMNP Vendor/Outlet Staff Experience Survey Recruitment Email from WIC State Agency</t>
  </si>
  <si>
    <t>WIC &amp; FMNP Vendor/Outlet Staff Case Study Interview Recruitment Email from State or Local Agency</t>
  </si>
  <si>
    <t>WIC &amp; FMNP Vendor/Outlet Staff Case Study Interview Confirmation Email</t>
  </si>
  <si>
    <t>WIC &amp; FMNP Vendor/Outlet Staff Case Study Interview Confirmation Text</t>
  </si>
  <si>
    <t>WIC &amp; FMNP Vendor/Outlet Staff Case Study Interview Reminder Email</t>
  </si>
  <si>
    <t>WIC &amp; FMNP Vendor/Outlet Staff Case Study Interview Reminder Text</t>
  </si>
  <si>
    <t>WIC &amp; FMNP Vendor/Outlet Staff Case Study Interview</t>
  </si>
  <si>
    <t>WIC &amp; FMNP Vendor/Outlet Staff Case Study Interview Thank You Email</t>
  </si>
  <si>
    <t>WIC &amp; FMNP Vendor/Outlet Staff Case Study Interview Thank You Text</t>
  </si>
  <si>
    <t>WIC &amp; FMNP Vendor/Outlet Staff Experience Survey Invitation Text</t>
  </si>
  <si>
    <t>WIC &amp; FMNP Vendor/Outlet Staff Experience Survey Reminder Email</t>
  </si>
  <si>
    <t>WIC &amp; FMNP Vendor/Outlet Staff Experience Survey Reminder Text</t>
  </si>
  <si>
    <t>WIC &amp; FMNP Vendor/Outlet Staff Experience Survey</t>
  </si>
  <si>
    <t>WIC &amp; FMNP Vendor/Outlet Staff Experience Survey Thank You Email</t>
  </si>
  <si>
    <t>WIC &amp; FMNP Vendor/Outlet Staff Experience Survey Thank You Text</t>
  </si>
  <si>
    <t>Study Decription for WIC &amp; FMNP Vendors/Outlets</t>
  </si>
  <si>
    <t>Study Description for WIC &amp; FMNP Vendors/Outlets</t>
  </si>
  <si>
    <t>WIC Local Agency Case Study Recruitment Email from State Agency</t>
  </si>
  <si>
    <t>WIC Local Agency Staff Case Study Interview Scheduling Email</t>
  </si>
  <si>
    <t>WIC Local Agency Staff Case Study Interview Reminder Email</t>
  </si>
  <si>
    <t>WIC Local Agency Staff Case Study Interview</t>
  </si>
  <si>
    <t>WIC Local Agency Staff Case Study Interview Thank You Email</t>
  </si>
  <si>
    <r>
      <t>WIC Program Staff Experience Survey Invitation Email from the Mathematica Study Team (</t>
    </r>
    <r>
      <rPr>
        <i/>
        <sz val="10"/>
        <color theme="1"/>
        <rFont val="Calibri"/>
        <family val="2"/>
        <scheme val="minor"/>
      </rPr>
      <t>local agency /clinic staff</t>
    </r>
    <r>
      <rPr>
        <sz val="10"/>
        <color theme="1"/>
        <rFont val="Calibri"/>
        <family val="2"/>
        <scheme val="minor"/>
      </rPr>
      <t>)</t>
    </r>
  </si>
  <si>
    <r>
      <t>WIC Program Staff Experience Survey Reminder Email (</t>
    </r>
    <r>
      <rPr>
        <i/>
        <sz val="10"/>
        <color theme="1"/>
        <rFont val="Calibri"/>
        <family val="2"/>
        <scheme val="minor"/>
      </rPr>
      <t>local agency/clinic staff</t>
    </r>
    <r>
      <rPr>
        <sz val="10"/>
        <color theme="1"/>
        <rFont val="Calibri"/>
        <family val="2"/>
        <scheme val="minor"/>
      </rPr>
      <t>)</t>
    </r>
  </si>
  <si>
    <r>
      <t>WIC Program Staff Experience Survey (</t>
    </r>
    <r>
      <rPr>
        <i/>
        <sz val="10"/>
        <color theme="1"/>
        <rFont val="Calibri"/>
        <family val="2"/>
        <scheme val="minor"/>
      </rPr>
      <t>local agency/clinic staff</t>
    </r>
    <r>
      <rPr>
        <sz val="10"/>
        <color theme="1"/>
        <rFont val="Calibri"/>
        <family val="2"/>
        <scheme val="minor"/>
      </rPr>
      <t>)</t>
    </r>
  </si>
  <si>
    <r>
      <t>WIC Program Staff Experience Survey Thank You Email (</t>
    </r>
    <r>
      <rPr>
        <i/>
        <sz val="10"/>
        <color theme="1"/>
        <rFont val="Calibri"/>
        <family val="2"/>
        <scheme val="minor"/>
      </rPr>
      <t>local agency/clinic staff</t>
    </r>
    <r>
      <rPr>
        <sz val="10"/>
        <color theme="1"/>
        <rFont val="Calibri"/>
        <family val="2"/>
        <scheme val="minor"/>
      </rPr>
      <t>)</t>
    </r>
  </si>
  <si>
    <r>
      <t>WIC Program Staff Experience Survey Invitation Email from the Mathematica Study Team (</t>
    </r>
    <r>
      <rPr>
        <i/>
        <sz val="10"/>
        <color theme="1"/>
        <rFont val="Calibri"/>
        <family val="2"/>
        <scheme val="minor"/>
      </rPr>
      <t>State agency staff</t>
    </r>
    <r>
      <rPr>
        <sz val="10"/>
        <color theme="1"/>
        <rFont val="Calibri"/>
        <family val="2"/>
        <scheme val="minor"/>
      </rPr>
      <t>)</t>
    </r>
  </si>
  <si>
    <r>
      <t>WIC Program Staff Experience Survey Reminder Email (</t>
    </r>
    <r>
      <rPr>
        <i/>
        <sz val="10"/>
        <color theme="1"/>
        <rFont val="Calibri"/>
        <family val="2"/>
        <scheme val="minor"/>
      </rPr>
      <t>State agency staff</t>
    </r>
    <r>
      <rPr>
        <sz val="10"/>
        <color theme="1"/>
        <rFont val="Calibri"/>
        <family val="2"/>
        <scheme val="minor"/>
      </rPr>
      <t>)</t>
    </r>
  </si>
  <si>
    <r>
      <t>WIC Program Staff Experience Survey (</t>
    </r>
    <r>
      <rPr>
        <i/>
        <sz val="10"/>
        <color theme="1"/>
        <rFont val="Calibri"/>
        <family val="2"/>
        <scheme val="minor"/>
      </rPr>
      <t>State agency staff</t>
    </r>
    <r>
      <rPr>
        <sz val="10"/>
        <color theme="1"/>
        <rFont val="Calibri"/>
        <family val="2"/>
        <scheme val="minor"/>
      </rPr>
      <t>)</t>
    </r>
  </si>
  <si>
    <r>
      <t>WIC Program Staff Experience Survey Thank You Email (</t>
    </r>
    <r>
      <rPr>
        <i/>
        <sz val="10"/>
        <color theme="1"/>
        <rFont val="Calibri"/>
        <family val="2"/>
        <scheme val="minor"/>
      </rPr>
      <t>State agency staff</t>
    </r>
    <r>
      <rPr>
        <sz val="10"/>
        <color theme="1"/>
        <rFont val="Calibri"/>
        <family val="2"/>
        <scheme val="minor"/>
      </rPr>
      <t>)</t>
    </r>
  </si>
  <si>
    <t>WIC &amp; FMNP vendor/outlet staff participating in experience surveys</t>
  </si>
  <si>
    <t>WIC local agency/clinic staff participating in case study interviews</t>
  </si>
  <si>
    <t>WIC &amp; FMNP vendor/outlet staff participating in case study interviews</t>
  </si>
  <si>
    <t>WIC participants participating in case study focus groups</t>
  </si>
  <si>
    <t>WIC State Agency Webinar Invitation Email and Webinar</t>
  </si>
  <si>
    <t>Sent to all 88 State Agency directors noting the day and time of the webinar with the link to register to attend. Assume 100% participation or viewing</t>
  </si>
  <si>
    <t>WIC &amp; FMNP Vendor/Outlet Staff Outlet Experience Survey Invitation Email from the Mathematica Study Team</t>
  </si>
  <si>
    <t>WIC &amp; FMNP Vendor/Outlet Staff Case Study Interview Recruitment Email from the Mathematica Study Team</t>
  </si>
  <si>
    <t>Mathematica Study Team Request to WIC State agencies for WIC program staff contact list for experience survey</t>
  </si>
  <si>
    <t>Mathematica Study Team Request to WIC State agencies for WIC participant contact list for experience survey</t>
  </si>
  <si>
    <t>WIC Local Agency Case Study Planning Call Recruitment Email from the Mathematica Study Team</t>
  </si>
  <si>
    <t>Recruitment outreach to the 32 local agency sites selected for participation in the case studies</t>
  </si>
  <si>
    <t>Local Agency staff are sent a reminder email a few days before their interview.</t>
  </si>
  <si>
    <t>Recruitment scheduling email. We anticipate a response rate of about 70%.</t>
  </si>
  <si>
    <t>The study team will provide the local agencies with flyers to distribute to an average of 50 WIC participants per case study site (for 32 case study sites total) 6-8 weeks prior to the focus groups. No response required.</t>
  </si>
  <si>
    <t>Respondent Sample Size Assumption</t>
  </si>
  <si>
    <t>Mathematica Study Team Request to WIC State agencies for WIC &amp; FMNP vendor/outlet contact list for experience survey</t>
  </si>
  <si>
    <t>The study team will ask State agencies for contact information for 25 randomly selected vendors of each type (online, in-store, and farmers' market) to achieve 20 respondents of each type in each State agency. For State agencies with fewer than 25 vendors in a category, we will ask them for contact information for all vendors in that category.</t>
  </si>
  <si>
    <t xml:space="preserve">Email sent to all 88 State Agency directors requesting (1) a decision from them on whether they choose their agency or Mathematica to field the WIC Participant Experience Survey, and (2) a randomly selected list of up to 2,300 WIC participants across different WIC local agencies in their State to use as the sample for the WIC Participant Experience Survey. </t>
  </si>
  <si>
    <t> Appendix M.6</t>
  </si>
  <si>
    <t> Appendix M.8</t>
  </si>
  <si>
    <t> Appendix M.9</t>
  </si>
  <si>
    <t>Vendor staff will receive a $50 gift card in person after their interview has been conducted. Assume 90% of scheduled vendors respond.</t>
  </si>
  <si>
    <t>Assume a 9% response rate</t>
  </si>
  <si>
    <t xml:space="preserve">Sample of about 18 WIC participants per case study site (to conduct focus groups with 8-10 participants per focus group). Assume 90% of scheduled participants respond. Participants will receive a $50 gift card in person after the focus group has been conducted. </t>
  </si>
  <si>
    <t>Recruitment outreach to an average almost 7 staff per site for 32 case study sites to achieve about 5 staff per site. Assume 80% response rate to schedule interview and 90% of those complete interview.</t>
  </si>
  <si>
    <t xml:space="preserve">Assuming 90% response rate among scheduled staff. Agency staff are not given an incentive for completing an interview. </t>
  </si>
  <si>
    <t> Appendix F.1</t>
  </si>
  <si>
    <t> Appendix F.2</t>
  </si>
  <si>
    <t>WIC Local Agency Staff Case Study Interview Protocol</t>
  </si>
  <si>
    <t>WIC &amp; FMNP Vendor/Outlet Staff Case Study Interview Protocol</t>
  </si>
  <si>
    <t>WIC State Agency Staff Interview Protocol</t>
  </si>
  <si>
    <t> Appendix F.3</t>
  </si>
  <si>
    <t> Appendix H</t>
  </si>
  <si>
    <t> Appendix I</t>
  </si>
  <si>
    <t> Appendix J</t>
  </si>
  <si>
    <t>Appendix K.3</t>
  </si>
  <si>
    <t> Appendix L.1</t>
  </si>
  <si>
    <t> Appendix L.2 </t>
  </si>
  <si>
    <t> Appendix L.5</t>
  </si>
  <si>
    <t>Appendix M.1 </t>
  </si>
  <si>
    <t>Appendix M.2 </t>
  </si>
  <si>
    <t>Appendix M.7</t>
  </si>
  <si>
    <t>WIC Participant Case Study Focus Group Recruitment Email from State/Local Agency</t>
  </si>
  <si>
    <t>WIC Participant Case Study Focus Group Scheduling Email</t>
  </si>
  <si>
    <t>WIC Participant Case Study Focus Group Confirmation Email</t>
  </si>
  <si>
    <t>WIC Participant Case Study Focus Group Guide</t>
  </si>
  <si>
    <t>WIC Participant Case Study Focus Group Confirmation Text</t>
  </si>
  <si>
    <t>WIC Participant Case Study Focus Group Reminder Email</t>
  </si>
  <si>
    <t>WIC Participant Case Study Focus Group Reminder Text</t>
  </si>
  <si>
    <t>WIC Participant Case Study Focus Group Thank You Email</t>
  </si>
  <si>
    <t>WIC Participant Case Study Focus Group Thank You Text</t>
  </si>
  <si>
    <t>WIC Participant Case Study Focus Group Recruitment Flyer</t>
  </si>
  <si>
    <t>WIC Participant Case Study Focus Group Flyer</t>
  </si>
  <si>
    <t> Appendix N.1</t>
  </si>
  <si>
    <t>Appendix P</t>
  </si>
  <si>
    <t> Appendix S.3</t>
  </si>
  <si>
    <t> Appendix S.4</t>
  </si>
  <si>
    <t>Appendix T.1</t>
  </si>
  <si>
    <t>Appendix S.2</t>
  </si>
  <si>
    <t>WIC Participant Experience Survey Recruitment Email from WIC State Agency</t>
  </si>
  <si>
    <t>WIC Participant Experience Survey Invitation Email from WIC State Agency</t>
  </si>
  <si>
    <t>WIC Participant Experience Survey Invitation Text</t>
  </si>
  <si>
    <t>WIC Participant Experience Survey Reminder Email</t>
  </si>
  <si>
    <t>WIC Participant Experience Survey Reminder Text</t>
  </si>
  <si>
    <t>WIC State agency staff participating in interviews</t>
  </si>
  <si>
    <t xml:space="preserve">All 88 State Agency respondents will be sent a reminder email a few days before their interview. The email will include a reminder of the day/time of their interview. </t>
  </si>
  <si>
    <t>The qualitative interviews will include questions about the implementation of the modernization activities and waiver use. We assume that about half of the State agencies will include a second person in the interview (as the invitation email notes that the interview will be conducted with the respondent and any colleagues the respondent thinks should be part of the interview)</t>
  </si>
  <si>
    <t>The study team will ask State agencies for contact information for 25 randomly selected staff of each type (WIC State agency staff, local agency staff, and WIC clinic staff) to achieve 20 respondents of each type in each State agency. For State agencies with fewer than 25 staff in a category, we will ask them for contact information for all relevant staff. Assume this averages 20 local agency staff, 24 clinic staff, and about 14.8 State staff per State</t>
  </si>
  <si>
    <t> Appendix S.5</t>
  </si>
  <si>
    <t> Appendix S.6</t>
  </si>
  <si>
    <t> Appendix S.7</t>
  </si>
  <si>
    <t>Appendix S.8</t>
  </si>
  <si>
    <t> Appendix R.2</t>
  </si>
  <si>
    <t> Appendix R.3</t>
  </si>
  <si>
    <t> Appendix R.4</t>
  </si>
  <si>
    <t>Appendix R.2</t>
  </si>
  <si>
    <t> Appendix O</t>
  </si>
  <si>
    <t>Appendix O</t>
  </si>
  <si>
    <t>App. R.1</t>
  </si>
  <si>
    <t>Appendix S.1</t>
  </si>
  <si>
    <t>Sent to all 88 State Agencies the week after FNS' email about the WIC Modernization Evaluation.  Includes time for 30 minute planning meeting with two State staff.</t>
  </si>
  <si>
    <t>WIC State Agency Study Recruitment Email from the Mathematica Study Team and Planning Call</t>
  </si>
  <si>
    <t>WIC State Agency Staff Interview Scheduling Email and Preparation Time</t>
  </si>
  <si>
    <t>All 88 State Agencies will be sent an email to set up a time for their annual interview. Emails will be sent to the State Agency respondent, and the email will note that the interview will be conducted with them and any colleagues the respondent thinks should be part of the interview. Includes 15 minutes of preparation time for the State agency interview.</t>
  </si>
  <si>
    <t>WIC State Agency Staff Interview Thank You Email and Follow-up Questions</t>
  </si>
  <si>
    <t>WIC State Agency staff are sent an email thanking them for their participation in the interview. Since participation is required, staff are not given an incentive for completing the  interview. Includes 15 minutes of follow-up time per interview participant.</t>
  </si>
  <si>
    <r>
      <t>WIC State Agency Staff Interview Scheduling Email and Preparation Time</t>
    </r>
    <r>
      <rPr>
        <vertAlign val="superscript"/>
        <sz val="8"/>
        <rFont val="Calibri"/>
        <family val="2"/>
        <scheme val="minor"/>
      </rPr>
      <t>c</t>
    </r>
  </si>
  <si>
    <r>
      <t>WIC State Agency Staff Interview Thank You Email and Follow-up Questions</t>
    </r>
    <r>
      <rPr>
        <vertAlign val="superscript"/>
        <sz val="8"/>
        <rFont val="Calibri"/>
        <family val="2"/>
        <scheme val="minor"/>
      </rPr>
      <t>d</t>
    </r>
  </si>
  <si>
    <r>
      <t>WIC State Agency Webinar Invitation Email and Webinar</t>
    </r>
    <r>
      <rPr>
        <vertAlign val="superscript"/>
        <sz val="8"/>
        <rFont val="Calibri"/>
        <family val="2"/>
        <scheme val="minor"/>
      </rPr>
      <t>e</t>
    </r>
  </si>
  <si>
    <r>
      <rPr>
        <vertAlign val="superscript"/>
        <sz val="8"/>
        <rFont val="Arial"/>
        <family val="2"/>
      </rPr>
      <t>d</t>
    </r>
    <r>
      <rPr>
        <sz val="8"/>
        <rFont val="Arial"/>
        <family val="2"/>
      </rPr>
      <t xml:space="preserve"> The burden for both the WIC State agency interview thank you email and the follow-up questions  are included in the burden statement for the thank you email.</t>
    </r>
  </si>
  <si>
    <r>
      <rPr>
        <vertAlign val="superscript"/>
        <sz val="8"/>
        <rFont val="Arial"/>
        <family val="2"/>
      </rPr>
      <t>c</t>
    </r>
    <r>
      <rPr>
        <sz val="8"/>
        <rFont val="Arial"/>
        <family val="2"/>
      </rPr>
      <t xml:space="preserve"> The burden for both the WIC State agency interview scheduling email and preparation for the interview are included in the burden statement in the scheduling email.</t>
    </r>
  </si>
  <si>
    <r>
      <rPr>
        <vertAlign val="superscript"/>
        <sz val="8"/>
        <rFont val="Arial"/>
        <family val="2"/>
      </rPr>
      <t>e</t>
    </r>
    <r>
      <rPr>
        <sz val="8"/>
        <rFont val="Arial"/>
        <family val="2"/>
      </rPr>
      <t xml:space="preserve"> The burden for both the webinar invitation email and the webinar itself are included in the burden statement in the invitation email.</t>
    </r>
  </si>
  <si>
    <t>WIC &amp; FMNP Vendor/Outlet Staff Experience Survey Reminder Phone Call</t>
  </si>
  <si>
    <t>WIC Participant Survey Reminder Phone Call</t>
  </si>
  <si>
    <t>WIC Participant Survey Reminder Postcard</t>
  </si>
  <si>
    <t>Participants who have not yet completed the survey will receive a reminder phone call. Assume 5%.</t>
  </si>
  <si>
    <t>Participants who have not yet completed the survey will receive a reminder postcard. Assume 3%.</t>
  </si>
  <si>
    <t>WIC Participant Experience Survey Reminder Phone Call</t>
  </si>
  <si>
    <t>WIC Participant Experience Survey Reminder Postcard</t>
  </si>
  <si>
    <t>C22</t>
  </si>
  <si>
    <t>C41</t>
  </si>
  <si>
    <t>C68</t>
  </si>
  <si>
    <t>C69</t>
  </si>
  <si>
    <t>C70</t>
  </si>
  <si>
    <t>Sample members who have not yet completed the survey will receive a phone call reminder. Assume this is 30%</t>
  </si>
  <si>
    <t>Estimated number of respondents</t>
  </si>
  <si>
    <t>Total annual responses (average over 3 years)</t>
  </si>
  <si>
    <t> Appendix F.4/F.4a</t>
  </si>
  <si>
    <t>Appendix N.2/N.2a</t>
  </si>
  <si>
    <t> Appendix N.3/N.3a</t>
  </si>
  <si>
    <t> Appendix N.4/N.4a</t>
  </si>
  <si>
    <t> Appendix N.5/N.5a</t>
  </si>
  <si>
    <t> Appendix N.6/N.6a</t>
  </si>
  <si>
    <t>Appendix N.7 /N.7a</t>
  </si>
  <si>
    <t>Appendix N.8 /N.8a</t>
  </si>
  <si>
    <t>Appendix N.9/N.9a</t>
  </si>
  <si>
    <t> Appendix N.10/N.10a</t>
  </si>
  <si>
    <t> Appendix Q/Q.1</t>
  </si>
  <si>
    <t>Appendix T.2 /T.2a</t>
  </si>
  <si>
    <t>Appendix T.3/T.3a</t>
  </si>
  <si>
    <t>Appendix T.4/T.4a</t>
  </si>
  <si>
    <t>Appendix T.6/T.6a</t>
  </si>
  <si>
    <t>Appendix T.7/T.7a</t>
  </si>
  <si>
    <t> Appendix T.8/T.8a</t>
  </si>
  <si>
    <r>
      <t>Note: The study notification document from FNS to the Regional Offices about the study</t>
    </r>
    <r>
      <rPr>
        <sz val="8"/>
        <color theme="1"/>
        <rFont val="Arial"/>
        <family val="2"/>
      </rPr>
      <t xml:space="preserve"> (Appendix G.1</t>
    </r>
    <r>
      <rPr>
        <sz val="8"/>
        <rFont val="Arial"/>
        <family val="2"/>
      </rPr>
      <t>) is not included in this burden table, as federal staff are not members of the public.</t>
    </r>
  </si>
  <si>
    <t> Appendix T.5/T.5a</t>
  </si>
  <si>
    <t>Appendix G.2; Appendix K.1 </t>
  </si>
  <si>
    <t>WIC &amp; FMNP Vendor/Outlet Staff Experience Survey Invitation Email from the Research Study Team</t>
  </si>
  <si>
    <t>WIC &amp; FMNP Vendor/Outlet Staff Case Study Interview Recruitment Email from the Research Study Team</t>
  </si>
  <si>
    <r>
      <t>WIC Local Agency Case Study Planning Call Recruitment Email from the Research Study Team and Planning Call</t>
    </r>
    <r>
      <rPr>
        <vertAlign val="superscript"/>
        <sz val="8"/>
        <rFont val="Calibri"/>
        <family val="2"/>
        <scheme val="minor"/>
      </rPr>
      <t>a</t>
    </r>
  </si>
  <si>
    <t>WIC Program Staff Experience Survey Invitation Email from the Research Study Team</t>
  </si>
  <si>
    <r>
      <t>WIC State Agency Study Email from Regional Offices and Recruitment Email from the Research Study Team and Planning Call</t>
    </r>
    <r>
      <rPr>
        <vertAlign val="superscript"/>
        <sz val="8"/>
        <rFont val="Calibri"/>
        <family val="2"/>
        <scheme val="minor"/>
      </rPr>
      <t>b</t>
    </r>
  </si>
  <si>
    <t>Research Study Team Request to WIC State Agencies for WIC Program Staff Contact List for Experience Survey</t>
  </si>
  <si>
    <t>Research Study Team Request to WIC State Agencies for WIC Participant Contact List for Experience Survey</t>
  </si>
  <si>
    <t>Research Study Team Request to WIC State agencies for WIC &amp; FMNP vendor/outlet staff contact list for experience survey</t>
  </si>
  <si>
    <r>
      <rPr>
        <vertAlign val="superscript"/>
        <sz val="8"/>
        <rFont val="Arial"/>
        <family val="2"/>
      </rPr>
      <t>a</t>
    </r>
    <r>
      <rPr>
        <sz val="8"/>
        <rFont val="Arial"/>
        <family val="2"/>
      </rPr>
      <t xml:space="preserve"> The burden for both the case study recruitment planning call email and the planning call itself are included in the burden statement in the recruitment email. The planning call time accounts for 30 minutes for the actual call and then 2.5 hours for followup activities such as posting focus group flyers in the clinics, outreach to vendors and participants to recruit them for case study activities.</t>
    </r>
  </si>
  <si>
    <r>
      <rPr>
        <vertAlign val="superscript"/>
        <sz val="8"/>
        <rFont val="Arial"/>
        <family val="2"/>
      </rPr>
      <t>b</t>
    </r>
    <r>
      <rPr>
        <sz val="8"/>
        <rFont val="Arial"/>
        <family val="2"/>
      </rPr>
      <t xml:space="preserve"> The burden for the WIC State agency email from the Regional Office, the research study team recruiting email and the planning call itself are included in the burden statement in the recruiting email.</t>
    </r>
  </si>
  <si>
    <r>
      <t xml:space="preserve">WIC State agency staff: </t>
    </r>
    <r>
      <rPr>
        <sz val="10"/>
        <rFont val="Calibri"/>
        <family val="2"/>
        <scheme val="minor"/>
      </rPr>
      <t>Average hourly earnings of WIC State agency staff</t>
    </r>
    <r>
      <rPr>
        <b/>
        <sz val="10"/>
        <rFont val="Calibri"/>
        <family val="2"/>
        <scheme val="minor"/>
      </rPr>
      <t xml:space="preserve">. </t>
    </r>
    <r>
      <rPr>
        <sz val="10"/>
        <rFont val="Calibri"/>
        <family val="2"/>
        <scheme val="minor"/>
      </rPr>
      <t>Management occupations (11-0000): $68.15</t>
    </r>
  </si>
  <si>
    <r>
      <t>WIC local agency/clinic staff:</t>
    </r>
    <r>
      <rPr>
        <sz val="10"/>
        <rFont val="Calibri"/>
        <family val="2"/>
        <scheme val="minor"/>
      </rPr>
      <t xml:space="preserve"> Average hourly earnings of WIC local agency clinic staff. Social and Community Service Managers (11-9151): $41.39</t>
    </r>
  </si>
  <si>
    <r>
      <t xml:space="preserve">WIC &amp; FMNP vendor/outlet staff: </t>
    </r>
    <r>
      <rPr>
        <sz val="10"/>
        <rFont val="Calibri"/>
        <family val="2"/>
        <scheme val="minor"/>
      </rPr>
      <t>Average hourly earnings of WIC vendor staff. First-Line Supervisors of Non-Retail Sales Workers (41-1012): $47.06</t>
    </r>
  </si>
  <si>
    <r>
      <rPr>
        <b/>
        <sz val="10"/>
        <rFont val="Calibri"/>
        <family val="2"/>
        <scheme val="minor"/>
      </rPr>
      <t>WIC participants</t>
    </r>
    <r>
      <rPr>
        <sz val="10"/>
        <rFont val="Calibri"/>
        <family val="2"/>
        <scheme val="minor"/>
      </rPr>
      <t>: Average hourly earnings of WIC participants. Federal Minimum Wage: $7.25</t>
    </r>
  </si>
  <si>
    <t>Sources: Department of Labor Wage and Hour Division (http://www.dol.gov/whd/minimumwage.htm). Bureau of Labor Statistics, Occupational Employment Statistics Survey, May 2024. (https://data.bls.gov/oes/#/industry/000000). Individual/Household: Federal minimum wage.  Business (Profit, Non-Profit, or Farm): Average hourly earnings of First-Line Supervisors of Non-Retail Sales Workers. State, Local, or Tribal Government - State agency staff: Average hourly earnings of Management Occupations. State, Local, or Tribal Government - local agency/clinic staff: Average hourly earnings of Social and Community Service Managers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</si>
</sst>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_(* #,##0.0000_);_(* \(#,##0.0000\);_(* &quot;-&quot;??_);_(@_)"/>
    <numFmt numFmtId="168" formatCode="_(* #,##0.000_);_(* \(#,##0.000\);_(* &quot;-&quot;??_);_(@_)"/>
    <numFmt numFmtId="169" formatCode="0.00000000"/>
    <numFmt numFmtId="170" formatCode="0.0"/>
    <numFmt numFmtId="171" formatCode="_(* #,##0.0_);_(* \(#,##0.0\);_(* &quot;-&quot;??_);_(@_)"/>
    <numFmt numFmtId="172" formatCode="0.00000"/>
    <numFmt numFmtId="173" formatCode="#,##0.0"/>
  </numFmts>
  <fonts count="19"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8"/>
      <name val="Calibri"/>
      <family val="2"/>
      <scheme val="minor"/>
    </font>
    <font>
      <sz val="8"/>
      <name val="Calibri"/>
      <family val="2"/>
      <scheme val="minor"/>
    </font>
    <font>
      <sz val="9"/>
      <name val="Calibri"/>
      <family val="2"/>
      <scheme val="minor"/>
    </font>
    <font>
      <b/>
      <sz val="9"/>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10"/>
      <color rgb="FFFF0000"/>
      <name val="Calibri"/>
      <family val="2"/>
      <scheme val="minor"/>
    </font>
    <font>
      <sz val="8"/>
      <color theme="1"/>
      <name val="Arial"/>
      <family val="2"/>
    </font>
    <font>
      <sz val="7"/>
      <color theme="1"/>
      <name val="Calibri"/>
      <family val="2"/>
    </font>
    <font>
      <i/>
      <sz val="10"/>
      <color theme="1"/>
      <name val="Calibri"/>
      <family val="2"/>
      <scheme val="minor"/>
    </font>
    <font>
      <sz val="8"/>
      <name val="Arial"/>
      <family val="2"/>
    </font>
    <font>
      <vertAlign val="superscript"/>
      <sz val="8"/>
      <name val="Calibri"/>
      <family val="2"/>
      <scheme val="minor"/>
    </font>
    <font>
      <vertAlign val="superscript"/>
      <sz val="8"/>
      <name val="Arial"/>
      <family val="2"/>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style="medium">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38">
    <xf numFmtId="0" fontId="0" fillId="0" borderId="0" xfId="0"/>
    <xf numFmtId="0" fontId="2" fillId="0" borderId="0" xfId="0" applyFont="1"/>
    <xf numFmtId="0" fontId="4" fillId="0" borderId="5" xfId="0" applyFont="1" applyBorder="1" applyAlignment="1">
      <alignment vertical="center" textRotation="90" wrapText="1"/>
    </xf>
    <xf numFmtId="0" fontId="4" fillId="0" borderId="1" xfId="0" applyFont="1" applyBorder="1" applyAlignment="1">
      <alignment horizontal="center" vertical="center" wrapText="1"/>
    </xf>
    <xf numFmtId="164" fontId="6" fillId="0" borderId="1" xfId="1" applyNumberFormat="1" applyFont="1" applyFill="1" applyBorder="1" applyAlignment="1">
      <alignment horizontal="right"/>
    </xf>
    <xf numFmtId="0" fontId="8" fillId="0" borderId="0" xfId="0" applyFont="1"/>
    <xf numFmtId="165" fontId="6" fillId="0" borderId="1" xfId="2" applyNumberFormat="1" applyFont="1" applyFill="1" applyBorder="1" applyAlignment="1">
      <alignment horizontal="right"/>
    </xf>
    <xf numFmtId="0" fontId="10" fillId="0" borderId="0" xfId="0" applyFont="1"/>
    <xf numFmtId="0" fontId="11" fillId="0" borderId="0" xfId="0" applyFont="1"/>
    <xf numFmtId="164" fontId="7" fillId="2" borderId="4" xfId="1" applyNumberFormat="1" applyFont="1" applyFill="1" applyBorder="1" applyAlignment="1">
      <alignment horizontal="right"/>
    </xf>
    <xf numFmtId="0" fontId="7" fillId="2" borderId="1" xfId="0" applyFont="1" applyFill="1" applyBorder="1" applyAlignment="1">
      <alignment horizontal="right"/>
    </xf>
    <xf numFmtId="166" fontId="7" fillId="2" borderId="1" xfId="0" applyNumberFormat="1" applyFont="1" applyFill="1" applyBorder="1" applyAlignment="1">
      <alignment horizontal="right"/>
    </xf>
    <xf numFmtId="3" fontId="2" fillId="0" borderId="0" xfId="0" applyNumberFormat="1" applyFont="1"/>
    <xf numFmtId="167" fontId="6" fillId="0" borderId="1" xfId="1" applyNumberFormat="1" applyFont="1" applyFill="1" applyBorder="1" applyAlignment="1">
      <alignment horizontal="right"/>
    </xf>
    <xf numFmtId="3" fontId="2" fillId="0" borderId="0" xfId="0" applyNumberFormat="1" applyFont="1" applyAlignment="1">
      <alignment horizontal="right"/>
    </xf>
    <xf numFmtId="168" fontId="6" fillId="0" borderId="1" xfId="1" applyNumberFormat="1" applyFont="1" applyFill="1" applyBorder="1" applyAlignment="1">
      <alignment horizontal="right"/>
    </xf>
    <xf numFmtId="164" fontId="7" fillId="2" borderId="1" xfId="1" applyNumberFormat="1" applyFont="1" applyFill="1" applyBorder="1" applyAlignment="1">
      <alignment horizontal="right"/>
    </xf>
    <xf numFmtId="0" fontId="11" fillId="0" borderId="0" xfId="0" applyFont="1" applyAlignment="1">
      <alignment vertical="top" wrapText="1"/>
    </xf>
    <xf numFmtId="0" fontId="2" fillId="2" borderId="0" xfId="0" applyFont="1" applyFill="1"/>
    <xf numFmtId="3" fontId="2" fillId="2" borderId="0" xfId="0" applyNumberFormat="1" applyFont="1" applyFill="1" applyAlignment="1">
      <alignment horizontal="right"/>
    </xf>
    <xf numFmtId="3" fontId="2" fillId="2" borderId="0" xfId="0" applyNumberFormat="1" applyFont="1" applyFill="1"/>
    <xf numFmtId="44" fontId="7" fillId="2" borderId="1" xfId="2" applyFont="1" applyFill="1" applyBorder="1" applyAlignment="1">
      <alignment horizontal="right"/>
    </xf>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44" fontId="7" fillId="2" borderId="4" xfId="2" applyFont="1" applyFill="1" applyBorder="1" applyAlignment="1">
      <alignment horizontal="right"/>
    </xf>
    <xf numFmtId="44" fontId="7" fillId="0" borderId="4" xfId="2" applyFont="1" applyFill="1" applyBorder="1" applyAlignment="1">
      <alignment horizontal="right"/>
    </xf>
    <xf numFmtId="0" fontId="4" fillId="0" borderId="6" xfId="0" applyFont="1" applyBorder="1" applyAlignment="1">
      <alignment horizontal="center" vertical="center" wrapText="1"/>
    </xf>
    <xf numFmtId="0" fontId="3" fillId="0" borderId="28" xfId="0" applyFont="1" applyBorder="1" applyAlignment="1">
      <alignment horizontal="left" vertical="center"/>
    </xf>
    <xf numFmtId="0" fontId="12" fillId="0" borderId="0" xfId="0" applyFont="1"/>
    <xf numFmtId="0" fontId="5" fillId="0" borderId="0" xfId="0" applyFont="1"/>
    <xf numFmtId="3" fontId="5" fillId="0" borderId="0" xfId="0" applyNumberFormat="1" applyFont="1"/>
    <xf numFmtId="0" fontId="5" fillId="0" borderId="14" xfId="0" applyFont="1" applyBorder="1"/>
    <xf numFmtId="3" fontId="5" fillId="0" borderId="10" xfId="0" applyNumberFormat="1" applyFont="1" applyBorder="1"/>
    <xf numFmtId="0" fontId="5" fillId="0" borderId="10" xfId="0" applyFont="1" applyBorder="1"/>
    <xf numFmtId="0" fontId="5" fillId="0" borderId="23" xfId="0" applyFont="1" applyBorder="1"/>
    <xf numFmtId="0" fontId="3" fillId="0" borderId="1" xfId="0" applyFont="1" applyBorder="1" applyAlignment="1">
      <alignment horizontal="left" vertical="center" wrapText="1"/>
    </xf>
    <xf numFmtId="0" fontId="2" fillId="0" borderId="28" xfId="0" applyFont="1" applyBorder="1"/>
    <xf numFmtId="166" fontId="6" fillId="0" borderId="1" xfId="0" applyNumberFormat="1" applyFont="1" applyBorder="1" applyAlignment="1">
      <alignment horizontal="right"/>
    </xf>
    <xf numFmtId="0" fontId="3" fillId="0" borderId="1" xfId="0" applyFont="1" applyBorder="1" applyAlignment="1">
      <alignment horizontal="left" vertical="center"/>
    </xf>
    <xf numFmtId="0" fontId="11" fillId="0" borderId="0" xfId="0" applyFont="1" applyAlignment="1">
      <alignment wrapText="1"/>
    </xf>
    <xf numFmtId="3" fontId="11" fillId="0" borderId="0" xfId="0" applyNumberFormat="1" applyFont="1"/>
    <xf numFmtId="0" fontId="6" fillId="0" borderId="1" xfId="0" applyFont="1" applyBorder="1" applyAlignment="1">
      <alignment horizontal="right"/>
    </xf>
    <xf numFmtId="0" fontId="11" fillId="2" borderId="0" xfId="0" applyFont="1" applyFill="1" applyAlignment="1">
      <alignment wrapText="1"/>
    </xf>
    <xf numFmtId="0" fontId="2" fillId="0" borderId="0" xfId="0" applyFont="1" applyAlignment="1">
      <alignment wrapText="1"/>
    </xf>
    <xf numFmtId="0" fontId="12" fillId="2" borderId="0" xfId="0" applyFont="1" applyFill="1" applyAlignment="1">
      <alignment wrapText="1"/>
    </xf>
    <xf numFmtId="0" fontId="2" fillId="2" borderId="0" xfId="0" applyFont="1" applyFill="1" applyAlignment="1">
      <alignment wrapText="1"/>
    </xf>
    <xf numFmtId="3" fontId="6" fillId="0" borderId="1" xfId="0" applyNumberFormat="1" applyFont="1" applyBorder="1" applyAlignment="1">
      <alignment horizontal="right"/>
    </xf>
    <xf numFmtId="3" fontId="6" fillId="0" borderId="4" xfId="0" applyNumberFormat="1" applyFont="1" applyBorder="1" applyAlignment="1">
      <alignment horizontal="right"/>
    </xf>
    <xf numFmtId="0" fontId="6" fillId="0" borderId="4" xfId="0" applyFont="1" applyBorder="1" applyAlignment="1">
      <alignment horizontal="right"/>
    </xf>
    <xf numFmtId="164" fontId="6" fillId="0" borderId="4" xfId="1" applyNumberFormat="1" applyFont="1" applyFill="1" applyBorder="1" applyAlignment="1">
      <alignment horizontal="right"/>
    </xf>
    <xf numFmtId="166" fontId="6" fillId="0" borderId="4" xfId="0" applyNumberFormat="1" applyFont="1" applyBorder="1" applyAlignment="1">
      <alignment horizontal="right"/>
    </xf>
    <xf numFmtId="164" fontId="7" fillId="2" borderId="1" xfId="0" applyNumberFormat="1" applyFont="1" applyFill="1" applyBorder="1" applyAlignment="1">
      <alignment horizontal="right"/>
    </xf>
    <xf numFmtId="3" fontId="7" fillId="0" borderId="4" xfId="0" applyNumberFormat="1" applyFont="1" applyBorder="1" applyAlignment="1">
      <alignment horizontal="right"/>
    </xf>
    <xf numFmtId="4" fontId="7" fillId="0" borderId="4" xfId="0" applyNumberFormat="1" applyFont="1" applyBorder="1" applyAlignment="1">
      <alignment horizontal="right"/>
    </xf>
    <xf numFmtId="43" fontId="7" fillId="2" borderId="1" xfId="0" applyNumberFormat="1" applyFont="1" applyFill="1" applyBorder="1" applyAlignment="1">
      <alignment horizontal="right"/>
    </xf>
    <xf numFmtId="3" fontId="7" fillId="2" borderId="1" xfId="0" applyNumberFormat="1" applyFont="1" applyFill="1" applyBorder="1" applyAlignment="1">
      <alignment horizontal="right"/>
    </xf>
    <xf numFmtId="0" fontId="5" fillId="0" borderId="13" xfId="0" applyFont="1" applyBorder="1"/>
    <xf numFmtId="0" fontId="5" fillId="0" borderId="9" xfId="0" applyFont="1" applyBorder="1"/>
    <xf numFmtId="0" fontId="4" fillId="0" borderId="13" xfId="0" applyFont="1" applyBorder="1"/>
    <xf numFmtId="2" fontId="5" fillId="0" borderId="8" xfId="0" applyNumberFormat="1" applyFont="1" applyBorder="1"/>
    <xf numFmtId="0" fontId="5" fillId="0" borderId="7" xfId="0" applyFont="1" applyBorder="1" applyAlignment="1">
      <alignment horizontal="left" vertical="center" wrapText="1"/>
    </xf>
    <xf numFmtId="0" fontId="4" fillId="0" borderId="18" xfId="0" applyFont="1" applyBorder="1" applyAlignment="1">
      <alignment horizontal="center" vertical="top"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22" xfId="0" applyFont="1" applyBorder="1" applyAlignment="1">
      <alignment horizontal="left" vertical="center" wrapText="1"/>
    </xf>
    <xf numFmtId="0" fontId="5" fillId="0" borderId="0" xfId="0" applyFont="1" applyAlignment="1">
      <alignment vertical="top" wrapText="1"/>
    </xf>
    <xf numFmtId="0" fontId="8" fillId="0" borderId="0" xfId="0" applyFont="1" applyAlignment="1">
      <alignment vertical="top" wrapText="1"/>
    </xf>
    <xf numFmtId="3" fontId="0" fillId="0" borderId="0" xfId="0" applyNumberFormat="1"/>
    <xf numFmtId="164" fontId="5" fillId="0" borderId="8" xfId="1" applyNumberFormat="1" applyFont="1" applyBorder="1"/>
    <xf numFmtId="167" fontId="6" fillId="0" borderId="4" xfId="1" applyNumberFormat="1" applyFont="1" applyFill="1" applyBorder="1" applyAlignment="1">
      <alignment horizontal="right"/>
    </xf>
    <xf numFmtId="168" fontId="6" fillId="0" borderId="4" xfId="1" applyNumberFormat="1" applyFont="1" applyFill="1" applyBorder="1" applyAlignment="1">
      <alignment horizontal="right"/>
    </xf>
    <xf numFmtId="165" fontId="6" fillId="0" borderId="4" xfId="2" applyNumberFormat="1" applyFont="1" applyFill="1" applyBorder="1" applyAlignment="1">
      <alignment horizontal="right"/>
    </xf>
    <xf numFmtId="0" fontId="8" fillId="0" borderId="28" xfId="0" applyFont="1" applyBorder="1"/>
    <xf numFmtId="169" fontId="8" fillId="0" borderId="0" xfId="0" applyNumberFormat="1" applyFont="1"/>
    <xf numFmtId="0" fontId="14" fillId="0" borderId="2" xfId="0" applyFont="1" applyBorder="1" applyAlignment="1">
      <alignment horizontal="center" vertical="center"/>
    </xf>
    <xf numFmtId="171" fontId="7" fillId="2" borderId="1" xfId="1" applyNumberFormat="1" applyFont="1" applyFill="1" applyBorder="1" applyAlignment="1">
      <alignment horizontal="right"/>
    </xf>
    <xf numFmtId="171" fontId="7" fillId="2" borderId="4" xfId="1" applyNumberFormat="1" applyFont="1" applyFill="1" applyBorder="1" applyAlignment="1">
      <alignment horizontal="right"/>
    </xf>
    <xf numFmtId="43" fontId="7" fillId="2" borderId="4" xfId="1" applyFont="1" applyFill="1" applyBorder="1" applyAlignment="1">
      <alignment horizontal="right"/>
    </xf>
    <xf numFmtId="167" fontId="7" fillId="2" borderId="4" xfId="1" applyNumberFormat="1" applyFont="1" applyFill="1" applyBorder="1" applyAlignment="1">
      <alignment horizontal="right"/>
    </xf>
    <xf numFmtId="173" fontId="7" fillId="0" borderId="4" xfId="0" applyNumberFormat="1" applyFont="1" applyBorder="1" applyAlignment="1">
      <alignment horizontal="right"/>
    </xf>
    <xf numFmtId="172" fontId="7" fillId="2" borderId="1" xfId="0" applyNumberFormat="1" applyFont="1" applyFill="1" applyBorder="1" applyAlignment="1">
      <alignment horizontal="right"/>
    </xf>
    <xf numFmtId="172" fontId="7" fillId="0" borderId="1" xfId="0" applyNumberFormat="1" applyFont="1" applyBorder="1" applyAlignment="1">
      <alignment horizontal="right"/>
    </xf>
    <xf numFmtId="2" fontId="7" fillId="2" borderId="1" xfId="0" applyNumberFormat="1" applyFont="1" applyFill="1" applyBorder="1" applyAlignment="1">
      <alignment horizontal="right"/>
    </xf>
    <xf numFmtId="170" fontId="7" fillId="2" borderId="1" xfId="0" applyNumberFormat="1" applyFont="1" applyFill="1" applyBorder="1" applyAlignment="1">
      <alignment horizontal="right"/>
    </xf>
    <xf numFmtId="0" fontId="14" fillId="0" borderId="2" xfId="0" applyFont="1" applyBorder="1" applyAlignment="1">
      <alignment horizontal="left" vertical="center"/>
    </xf>
    <xf numFmtId="43" fontId="5" fillId="0" borderId="0" xfId="0" applyNumberFormat="1" applyFont="1"/>
    <xf numFmtId="43" fontId="8" fillId="0" borderId="0" xfId="0" applyNumberFormat="1" applyFont="1"/>
    <xf numFmtId="43" fontId="5" fillId="0" borderId="0" xfId="1" applyFont="1"/>
    <xf numFmtId="44" fontId="10" fillId="0" borderId="0" xfId="0" applyNumberFormat="1" applyFont="1"/>
    <xf numFmtId="0" fontId="14" fillId="0" borderId="2" xfId="0" applyFont="1" applyBorder="1" applyAlignment="1">
      <alignment horizontal="center" vertical="center" wrapText="1"/>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7" xfId="0" applyFont="1" applyBorder="1" applyAlignment="1">
      <alignment horizontal="center" vertical="center" wrapText="1"/>
    </xf>
    <xf numFmtId="0" fontId="16" fillId="0" borderId="0" xfId="0" applyFont="1" applyAlignment="1">
      <alignment horizontal="left"/>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7" xfId="0" applyFont="1" applyFill="1" applyBorder="1" applyAlignment="1">
      <alignment horizontal="left" vertical="center" wrapText="1"/>
    </xf>
    <xf numFmtId="0" fontId="5" fillId="0" borderId="13" xfId="0" applyFont="1" applyBorder="1" applyAlignment="1">
      <alignment horizontal="left" wrapText="1"/>
    </xf>
    <xf numFmtId="0" fontId="5" fillId="0" borderId="14" xfId="0" applyFont="1" applyBorder="1" applyAlignment="1">
      <alignment horizontal="left" wrapText="1"/>
    </xf>
    <xf numFmtId="0" fontId="5" fillId="0" borderId="23" xfId="0" applyFont="1" applyBorder="1" applyAlignment="1">
      <alignment horizontal="left" wrapText="1"/>
    </xf>
    <xf numFmtId="0" fontId="13" fillId="0" borderId="24" xfId="0" applyFont="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9" xfId="0" applyFont="1" applyBorder="1" applyAlignment="1">
      <alignment horizontal="left" vertical="center" wrapText="1"/>
    </xf>
    <xf numFmtId="0" fontId="13" fillId="0" borderId="0" xfId="0" applyFont="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27" xfId="0" applyFont="1" applyBorder="1" applyAlignment="1">
      <alignment horizontal="left" vertical="center" wrapText="1"/>
    </xf>
    <xf numFmtId="0" fontId="16" fillId="0" borderId="25" xfId="0" applyFont="1" applyBorder="1" applyAlignment="1">
      <alignment horizontal="left" vertical="top" wrapText="1"/>
    </xf>
    <xf numFmtId="0" fontId="16" fillId="0" borderId="0" xfId="0" applyFont="1" applyAlignment="1">
      <alignment horizontal="left" vertical="top" wrapText="1"/>
    </xf>
    <xf numFmtId="0" fontId="4" fillId="0" borderId="13" xfId="0" applyFont="1" applyBorder="1" applyAlignment="1">
      <alignment horizontal="left" wrapText="1"/>
    </xf>
    <xf numFmtId="44" fontId="6" fillId="0" borderId="1" xfId="2" applyFont="1" applyFill="1" applyBorder="1" applyAlignment="1">
      <alignment horizontal="right"/>
    </xf>
    <xf numFmtId="44" fontId="8" fillId="0" borderId="0" xfId="0" applyNumberFormat="1" applyFont="1"/>
    <xf numFmtId="0" fontId="5" fillId="0" borderId="2"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7" xfId="0" applyFont="1" applyFill="1" applyBorder="1" applyAlignment="1">
      <alignment horizontal="left" vertical="center" wrapText="1"/>
    </xf>
    <xf numFmtId="8" fontId="6" fillId="0" borderId="1" xfId="0" applyNumberFormat="1" applyFont="1" applyFill="1" applyBorder="1" applyAlignment="1">
      <alignment horizontal="right"/>
    </xf>
    <xf numFmtId="8" fontId="6" fillId="0" borderId="4" xfId="0" applyNumberFormat="1" applyFont="1" applyFill="1" applyBorder="1" applyAlignment="1">
      <alignment horizontal="right"/>
    </xf>
    <xf numFmtId="0" fontId="16" fillId="0" borderId="0" xfId="0" applyFont="1" applyFill="1" applyAlignment="1">
      <alignment horizontal="left" wrapText="1"/>
    </xf>
    <xf numFmtId="0" fontId="16" fillId="0" borderId="0" xfId="0" applyFont="1" applyFill="1" applyAlignment="1">
      <alignment horizontal="left"/>
    </xf>
    <xf numFmtId="0" fontId="9" fillId="0" borderId="0" xfId="0" applyFont="1" applyFill="1"/>
    <xf numFmtId="0" fontId="11" fillId="0" borderId="0" xfId="0" applyFont="1" applyFill="1"/>
    <xf numFmtId="0" fontId="11" fillId="0" borderId="0" xfId="0" applyFont="1" applyFill="1" applyAlignment="1">
      <alignment wrapText="1"/>
    </xf>
    <xf numFmtId="0" fontId="11" fillId="0" borderId="0" xfId="0" applyFont="1" applyFill="1" applyAlignment="1">
      <alignment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1ACB-E319-4444-A3EE-EB664EF421D9}">
  <sheetPr>
    <tabColor rgb="FFFF0000"/>
    <pageSetUpPr fitToPage="1"/>
  </sheetPr>
  <dimension ref="A1:AD111"/>
  <sheetViews>
    <sheetView tabSelected="1" topLeftCell="A37" zoomScale="115" zoomScaleNormal="115" workbookViewId="0">
      <selection activeCell="A74" sqref="A74:L77"/>
    </sheetView>
  </sheetViews>
  <sheetFormatPr defaultColWidth="8.5703125" defaultRowHeight="15" x14ac:dyDescent="0.25"/>
  <cols>
    <col min="1" max="1" width="11.42578125" style="5" customWidth="1"/>
    <col min="2" max="2" width="18.42578125" style="5" customWidth="1"/>
    <col min="3" max="3" width="27.42578125" style="67" bestFit="1" customWidth="1"/>
    <col min="4" max="4" width="11.85546875" style="5" customWidth="1"/>
    <col min="5" max="5" width="6.7109375" style="5" bestFit="1" customWidth="1"/>
    <col min="6" max="11" width="9.42578125" style="5" customWidth="1"/>
    <col min="12" max="12" width="9.5703125" style="5" customWidth="1"/>
    <col min="13" max="15" width="9.42578125" style="5" customWidth="1"/>
    <col min="16" max="16" width="12.5703125" style="5" customWidth="1"/>
    <col min="17" max="17" width="16" style="5" customWidth="1"/>
    <col min="18" max="18" width="10.5703125" style="5" bestFit="1" customWidth="1"/>
    <col min="19" max="19" width="14.42578125" style="5" bestFit="1" customWidth="1"/>
    <col min="20" max="20" width="13.42578125" style="5" bestFit="1" customWidth="1"/>
    <col min="21" max="16384" width="8.5703125" style="5"/>
  </cols>
  <sheetData>
    <row r="1" spans="1:19" ht="15.75" thickBot="1" x14ac:dyDescent="0.3">
      <c r="A1" s="2"/>
      <c r="B1" s="26"/>
      <c r="C1" s="61"/>
      <c r="D1" s="22"/>
      <c r="E1" s="22"/>
      <c r="F1" s="98" t="s">
        <v>0</v>
      </c>
      <c r="G1" s="99"/>
      <c r="H1" s="99"/>
      <c r="I1" s="99"/>
      <c r="J1" s="100"/>
      <c r="K1" s="101" t="s">
        <v>1</v>
      </c>
      <c r="L1" s="99"/>
      <c r="M1" s="99"/>
      <c r="N1" s="99"/>
      <c r="O1" s="102"/>
      <c r="P1" s="23"/>
      <c r="Q1" s="23"/>
      <c r="R1" s="23"/>
      <c r="S1" s="74"/>
    </row>
    <row r="2" spans="1:19" ht="34.5" thickBot="1" x14ac:dyDescent="0.3">
      <c r="A2" s="3" t="s">
        <v>2</v>
      </c>
      <c r="B2" s="3" t="s">
        <v>3</v>
      </c>
      <c r="C2" s="3" t="s">
        <v>4</v>
      </c>
      <c r="D2" s="3" t="s">
        <v>5</v>
      </c>
      <c r="E2" s="3" t="s">
        <v>6</v>
      </c>
      <c r="F2" s="3" t="s">
        <v>7</v>
      </c>
      <c r="G2" s="3" t="s">
        <v>8</v>
      </c>
      <c r="H2" s="3" t="s">
        <v>137</v>
      </c>
      <c r="I2" s="3" t="s">
        <v>9</v>
      </c>
      <c r="J2" s="3" t="s">
        <v>138</v>
      </c>
      <c r="K2" s="3" t="s">
        <v>10</v>
      </c>
      <c r="L2" s="3" t="s">
        <v>8</v>
      </c>
      <c r="M2" s="3" t="s">
        <v>137</v>
      </c>
      <c r="N2" s="3" t="s">
        <v>9</v>
      </c>
      <c r="O2" s="3" t="s">
        <v>138</v>
      </c>
      <c r="P2" s="3" t="s">
        <v>139</v>
      </c>
      <c r="Q2" s="3" t="s">
        <v>11</v>
      </c>
      <c r="R2" s="3" t="s">
        <v>12</v>
      </c>
    </row>
    <row r="3" spans="1:19" ht="21.6" customHeight="1" thickBot="1" x14ac:dyDescent="0.3">
      <c r="A3" s="103" t="s">
        <v>13</v>
      </c>
      <c r="B3" s="103" t="s">
        <v>189</v>
      </c>
      <c r="C3" s="62" t="s">
        <v>229</v>
      </c>
      <c r="D3" s="85" t="s">
        <v>295</v>
      </c>
      <c r="E3" s="46">
        <v>920</v>
      </c>
      <c r="F3" s="46">
        <f>+Assumptions!C2</f>
        <v>920</v>
      </c>
      <c r="G3" s="41">
        <v>1</v>
      </c>
      <c r="H3" s="4">
        <f>(F3*G3)</f>
        <v>920</v>
      </c>
      <c r="I3" s="37">
        <v>1.67E-2</v>
      </c>
      <c r="J3" s="4">
        <f>H3*I3</f>
        <v>15.363999999999999</v>
      </c>
      <c r="K3" s="46">
        <f>E3-F3</f>
        <v>0</v>
      </c>
      <c r="L3" s="41">
        <v>0</v>
      </c>
      <c r="M3" s="4">
        <f>L3*K3</f>
        <v>0</v>
      </c>
      <c r="N3" s="37">
        <f>I3</f>
        <v>1.67E-2</v>
      </c>
      <c r="O3" s="15">
        <f>M3*N3</f>
        <v>0</v>
      </c>
      <c r="P3" s="4">
        <f>(J3+O3)</f>
        <v>15.363999999999999</v>
      </c>
      <c r="Q3" s="124">
        <f>7.25*1.33</f>
        <v>9.6425000000000001</v>
      </c>
      <c r="R3" s="6">
        <f>(P3*Q3)</f>
        <v>148.14737</v>
      </c>
    </row>
    <row r="4" spans="1:19" ht="23.25" thickBot="1" x14ac:dyDescent="0.3">
      <c r="A4" s="104"/>
      <c r="B4" s="104"/>
      <c r="C4" s="62" t="s">
        <v>230</v>
      </c>
      <c r="D4" s="85" t="s">
        <v>296</v>
      </c>
      <c r="E4" s="46">
        <v>920</v>
      </c>
      <c r="F4" s="46">
        <f>+Assumptions!C3</f>
        <v>644</v>
      </c>
      <c r="G4" s="41">
        <v>1</v>
      </c>
      <c r="H4" s="4">
        <f t="shared" ref="H4:H23" si="0">(F4*G4)</f>
        <v>644</v>
      </c>
      <c r="I4" s="37">
        <v>1.67E-2</v>
      </c>
      <c r="J4" s="4">
        <f t="shared" ref="J4:J23" si="1">H4*I4</f>
        <v>10.754799999999999</v>
      </c>
      <c r="K4" s="46">
        <f t="shared" ref="K4:K23" si="2">E4-F4</f>
        <v>276</v>
      </c>
      <c r="L4" s="41">
        <v>1</v>
      </c>
      <c r="M4" s="4">
        <f t="shared" ref="M4:M23" si="3">L4*K4</f>
        <v>276</v>
      </c>
      <c r="N4" s="37">
        <f t="shared" ref="N4:N12" si="4">I4</f>
        <v>1.67E-2</v>
      </c>
      <c r="O4" s="15">
        <f t="shared" ref="O4:O23" si="5">M4*N4</f>
        <v>4.6091999999999995</v>
      </c>
      <c r="P4" s="4">
        <f t="shared" ref="P4:P23" si="6">(J4+O4)</f>
        <v>15.363999999999999</v>
      </c>
      <c r="Q4" s="124">
        <f t="shared" ref="Q4:Q23" si="7">7.25*1.33</f>
        <v>9.6425000000000001</v>
      </c>
      <c r="R4" s="6">
        <f t="shared" ref="R4:R23" si="8">(P4*Q4)</f>
        <v>148.14737</v>
      </c>
    </row>
    <row r="5" spans="1:19" ht="23.25" thickBot="1" x14ac:dyDescent="0.3">
      <c r="A5" s="104"/>
      <c r="B5" s="104"/>
      <c r="C5" s="63" t="s">
        <v>231</v>
      </c>
      <c r="D5" s="75" t="s">
        <v>298</v>
      </c>
      <c r="E5" s="46">
        <v>644</v>
      </c>
      <c r="F5" s="46">
        <f>+Assumptions!C4</f>
        <v>644</v>
      </c>
      <c r="G5" s="41">
        <v>1</v>
      </c>
      <c r="H5" s="4">
        <f t="shared" si="0"/>
        <v>644</v>
      </c>
      <c r="I5" s="37">
        <v>1.67E-2</v>
      </c>
      <c r="J5" s="4">
        <f t="shared" si="1"/>
        <v>10.754799999999999</v>
      </c>
      <c r="K5" s="46">
        <f t="shared" si="2"/>
        <v>0</v>
      </c>
      <c r="L5" s="41">
        <v>0</v>
      </c>
      <c r="M5" s="4">
        <f t="shared" si="3"/>
        <v>0</v>
      </c>
      <c r="N5" s="37">
        <v>0</v>
      </c>
      <c r="O5" s="15">
        <f t="shared" si="5"/>
        <v>0</v>
      </c>
      <c r="P5" s="4">
        <f t="shared" si="6"/>
        <v>10.754799999999999</v>
      </c>
      <c r="Q5" s="124">
        <f t="shared" si="7"/>
        <v>9.6425000000000001</v>
      </c>
      <c r="R5" s="6">
        <f t="shared" si="8"/>
        <v>103.703159</v>
      </c>
    </row>
    <row r="6" spans="1:19" ht="23.25" thickBot="1" x14ac:dyDescent="0.3">
      <c r="A6" s="104"/>
      <c r="B6" s="104"/>
      <c r="C6" s="62" t="s">
        <v>233</v>
      </c>
      <c r="D6" s="75" t="s">
        <v>299</v>
      </c>
      <c r="E6" s="46">
        <v>644</v>
      </c>
      <c r="F6" s="46">
        <f>+Assumptions!C5</f>
        <v>644</v>
      </c>
      <c r="G6" s="41">
        <v>1</v>
      </c>
      <c r="H6" s="4">
        <f t="shared" si="0"/>
        <v>644</v>
      </c>
      <c r="I6" s="37">
        <v>1.67E-2</v>
      </c>
      <c r="J6" s="4">
        <f t="shared" si="1"/>
        <v>10.754799999999999</v>
      </c>
      <c r="K6" s="46">
        <f t="shared" si="2"/>
        <v>0</v>
      </c>
      <c r="L6" s="41">
        <v>0</v>
      </c>
      <c r="M6" s="4">
        <f t="shared" si="3"/>
        <v>0</v>
      </c>
      <c r="N6" s="37">
        <v>0</v>
      </c>
      <c r="O6" s="15">
        <f t="shared" si="5"/>
        <v>0</v>
      </c>
      <c r="P6" s="4">
        <f t="shared" si="6"/>
        <v>10.754799999999999</v>
      </c>
      <c r="Q6" s="124">
        <f t="shared" si="7"/>
        <v>9.6425000000000001</v>
      </c>
      <c r="R6" s="6">
        <f t="shared" si="8"/>
        <v>103.703159</v>
      </c>
    </row>
    <row r="7" spans="1:19" ht="23.25" thickBot="1" x14ac:dyDescent="0.3">
      <c r="A7" s="104"/>
      <c r="B7" s="104"/>
      <c r="C7" s="62" t="s">
        <v>234</v>
      </c>
      <c r="D7" s="75" t="s">
        <v>300</v>
      </c>
      <c r="E7" s="46">
        <v>644</v>
      </c>
      <c r="F7" s="46">
        <f>+Assumptions!C6</f>
        <v>644</v>
      </c>
      <c r="G7" s="41">
        <v>1</v>
      </c>
      <c r="H7" s="4">
        <f t="shared" si="0"/>
        <v>644</v>
      </c>
      <c r="I7" s="37">
        <v>1.67E-2</v>
      </c>
      <c r="J7" s="4">
        <f t="shared" si="1"/>
        <v>10.754799999999999</v>
      </c>
      <c r="K7" s="46">
        <f t="shared" si="2"/>
        <v>0</v>
      </c>
      <c r="L7" s="41">
        <v>0</v>
      </c>
      <c r="M7" s="4">
        <f t="shared" si="3"/>
        <v>0</v>
      </c>
      <c r="N7" s="37">
        <v>0</v>
      </c>
      <c r="O7" s="15">
        <f t="shared" si="5"/>
        <v>0</v>
      </c>
      <c r="P7" s="4">
        <f t="shared" si="6"/>
        <v>10.754799999999999</v>
      </c>
      <c r="Q7" s="124">
        <f t="shared" si="7"/>
        <v>9.6425000000000001</v>
      </c>
      <c r="R7" s="6">
        <f t="shared" si="8"/>
        <v>103.703159</v>
      </c>
    </row>
    <row r="8" spans="1:19" ht="23.25" thickBot="1" x14ac:dyDescent="0.3">
      <c r="A8" s="104"/>
      <c r="B8" s="104"/>
      <c r="C8" s="62" t="s">
        <v>235</v>
      </c>
      <c r="D8" s="75" t="s">
        <v>301</v>
      </c>
      <c r="E8" s="46">
        <v>644</v>
      </c>
      <c r="F8" s="46">
        <f>+Assumptions!C7</f>
        <v>644</v>
      </c>
      <c r="G8" s="41">
        <v>1</v>
      </c>
      <c r="H8" s="4">
        <f t="shared" si="0"/>
        <v>644</v>
      </c>
      <c r="I8" s="37">
        <v>1.67E-2</v>
      </c>
      <c r="J8" s="4">
        <f t="shared" si="1"/>
        <v>10.754799999999999</v>
      </c>
      <c r="K8" s="46">
        <f t="shared" si="2"/>
        <v>0</v>
      </c>
      <c r="L8" s="41">
        <v>0</v>
      </c>
      <c r="M8" s="4">
        <f t="shared" si="3"/>
        <v>0</v>
      </c>
      <c r="N8" s="37">
        <v>0</v>
      </c>
      <c r="O8" s="15">
        <f t="shared" si="5"/>
        <v>0</v>
      </c>
      <c r="P8" s="4">
        <f t="shared" si="6"/>
        <v>10.754799999999999</v>
      </c>
      <c r="Q8" s="124">
        <f t="shared" si="7"/>
        <v>9.6425000000000001</v>
      </c>
      <c r="R8" s="6">
        <f t="shared" si="8"/>
        <v>103.703159</v>
      </c>
    </row>
    <row r="9" spans="1:19" ht="23.25" thickBot="1" x14ac:dyDescent="0.3">
      <c r="A9" s="104"/>
      <c r="B9" s="104"/>
      <c r="C9" s="62" t="s">
        <v>232</v>
      </c>
      <c r="D9" s="85" t="s">
        <v>294</v>
      </c>
      <c r="E9" s="46">
        <v>644</v>
      </c>
      <c r="F9" s="46">
        <f>+Assumptions!C8</f>
        <v>580</v>
      </c>
      <c r="G9" s="41">
        <v>1</v>
      </c>
      <c r="H9" s="4">
        <f t="shared" si="0"/>
        <v>580</v>
      </c>
      <c r="I9" s="37">
        <v>1.5</v>
      </c>
      <c r="J9" s="4">
        <f t="shared" si="1"/>
        <v>870</v>
      </c>
      <c r="K9" s="46">
        <f t="shared" si="2"/>
        <v>64</v>
      </c>
      <c r="L9" s="41">
        <v>1</v>
      </c>
      <c r="M9" s="4">
        <f t="shared" si="3"/>
        <v>64</v>
      </c>
      <c r="N9" s="37">
        <v>0</v>
      </c>
      <c r="O9" s="15">
        <f t="shared" si="5"/>
        <v>0</v>
      </c>
      <c r="P9" s="4">
        <f t="shared" si="6"/>
        <v>870</v>
      </c>
      <c r="Q9" s="124">
        <f t="shared" si="7"/>
        <v>9.6425000000000001</v>
      </c>
      <c r="R9" s="6">
        <f t="shared" si="8"/>
        <v>8388.9750000000004</v>
      </c>
    </row>
    <row r="10" spans="1:19" ht="23.25" thickBot="1" x14ac:dyDescent="0.3">
      <c r="A10" s="104"/>
      <c r="B10" s="104"/>
      <c r="C10" s="62" t="s">
        <v>236</v>
      </c>
      <c r="D10" s="75" t="s">
        <v>302</v>
      </c>
      <c r="E10" s="46">
        <v>580</v>
      </c>
      <c r="F10" s="46">
        <f>+Assumptions!C9</f>
        <v>580</v>
      </c>
      <c r="G10" s="41">
        <v>1</v>
      </c>
      <c r="H10" s="4">
        <f t="shared" si="0"/>
        <v>580</v>
      </c>
      <c r="I10" s="37">
        <v>1.67E-2</v>
      </c>
      <c r="J10" s="4">
        <f t="shared" si="1"/>
        <v>9.6859999999999999</v>
      </c>
      <c r="K10" s="46">
        <f t="shared" si="2"/>
        <v>0</v>
      </c>
      <c r="L10" s="41">
        <v>0</v>
      </c>
      <c r="M10" s="4">
        <f t="shared" si="3"/>
        <v>0</v>
      </c>
      <c r="N10" s="37">
        <v>0</v>
      </c>
      <c r="O10" s="15">
        <f t="shared" si="5"/>
        <v>0</v>
      </c>
      <c r="P10" s="4">
        <f t="shared" si="6"/>
        <v>9.6859999999999999</v>
      </c>
      <c r="Q10" s="124">
        <f t="shared" si="7"/>
        <v>9.6425000000000001</v>
      </c>
      <c r="R10" s="6">
        <f t="shared" si="8"/>
        <v>93.397255000000001</v>
      </c>
    </row>
    <row r="11" spans="1:19" ht="23.25" thickBot="1" x14ac:dyDescent="0.3">
      <c r="A11" s="104"/>
      <c r="B11" s="104"/>
      <c r="C11" s="63" t="s">
        <v>237</v>
      </c>
      <c r="D11" s="75" t="s">
        <v>303</v>
      </c>
      <c r="E11" s="46">
        <v>580</v>
      </c>
      <c r="F11" s="46">
        <f>+Assumptions!C10</f>
        <v>580</v>
      </c>
      <c r="G11" s="41">
        <v>1</v>
      </c>
      <c r="H11" s="4">
        <f t="shared" si="0"/>
        <v>580</v>
      </c>
      <c r="I11" s="37">
        <v>1.67E-2</v>
      </c>
      <c r="J11" s="4">
        <f t="shared" si="1"/>
        <v>9.6859999999999999</v>
      </c>
      <c r="K11" s="46">
        <f t="shared" si="2"/>
        <v>0</v>
      </c>
      <c r="L11" s="41">
        <v>0</v>
      </c>
      <c r="M11" s="4">
        <f t="shared" si="3"/>
        <v>0</v>
      </c>
      <c r="N11" s="37">
        <v>0</v>
      </c>
      <c r="O11" s="15">
        <f t="shared" si="5"/>
        <v>0</v>
      </c>
      <c r="P11" s="4">
        <f t="shared" si="6"/>
        <v>9.6859999999999999</v>
      </c>
      <c r="Q11" s="124">
        <f t="shared" si="7"/>
        <v>9.6425000000000001</v>
      </c>
      <c r="R11" s="6">
        <f t="shared" si="8"/>
        <v>93.397255000000001</v>
      </c>
    </row>
    <row r="12" spans="1:19" ht="23.25" thickBot="1" x14ac:dyDescent="0.3">
      <c r="A12" s="104"/>
      <c r="B12" s="105"/>
      <c r="C12" s="63" t="s">
        <v>238</v>
      </c>
      <c r="D12" s="75" t="s">
        <v>240</v>
      </c>
      <c r="E12" s="46">
        <v>1600</v>
      </c>
      <c r="F12" s="46">
        <f>+Assumptions!C11</f>
        <v>1600</v>
      </c>
      <c r="G12" s="41">
        <v>1</v>
      </c>
      <c r="H12" s="4">
        <f t="shared" si="0"/>
        <v>1600</v>
      </c>
      <c r="I12" s="37">
        <v>1.67E-2</v>
      </c>
      <c r="J12" s="4">
        <f t="shared" si="1"/>
        <v>26.72</v>
      </c>
      <c r="K12" s="46">
        <f t="shared" si="2"/>
        <v>0</v>
      </c>
      <c r="L12" s="41">
        <v>0</v>
      </c>
      <c r="M12" s="4">
        <f t="shared" si="3"/>
        <v>0</v>
      </c>
      <c r="N12" s="37">
        <f t="shared" si="4"/>
        <v>1.67E-2</v>
      </c>
      <c r="O12" s="15">
        <f t="shared" si="5"/>
        <v>0</v>
      </c>
      <c r="P12" s="4">
        <f t="shared" si="6"/>
        <v>26.72</v>
      </c>
      <c r="Q12" s="124">
        <f t="shared" si="7"/>
        <v>9.6425000000000001</v>
      </c>
      <c r="R12" s="6">
        <f t="shared" si="8"/>
        <v>257.64760000000001</v>
      </c>
    </row>
    <row r="13" spans="1:19" ht="21.6" customHeight="1" thickBot="1" x14ac:dyDescent="0.3">
      <c r="A13" s="104"/>
      <c r="B13" s="103" t="s">
        <v>14</v>
      </c>
      <c r="C13" s="60" t="s">
        <v>246</v>
      </c>
      <c r="D13" s="75" t="s">
        <v>305</v>
      </c>
      <c r="E13" s="46">
        <v>175550</v>
      </c>
      <c r="F13" s="46">
        <f>+Assumptions!C13</f>
        <v>175550</v>
      </c>
      <c r="G13" s="41">
        <v>1</v>
      </c>
      <c r="H13" s="4">
        <f t="shared" si="0"/>
        <v>175550</v>
      </c>
      <c r="I13" s="37">
        <v>1.67E-2</v>
      </c>
      <c r="J13" s="4">
        <f t="shared" si="1"/>
        <v>2931.6849999999999</v>
      </c>
      <c r="K13" s="46">
        <f t="shared" si="2"/>
        <v>0</v>
      </c>
      <c r="L13" s="41">
        <v>0</v>
      </c>
      <c r="M13" s="4">
        <f t="shared" si="3"/>
        <v>0</v>
      </c>
      <c r="N13" s="37">
        <f t="shared" ref="N13:N19" si="9">I13</f>
        <v>1.67E-2</v>
      </c>
      <c r="O13" s="15">
        <f t="shared" si="5"/>
        <v>0</v>
      </c>
      <c r="P13" s="4">
        <f t="shared" si="6"/>
        <v>2931.6849999999999</v>
      </c>
      <c r="Q13" s="124">
        <f t="shared" si="7"/>
        <v>9.6425000000000001</v>
      </c>
      <c r="R13" s="6">
        <f t="shared" si="8"/>
        <v>28268.772612500001</v>
      </c>
    </row>
    <row r="14" spans="1:19" ht="23.25" thickBot="1" x14ac:dyDescent="0.3">
      <c r="A14" s="104"/>
      <c r="B14" s="104"/>
      <c r="C14" s="60" t="s">
        <v>247</v>
      </c>
      <c r="D14" s="75" t="s">
        <v>306</v>
      </c>
      <c r="E14" s="46">
        <v>175550</v>
      </c>
      <c r="F14" s="46">
        <f>+Assumptions!C14</f>
        <v>175550</v>
      </c>
      <c r="G14" s="41">
        <v>1</v>
      </c>
      <c r="H14" s="4">
        <f t="shared" si="0"/>
        <v>175550</v>
      </c>
      <c r="I14" s="37">
        <v>1.67E-2</v>
      </c>
      <c r="J14" s="4">
        <f t="shared" si="1"/>
        <v>2931.6849999999999</v>
      </c>
      <c r="K14" s="46">
        <f t="shared" si="2"/>
        <v>0</v>
      </c>
      <c r="L14" s="41">
        <v>0</v>
      </c>
      <c r="M14" s="4">
        <f t="shared" si="3"/>
        <v>0</v>
      </c>
      <c r="N14" s="37">
        <f t="shared" si="9"/>
        <v>1.67E-2</v>
      </c>
      <c r="O14" s="15">
        <f t="shared" si="5"/>
        <v>0</v>
      </c>
      <c r="P14" s="4">
        <f t="shared" si="6"/>
        <v>2931.6849999999999</v>
      </c>
      <c r="Q14" s="124">
        <f t="shared" si="7"/>
        <v>9.6425000000000001</v>
      </c>
      <c r="R14" s="6">
        <f t="shared" si="8"/>
        <v>28268.772612500001</v>
      </c>
    </row>
    <row r="15" spans="1:19" ht="23.25" thickBot="1" x14ac:dyDescent="0.3">
      <c r="A15" s="104"/>
      <c r="B15" s="104"/>
      <c r="C15" s="60" t="s">
        <v>248</v>
      </c>
      <c r="D15" s="75" t="s">
        <v>307</v>
      </c>
      <c r="E15" s="46">
        <v>175550</v>
      </c>
      <c r="F15" s="46">
        <f>+Assumptions!C15</f>
        <v>175550</v>
      </c>
      <c r="G15" s="41">
        <v>1</v>
      </c>
      <c r="H15" s="4">
        <f t="shared" si="0"/>
        <v>175550</v>
      </c>
      <c r="I15" s="37">
        <v>1.67E-2</v>
      </c>
      <c r="J15" s="4">
        <f t="shared" si="1"/>
        <v>2931.6849999999999</v>
      </c>
      <c r="K15" s="46">
        <f t="shared" si="2"/>
        <v>0</v>
      </c>
      <c r="L15" s="41">
        <v>0</v>
      </c>
      <c r="M15" s="4">
        <f t="shared" si="3"/>
        <v>0</v>
      </c>
      <c r="N15" s="37">
        <f t="shared" si="9"/>
        <v>1.67E-2</v>
      </c>
      <c r="O15" s="15">
        <f t="shared" si="5"/>
        <v>0</v>
      </c>
      <c r="P15" s="4">
        <f t="shared" si="6"/>
        <v>2931.6849999999999</v>
      </c>
      <c r="Q15" s="124">
        <f t="shared" si="7"/>
        <v>9.6425000000000001</v>
      </c>
      <c r="R15" s="6">
        <f t="shared" si="8"/>
        <v>28268.772612500001</v>
      </c>
    </row>
    <row r="16" spans="1:19" ht="23.25" thickBot="1" x14ac:dyDescent="0.3">
      <c r="A16" s="104"/>
      <c r="B16" s="104"/>
      <c r="C16" s="60" t="s">
        <v>249</v>
      </c>
      <c r="D16" s="75" t="s">
        <v>312</v>
      </c>
      <c r="E16" s="46">
        <v>175550</v>
      </c>
      <c r="F16" s="46">
        <f>+Assumptions!C16</f>
        <v>175550</v>
      </c>
      <c r="G16" s="41">
        <v>2</v>
      </c>
      <c r="H16" s="4">
        <f t="shared" si="0"/>
        <v>351100</v>
      </c>
      <c r="I16" s="37">
        <v>1.67E-2</v>
      </c>
      <c r="J16" s="4">
        <f t="shared" si="1"/>
        <v>5863.37</v>
      </c>
      <c r="K16" s="46">
        <f t="shared" si="2"/>
        <v>0</v>
      </c>
      <c r="L16" s="41">
        <v>0</v>
      </c>
      <c r="M16" s="4">
        <f t="shared" si="3"/>
        <v>0</v>
      </c>
      <c r="N16" s="37">
        <f t="shared" si="9"/>
        <v>1.67E-2</v>
      </c>
      <c r="O16" s="15">
        <f t="shared" si="5"/>
        <v>0</v>
      </c>
      <c r="P16" s="4">
        <f t="shared" si="6"/>
        <v>5863.37</v>
      </c>
      <c r="Q16" s="124">
        <f t="shared" si="7"/>
        <v>9.6425000000000001</v>
      </c>
      <c r="R16" s="6">
        <f t="shared" si="8"/>
        <v>56537.545225000002</v>
      </c>
    </row>
    <row r="17" spans="1:19" ht="23.25" thickBot="1" x14ac:dyDescent="0.3">
      <c r="A17" s="104"/>
      <c r="B17" s="104"/>
      <c r="C17" s="60" t="s">
        <v>250</v>
      </c>
      <c r="D17" s="75" t="s">
        <v>308</v>
      </c>
      <c r="E17" s="46">
        <v>175550</v>
      </c>
      <c r="F17" s="46">
        <f>+Assumptions!C17</f>
        <v>175550</v>
      </c>
      <c r="G17" s="41">
        <v>2</v>
      </c>
      <c r="H17" s="4">
        <f t="shared" si="0"/>
        <v>351100</v>
      </c>
      <c r="I17" s="37">
        <v>1.67E-2</v>
      </c>
      <c r="J17" s="4">
        <f t="shared" si="1"/>
        <v>5863.37</v>
      </c>
      <c r="K17" s="46">
        <f t="shared" si="2"/>
        <v>0</v>
      </c>
      <c r="L17" s="41">
        <v>0</v>
      </c>
      <c r="M17" s="4">
        <f t="shared" si="3"/>
        <v>0</v>
      </c>
      <c r="N17" s="37">
        <f t="shared" si="9"/>
        <v>1.67E-2</v>
      </c>
      <c r="O17" s="15">
        <f t="shared" si="5"/>
        <v>0</v>
      </c>
      <c r="P17" s="4">
        <f t="shared" si="6"/>
        <v>5863.37</v>
      </c>
      <c r="Q17" s="124">
        <f t="shared" si="7"/>
        <v>9.6425000000000001</v>
      </c>
      <c r="R17" s="6">
        <f t="shared" si="8"/>
        <v>56537.545225000002</v>
      </c>
    </row>
    <row r="18" spans="1:19" ht="23.25" thickBot="1" x14ac:dyDescent="0.3">
      <c r="A18" s="104"/>
      <c r="B18" s="104"/>
      <c r="C18" s="60" t="s">
        <v>284</v>
      </c>
      <c r="D18" s="75" t="s">
        <v>312</v>
      </c>
      <c r="E18" s="46">
        <v>175550</v>
      </c>
      <c r="F18" s="46">
        <f>+Assumptions!C18</f>
        <v>8777.5</v>
      </c>
      <c r="G18" s="41">
        <v>1</v>
      </c>
      <c r="H18" s="4">
        <f t="shared" ref="H18:H19" si="10">(F18*G18)</f>
        <v>8777.5</v>
      </c>
      <c r="I18" s="37">
        <f>0.0167*2</f>
        <v>3.3399999999999999E-2</v>
      </c>
      <c r="J18" s="4">
        <f t="shared" ref="J18:J19" si="11">H18*I18</f>
        <v>293.16849999999999</v>
      </c>
      <c r="K18" s="46">
        <v>0</v>
      </c>
      <c r="L18" s="41">
        <v>0</v>
      </c>
      <c r="M18" s="4">
        <f t="shared" si="3"/>
        <v>0</v>
      </c>
      <c r="N18" s="37">
        <f t="shared" si="9"/>
        <v>3.3399999999999999E-2</v>
      </c>
      <c r="O18" s="15">
        <f t="shared" ref="O18:O19" si="12">M18*N18</f>
        <v>0</v>
      </c>
      <c r="P18" s="4">
        <f t="shared" ref="P18:P19" si="13">(J18+O18)</f>
        <v>293.16849999999999</v>
      </c>
      <c r="Q18" s="124">
        <f t="shared" si="7"/>
        <v>9.6425000000000001</v>
      </c>
      <c r="R18" s="6">
        <f t="shared" ref="R18:R19" si="14">(P18*Q18)</f>
        <v>2826.8772612500002</v>
      </c>
    </row>
    <row r="19" spans="1:19" ht="23.25" thickBot="1" x14ac:dyDescent="0.3">
      <c r="A19" s="104"/>
      <c r="B19" s="104"/>
      <c r="C19" s="60" t="s">
        <v>285</v>
      </c>
      <c r="D19" s="75" t="s">
        <v>312</v>
      </c>
      <c r="E19" s="46">
        <v>175550</v>
      </c>
      <c r="F19" s="46">
        <f>+Assumptions!C19</f>
        <v>5266.5</v>
      </c>
      <c r="G19" s="41">
        <v>1</v>
      </c>
      <c r="H19" s="4">
        <f t="shared" si="10"/>
        <v>5266.5</v>
      </c>
      <c r="I19" s="37">
        <v>1.67E-2</v>
      </c>
      <c r="J19" s="4">
        <f t="shared" si="11"/>
        <v>87.950549999999993</v>
      </c>
      <c r="K19" s="46">
        <v>0</v>
      </c>
      <c r="L19" s="41">
        <v>0</v>
      </c>
      <c r="M19" s="4">
        <f t="shared" si="3"/>
        <v>0</v>
      </c>
      <c r="N19" s="37">
        <f t="shared" si="9"/>
        <v>1.67E-2</v>
      </c>
      <c r="O19" s="15">
        <f t="shared" si="12"/>
        <v>0</v>
      </c>
      <c r="P19" s="4">
        <f t="shared" si="13"/>
        <v>87.950549999999993</v>
      </c>
      <c r="Q19" s="124">
        <f t="shared" si="7"/>
        <v>9.6425000000000001</v>
      </c>
      <c r="R19" s="6">
        <f t="shared" si="14"/>
        <v>848.06317837499989</v>
      </c>
    </row>
    <row r="20" spans="1:19" ht="15.75" thickBot="1" x14ac:dyDescent="0.3">
      <c r="A20" s="104"/>
      <c r="B20" s="104"/>
      <c r="C20" s="60" t="s">
        <v>19</v>
      </c>
      <c r="D20" s="75" t="s">
        <v>304</v>
      </c>
      <c r="E20" s="46">
        <v>175550</v>
      </c>
      <c r="F20" s="46">
        <f>+Assumptions!C20</f>
        <v>15800</v>
      </c>
      <c r="G20" s="41">
        <v>1</v>
      </c>
      <c r="H20" s="4">
        <f t="shared" si="0"/>
        <v>15800</v>
      </c>
      <c r="I20" s="37">
        <v>0.16700000000000001</v>
      </c>
      <c r="J20" s="4">
        <f t="shared" si="1"/>
        <v>2638.6000000000004</v>
      </c>
      <c r="K20" s="46">
        <f t="shared" si="2"/>
        <v>159750</v>
      </c>
      <c r="L20" s="41">
        <v>1</v>
      </c>
      <c r="M20" s="4">
        <f t="shared" si="3"/>
        <v>159750</v>
      </c>
      <c r="N20" s="37">
        <v>0</v>
      </c>
      <c r="O20" s="15">
        <f t="shared" si="5"/>
        <v>0</v>
      </c>
      <c r="P20" s="4">
        <f t="shared" si="6"/>
        <v>2638.6000000000004</v>
      </c>
      <c r="Q20" s="124">
        <f t="shared" si="7"/>
        <v>9.6425000000000001</v>
      </c>
      <c r="R20" s="6">
        <f t="shared" si="8"/>
        <v>25442.700500000003</v>
      </c>
    </row>
    <row r="21" spans="1:19" ht="23.25" thickBot="1" x14ac:dyDescent="0.3">
      <c r="A21" s="104"/>
      <c r="B21" s="104"/>
      <c r="C21" s="60" t="s">
        <v>20</v>
      </c>
      <c r="D21" s="75" t="s">
        <v>309</v>
      </c>
      <c r="E21" s="46">
        <v>15800</v>
      </c>
      <c r="F21" s="46">
        <f>+Assumptions!C21</f>
        <v>15800</v>
      </c>
      <c r="G21" s="41">
        <v>1</v>
      </c>
      <c r="H21" s="4">
        <f t="shared" si="0"/>
        <v>15800</v>
      </c>
      <c r="I21" s="37">
        <v>1.67E-2</v>
      </c>
      <c r="J21" s="4">
        <f t="shared" si="1"/>
        <v>263.86</v>
      </c>
      <c r="K21" s="46">
        <f>E21-F21</f>
        <v>0</v>
      </c>
      <c r="L21" s="41">
        <v>0</v>
      </c>
      <c r="M21" s="4">
        <f t="shared" si="3"/>
        <v>0</v>
      </c>
      <c r="N21" s="37">
        <v>0</v>
      </c>
      <c r="O21" s="15">
        <f t="shared" si="5"/>
        <v>0</v>
      </c>
      <c r="P21" s="4">
        <f t="shared" si="6"/>
        <v>263.86</v>
      </c>
      <c r="Q21" s="124">
        <f t="shared" si="7"/>
        <v>9.6425000000000001</v>
      </c>
      <c r="R21" s="6">
        <f t="shared" si="8"/>
        <v>2544.2700500000001</v>
      </c>
    </row>
    <row r="22" spans="1:19" ht="23.25" thickBot="1" x14ac:dyDescent="0.3">
      <c r="A22" s="104"/>
      <c r="B22" s="104"/>
      <c r="C22" s="60" t="s">
        <v>21</v>
      </c>
      <c r="D22" s="75" t="s">
        <v>310</v>
      </c>
      <c r="E22" s="46">
        <v>15800</v>
      </c>
      <c r="F22" s="46">
        <f>+Assumptions!C22</f>
        <v>15800</v>
      </c>
      <c r="G22" s="41">
        <v>1</v>
      </c>
      <c r="H22" s="4">
        <f t="shared" si="0"/>
        <v>15800</v>
      </c>
      <c r="I22" s="37">
        <v>1.67E-2</v>
      </c>
      <c r="J22" s="4">
        <f t="shared" si="1"/>
        <v>263.86</v>
      </c>
      <c r="K22" s="46">
        <f t="shared" si="2"/>
        <v>0</v>
      </c>
      <c r="L22" s="41">
        <v>0</v>
      </c>
      <c r="M22" s="4">
        <f t="shared" si="3"/>
        <v>0</v>
      </c>
      <c r="N22" s="37">
        <v>0</v>
      </c>
      <c r="O22" s="15">
        <f t="shared" si="5"/>
        <v>0</v>
      </c>
      <c r="P22" s="4">
        <f t="shared" si="6"/>
        <v>263.86</v>
      </c>
      <c r="Q22" s="124">
        <f t="shared" si="7"/>
        <v>9.6425000000000001</v>
      </c>
      <c r="R22" s="6">
        <f t="shared" si="8"/>
        <v>2544.2700500000001</v>
      </c>
    </row>
    <row r="23" spans="1:19" ht="15.75" thickBot="1" x14ac:dyDescent="0.3">
      <c r="A23" s="105"/>
      <c r="B23" s="105"/>
      <c r="C23" s="60" t="s">
        <v>22</v>
      </c>
      <c r="D23" s="75" t="s">
        <v>297</v>
      </c>
      <c r="E23" s="46">
        <v>175550</v>
      </c>
      <c r="F23" s="46">
        <f>+Assumptions!C23</f>
        <v>175550</v>
      </c>
      <c r="G23" s="41">
        <v>1</v>
      </c>
      <c r="H23" s="4">
        <f t="shared" si="0"/>
        <v>175550</v>
      </c>
      <c r="I23" s="37">
        <v>1.67E-2</v>
      </c>
      <c r="J23" s="4">
        <f t="shared" si="1"/>
        <v>2931.6849999999999</v>
      </c>
      <c r="K23" s="46">
        <f t="shared" si="2"/>
        <v>0</v>
      </c>
      <c r="L23" s="41">
        <v>0</v>
      </c>
      <c r="M23" s="4">
        <f t="shared" si="3"/>
        <v>0</v>
      </c>
      <c r="N23" s="37">
        <f>I23</f>
        <v>1.67E-2</v>
      </c>
      <c r="O23" s="15">
        <f t="shared" si="5"/>
        <v>0</v>
      </c>
      <c r="P23" s="4">
        <f t="shared" si="6"/>
        <v>2931.6849999999999</v>
      </c>
      <c r="Q23" s="124">
        <f t="shared" si="7"/>
        <v>9.6425000000000001</v>
      </c>
      <c r="R23" s="6">
        <f t="shared" si="8"/>
        <v>28268.772612500001</v>
      </c>
    </row>
    <row r="24" spans="1:19" s="7" customFormat="1" ht="15.75" thickBot="1" x14ac:dyDescent="0.3">
      <c r="A24" s="106" t="s">
        <v>23</v>
      </c>
      <c r="B24" s="107"/>
      <c r="C24" s="107"/>
      <c r="D24" s="108"/>
      <c r="E24" s="55">
        <f>E3+E13</f>
        <v>176470</v>
      </c>
      <c r="F24" s="55">
        <f>+F9+F20</f>
        <v>16380</v>
      </c>
      <c r="G24" s="54">
        <f>H24/E24</f>
        <v>8.3488638295460991</v>
      </c>
      <c r="H24" s="16">
        <f>SUM(H3:H23)</f>
        <v>1473324</v>
      </c>
      <c r="I24" s="11">
        <f>J24/H24</f>
        <v>1.8995244121455975E-2</v>
      </c>
      <c r="J24" s="16">
        <f>SUM(J3:J23)</f>
        <v>27986.149050000004</v>
      </c>
      <c r="K24" s="55">
        <f>+K4+K9+K20</f>
        <v>160090</v>
      </c>
      <c r="L24" s="54">
        <f>M24/K24</f>
        <v>1</v>
      </c>
      <c r="M24" s="16">
        <f>SUM(M3:M23)</f>
        <v>160090</v>
      </c>
      <c r="N24" s="11">
        <f>+O24/M24</f>
        <v>2.879130489099881E-5</v>
      </c>
      <c r="O24" s="76">
        <f>SUM(O3:O23)</f>
        <v>4.6091999999999995</v>
      </c>
      <c r="P24" s="16">
        <f>SUM(P3:P23)</f>
        <v>27990.758250000003</v>
      </c>
      <c r="Q24" s="21" t="s">
        <v>24</v>
      </c>
      <c r="R24" s="21">
        <f>SUM(R3:R23)</f>
        <v>269900.88642562501</v>
      </c>
      <c r="S24" s="89"/>
    </row>
    <row r="25" spans="1:19" ht="32.1" customHeight="1" thickBot="1" x14ac:dyDescent="0.3">
      <c r="A25" s="103" t="s">
        <v>25</v>
      </c>
      <c r="B25" s="103" t="s">
        <v>188</v>
      </c>
      <c r="C25" s="64" t="s">
        <v>157</v>
      </c>
      <c r="D25" s="75" t="s">
        <v>226</v>
      </c>
      <c r="E25" s="47">
        <v>100</v>
      </c>
      <c r="F25" s="47">
        <f>+Assumptions!C25</f>
        <v>100</v>
      </c>
      <c r="G25" s="48">
        <v>1</v>
      </c>
      <c r="H25" s="49">
        <f>(F25*G25)</f>
        <v>100</v>
      </c>
      <c r="I25" s="50">
        <v>1.67E-2</v>
      </c>
      <c r="J25" s="4">
        <f>H25*I25</f>
        <v>1.67</v>
      </c>
      <c r="K25" s="47">
        <f>E25-F25</f>
        <v>0</v>
      </c>
      <c r="L25" s="48">
        <v>0</v>
      </c>
      <c r="M25" s="4">
        <f>L25*K25</f>
        <v>0</v>
      </c>
      <c r="N25" s="50">
        <f>I25</f>
        <v>1.67E-2</v>
      </c>
      <c r="O25" s="15">
        <f>M25*N25</f>
        <v>0</v>
      </c>
      <c r="P25" s="4">
        <f>(J25+O25)</f>
        <v>1.67</v>
      </c>
      <c r="Q25" s="124">
        <f>47.06*1.33</f>
        <v>62.589800000000004</v>
      </c>
      <c r="R25" s="6">
        <f>(P25*Q25)</f>
        <v>104.52496600000001</v>
      </c>
    </row>
    <row r="26" spans="1:19" ht="34.5" thickBot="1" x14ac:dyDescent="0.3">
      <c r="A26" s="104"/>
      <c r="B26" s="104"/>
      <c r="C26" s="64" t="s">
        <v>315</v>
      </c>
      <c r="D26" s="75" t="s">
        <v>227</v>
      </c>
      <c r="E26" s="47">
        <v>100</v>
      </c>
      <c r="F26" s="47">
        <f>+Assumptions!C26</f>
        <v>75</v>
      </c>
      <c r="G26" s="48">
        <v>1</v>
      </c>
      <c r="H26" s="49">
        <f t="shared" ref="H26:H33" si="15">(F26*G26)</f>
        <v>75</v>
      </c>
      <c r="I26" s="50">
        <v>1.67E-2</v>
      </c>
      <c r="J26" s="4">
        <f>H26*I26</f>
        <v>1.2524999999999999</v>
      </c>
      <c r="K26" s="47">
        <f>E26-F26</f>
        <v>25</v>
      </c>
      <c r="L26" s="48">
        <v>1</v>
      </c>
      <c r="M26" s="4">
        <f>L26*K26</f>
        <v>25</v>
      </c>
      <c r="N26" s="50">
        <f>I26</f>
        <v>1.67E-2</v>
      </c>
      <c r="O26" s="15">
        <f>M26*N26</f>
        <v>0.41749999999999998</v>
      </c>
      <c r="P26" s="4">
        <f>(J26+O26)</f>
        <v>1.67</v>
      </c>
      <c r="Q26" s="124">
        <f t="shared" ref="Q26:Q43" si="16">47.06*1.33</f>
        <v>62.589800000000004</v>
      </c>
      <c r="R26" s="6">
        <f>(P26*Q26)</f>
        <v>104.52496600000001</v>
      </c>
    </row>
    <row r="27" spans="1:19" ht="23.25" thickBot="1" x14ac:dyDescent="0.3">
      <c r="A27" s="104"/>
      <c r="B27" s="104"/>
      <c r="C27" s="60" t="s">
        <v>158</v>
      </c>
      <c r="D27" s="75" t="s">
        <v>135</v>
      </c>
      <c r="E27" s="47">
        <v>75</v>
      </c>
      <c r="F27" s="47">
        <f>+Assumptions!C27</f>
        <v>75</v>
      </c>
      <c r="G27" s="48">
        <v>1</v>
      </c>
      <c r="H27" s="49">
        <f t="shared" si="15"/>
        <v>75</v>
      </c>
      <c r="I27" s="50">
        <v>1.67E-2</v>
      </c>
      <c r="J27" s="4">
        <f>H27*I27</f>
        <v>1.2524999999999999</v>
      </c>
      <c r="K27" s="47">
        <f>E27-F27</f>
        <v>0</v>
      </c>
      <c r="L27" s="48">
        <v>0</v>
      </c>
      <c r="M27" s="4">
        <f>L27*K27</f>
        <v>0</v>
      </c>
      <c r="N27" s="37">
        <v>0</v>
      </c>
      <c r="O27" s="15">
        <f t="shared" ref="O27:O33" si="17">M27*N27</f>
        <v>0</v>
      </c>
      <c r="P27" s="4">
        <f>(J27+O27)</f>
        <v>1.2524999999999999</v>
      </c>
      <c r="Q27" s="124">
        <f t="shared" si="16"/>
        <v>62.589800000000004</v>
      </c>
      <c r="R27" s="6">
        <f>(P27*Q27)</f>
        <v>78.393724500000005</v>
      </c>
    </row>
    <row r="28" spans="1:19" ht="23.25" thickBot="1" x14ac:dyDescent="0.3">
      <c r="A28" s="104"/>
      <c r="B28" s="104"/>
      <c r="C28" s="64" t="s">
        <v>159</v>
      </c>
      <c r="D28" s="75" t="s">
        <v>136</v>
      </c>
      <c r="E28" s="47">
        <v>75</v>
      </c>
      <c r="F28" s="47">
        <f>+Assumptions!C28</f>
        <v>75</v>
      </c>
      <c r="G28" s="48">
        <v>1</v>
      </c>
      <c r="H28" s="49">
        <f t="shared" si="15"/>
        <v>75</v>
      </c>
      <c r="I28" s="50">
        <v>1.67E-2</v>
      </c>
      <c r="J28" s="4">
        <f t="shared" ref="J28:J33" si="18">H28*I28</f>
        <v>1.2524999999999999</v>
      </c>
      <c r="K28" s="47">
        <f t="shared" ref="K28:K33" si="19">E28-F28</f>
        <v>0</v>
      </c>
      <c r="L28" s="48">
        <v>0</v>
      </c>
      <c r="M28" s="4">
        <f t="shared" ref="M28:M33" si="20">L28*K28</f>
        <v>0</v>
      </c>
      <c r="N28" s="50">
        <v>0</v>
      </c>
      <c r="O28" s="15">
        <f t="shared" si="17"/>
        <v>0</v>
      </c>
      <c r="P28" s="4">
        <f t="shared" ref="P28:P33" si="21">(J28+O28)</f>
        <v>1.2524999999999999</v>
      </c>
      <c r="Q28" s="124">
        <f t="shared" si="16"/>
        <v>62.589800000000004</v>
      </c>
      <c r="R28" s="6">
        <f t="shared" ref="R28:R33" si="22">(P28*Q28)</f>
        <v>78.393724500000005</v>
      </c>
    </row>
    <row r="29" spans="1:19" ht="23.25" thickBot="1" x14ac:dyDescent="0.3">
      <c r="A29" s="104"/>
      <c r="B29" s="104"/>
      <c r="C29" s="64" t="s">
        <v>160</v>
      </c>
      <c r="D29" s="75" t="s">
        <v>205</v>
      </c>
      <c r="E29" s="47">
        <v>75</v>
      </c>
      <c r="F29" s="47">
        <f>+Assumptions!C29</f>
        <v>75</v>
      </c>
      <c r="G29" s="48">
        <v>1</v>
      </c>
      <c r="H29" s="49">
        <f t="shared" si="15"/>
        <v>75</v>
      </c>
      <c r="I29" s="50">
        <v>1.67E-2</v>
      </c>
      <c r="J29" s="4">
        <f t="shared" si="18"/>
        <v>1.2524999999999999</v>
      </c>
      <c r="K29" s="47">
        <f t="shared" si="19"/>
        <v>0</v>
      </c>
      <c r="L29" s="48">
        <v>0</v>
      </c>
      <c r="M29" s="4">
        <f t="shared" si="20"/>
        <v>0</v>
      </c>
      <c r="N29" s="50">
        <v>0</v>
      </c>
      <c r="O29" s="15">
        <f t="shared" si="17"/>
        <v>0</v>
      </c>
      <c r="P29" s="4">
        <f t="shared" si="21"/>
        <v>1.2524999999999999</v>
      </c>
      <c r="Q29" s="124">
        <f t="shared" si="16"/>
        <v>62.589800000000004</v>
      </c>
      <c r="R29" s="6">
        <f t="shared" si="22"/>
        <v>78.393724500000005</v>
      </c>
    </row>
    <row r="30" spans="1:19" ht="23.25" thickBot="1" x14ac:dyDescent="0.3">
      <c r="A30" s="104"/>
      <c r="B30" s="104"/>
      <c r="C30" s="64" t="s">
        <v>161</v>
      </c>
      <c r="D30" s="75" t="s">
        <v>228</v>
      </c>
      <c r="E30" s="47">
        <v>75</v>
      </c>
      <c r="F30" s="47">
        <f>+Assumptions!C30</f>
        <v>75</v>
      </c>
      <c r="G30" s="48">
        <v>1</v>
      </c>
      <c r="H30" s="49">
        <f t="shared" si="15"/>
        <v>75</v>
      </c>
      <c r="I30" s="50">
        <v>1.67E-2</v>
      </c>
      <c r="J30" s="4">
        <f t="shared" si="18"/>
        <v>1.2524999999999999</v>
      </c>
      <c r="K30" s="47">
        <f t="shared" si="19"/>
        <v>0</v>
      </c>
      <c r="L30" s="48">
        <v>0</v>
      </c>
      <c r="M30" s="4">
        <f t="shared" si="20"/>
        <v>0</v>
      </c>
      <c r="N30" s="50">
        <v>0</v>
      </c>
      <c r="O30" s="15">
        <f t="shared" si="17"/>
        <v>0</v>
      </c>
      <c r="P30" s="4">
        <f t="shared" si="21"/>
        <v>1.2524999999999999</v>
      </c>
      <c r="Q30" s="124">
        <f t="shared" si="16"/>
        <v>62.589800000000004</v>
      </c>
      <c r="R30" s="6">
        <f t="shared" si="22"/>
        <v>78.393724500000005</v>
      </c>
    </row>
    <row r="31" spans="1:19" ht="23.25" thickBot="1" x14ac:dyDescent="0.3">
      <c r="A31" s="104"/>
      <c r="B31" s="104"/>
      <c r="C31" s="64" t="s">
        <v>216</v>
      </c>
      <c r="D31" s="75" t="s">
        <v>214</v>
      </c>
      <c r="E31" s="47">
        <v>75</v>
      </c>
      <c r="F31" s="47">
        <f>+Assumptions!C31</f>
        <v>68</v>
      </c>
      <c r="G31" s="48">
        <v>1</v>
      </c>
      <c r="H31" s="49">
        <f t="shared" si="15"/>
        <v>68</v>
      </c>
      <c r="I31" s="50">
        <v>1</v>
      </c>
      <c r="J31" s="4">
        <f t="shared" si="18"/>
        <v>68</v>
      </c>
      <c r="K31" s="47">
        <f t="shared" si="19"/>
        <v>7</v>
      </c>
      <c r="L31" s="48">
        <v>1</v>
      </c>
      <c r="M31" s="4">
        <f t="shared" si="20"/>
        <v>7</v>
      </c>
      <c r="N31" s="50">
        <v>0</v>
      </c>
      <c r="O31" s="15">
        <f t="shared" si="17"/>
        <v>0</v>
      </c>
      <c r="P31" s="4">
        <f t="shared" si="21"/>
        <v>68</v>
      </c>
      <c r="Q31" s="124">
        <f t="shared" si="16"/>
        <v>62.589800000000004</v>
      </c>
      <c r="R31" s="6">
        <f>(P31*Q31)</f>
        <v>4256.1064000000006</v>
      </c>
    </row>
    <row r="32" spans="1:19" ht="23.25" thickBot="1" x14ac:dyDescent="0.3">
      <c r="A32" s="104"/>
      <c r="B32" s="104"/>
      <c r="C32" s="64" t="s">
        <v>163</v>
      </c>
      <c r="D32" s="75" t="s">
        <v>206</v>
      </c>
      <c r="E32" s="47">
        <v>68</v>
      </c>
      <c r="F32" s="47">
        <f>+Assumptions!C32</f>
        <v>68</v>
      </c>
      <c r="G32" s="48">
        <v>1</v>
      </c>
      <c r="H32" s="49">
        <f t="shared" si="15"/>
        <v>68</v>
      </c>
      <c r="I32" s="50">
        <v>1.67E-2</v>
      </c>
      <c r="J32" s="4">
        <f t="shared" si="18"/>
        <v>1.1355999999999999</v>
      </c>
      <c r="K32" s="47">
        <f t="shared" si="19"/>
        <v>0</v>
      </c>
      <c r="L32" s="48">
        <v>0</v>
      </c>
      <c r="M32" s="4">
        <f t="shared" si="20"/>
        <v>0</v>
      </c>
      <c r="N32" s="50">
        <v>0</v>
      </c>
      <c r="O32" s="15">
        <f t="shared" si="17"/>
        <v>0</v>
      </c>
      <c r="P32" s="4">
        <f t="shared" si="21"/>
        <v>1.1355999999999999</v>
      </c>
      <c r="Q32" s="124">
        <f t="shared" si="16"/>
        <v>62.589800000000004</v>
      </c>
      <c r="R32" s="6">
        <f t="shared" si="22"/>
        <v>71.076976880000004</v>
      </c>
    </row>
    <row r="33" spans="1:20" ht="23.25" thickBot="1" x14ac:dyDescent="0.3">
      <c r="A33" s="104"/>
      <c r="B33" s="105"/>
      <c r="C33" s="64" t="s">
        <v>164</v>
      </c>
      <c r="D33" s="75" t="s">
        <v>207</v>
      </c>
      <c r="E33" s="47">
        <v>68</v>
      </c>
      <c r="F33" s="47">
        <f>+Assumptions!C33</f>
        <v>68</v>
      </c>
      <c r="G33" s="48">
        <v>1</v>
      </c>
      <c r="H33" s="49">
        <f t="shared" si="15"/>
        <v>68</v>
      </c>
      <c r="I33" s="50">
        <v>1.67E-2</v>
      </c>
      <c r="J33" s="4">
        <f t="shared" si="18"/>
        <v>1.1355999999999999</v>
      </c>
      <c r="K33" s="47">
        <f t="shared" si="19"/>
        <v>0</v>
      </c>
      <c r="L33" s="48">
        <v>0</v>
      </c>
      <c r="M33" s="4">
        <f t="shared" si="20"/>
        <v>0</v>
      </c>
      <c r="N33" s="50">
        <v>0</v>
      </c>
      <c r="O33" s="15">
        <f t="shared" si="17"/>
        <v>0</v>
      </c>
      <c r="P33" s="4">
        <f t="shared" si="21"/>
        <v>1.1355999999999999</v>
      </c>
      <c r="Q33" s="124">
        <f t="shared" si="16"/>
        <v>62.589800000000004</v>
      </c>
      <c r="R33" s="6">
        <f t="shared" si="22"/>
        <v>71.076976880000004</v>
      </c>
    </row>
    <row r="34" spans="1:20" ht="32.1" customHeight="1" thickBot="1" x14ac:dyDescent="0.3">
      <c r="A34" s="104"/>
      <c r="B34" s="103" t="s">
        <v>186</v>
      </c>
      <c r="C34" s="63" t="s">
        <v>156</v>
      </c>
      <c r="D34" s="75" t="s">
        <v>245</v>
      </c>
      <c r="E34" s="47">
        <v>4100</v>
      </c>
      <c r="F34" s="47">
        <f>+Assumptions!C35</f>
        <v>4100</v>
      </c>
      <c r="G34" s="48">
        <v>1</v>
      </c>
      <c r="H34" s="4">
        <f>(F34*G34)</f>
        <v>4100</v>
      </c>
      <c r="I34" s="50">
        <v>1.67E-2</v>
      </c>
      <c r="J34" s="4">
        <f>H34*I34</f>
        <v>68.47</v>
      </c>
      <c r="K34" s="47">
        <f>E34-F34</f>
        <v>0</v>
      </c>
      <c r="L34" s="48">
        <v>0</v>
      </c>
      <c r="M34" s="4">
        <f>L34*K34</f>
        <v>0</v>
      </c>
      <c r="N34" s="50">
        <f t="shared" ref="N34:N39" si="23">I34</f>
        <v>1.67E-2</v>
      </c>
      <c r="O34" s="15">
        <f>M34*N34</f>
        <v>0</v>
      </c>
      <c r="P34" s="4">
        <f>(J34+O34)</f>
        <v>68.47</v>
      </c>
      <c r="Q34" s="124">
        <f t="shared" si="16"/>
        <v>62.589800000000004</v>
      </c>
      <c r="R34" s="6">
        <f>(P34*Q34)</f>
        <v>4285.5236059999997</v>
      </c>
    </row>
    <row r="35" spans="1:20" ht="34.5" thickBot="1" x14ac:dyDescent="0.3">
      <c r="A35" s="104"/>
      <c r="B35" s="104"/>
      <c r="C35" s="63" t="s">
        <v>314</v>
      </c>
      <c r="D35" s="75" t="s">
        <v>242</v>
      </c>
      <c r="E35" s="47">
        <v>4100</v>
      </c>
      <c r="F35" s="47">
        <f>+Assumptions!C36</f>
        <v>4100</v>
      </c>
      <c r="G35" s="48">
        <v>1</v>
      </c>
      <c r="H35" s="4">
        <f t="shared" ref="H35:H42" si="24">(F35*G35)</f>
        <v>4100</v>
      </c>
      <c r="I35" s="50">
        <v>1.67E-2</v>
      </c>
      <c r="J35" s="4">
        <f t="shared" ref="J35:J42" si="25">H35*I35</f>
        <v>68.47</v>
      </c>
      <c r="K35" s="47">
        <f t="shared" ref="K35:K42" si="26">E35-F35</f>
        <v>0</v>
      </c>
      <c r="L35" s="48">
        <v>0</v>
      </c>
      <c r="M35" s="4">
        <f t="shared" ref="M35:M41" si="27">L35*K35</f>
        <v>0</v>
      </c>
      <c r="N35" s="50">
        <f t="shared" si="23"/>
        <v>1.67E-2</v>
      </c>
      <c r="O35" s="15">
        <f t="shared" ref="O35:O41" si="28">M35*N35</f>
        <v>0</v>
      </c>
      <c r="P35" s="4">
        <f t="shared" ref="P35:P41" si="29">(J35+O35)</f>
        <v>68.47</v>
      </c>
      <c r="Q35" s="124">
        <f t="shared" si="16"/>
        <v>62.589800000000004</v>
      </c>
      <c r="R35" s="6">
        <f t="shared" ref="R35:R41" si="30">(P35*Q35)</f>
        <v>4285.5236059999997</v>
      </c>
    </row>
    <row r="36" spans="1:20" ht="23.25" thickBot="1" x14ac:dyDescent="0.3">
      <c r="A36" s="104"/>
      <c r="B36" s="104"/>
      <c r="C36" s="63" t="s">
        <v>165</v>
      </c>
      <c r="D36" s="75" t="s">
        <v>243</v>
      </c>
      <c r="E36" s="47">
        <v>4100</v>
      </c>
      <c r="F36" s="47">
        <f>+Assumptions!C37</f>
        <v>4100</v>
      </c>
      <c r="G36" s="48">
        <v>1</v>
      </c>
      <c r="H36" s="4">
        <f t="shared" si="24"/>
        <v>4100</v>
      </c>
      <c r="I36" s="50">
        <v>1.67E-2</v>
      </c>
      <c r="J36" s="4">
        <f t="shared" si="25"/>
        <v>68.47</v>
      </c>
      <c r="K36" s="47">
        <f t="shared" si="26"/>
        <v>0</v>
      </c>
      <c r="L36" s="48">
        <v>0</v>
      </c>
      <c r="M36" s="4">
        <f t="shared" si="27"/>
        <v>0</v>
      </c>
      <c r="N36" s="50">
        <f t="shared" si="23"/>
        <v>1.67E-2</v>
      </c>
      <c r="O36" s="15">
        <f t="shared" si="28"/>
        <v>0</v>
      </c>
      <c r="P36" s="4">
        <f t="shared" si="29"/>
        <v>68.47</v>
      </c>
      <c r="Q36" s="124">
        <f t="shared" si="16"/>
        <v>62.589800000000004</v>
      </c>
      <c r="R36" s="6">
        <f t="shared" si="30"/>
        <v>4285.5236059999997</v>
      </c>
    </row>
    <row r="37" spans="1:20" ht="23.25" thickBot="1" x14ac:dyDescent="0.3">
      <c r="A37" s="104"/>
      <c r="B37" s="104"/>
      <c r="C37" s="63" t="s">
        <v>166</v>
      </c>
      <c r="D37" s="75" t="s">
        <v>255</v>
      </c>
      <c r="E37" s="47">
        <v>4100</v>
      </c>
      <c r="F37" s="47">
        <f>+Assumptions!C38</f>
        <v>4100</v>
      </c>
      <c r="G37" s="48">
        <v>2</v>
      </c>
      <c r="H37" s="4">
        <f t="shared" si="24"/>
        <v>8200</v>
      </c>
      <c r="I37" s="50">
        <v>1.67E-2</v>
      </c>
      <c r="J37" s="4">
        <f t="shared" si="25"/>
        <v>136.94</v>
      </c>
      <c r="K37" s="47">
        <f t="shared" si="26"/>
        <v>0</v>
      </c>
      <c r="L37" s="48">
        <v>0</v>
      </c>
      <c r="M37" s="4">
        <f t="shared" si="27"/>
        <v>0</v>
      </c>
      <c r="N37" s="50">
        <f t="shared" si="23"/>
        <v>1.67E-2</v>
      </c>
      <c r="O37" s="15">
        <f t="shared" si="28"/>
        <v>0</v>
      </c>
      <c r="P37" s="4">
        <f t="shared" si="29"/>
        <v>136.94</v>
      </c>
      <c r="Q37" s="124">
        <f t="shared" si="16"/>
        <v>62.589800000000004</v>
      </c>
      <c r="R37" s="6">
        <f t="shared" si="30"/>
        <v>8571.0472119999995</v>
      </c>
    </row>
    <row r="38" spans="1:20" ht="23.25" thickBot="1" x14ac:dyDescent="0.3">
      <c r="A38" s="104"/>
      <c r="B38" s="104"/>
      <c r="C38" s="63" t="s">
        <v>167</v>
      </c>
      <c r="D38" s="75" t="s">
        <v>256</v>
      </c>
      <c r="E38" s="47">
        <v>4100</v>
      </c>
      <c r="F38" s="47">
        <f>+Assumptions!C39</f>
        <v>4100</v>
      </c>
      <c r="G38" s="48">
        <v>2</v>
      </c>
      <c r="H38" s="4">
        <f t="shared" si="24"/>
        <v>8200</v>
      </c>
      <c r="I38" s="50">
        <v>1.67E-2</v>
      </c>
      <c r="J38" s="4">
        <f t="shared" si="25"/>
        <v>136.94</v>
      </c>
      <c r="K38" s="47">
        <f t="shared" si="26"/>
        <v>0</v>
      </c>
      <c r="L38" s="48">
        <v>0</v>
      </c>
      <c r="M38" s="4">
        <f t="shared" si="27"/>
        <v>0</v>
      </c>
      <c r="N38" s="50">
        <f t="shared" si="23"/>
        <v>1.67E-2</v>
      </c>
      <c r="O38" s="15">
        <f t="shared" si="28"/>
        <v>0</v>
      </c>
      <c r="P38" s="4">
        <f t="shared" si="29"/>
        <v>136.94</v>
      </c>
      <c r="Q38" s="124">
        <f t="shared" si="16"/>
        <v>62.589800000000004</v>
      </c>
      <c r="R38" s="6">
        <f t="shared" si="30"/>
        <v>8571.0472119999995</v>
      </c>
    </row>
    <row r="39" spans="1:20" ht="34.5" thickBot="1" x14ac:dyDescent="0.3">
      <c r="A39" s="104"/>
      <c r="B39" s="104"/>
      <c r="C39" s="63" t="s">
        <v>279</v>
      </c>
      <c r="D39" s="75" t="s">
        <v>255</v>
      </c>
      <c r="E39" s="47">
        <v>4100</v>
      </c>
      <c r="F39" s="47">
        <f>+Assumptions!C40</f>
        <v>1230</v>
      </c>
      <c r="G39" s="48">
        <v>1</v>
      </c>
      <c r="H39" s="4">
        <f t="shared" ref="H39" si="31">(F39*G39)</f>
        <v>1230</v>
      </c>
      <c r="I39" s="50">
        <f>0.0167*2</f>
        <v>3.3399999999999999E-2</v>
      </c>
      <c r="J39" s="4">
        <f t="shared" ref="J39" si="32">H39*I39</f>
        <v>41.082000000000001</v>
      </c>
      <c r="K39" s="47">
        <v>0</v>
      </c>
      <c r="L39" s="48">
        <v>0</v>
      </c>
      <c r="M39" s="4">
        <f t="shared" ref="M39" si="33">L39*K39</f>
        <v>0</v>
      </c>
      <c r="N39" s="50">
        <f t="shared" si="23"/>
        <v>3.3399999999999999E-2</v>
      </c>
      <c r="O39" s="15">
        <f t="shared" ref="O39" si="34">M39*N39</f>
        <v>0</v>
      </c>
      <c r="P39" s="4">
        <f t="shared" ref="P39" si="35">(J39+O39)</f>
        <v>41.082000000000001</v>
      </c>
      <c r="Q39" s="124">
        <f t="shared" si="16"/>
        <v>62.589800000000004</v>
      </c>
      <c r="R39" s="6">
        <f t="shared" ref="R39" si="36">(P39*Q39)</f>
        <v>2571.3141636</v>
      </c>
    </row>
    <row r="40" spans="1:20" ht="23.25" thickBot="1" x14ac:dyDescent="0.3">
      <c r="A40" s="104"/>
      <c r="B40" s="104"/>
      <c r="C40" s="63" t="s">
        <v>168</v>
      </c>
      <c r="D40" s="75" t="s">
        <v>241</v>
      </c>
      <c r="E40" s="47">
        <v>4100</v>
      </c>
      <c r="F40" s="47">
        <f>+Assumptions!C41</f>
        <v>3280</v>
      </c>
      <c r="G40" s="48">
        <v>1</v>
      </c>
      <c r="H40" s="4">
        <f t="shared" si="24"/>
        <v>3280</v>
      </c>
      <c r="I40" s="50">
        <v>0.16700000000000001</v>
      </c>
      <c r="J40" s="4">
        <f t="shared" si="25"/>
        <v>547.76</v>
      </c>
      <c r="K40" s="47">
        <f t="shared" si="26"/>
        <v>820</v>
      </c>
      <c r="L40" s="48">
        <v>1</v>
      </c>
      <c r="M40" s="4">
        <f t="shared" si="27"/>
        <v>820</v>
      </c>
      <c r="N40" s="50">
        <v>0</v>
      </c>
      <c r="O40" s="15">
        <f t="shared" si="28"/>
        <v>0</v>
      </c>
      <c r="P40" s="4">
        <f t="shared" si="29"/>
        <v>547.76</v>
      </c>
      <c r="Q40" s="124">
        <f t="shared" si="16"/>
        <v>62.589800000000004</v>
      </c>
      <c r="R40" s="6">
        <f t="shared" si="30"/>
        <v>34284.188847999998</v>
      </c>
    </row>
    <row r="41" spans="1:20" ht="23.25" thickBot="1" x14ac:dyDescent="0.3">
      <c r="A41" s="104"/>
      <c r="B41" s="104"/>
      <c r="C41" s="63" t="s">
        <v>169</v>
      </c>
      <c r="D41" s="75" t="s">
        <v>257</v>
      </c>
      <c r="E41" s="47">
        <v>3280</v>
      </c>
      <c r="F41" s="47">
        <f>+Assumptions!C42</f>
        <v>3280</v>
      </c>
      <c r="G41" s="48">
        <v>1</v>
      </c>
      <c r="H41" s="4">
        <f t="shared" si="24"/>
        <v>3280</v>
      </c>
      <c r="I41" s="50">
        <v>1.67E-2</v>
      </c>
      <c r="J41" s="4">
        <f t="shared" si="25"/>
        <v>54.775999999999996</v>
      </c>
      <c r="K41" s="47">
        <f t="shared" si="26"/>
        <v>0</v>
      </c>
      <c r="L41" s="48">
        <v>0</v>
      </c>
      <c r="M41" s="4">
        <f t="shared" si="27"/>
        <v>0</v>
      </c>
      <c r="N41" s="50">
        <v>0</v>
      </c>
      <c r="O41" s="15">
        <f t="shared" si="28"/>
        <v>0</v>
      </c>
      <c r="P41" s="4">
        <f t="shared" si="29"/>
        <v>54.775999999999996</v>
      </c>
      <c r="Q41" s="124">
        <f t="shared" si="16"/>
        <v>62.589800000000004</v>
      </c>
      <c r="R41" s="6">
        <f t="shared" si="30"/>
        <v>3428.4188847999999</v>
      </c>
    </row>
    <row r="42" spans="1:20" ht="23.25" thickBot="1" x14ac:dyDescent="0.3">
      <c r="A42" s="104"/>
      <c r="B42" s="104"/>
      <c r="C42" s="63" t="s">
        <v>170</v>
      </c>
      <c r="D42" s="75" t="s">
        <v>258</v>
      </c>
      <c r="E42" s="47">
        <v>3280</v>
      </c>
      <c r="F42" s="47">
        <f>+Assumptions!C43</f>
        <v>3280</v>
      </c>
      <c r="G42" s="48">
        <v>1</v>
      </c>
      <c r="H42" s="4">
        <f t="shared" si="24"/>
        <v>3280</v>
      </c>
      <c r="I42" s="50">
        <v>1.67E-2</v>
      </c>
      <c r="J42" s="4">
        <f t="shared" si="25"/>
        <v>54.775999999999996</v>
      </c>
      <c r="K42" s="47">
        <f t="shared" si="26"/>
        <v>0</v>
      </c>
      <c r="L42" s="48">
        <v>0</v>
      </c>
      <c r="M42" s="4">
        <f>L42*K42</f>
        <v>0</v>
      </c>
      <c r="N42" s="50">
        <v>0</v>
      </c>
      <c r="O42" s="15">
        <f>M42*N42</f>
        <v>0</v>
      </c>
      <c r="P42" s="4">
        <f>(J42+O42)</f>
        <v>54.775999999999996</v>
      </c>
      <c r="Q42" s="124">
        <f t="shared" si="16"/>
        <v>62.589800000000004</v>
      </c>
      <c r="R42" s="6">
        <f>(P42*Q42)</f>
        <v>3428.4188847999999</v>
      </c>
    </row>
    <row r="43" spans="1:20" ht="23.25" thickBot="1" x14ac:dyDescent="0.3">
      <c r="A43" s="105"/>
      <c r="B43" s="105"/>
      <c r="C43" s="63" t="s">
        <v>172</v>
      </c>
      <c r="D43" s="75" t="s">
        <v>134</v>
      </c>
      <c r="E43" s="47">
        <v>4100</v>
      </c>
      <c r="F43" s="47">
        <f>+Assumptions!C44</f>
        <v>4100</v>
      </c>
      <c r="G43" s="48">
        <v>1</v>
      </c>
      <c r="H43" s="4">
        <f>(F43*G43)</f>
        <v>4100</v>
      </c>
      <c r="I43" s="50">
        <v>1.67E-2</v>
      </c>
      <c r="J43" s="4">
        <f>H43*I43</f>
        <v>68.47</v>
      </c>
      <c r="K43" s="47">
        <f>E43-F43</f>
        <v>0</v>
      </c>
      <c r="L43" s="48">
        <v>0</v>
      </c>
      <c r="M43" s="4">
        <f>L43*K43</f>
        <v>0</v>
      </c>
      <c r="N43" s="50">
        <f>I43</f>
        <v>1.67E-2</v>
      </c>
      <c r="O43" s="15">
        <f>M43*N43</f>
        <v>0</v>
      </c>
      <c r="P43" s="4">
        <f>(J43+O43)</f>
        <v>68.47</v>
      </c>
      <c r="Q43" s="124">
        <f t="shared" si="16"/>
        <v>62.589800000000004</v>
      </c>
      <c r="R43" s="6">
        <f>(P43*Q43)</f>
        <v>4285.5236059999997</v>
      </c>
    </row>
    <row r="44" spans="1:20" ht="15.75" thickBot="1" x14ac:dyDescent="0.3">
      <c r="A44" s="106" t="s">
        <v>26</v>
      </c>
      <c r="B44" s="107"/>
      <c r="C44" s="107"/>
      <c r="D44" s="108"/>
      <c r="E44" s="55">
        <f>E25+E34</f>
        <v>4200</v>
      </c>
      <c r="F44" s="55">
        <f>+F31+F40</f>
        <v>3348</v>
      </c>
      <c r="G44" s="78">
        <f>H44/E44</f>
        <v>10.606904761904762</v>
      </c>
      <c r="H44" s="9">
        <f>SUM(H25:H43)</f>
        <v>44549</v>
      </c>
      <c r="I44" s="79">
        <f>J44/H44</f>
        <v>2.9728112864486303E-2</v>
      </c>
      <c r="J44" s="9">
        <f>SUM(J25:J43)</f>
        <v>1324.3577000000002</v>
      </c>
      <c r="K44" s="9">
        <f>+K26+K31+K40</f>
        <v>852</v>
      </c>
      <c r="L44" s="78">
        <f>M44/K44</f>
        <v>1</v>
      </c>
      <c r="M44" s="9">
        <f>SUM(M25:M43)</f>
        <v>852</v>
      </c>
      <c r="N44" s="79">
        <f>O44/M44</f>
        <v>4.900234741784037E-4</v>
      </c>
      <c r="O44" s="77">
        <f>SUM(O25:O43)</f>
        <v>0.41749999999999998</v>
      </c>
      <c r="P44" s="9">
        <f>SUM(P25:P43)</f>
        <v>1324.7752000000003</v>
      </c>
      <c r="Q44" s="24" t="s">
        <v>24</v>
      </c>
      <c r="R44" s="24">
        <f>SUM(R25:R43)</f>
        <v>82917.414812960007</v>
      </c>
      <c r="S44" s="125"/>
      <c r="T44" s="125"/>
    </row>
    <row r="45" spans="1:20" ht="21.75" customHeight="1" thickBot="1" x14ac:dyDescent="0.3">
      <c r="A45" s="103" t="s">
        <v>27</v>
      </c>
      <c r="B45" s="103" t="s">
        <v>187</v>
      </c>
      <c r="C45" s="60" t="s">
        <v>173</v>
      </c>
      <c r="D45" s="75" t="s">
        <v>223</v>
      </c>
      <c r="E45" s="41">
        <v>32</v>
      </c>
      <c r="F45" s="41">
        <f>+Assumptions!C46</f>
        <v>32</v>
      </c>
      <c r="G45" s="41">
        <v>1</v>
      </c>
      <c r="H45" s="41">
        <f>(F45*G45)</f>
        <v>32</v>
      </c>
      <c r="I45" s="50">
        <v>1.67E-2</v>
      </c>
      <c r="J45" s="13">
        <f t="shared" ref="J45:J69" si="37">H45*I45</f>
        <v>0.53439999999999999</v>
      </c>
      <c r="K45" s="41">
        <f>E45-F45</f>
        <v>0</v>
      </c>
      <c r="L45" s="41">
        <v>0</v>
      </c>
      <c r="M45" s="4">
        <f>L45*K45</f>
        <v>0</v>
      </c>
      <c r="N45" s="37">
        <f>I45</f>
        <v>1.67E-2</v>
      </c>
      <c r="O45" s="15">
        <f t="shared" ref="O45:O69" si="38">M45*N45</f>
        <v>0</v>
      </c>
      <c r="P45" s="4">
        <f t="shared" ref="P45:P69" si="39">(J45+O45)</f>
        <v>0.53439999999999999</v>
      </c>
      <c r="Q45" s="130">
        <f>41.39*1.33</f>
        <v>55.048700000000004</v>
      </c>
      <c r="R45" s="6">
        <f>(P45*Q45)</f>
        <v>29.418025280000002</v>
      </c>
    </row>
    <row r="46" spans="1:20" ht="47.25" thickBot="1" x14ac:dyDescent="0.3">
      <c r="A46" s="104"/>
      <c r="B46" s="104"/>
      <c r="C46" s="126" t="s">
        <v>316</v>
      </c>
      <c r="D46" s="75" t="s">
        <v>224</v>
      </c>
      <c r="E46" s="41">
        <v>32</v>
      </c>
      <c r="F46" s="41">
        <f>+Assumptions!C47</f>
        <v>32</v>
      </c>
      <c r="G46" s="41">
        <v>1</v>
      </c>
      <c r="H46" s="41">
        <f t="shared" ref="H46:H69" si="40">(F46*G46)</f>
        <v>32</v>
      </c>
      <c r="I46" s="50">
        <v>3.0167000000000002</v>
      </c>
      <c r="J46" s="13">
        <f t="shared" si="37"/>
        <v>96.534400000000005</v>
      </c>
      <c r="K46" s="41">
        <f t="shared" ref="K46:K69" si="41">E46-F46</f>
        <v>0</v>
      </c>
      <c r="L46" s="41">
        <v>0</v>
      </c>
      <c r="M46" s="4">
        <f t="shared" ref="M46:M67" si="42">L46*K46</f>
        <v>0</v>
      </c>
      <c r="N46" s="37">
        <f>I46</f>
        <v>3.0167000000000002</v>
      </c>
      <c r="O46" s="15">
        <f t="shared" si="38"/>
        <v>0</v>
      </c>
      <c r="P46" s="4">
        <f t="shared" si="39"/>
        <v>96.534400000000005</v>
      </c>
      <c r="Q46" s="130">
        <f t="shared" ref="Q46:Q55" si="43">41.39*1.33</f>
        <v>55.048700000000004</v>
      </c>
      <c r="R46" s="6">
        <f t="shared" ref="R46:R67" si="44">(P46*Q46)</f>
        <v>5314.0932252800003</v>
      </c>
    </row>
    <row r="47" spans="1:20" ht="23.25" thickBot="1" x14ac:dyDescent="0.3">
      <c r="A47" s="104"/>
      <c r="B47" s="104"/>
      <c r="C47" s="64" t="s">
        <v>174</v>
      </c>
      <c r="D47" s="75" t="s">
        <v>129</v>
      </c>
      <c r="E47" s="41">
        <v>222</v>
      </c>
      <c r="F47" s="41">
        <f>+Assumptions!C48</f>
        <v>178</v>
      </c>
      <c r="G47" s="41">
        <v>1</v>
      </c>
      <c r="H47" s="41">
        <f t="shared" si="40"/>
        <v>178</v>
      </c>
      <c r="I47" s="50">
        <v>1.67E-2</v>
      </c>
      <c r="J47" s="13">
        <f t="shared" si="37"/>
        <v>2.9725999999999999</v>
      </c>
      <c r="K47" s="41">
        <f t="shared" si="41"/>
        <v>44</v>
      </c>
      <c r="L47" s="41">
        <v>1</v>
      </c>
      <c r="M47" s="4">
        <f t="shared" si="42"/>
        <v>44</v>
      </c>
      <c r="N47" s="37">
        <f>I47</f>
        <v>1.67E-2</v>
      </c>
      <c r="O47" s="15">
        <f t="shared" si="38"/>
        <v>0.73480000000000001</v>
      </c>
      <c r="P47" s="4">
        <f t="shared" si="39"/>
        <v>3.7073999999999998</v>
      </c>
      <c r="Q47" s="130">
        <f t="shared" si="43"/>
        <v>55.048700000000004</v>
      </c>
      <c r="R47" s="6">
        <f t="shared" si="44"/>
        <v>204.08755038000001</v>
      </c>
    </row>
    <row r="48" spans="1:20" ht="23.25" thickBot="1" x14ac:dyDescent="0.3">
      <c r="A48" s="104"/>
      <c r="B48" s="104"/>
      <c r="C48" s="64" t="s">
        <v>175</v>
      </c>
      <c r="D48" s="75" t="s">
        <v>225</v>
      </c>
      <c r="E48" s="41">
        <v>178</v>
      </c>
      <c r="F48" s="41">
        <f>+Assumptions!C49</f>
        <v>178</v>
      </c>
      <c r="G48" s="41">
        <v>1</v>
      </c>
      <c r="H48" s="41">
        <f t="shared" si="40"/>
        <v>178</v>
      </c>
      <c r="I48" s="50">
        <v>1.67E-2</v>
      </c>
      <c r="J48" s="13">
        <f t="shared" si="37"/>
        <v>2.9725999999999999</v>
      </c>
      <c r="K48" s="41">
        <f t="shared" si="41"/>
        <v>0</v>
      </c>
      <c r="L48" s="41">
        <v>0</v>
      </c>
      <c r="M48" s="4">
        <f t="shared" si="42"/>
        <v>0</v>
      </c>
      <c r="N48" s="37">
        <v>0</v>
      </c>
      <c r="O48" s="15">
        <f t="shared" si="38"/>
        <v>0</v>
      </c>
      <c r="P48" s="4">
        <f t="shared" si="39"/>
        <v>2.9725999999999999</v>
      </c>
      <c r="Q48" s="130">
        <f t="shared" si="43"/>
        <v>55.048700000000004</v>
      </c>
      <c r="R48" s="6">
        <f t="shared" si="44"/>
        <v>163.63776562000001</v>
      </c>
    </row>
    <row r="49" spans="1:30" ht="23.25" thickBot="1" x14ac:dyDescent="0.3">
      <c r="A49" s="104"/>
      <c r="B49" s="104"/>
      <c r="C49" s="64" t="s">
        <v>215</v>
      </c>
      <c r="D49" s="75" t="s">
        <v>218</v>
      </c>
      <c r="E49" s="41">
        <v>178</v>
      </c>
      <c r="F49" s="41">
        <f>+Assumptions!C50</f>
        <v>160</v>
      </c>
      <c r="G49" s="41">
        <v>1</v>
      </c>
      <c r="H49" s="41">
        <f t="shared" si="40"/>
        <v>160</v>
      </c>
      <c r="I49" s="37">
        <v>1</v>
      </c>
      <c r="J49" s="13">
        <f t="shared" si="37"/>
        <v>160</v>
      </c>
      <c r="K49" s="41">
        <f t="shared" si="41"/>
        <v>18</v>
      </c>
      <c r="L49" s="41">
        <v>1</v>
      </c>
      <c r="M49" s="4">
        <f t="shared" si="42"/>
        <v>18</v>
      </c>
      <c r="N49" s="37">
        <v>0</v>
      </c>
      <c r="O49" s="15">
        <f t="shared" si="38"/>
        <v>0</v>
      </c>
      <c r="P49" s="4">
        <f t="shared" si="39"/>
        <v>160</v>
      </c>
      <c r="Q49" s="130">
        <f t="shared" si="43"/>
        <v>55.048700000000004</v>
      </c>
      <c r="R49" s="6">
        <f t="shared" si="44"/>
        <v>8807.7920000000013</v>
      </c>
    </row>
    <row r="50" spans="1:30" ht="23.25" thickBot="1" x14ac:dyDescent="0.3">
      <c r="A50" s="104"/>
      <c r="B50" s="104"/>
      <c r="C50" s="64" t="s">
        <v>177</v>
      </c>
      <c r="D50" s="75" t="s">
        <v>131</v>
      </c>
      <c r="E50" s="41">
        <v>160</v>
      </c>
      <c r="F50" s="41">
        <f>+Assumptions!C51</f>
        <v>160</v>
      </c>
      <c r="G50" s="41">
        <v>1</v>
      </c>
      <c r="H50" s="41">
        <f t="shared" si="40"/>
        <v>160</v>
      </c>
      <c r="I50" s="50">
        <v>1.67E-2</v>
      </c>
      <c r="J50" s="13">
        <f t="shared" si="37"/>
        <v>2.6719999999999997</v>
      </c>
      <c r="K50" s="41">
        <f t="shared" si="41"/>
        <v>0</v>
      </c>
      <c r="L50" s="41">
        <v>0</v>
      </c>
      <c r="M50" s="4">
        <f t="shared" si="42"/>
        <v>0</v>
      </c>
      <c r="N50" s="37">
        <v>0</v>
      </c>
      <c r="O50" s="15">
        <f t="shared" si="38"/>
        <v>0</v>
      </c>
      <c r="P50" s="4">
        <f t="shared" si="39"/>
        <v>2.6719999999999997</v>
      </c>
      <c r="Q50" s="130">
        <f t="shared" si="43"/>
        <v>55.048700000000004</v>
      </c>
      <c r="R50" s="6">
        <f t="shared" si="44"/>
        <v>147.0901264</v>
      </c>
    </row>
    <row r="51" spans="1:30" s="73" customFormat="1" ht="23.25" thickBot="1" x14ac:dyDescent="0.3">
      <c r="A51" s="104"/>
      <c r="B51" s="105"/>
      <c r="C51" s="64" t="s">
        <v>28</v>
      </c>
      <c r="D51" s="75" t="s">
        <v>130</v>
      </c>
      <c r="E51" s="41">
        <v>32</v>
      </c>
      <c r="F51" s="41">
        <f>+Assumptions!C52</f>
        <v>32</v>
      </c>
      <c r="G51" s="41">
        <v>1</v>
      </c>
      <c r="H51" s="41">
        <f t="shared" si="40"/>
        <v>32</v>
      </c>
      <c r="I51" s="50">
        <v>1.67E-2</v>
      </c>
      <c r="J51" s="13">
        <f t="shared" si="37"/>
        <v>0.53439999999999999</v>
      </c>
      <c r="K51" s="41">
        <f t="shared" si="41"/>
        <v>0</v>
      </c>
      <c r="L51" s="41">
        <v>0</v>
      </c>
      <c r="M51" s="4">
        <f t="shared" si="42"/>
        <v>0</v>
      </c>
      <c r="N51" s="37">
        <f>I51</f>
        <v>1.67E-2</v>
      </c>
      <c r="O51" s="15">
        <f t="shared" si="38"/>
        <v>0</v>
      </c>
      <c r="P51" s="4">
        <f t="shared" si="39"/>
        <v>0.53439999999999999</v>
      </c>
      <c r="Q51" s="130">
        <f t="shared" si="43"/>
        <v>55.048700000000004</v>
      </c>
      <c r="R51" s="6">
        <f t="shared" si="44"/>
        <v>29.418025280000002</v>
      </c>
      <c r="S51" s="5"/>
      <c r="T51" s="5"/>
      <c r="U51" s="5"/>
      <c r="V51" s="5"/>
      <c r="W51" s="5"/>
      <c r="X51" s="5"/>
      <c r="Y51" s="5"/>
      <c r="Z51" s="5"/>
      <c r="AA51" s="5"/>
      <c r="AB51" s="5"/>
      <c r="AC51" s="5"/>
      <c r="AD51" s="5"/>
    </row>
    <row r="52" spans="1:30" ht="34.5" customHeight="1" thickBot="1" x14ac:dyDescent="0.3">
      <c r="A52" s="104"/>
      <c r="B52" s="103" t="s">
        <v>127</v>
      </c>
      <c r="C52" s="127" t="s">
        <v>317</v>
      </c>
      <c r="D52" s="75" t="s">
        <v>259</v>
      </c>
      <c r="E52" s="47">
        <v>3900</v>
      </c>
      <c r="F52" s="47">
        <f>+Assumptions!C54</f>
        <v>3900</v>
      </c>
      <c r="G52" s="48">
        <v>1</v>
      </c>
      <c r="H52" s="48">
        <f t="shared" si="40"/>
        <v>3900</v>
      </c>
      <c r="I52" s="50">
        <v>1.67E-2</v>
      </c>
      <c r="J52" s="70">
        <f t="shared" si="37"/>
        <v>65.13</v>
      </c>
      <c r="K52" s="48">
        <f t="shared" si="41"/>
        <v>0</v>
      </c>
      <c r="L52" s="48">
        <v>0</v>
      </c>
      <c r="M52" s="49">
        <f t="shared" si="42"/>
        <v>0</v>
      </c>
      <c r="N52" s="50">
        <f>I52</f>
        <v>1.67E-2</v>
      </c>
      <c r="O52" s="71">
        <f t="shared" si="38"/>
        <v>0</v>
      </c>
      <c r="P52" s="49">
        <f t="shared" si="39"/>
        <v>65.13</v>
      </c>
      <c r="Q52" s="131">
        <f t="shared" si="43"/>
        <v>55.048700000000004</v>
      </c>
      <c r="R52" s="72">
        <f t="shared" si="44"/>
        <v>3585.3218310000002</v>
      </c>
    </row>
    <row r="53" spans="1:30" ht="23.25" thickBot="1" x14ac:dyDescent="0.3">
      <c r="A53" s="104"/>
      <c r="B53" s="104"/>
      <c r="C53" s="65" t="s">
        <v>153</v>
      </c>
      <c r="D53" s="75" t="s">
        <v>260</v>
      </c>
      <c r="E53" s="46">
        <v>3900</v>
      </c>
      <c r="F53" s="46">
        <f>+Assumptions!C55</f>
        <v>3900</v>
      </c>
      <c r="G53" s="41">
        <v>4</v>
      </c>
      <c r="H53" s="41">
        <f t="shared" si="40"/>
        <v>15600</v>
      </c>
      <c r="I53" s="50">
        <v>1.67E-2</v>
      </c>
      <c r="J53" s="13">
        <f t="shared" si="37"/>
        <v>260.52</v>
      </c>
      <c r="K53" s="41">
        <f t="shared" si="41"/>
        <v>0</v>
      </c>
      <c r="L53" s="41">
        <v>0</v>
      </c>
      <c r="M53" s="4">
        <f t="shared" si="42"/>
        <v>0</v>
      </c>
      <c r="N53" s="37">
        <f>I53</f>
        <v>1.67E-2</v>
      </c>
      <c r="O53" s="15">
        <f t="shared" si="38"/>
        <v>0</v>
      </c>
      <c r="P53" s="4">
        <f t="shared" si="39"/>
        <v>260.52</v>
      </c>
      <c r="Q53" s="130">
        <f t="shared" si="43"/>
        <v>55.048700000000004</v>
      </c>
      <c r="R53" s="6">
        <f t="shared" si="44"/>
        <v>14341.287324000001</v>
      </c>
    </row>
    <row r="54" spans="1:30" ht="15.75" thickBot="1" x14ac:dyDescent="0.3">
      <c r="A54" s="104"/>
      <c r="B54" s="104"/>
      <c r="C54" s="65" t="s">
        <v>29</v>
      </c>
      <c r="D54" s="75" t="s">
        <v>264</v>
      </c>
      <c r="E54" s="46">
        <v>3900</v>
      </c>
      <c r="F54" s="46">
        <f>+Assumptions!C56</f>
        <v>3120</v>
      </c>
      <c r="G54" s="41">
        <v>1</v>
      </c>
      <c r="H54" s="41">
        <f t="shared" si="40"/>
        <v>3120</v>
      </c>
      <c r="I54" s="37">
        <v>0.16700000000000001</v>
      </c>
      <c r="J54" s="13">
        <f t="shared" si="37"/>
        <v>521.04000000000008</v>
      </c>
      <c r="K54" s="41">
        <f t="shared" si="41"/>
        <v>780</v>
      </c>
      <c r="L54" s="41">
        <v>1</v>
      </c>
      <c r="M54" s="4">
        <f t="shared" si="42"/>
        <v>780</v>
      </c>
      <c r="N54" s="37">
        <v>0</v>
      </c>
      <c r="O54" s="15">
        <f t="shared" si="38"/>
        <v>0</v>
      </c>
      <c r="P54" s="4">
        <f t="shared" si="39"/>
        <v>521.04000000000008</v>
      </c>
      <c r="Q54" s="130">
        <f t="shared" si="43"/>
        <v>55.048700000000004</v>
      </c>
      <c r="R54" s="6">
        <f t="shared" si="44"/>
        <v>28682.574648000005</v>
      </c>
    </row>
    <row r="55" spans="1:30" ht="23.25" thickBot="1" x14ac:dyDescent="0.3">
      <c r="A55" s="104"/>
      <c r="B55" s="105"/>
      <c r="C55" s="65" t="s">
        <v>154</v>
      </c>
      <c r="D55" s="75" t="s">
        <v>261</v>
      </c>
      <c r="E55" s="46">
        <v>3120</v>
      </c>
      <c r="F55" s="46">
        <f>+Assumptions!C57</f>
        <v>3120</v>
      </c>
      <c r="G55" s="41">
        <v>1</v>
      </c>
      <c r="H55" s="41">
        <f t="shared" si="40"/>
        <v>3120</v>
      </c>
      <c r="I55" s="50">
        <v>1.67E-2</v>
      </c>
      <c r="J55" s="13">
        <f t="shared" si="37"/>
        <v>52.103999999999999</v>
      </c>
      <c r="K55" s="41">
        <f t="shared" si="41"/>
        <v>0</v>
      </c>
      <c r="L55" s="41">
        <v>0</v>
      </c>
      <c r="M55" s="4">
        <f t="shared" si="42"/>
        <v>0</v>
      </c>
      <c r="N55" s="37">
        <v>0</v>
      </c>
      <c r="O55" s="15">
        <f t="shared" si="38"/>
        <v>0</v>
      </c>
      <c r="P55" s="4">
        <f t="shared" si="39"/>
        <v>52.103999999999999</v>
      </c>
      <c r="Q55" s="130">
        <f t="shared" si="43"/>
        <v>55.048700000000004</v>
      </c>
      <c r="R55" s="6">
        <f t="shared" si="44"/>
        <v>2868.2574648</v>
      </c>
    </row>
    <row r="56" spans="1:30" ht="47.25" thickBot="1" x14ac:dyDescent="0.3">
      <c r="A56" s="104"/>
      <c r="B56" s="103" t="s">
        <v>251</v>
      </c>
      <c r="C56" s="128" t="s">
        <v>318</v>
      </c>
      <c r="D56" s="90" t="s">
        <v>313</v>
      </c>
      <c r="E56" s="46">
        <f>88*2</f>
        <v>176</v>
      </c>
      <c r="F56" s="46">
        <f>E56*1</f>
        <v>176</v>
      </c>
      <c r="G56" s="41">
        <v>1</v>
      </c>
      <c r="H56" s="41">
        <f t="shared" si="40"/>
        <v>176</v>
      </c>
      <c r="I56" s="50">
        <f>0.5 +2*0.0167</f>
        <v>0.53339999999999999</v>
      </c>
      <c r="J56" s="13">
        <f t="shared" si="37"/>
        <v>93.878399999999999</v>
      </c>
      <c r="K56" s="41">
        <f t="shared" si="41"/>
        <v>0</v>
      </c>
      <c r="L56" s="41">
        <v>0</v>
      </c>
      <c r="M56" s="4">
        <f t="shared" si="42"/>
        <v>0</v>
      </c>
      <c r="N56" s="37">
        <f t="shared" ref="N56:N69" si="45">I56</f>
        <v>0.53339999999999999</v>
      </c>
      <c r="O56" s="15">
        <f t="shared" si="38"/>
        <v>0</v>
      </c>
      <c r="P56" s="4">
        <f t="shared" si="39"/>
        <v>93.878399999999999</v>
      </c>
      <c r="Q56" s="130">
        <f>68.15*1.33</f>
        <v>90.639500000000012</v>
      </c>
      <c r="R56" s="6">
        <f t="shared" si="44"/>
        <v>8509.0912368000008</v>
      </c>
    </row>
    <row r="57" spans="1:30" ht="36" thickBot="1" x14ac:dyDescent="0.3">
      <c r="A57" s="104"/>
      <c r="B57" s="104"/>
      <c r="C57" s="60" t="s">
        <v>273</v>
      </c>
      <c r="D57" s="75" t="s">
        <v>132</v>
      </c>
      <c r="E57" s="46">
        <v>132</v>
      </c>
      <c r="F57" s="46">
        <f t="shared" ref="F57:F69" si="46">E57*1</f>
        <v>132</v>
      </c>
      <c r="G57" s="41">
        <v>3</v>
      </c>
      <c r="H57" s="41">
        <f t="shared" si="40"/>
        <v>396</v>
      </c>
      <c r="I57" s="37">
        <v>0.26669999999999999</v>
      </c>
      <c r="J57" s="13">
        <f t="shared" si="37"/>
        <v>105.61319999999999</v>
      </c>
      <c r="K57" s="41">
        <f t="shared" si="41"/>
        <v>0</v>
      </c>
      <c r="L57" s="41">
        <v>0</v>
      </c>
      <c r="M57" s="4">
        <f t="shared" si="42"/>
        <v>0</v>
      </c>
      <c r="N57" s="37">
        <f t="shared" si="45"/>
        <v>0.26669999999999999</v>
      </c>
      <c r="O57" s="15">
        <f t="shared" si="38"/>
        <v>0</v>
      </c>
      <c r="P57" s="4">
        <f t="shared" si="39"/>
        <v>105.61319999999999</v>
      </c>
      <c r="Q57" s="130">
        <f t="shared" ref="Q57:Q70" si="47">68.15*1.33</f>
        <v>90.639500000000012</v>
      </c>
      <c r="R57" s="6">
        <f t="shared" si="44"/>
        <v>9572.7276414000007</v>
      </c>
    </row>
    <row r="58" spans="1:30" ht="23.25" thickBot="1" x14ac:dyDescent="0.3">
      <c r="A58" s="104"/>
      <c r="B58" s="104"/>
      <c r="C58" s="64" t="s">
        <v>155</v>
      </c>
      <c r="D58" s="75" t="s">
        <v>222</v>
      </c>
      <c r="E58" s="46">
        <v>132</v>
      </c>
      <c r="F58" s="46">
        <f t="shared" si="46"/>
        <v>132</v>
      </c>
      <c r="G58" s="41">
        <v>3</v>
      </c>
      <c r="H58" s="41">
        <f t="shared" si="40"/>
        <v>396</v>
      </c>
      <c r="I58" s="37">
        <v>1.67E-2</v>
      </c>
      <c r="J58" s="13">
        <f t="shared" si="37"/>
        <v>6.6132</v>
      </c>
      <c r="K58" s="41">
        <f t="shared" si="41"/>
        <v>0</v>
      </c>
      <c r="L58" s="41">
        <v>0</v>
      </c>
      <c r="M58" s="4">
        <f t="shared" si="42"/>
        <v>0</v>
      </c>
      <c r="N58" s="37">
        <f t="shared" si="45"/>
        <v>1.67E-2</v>
      </c>
      <c r="O58" s="15">
        <f t="shared" si="38"/>
        <v>0</v>
      </c>
      <c r="P58" s="4">
        <f t="shared" si="39"/>
        <v>6.6132</v>
      </c>
      <c r="Q58" s="130">
        <f t="shared" si="47"/>
        <v>90.639500000000012</v>
      </c>
      <c r="R58" s="6">
        <f t="shared" si="44"/>
        <v>599.41714140000011</v>
      </c>
    </row>
    <row r="59" spans="1:30" ht="23.25" thickBot="1" x14ac:dyDescent="0.3">
      <c r="A59" s="104"/>
      <c r="B59" s="104"/>
      <c r="C59" s="60" t="s">
        <v>217</v>
      </c>
      <c r="D59" s="75" t="s">
        <v>213</v>
      </c>
      <c r="E59" s="46">
        <v>132</v>
      </c>
      <c r="F59" s="46">
        <f t="shared" si="46"/>
        <v>132</v>
      </c>
      <c r="G59" s="41">
        <v>3</v>
      </c>
      <c r="H59" s="41">
        <f t="shared" si="40"/>
        <v>396</v>
      </c>
      <c r="I59" s="37">
        <v>1</v>
      </c>
      <c r="J59" s="13">
        <f t="shared" si="37"/>
        <v>396</v>
      </c>
      <c r="K59" s="41">
        <f>E59-F59</f>
        <v>0</v>
      </c>
      <c r="L59" s="41">
        <v>0</v>
      </c>
      <c r="M59" s="4">
        <f t="shared" si="42"/>
        <v>0</v>
      </c>
      <c r="N59" s="37">
        <f t="shared" si="45"/>
        <v>1</v>
      </c>
      <c r="O59" s="15">
        <f t="shared" si="38"/>
        <v>0</v>
      </c>
      <c r="P59" s="4">
        <f t="shared" si="39"/>
        <v>396</v>
      </c>
      <c r="Q59" s="130">
        <f t="shared" si="47"/>
        <v>90.639500000000012</v>
      </c>
      <c r="R59" s="6">
        <f t="shared" si="44"/>
        <v>35893.242000000006</v>
      </c>
    </row>
    <row r="60" spans="1:30" ht="24.75" thickBot="1" x14ac:dyDescent="0.3">
      <c r="A60" s="104"/>
      <c r="B60" s="104"/>
      <c r="C60" s="60" t="s">
        <v>274</v>
      </c>
      <c r="D60" s="75" t="s">
        <v>133</v>
      </c>
      <c r="E60" s="46">
        <v>132</v>
      </c>
      <c r="F60" s="46">
        <f t="shared" si="46"/>
        <v>132</v>
      </c>
      <c r="G60" s="41">
        <v>3</v>
      </c>
      <c r="H60" s="41">
        <f t="shared" si="40"/>
        <v>396</v>
      </c>
      <c r="I60" s="37">
        <v>0.26669999999999999</v>
      </c>
      <c r="J60" s="13">
        <f t="shared" si="37"/>
        <v>105.61319999999999</v>
      </c>
      <c r="K60" s="41">
        <f t="shared" si="41"/>
        <v>0</v>
      </c>
      <c r="L60" s="41">
        <v>0</v>
      </c>
      <c r="M60" s="4">
        <f t="shared" si="42"/>
        <v>0</v>
      </c>
      <c r="N60" s="37">
        <f t="shared" si="45"/>
        <v>0.26669999999999999</v>
      </c>
      <c r="O60" s="15">
        <f t="shared" si="38"/>
        <v>0</v>
      </c>
      <c r="P60" s="4">
        <f t="shared" si="39"/>
        <v>105.61319999999999</v>
      </c>
      <c r="Q60" s="130">
        <f t="shared" si="47"/>
        <v>90.639500000000012</v>
      </c>
      <c r="R60" s="6">
        <f t="shared" si="44"/>
        <v>9572.7276414000007</v>
      </c>
    </row>
    <row r="61" spans="1:30" ht="23.25" thickBot="1" x14ac:dyDescent="0.3">
      <c r="A61" s="104"/>
      <c r="B61" s="105"/>
      <c r="C61" s="64" t="s">
        <v>31</v>
      </c>
      <c r="D61" s="75" t="s">
        <v>221</v>
      </c>
      <c r="E61" s="46">
        <v>176</v>
      </c>
      <c r="F61" s="46">
        <v>176</v>
      </c>
      <c r="G61" s="41">
        <v>1</v>
      </c>
      <c r="H61" s="41">
        <f t="shared" si="40"/>
        <v>176</v>
      </c>
      <c r="I61" s="37">
        <v>1.67E-2</v>
      </c>
      <c r="J61" s="13">
        <f t="shared" si="37"/>
        <v>2.9392</v>
      </c>
      <c r="K61" s="41">
        <f t="shared" si="41"/>
        <v>0</v>
      </c>
      <c r="L61" s="41">
        <v>0</v>
      </c>
      <c r="M61" s="4">
        <f t="shared" si="42"/>
        <v>0</v>
      </c>
      <c r="N61" s="37">
        <f t="shared" si="45"/>
        <v>1.67E-2</v>
      </c>
      <c r="O61" s="15">
        <f t="shared" si="38"/>
        <v>0</v>
      </c>
      <c r="P61" s="4">
        <f t="shared" si="39"/>
        <v>2.9392</v>
      </c>
      <c r="Q61" s="130">
        <f t="shared" si="47"/>
        <v>90.639500000000012</v>
      </c>
      <c r="R61" s="6">
        <f t="shared" si="44"/>
        <v>266.40761840000005</v>
      </c>
    </row>
    <row r="62" spans="1:30" ht="32.1" customHeight="1" thickBot="1" x14ac:dyDescent="0.3">
      <c r="A62" s="104"/>
      <c r="B62" s="103" t="s">
        <v>148</v>
      </c>
      <c r="C62" s="126" t="s">
        <v>317</v>
      </c>
      <c r="D62" s="75" t="s">
        <v>262</v>
      </c>
      <c r="E62" s="46">
        <v>1300</v>
      </c>
      <c r="F62" s="46">
        <f>+Assumptions!C66</f>
        <v>1300</v>
      </c>
      <c r="G62" s="41">
        <v>1</v>
      </c>
      <c r="H62" s="41">
        <f t="shared" si="40"/>
        <v>1300</v>
      </c>
      <c r="I62" s="37">
        <v>1.67E-2</v>
      </c>
      <c r="J62" s="13">
        <f t="shared" si="37"/>
        <v>21.71</v>
      </c>
      <c r="K62" s="41">
        <f t="shared" si="41"/>
        <v>0</v>
      </c>
      <c r="L62" s="41">
        <v>0</v>
      </c>
      <c r="M62" s="4">
        <f t="shared" si="42"/>
        <v>0</v>
      </c>
      <c r="N62" s="37">
        <f t="shared" si="45"/>
        <v>1.67E-2</v>
      </c>
      <c r="O62" s="15">
        <f t="shared" si="38"/>
        <v>0</v>
      </c>
      <c r="P62" s="4">
        <f t="shared" si="39"/>
        <v>21.71</v>
      </c>
      <c r="Q62" s="130">
        <f t="shared" si="47"/>
        <v>90.639500000000012</v>
      </c>
      <c r="R62" s="6">
        <f t="shared" si="44"/>
        <v>1967.7835450000005</v>
      </c>
    </row>
    <row r="63" spans="1:30" ht="23.25" thickBot="1" x14ac:dyDescent="0.3">
      <c r="A63" s="104"/>
      <c r="B63" s="104"/>
      <c r="C63" s="64" t="s">
        <v>153</v>
      </c>
      <c r="D63" s="75" t="s">
        <v>260</v>
      </c>
      <c r="E63" s="46">
        <v>1300</v>
      </c>
      <c r="F63" s="46">
        <f>+Assumptions!C67</f>
        <v>1300</v>
      </c>
      <c r="G63" s="41">
        <v>4</v>
      </c>
      <c r="H63" s="41">
        <f t="shared" si="40"/>
        <v>5200</v>
      </c>
      <c r="I63" s="37">
        <v>1.67E-2</v>
      </c>
      <c r="J63" s="13">
        <f t="shared" si="37"/>
        <v>86.84</v>
      </c>
      <c r="K63" s="41">
        <f t="shared" si="41"/>
        <v>0</v>
      </c>
      <c r="L63" s="41">
        <v>0</v>
      </c>
      <c r="M63" s="4">
        <f t="shared" si="42"/>
        <v>0</v>
      </c>
      <c r="N63" s="37">
        <f t="shared" si="45"/>
        <v>1.67E-2</v>
      </c>
      <c r="O63" s="15">
        <f t="shared" si="38"/>
        <v>0</v>
      </c>
      <c r="P63" s="4">
        <f t="shared" si="39"/>
        <v>86.84</v>
      </c>
      <c r="Q63" s="130">
        <f t="shared" si="47"/>
        <v>90.639500000000012</v>
      </c>
      <c r="R63" s="6">
        <f t="shared" si="44"/>
        <v>7871.1341800000018</v>
      </c>
    </row>
    <row r="64" spans="1:30" ht="15.75" thickBot="1" x14ac:dyDescent="0.3">
      <c r="A64" s="104"/>
      <c r="B64" s="104"/>
      <c r="C64" s="64" t="s">
        <v>29</v>
      </c>
      <c r="D64" s="75" t="s">
        <v>263</v>
      </c>
      <c r="E64" s="46">
        <v>1300</v>
      </c>
      <c r="F64" s="46">
        <f>+Assumptions!C68</f>
        <v>1040</v>
      </c>
      <c r="G64" s="41">
        <v>1</v>
      </c>
      <c r="H64" s="41">
        <f t="shared" si="40"/>
        <v>1040</v>
      </c>
      <c r="I64" s="37">
        <v>0.16700000000000001</v>
      </c>
      <c r="J64" s="13">
        <f t="shared" si="37"/>
        <v>173.68</v>
      </c>
      <c r="K64" s="41">
        <f t="shared" si="41"/>
        <v>260</v>
      </c>
      <c r="L64" s="41">
        <v>1</v>
      </c>
      <c r="M64" s="4">
        <f t="shared" si="42"/>
        <v>260</v>
      </c>
      <c r="N64" s="37">
        <v>0</v>
      </c>
      <c r="O64" s="15">
        <f t="shared" si="38"/>
        <v>0</v>
      </c>
      <c r="P64" s="4">
        <f t="shared" si="39"/>
        <v>173.68</v>
      </c>
      <c r="Q64" s="130">
        <f t="shared" si="47"/>
        <v>90.639500000000012</v>
      </c>
      <c r="R64" s="6">
        <f t="shared" si="44"/>
        <v>15742.268360000004</v>
      </c>
    </row>
    <row r="65" spans="1:19" ht="23.25" thickBot="1" x14ac:dyDescent="0.3">
      <c r="A65" s="104"/>
      <c r="B65" s="105"/>
      <c r="C65" s="64" t="s">
        <v>154</v>
      </c>
      <c r="D65" s="75" t="s">
        <v>261</v>
      </c>
      <c r="E65" s="46">
        <v>1040</v>
      </c>
      <c r="F65" s="46">
        <f>+Assumptions!C69</f>
        <v>1040</v>
      </c>
      <c r="G65" s="41">
        <v>1</v>
      </c>
      <c r="H65" s="41">
        <f t="shared" si="40"/>
        <v>1040</v>
      </c>
      <c r="I65" s="37">
        <v>1.67E-2</v>
      </c>
      <c r="J65" s="13">
        <f t="shared" si="37"/>
        <v>17.367999999999999</v>
      </c>
      <c r="K65" s="41">
        <f t="shared" si="41"/>
        <v>0</v>
      </c>
      <c r="L65" s="41">
        <v>0</v>
      </c>
      <c r="M65" s="4">
        <f t="shared" si="42"/>
        <v>0</v>
      </c>
      <c r="N65" s="37">
        <v>0</v>
      </c>
      <c r="O65" s="15">
        <f t="shared" si="38"/>
        <v>0</v>
      </c>
      <c r="P65" s="4">
        <f t="shared" si="39"/>
        <v>17.367999999999999</v>
      </c>
      <c r="Q65" s="130">
        <f t="shared" si="47"/>
        <v>90.639500000000012</v>
      </c>
      <c r="R65" s="6">
        <f t="shared" si="44"/>
        <v>1574.226836</v>
      </c>
    </row>
    <row r="66" spans="1:19" ht="34.5" thickBot="1" x14ac:dyDescent="0.3">
      <c r="A66" s="104"/>
      <c r="B66" s="103" t="s">
        <v>128</v>
      </c>
      <c r="C66" s="129" t="s">
        <v>319</v>
      </c>
      <c r="D66" s="75" t="s">
        <v>265</v>
      </c>
      <c r="E66" s="46">
        <v>88</v>
      </c>
      <c r="F66" s="46">
        <f t="shared" si="46"/>
        <v>88</v>
      </c>
      <c r="G66" s="41">
        <v>1</v>
      </c>
      <c r="H66" s="41">
        <f t="shared" si="40"/>
        <v>88</v>
      </c>
      <c r="I66" s="37">
        <v>2</v>
      </c>
      <c r="J66" s="13">
        <f t="shared" si="37"/>
        <v>176</v>
      </c>
      <c r="K66" s="41">
        <f t="shared" si="41"/>
        <v>0</v>
      </c>
      <c r="L66" s="41">
        <v>0</v>
      </c>
      <c r="M66" s="4">
        <f t="shared" si="42"/>
        <v>0</v>
      </c>
      <c r="N66" s="37">
        <f t="shared" si="45"/>
        <v>2</v>
      </c>
      <c r="O66" s="15">
        <f t="shared" si="38"/>
        <v>0</v>
      </c>
      <c r="P66" s="4">
        <f t="shared" si="39"/>
        <v>176</v>
      </c>
      <c r="Q66" s="130">
        <f t="shared" si="47"/>
        <v>90.639500000000012</v>
      </c>
      <c r="R66" s="6">
        <f t="shared" si="44"/>
        <v>15952.552000000001</v>
      </c>
    </row>
    <row r="67" spans="1:19" ht="34.5" thickBot="1" x14ac:dyDescent="0.3">
      <c r="A67" s="104"/>
      <c r="B67" s="104"/>
      <c r="C67" s="126" t="s">
        <v>320</v>
      </c>
      <c r="D67" s="75" t="s">
        <v>244</v>
      </c>
      <c r="E67" s="46">
        <v>88</v>
      </c>
      <c r="F67" s="46">
        <f t="shared" si="46"/>
        <v>88</v>
      </c>
      <c r="G67" s="41">
        <v>1</v>
      </c>
      <c r="H67" s="41">
        <f t="shared" si="40"/>
        <v>88</v>
      </c>
      <c r="I67" s="37">
        <v>2</v>
      </c>
      <c r="J67" s="13">
        <f t="shared" si="37"/>
        <v>176</v>
      </c>
      <c r="K67" s="41">
        <f t="shared" si="41"/>
        <v>0</v>
      </c>
      <c r="L67" s="41">
        <v>0</v>
      </c>
      <c r="M67" s="4">
        <f t="shared" si="42"/>
        <v>0</v>
      </c>
      <c r="N67" s="37">
        <f t="shared" si="45"/>
        <v>2</v>
      </c>
      <c r="O67" s="15">
        <f t="shared" si="38"/>
        <v>0</v>
      </c>
      <c r="P67" s="4">
        <f t="shared" si="39"/>
        <v>176</v>
      </c>
      <c r="Q67" s="130">
        <f t="shared" si="47"/>
        <v>90.639500000000012</v>
      </c>
      <c r="R67" s="6">
        <f t="shared" si="44"/>
        <v>15952.552000000001</v>
      </c>
    </row>
    <row r="68" spans="1:19" ht="38.65" customHeight="1" thickBot="1" x14ac:dyDescent="0.3">
      <c r="A68" s="104"/>
      <c r="B68" s="104"/>
      <c r="C68" s="126" t="s">
        <v>321</v>
      </c>
      <c r="D68" s="75" t="s">
        <v>266</v>
      </c>
      <c r="E68" s="46">
        <v>88</v>
      </c>
      <c r="F68" s="46">
        <f>E68*1</f>
        <v>88</v>
      </c>
      <c r="G68" s="41">
        <v>1</v>
      </c>
      <c r="H68" s="41">
        <f>(F68*G68)</f>
        <v>88</v>
      </c>
      <c r="I68" s="37">
        <v>2</v>
      </c>
      <c r="J68" s="13">
        <f>H68*I68</f>
        <v>176</v>
      </c>
      <c r="K68" s="41">
        <f>E68-F68</f>
        <v>0</v>
      </c>
      <c r="L68" s="41">
        <v>0</v>
      </c>
      <c r="M68" s="4">
        <f>L68*K68</f>
        <v>0</v>
      </c>
      <c r="N68" s="37">
        <f>I68</f>
        <v>2</v>
      </c>
      <c r="O68" s="15">
        <f>M68*N68</f>
        <v>0</v>
      </c>
      <c r="P68" s="4">
        <f>(J68+O68)</f>
        <v>176</v>
      </c>
      <c r="Q68" s="130">
        <f t="shared" si="47"/>
        <v>90.639500000000012</v>
      </c>
      <c r="R68" s="6">
        <f>(P68*Q68)</f>
        <v>15952.552000000001</v>
      </c>
    </row>
    <row r="69" spans="1:19" ht="23.25" thickBot="1" x14ac:dyDescent="0.3">
      <c r="A69" s="104"/>
      <c r="B69" s="104"/>
      <c r="C69" s="64" t="s">
        <v>32</v>
      </c>
      <c r="D69" s="75" t="s">
        <v>220</v>
      </c>
      <c r="E69" s="46">
        <v>88</v>
      </c>
      <c r="F69" s="46">
        <f t="shared" si="46"/>
        <v>88</v>
      </c>
      <c r="G69" s="41">
        <v>1</v>
      </c>
      <c r="H69" s="41">
        <f t="shared" si="40"/>
        <v>88</v>
      </c>
      <c r="I69" s="37">
        <v>1.67E-2</v>
      </c>
      <c r="J69" s="13">
        <f t="shared" si="37"/>
        <v>1.4696</v>
      </c>
      <c r="K69" s="41">
        <f t="shared" si="41"/>
        <v>0</v>
      </c>
      <c r="L69" s="41">
        <v>0</v>
      </c>
      <c r="M69" s="4">
        <f>L69*K69</f>
        <v>0</v>
      </c>
      <c r="N69" s="37">
        <f t="shared" si="45"/>
        <v>1.67E-2</v>
      </c>
      <c r="O69" s="15">
        <f t="shared" si="38"/>
        <v>0</v>
      </c>
      <c r="P69" s="4">
        <f t="shared" si="39"/>
        <v>1.4696</v>
      </c>
      <c r="Q69" s="130">
        <f t="shared" si="47"/>
        <v>90.639500000000012</v>
      </c>
      <c r="R69" s="6">
        <f>(P69*Q69)</f>
        <v>133.20380920000002</v>
      </c>
    </row>
    <row r="70" spans="1:19" ht="24.75" thickBot="1" x14ac:dyDescent="0.3">
      <c r="A70" s="105"/>
      <c r="B70" s="105"/>
      <c r="C70" s="64" t="s">
        <v>275</v>
      </c>
      <c r="D70" s="75" t="s">
        <v>219</v>
      </c>
      <c r="E70" s="46">
        <v>88</v>
      </c>
      <c r="F70" s="46">
        <f t="shared" ref="F70" si="48">E70*1</f>
        <v>88</v>
      </c>
      <c r="G70" s="41">
        <v>1</v>
      </c>
      <c r="H70" s="41">
        <f t="shared" ref="H70" si="49">(F70*G70)</f>
        <v>88</v>
      </c>
      <c r="I70" s="37">
        <v>1.0166999999999999</v>
      </c>
      <c r="J70" s="13">
        <f t="shared" ref="J70" si="50">H70*I70</f>
        <v>89.4696</v>
      </c>
      <c r="K70" s="41">
        <f t="shared" ref="K70" si="51">E70-F70</f>
        <v>0</v>
      </c>
      <c r="L70" s="41">
        <v>0</v>
      </c>
      <c r="M70" s="4">
        <f t="shared" ref="M70" si="52">L70*K70</f>
        <v>0</v>
      </c>
      <c r="N70" s="37">
        <f t="shared" ref="N70" si="53">I70</f>
        <v>1.0166999999999999</v>
      </c>
      <c r="O70" s="15">
        <f t="shared" ref="O70" si="54">M70*N70</f>
        <v>0</v>
      </c>
      <c r="P70" s="4">
        <f t="shared" ref="P70" si="55">(J70+O70)</f>
        <v>89.4696</v>
      </c>
      <c r="Q70" s="130">
        <f t="shared" si="47"/>
        <v>90.639500000000012</v>
      </c>
      <c r="R70" s="6">
        <f t="shared" ref="R70" si="56">(P70*Q70)</f>
        <v>8109.479809200001</v>
      </c>
    </row>
    <row r="71" spans="1:19" ht="15" customHeight="1" thickBot="1" x14ac:dyDescent="0.3">
      <c r="A71" s="91" t="s">
        <v>33</v>
      </c>
      <c r="B71" s="92"/>
      <c r="C71" s="92"/>
      <c r="D71" s="93"/>
      <c r="E71" s="55">
        <f>E45+E47+E52+E56+E57+E62+E66+E70</f>
        <v>5938</v>
      </c>
      <c r="F71" s="55">
        <f>F45+F49+F54+F56+F59+F65+F66+F70</f>
        <v>4836</v>
      </c>
      <c r="G71" s="54">
        <f>H71/E71</f>
        <v>6.3098686426406196</v>
      </c>
      <c r="H71" s="16">
        <f>SUM(H45:H70)</f>
        <v>37468</v>
      </c>
      <c r="I71" s="81">
        <f>J71/H71</f>
        <v>7.4575872744742172E-2</v>
      </c>
      <c r="J71" s="51">
        <f>SUM(J45:J70)</f>
        <v>2794.2087999999999</v>
      </c>
      <c r="K71" s="55">
        <f>K47+K49+K54+K64</f>
        <v>1102</v>
      </c>
      <c r="L71" s="83">
        <f>M71/K71</f>
        <v>1</v>
      </c>
      <c r="M71" s="55">
        <f>+SUM(M45:M70)</f>
        <v>1102</v>
      </c>
      <c r="N71" s="11">
        <f>+O71/M71</f>
        <v>6.6678765880217792E-4</v>
      </c>
      <c r="O71" s="84">
        <f>SUM(O45:O70)</f>
        <v>0.73480000000000001</v>
      </c>
      <c r="P71" s="51">
        <f>SUM(P45:P70)</f>
        <v>2794.9435999999996</v>
      </c>
      <c r="Q71" s="10" t="s">
        <v>24</v>
      </c>
      <c r="R71" s="21">
        <f>SUM(R45:R70)</f>
        <v>211842.34380484006</v>
      </c>
    </row>
    <row r="72" spans="1:19" ht="15" customHeight="1" thickBot="1" x14ac:dyDescent="0.3">
      <c r="A72" s="94" t="s">
        <v>34</v>
      </c>
      <c r="B72" s="95"/>
      <c r="C72" s="95"/>
      <c r="D72" s="96"/>
      <c r="E72" s="52">
        <f>E71+E44+E24</f>
        <v>186608</v>
      </c>
      <c r="F72" s="52">
        <f>F71+F44+F24</f>
        <v>24564</v>
      </c>
      <c r="G72" s="53">
        <f>H72/E72</f>
        <v>8.3348034382234424</v>
      </c>
      <c r="H72" s="52">
        <f>H71+H44+H24</f>
        <v>1555341</v>
      </c>
      <c r="I72" s="82">
        <f>J72/H72</f>
        <v>2.064159277611791E-2</v>
      </c>
      <c r="J72" s="52">
        <f>J71+J44+J24</f>
        <v>32104.715550000004</v>
      </c>
      <c r="K72" s="52">
        <f>K71+K44+K24</f>
        <v>162044</v>
      </c>
      <c r="L72" s="53">
        <f>M72/K72</f>
        <v>1</v>
      </c>
      <c r="M72" s="52">
        <f>M71+M44+M24</f>
        <v>162044</v>
      </c>
      <c r="N72" s="11">
        <f>+O72/M72</f>
        <v>3.5555157858359455E-5</v>
      </c>
      <c r="O72" s="80">
        <f>O71+O44+O24</f>
        <v>5.7614999999999998</v>
      </c>
      <c r="P72" s="52">
        <f>P71+P44+P24</f>
        <v>32110.477050000001</v>
      </c>
      <c r="Q72" s="52" t="s">
        <v>24</v>
      </c>
      <c r="R72" s="25">
        <f>R71+R44+R24</f>
        <v>564660.64504342503</v>
      </c>
    </row>
    <row r="73" spans="1:19" s="29" customFormat="1" ht="11.25" x14ac:dyDescent="0.2">
      <c r="C73" s="66"/>
      <c r="F73" s="30"/>
    </row>
    <row r="74" spans="1:19" s="29" customFormat="1" ht="10.5" customHeight="1" x14ac:dyDescent="0.2">
      <c r="A74" s="112" t="s">
        <v>328</v>
      </c>
      <c r="B74" s="113"/>
      <c r="C74" s="113"/>
      <c r="D74" s="113"/>
      <c r="E74" s="113"/>
      <c r="F74" s="113"/>
      <c r="G74" s="113"/>
      <c r="H74" s="113"/>
      <c r="I74" s="113"/>
      <c r="J74" s="113"/>
      <c r="K74" s="113"/>
      <c r="L74" s="114"/>
      <c r="N74" s="58" t="s">
        <v>35</v>
      </c>
      <c r="O74" s="31"/>
      <c r="P74" s="31"/>
      <c r="Q74" s="31"/>
      <c r="R74" s="34"/>
    </row>
    <row r="75" spans="1:19" s="29" customFormat="1" ht="11.25" x14ac:dyDescent="0.2">
      <c r="A75" s="115"/>
      <c r="B75" s="116"/>
      <c r="C75" s="116"/>
      <c r="D75" s="116"/>
      <c r="E75" s="116"/>
      <c r="F75" s="116"/>
      <c r="G75" s="116"/>
      <c r="H75" s="116"/>
      <c r="I75" s="116"/>
      <c r="J75" s="116"/>
      <c r="K75" s="116"/>
      <c r="L75" s="117"/>
      <c r="N75" s="123" t="s">
        <v>36</v>
      </c>
      <c r="O75" s="110"/>
      <c r="P75" s="110"/>
      <c r="Q75" s="110"/>
      <c r="R75" s="111"/>
    </row>
    <row r="76" spans="1:19" s="29" customFormat="1" ht="11.25" x14ac:dyDescent="0.2">
      <c r="A76" s="115"/>
      <c r="B76" s="116"/>
      <c r="C76" s="116"/>
      <c r="D76" s="116"/>
      <c r="E76" s="116"/>
      <c r="F76" s="116"/>
      <c r="G76" s="116"/>
      <c r="H76" s="116"/>
      <c r="I76" s="116"/>
      <c r="J76" s="116"/>
      <c r="K76" s="116"/>
      <c r="L76" s="117"/>
      <c r="N76" s="109" t="s">
        <v>292</v>
      </c>
      <c r="O76" s="110"/>
      <c r="P76" s="110"/>
      <c r="Q76" s="111"/>
      <c r="R76" s="69">
        <f>+E56+E57+E62+E66+E70</f>
        <v>1784</v>
      </c>
    </row>
    <row r="77" spans="1:19" s="29" customFormat="1" ht="11.25" x14ac:dyDescent="0.2">
      <c r="A77" s="118"/>
      <c r="B77" s="119"/>
      <c r="C77" s="119"/>
      <c r="D77" s="119"/>
      <c r="E77" s="119"/>
      <c r="F77" s="119"/>
      <c r="G77" s="119"/>
      <c r="H77" s="119"/>
      <c r="I77" s="119"/>
      <c r="J77" s="119"/>
      <c r="K77" s="119"/>
      <c r="L77" s="120"/>
      <c r="N77" s="109" t="s">
        <v>37</v>
      </c>
      <c r="O77" s="110"/>
      <c r="P77" s="110"/>
      <c r="Q77" s="111"/>
      <c r="R77" s="59">
        <f>+(3*R78)/R76</f>
        <v>6.2869955156950672</v>
      </c>
    </row>
    <row r="78" spans="1:19" s="29" customFormat="1" ht="10.5" customHeight="1" x14ac:dyDescent="0.2">
      <c r="A78" s="121" t="s">
        <v>311</v>
      </c>
      <c r="B78" s="121"/>
      <c r="C78" s="121"/>
      <c r="D78" s="121"/>
      <c r="E78" s="121"/>
      <c r="F78" s="121"/>
      <c r="G78" s="121"/>
      <c r="H78" s="121"/>
      <c r="I78" s="121"/>
      <c r="J78" s="121"/>
      <c r="K78" s="121"/>
      <c r="L78" s="121"/>
      <c r="N78" s="56" t="s">
        <v>293</v>
      </c>
      <c r="O78" s="31"/>
      <c r="P78" s="31"/>
      <c r="Q78" s="31"/>
      <c r="R78" s="69">
        <f>(SUM(H56:H70)+SUM(M56:M70))/3</f>
        <v>3738.6666666666665</v>
      </c>
    </row>
    <row r="79" spans="1:19" s="29" customFormat="1" ht="11.25" x14ac:dyDescent="0.2">
      <c r="A79" s="122"/>
      <c r="B79" s="122"/>
      <c r="C79" s="122"/>
      <c r="D79" s="122"/>
      <c r="E79" s="122"/>
      <c r="F79" s="122"/>
      <c r="G79" s="122"/>
      <c r="H79" s="122"/>
      <c r="I79" s="122"/>
      <c r="J79" s="122"/>
      <c r="K79" s="122"/>
      <c r="L79" s="122"/>
      <c r="N79" s="56" t="s">
        <v>38</v>
      </c>
      <c r="O79" s="31"/>
      <c r="P79" s="31"/>
      <c r="Q79" s="31"/>
      <c r="R79" s="59">
        <f>+R80/(3*R78)</f>
        <v>0.14523894436519258</v>
      </c>
    </row>
    <row r="80" spans="1:19" s="29" customFormat="1" ht="25.5" customHeight="1" x14ac:dyDescent="0.2">
      <c r="A80" s="132" t="s">
        <v>322</v>
      </c>
      <c r="B80" s="132"/>
      <c r="C80" s="132"/>
      <c r="D80" s="132"/>
      <c r="E80" s="132"/>
      <c r="F80" s="132"/>
      <c r="G80" s="132"/>
      <c r="H80" s="132"/>
      <c r="I80" s="132"/>
      <c r="J80" s="132"/>
      <c r="K80" s="132"/>
      <c r="L80" s="132"/>
      <c r="N80" s="56" t="s">
        <v>39</v>
      </c>
      <c r="O80" s="31"/>
      <c r="P80" s="31"/>
      <c r="Q80" s="31"/>
      <c r="R80" s="69">
        <f>+ROUND(SUM(P56:P70),0)</f>
        <v>1629</v>
      </c>
      <c r="S80" s="86"/>
    </row>
    <row r="81" spans="1:19" s="29" customFormat="1" ht="11.25" x14ac:dyDescent="0.2">
      <c r="A81" s="133" t="s">
        <v>323</v>
      </c>
      <c r="B81" s="133"/>
      <c r="C81" s="133"/>
      <c r="D81" s="133"/>
      <c r="E81" s="133"/>
      <c r="F81" s="133"/>
      <c r="G81" s="133"/>
      <c r="H81" s="133"/>
      <c r="I81" s="133"/>
      <c r="J81" s="133"/>
      <c r="K81" s="133"/>
      <c r="L81" s="133"/>
      <c r="N81" s="57"/>
      <c r="R81" s="32"/>
    </row>
    <row r="82" spans="1:19" s="29" customFormat="1" ht="11.25" x14ac:dyDescent="0.2">
      <c r="A82" s="97" t="s">
        <v>277</v>
      </c>
      <c r="B82" s="97"/>
      <c r="C82" s="97"/>
      <c r="D82" s="97"/>
      <c r="E82" s="97"/>
      <c r="F82" s="97"/>
      <c r="G82" s="97"/>
      <c r="H82" s="97"/>
      <c r="I82" s="97"/>
      <c r="J82" s="97"/>
      <c r="K82" s="97"/>
      <c r="L82" s="97"/>
      <c r="N82" s="123" t="s">
        <v>40</v>
      </c>
      <c r="O82" s="110"/>
      <c r="P82" s="110"/>
      <c r="Q82" s="110"/>
      <c r="R82" s="111"/>
    </row>
    <row r="83" spans="1:19" s="29" customFormat="1" ht="11.25" customHeight="1" x14ac:dyDescent="0.2">
      <c r="A83" s="97" t="s">
        <v>276</v>
      </c>
      <c r="B83" s="97"/>
      <c r="C83" s="97"/>
      <c r="D83" s="97"/>
      <c r="E83" s="97"/>
      <c r="F83" s="97"/>
      <c r="G83" s="97"/>
      <c r="H83" s="97"/>
      <c r="I83" s="97"/>
      <c r="J83" s="97"/>
      <c r="K83" s="97"/>
      <c r="L83" s="97"/>
      <c r="N83" s="109" t="s">
        <v>292</v>
      </c>
      <c r="O83" s="110"/>
      <c r="P83" s="110"/>
      <c r="Q83" s="111"/>
      <c r="R83" s="69">
        <f>E45+E47+E52</f>
        <v>4154</v>
      </c>
    </row>
    <row r="84" spans="1:19" s="29" customFormat="1" ht="11.25" x14ac:dyDescent="0.2">
      <c r="A84" s="97" t="s">
        <v>278</v>
      </c>
      <c r="B84" s="97"/>
      <c r="C84" s="97"/>
      <c r="D84" s="97"/>
      <c r="E84" s="97"/>
      <c r="F84" s="97"/>
      <c r="G84" s="97"/>
      <c r="H84" s="97"/>
      <c r="I84" s="97"/>
      <c r="J84" s="97"/>
      <c r="K84" s="97"/>
      <c r="L84" s="97"/>
      <c r="N84" s="109" t="s">
        <v>37</v>
      </c>
      <c r="O84" s="110"/>
      <c r="P84" s="110"/>
      <c r="Q84" s="111"/>
      <c r="R84" s="59">
        <f>+(3*R85)/R83</f>
        <v>6.5849783341357728</v>
      </c>
    </row>
    <row r="85" spans="1:19" s="29" customFormat="1" ht="11.25" x14ac:dyDescent="0.2">
      <c r="N85" s="56" t="s">
        <v>293</v>
      </c>
      <c r="O85" s="31"/>
      <c r="P85" s="31"/>
      <c r="Q85" s="31"/>
      <c r="R85" s="69">
        <f>(SUM(H45:H55)+SUM(M45:M55))/3</f>
        <v>9118</v>
      </c>
    </row>
    <row r="86" spans="1:19" s="29" customFormat="1" ht="11.25" x14ac:dyDescent="0.2">
      <c r="C86" s="66"/>
      <c r="N86" s="56" t="s">
        <v>38</v>
      </c>
      <c r="O86" s="31"/>
      <c r="P86" s="31"/>
      <c r="Q86" s="31"/>
      <c r="R86" s="59">
        <f>+R87/(3*R85)</f>
        <v>4.2626306938656135E-2</v>
      </c>
    </row>
    <row r="87" spans="1:19" s="29" customFormat="1" ht="11.25" x14ac:dyDescent="0.2">
      <c r="C87" s="66"/>
      <c r="N87" s="56" t="s">
        <v>39</v>
      </c>
      <c r="O87" s="31"/>
      <c r="P87" s="31"/>
      <c r="Q87" s="31"/>
      <c r="R87" s="69">
        <f>ROUND(SUM(P45:P55),0)</f>
        <v>1166</v>
      </c>
      <c r="S87" s="86"/>
    </row>
    <row r="88" spans="1:19" s="29" customFormat="1" ht="11.25" x14ac:dyDescent="0.2">
      <c r="C88" s="66"/>
      <c r="N88" s="57"/>
      <c r="R88" s="33"/>
    </row>
    <row r="89" spans="1:19" s="29" customFormat="1" ht="11.25" x14ac:dyDescent="0.2">
      <c r="C89" s="66"/>
      <c r="N89" s="123" t="s">
        <v>41</v>
      </c>
      <c r="O89" s="110"/>
      <c r="P89" s="110"/>
      <c r="Q89" s="110"/>
      <c r="R89" s="111"/>
    </row>
    <row r="90" spans="1:19" s="29" customFormat="1" ht="11.25" customHeight="1" x14ac:dyDescent="0.2">
      <c r="C90" s="66"/>
      <c r="N90" s="109" t="s">
        <v>292</v>
      </c>
      <c r="O90" s="110"/>
      <c r="P90" s="110"/>
      <c r="Q90" s="111"/>
      <c r="R90" s="69">
        <f>+E44</f>
        <v>4200</v>
      </c>
    </row>
    <row r="91" spans="1:19" s="29" customFormat="1" ht="11.25" x14ac:dyDescent="0.2">
      <c r="C91" s="66"/>
      <c r="N91" s="109" t="s">
        <v>37</v>
      </c>
      <c r="O91" s="110"/>
      <c r="P91" s="110"/>
      <c r="Q91" s="111"/>
      <c r="R91" s="59">
        <f>+(3*R92)/R90</f>
        <v>10.809761904761904</v>
      </c>
    </row>
    <row r="92" spans="1:19" s="29" customFormat="1" ht="11.25" x14ac:dyDescent="0.2">
      <c r="C92" s="66"/>
      <c r="N92" s="56" t="s">
        <v>293</v>
      </c>
      <c r="O92" s="31"/>
      <c r="P92" s="31"/>
      <c r="Q92" s="31"/>
      <c r="R92" s="69">
        <f>+(H44+M44)/3</f>
        <v>15133.666666666666</v>
      </c>
    </row>
    <row r="93" spans="1:19" s="29" customFormat="1" ht="11.25" x14ac:dyDescent="0.2">
      <c r="C93" s="66"/>
      <c r="N93" s="56" t="s">
        <v>38</v>
      </c>
      <c r="O93" s="31"/>
      <c r="P93" s="31"/>
      <c r="Q93" s="31"/>
      <c r="R93" s="59">
        <f>+R94/(3*R92)</f>
        <v>2.9184379198696063E-2</v>
      </c>
    </row>
    <row r="94" spans="1:19" s="29" customFormat="1" ht="11.25" x14ac:dyDescent="0.2">
      <c r="C94" s="66"/>
      <c r="N94" s="56" t="s">
        <v>39</v>
      </c>
      <c r="O94" s="31"/>
      <c r="P94" s="31"/>
      <c r="Q94" s="31"/>
      <c r="R94" s="69">
        <f>ROUND(P44,0)</f>
        <v>1325</v>
      </c>
      <c r="S94" s="86"/>
    </row>
    <row r="95" spans="1:19" s="29" customFormat="1" ht="11.25" x14ac:dyDescent="0.2">
      <c r="C95" s="66"/>
      <c r="N95" s="57"/>
      <c r="R95" s="33"/>
    </row>
    <row r="96" spans="1:19" s="29" customFormat="1" ht="11.25" x14ac:dyDescent="0.2">
      <c r="C96" s="66"/>
      <c r="N96" s="123" t="s">
        <v>42</v>
      </c>
      <c r="O96" s="110"/>
      <c r="P96" s="110"/>
      <c r="Q96" s="110"/>
      <c r="R96" s="111"/>
    </row>
    <row r="97" spans="1:20" s="29" customFormat="1" ht="11.25" customHeight="1" x14ac:dyDescent="0.2">
      <c r="C97" s="66"/>
      <c r="N97" s="109" t="s">
        <v>292</v>
      </c>
      <c r="O97" s="110"/>
      <c r="P97" s="110"/>
      <c r="Q97" s="111"/>
      <c r="R97" s="69">
        <f>+E24</f>
        <v>176470</v>
      </c>
    </row>
    <row r="98" spans="1:20" s="29" customFormat="1" ht="11.25" x14ac:dyDescent="0.2">
      <c r="C98" s="66"/>
      <c r="N98" s="109" t="s">
        <v>37</v>
      </c>
      <c r="O98" s="110"/>
      <c r="P98" s="110"/>
      <c r="Q98" s="111"/>
      <c r="R98" s="59">
        <f>+(3*R99)/R97</f>
        <v>9.2560435201450666</v>
      </c>
    </row>
    <row r="99" spans="1:20" s="29" customFormat="1" ht="11.25" x14ac:dyDescent="0.2">
      <c r="C99" s="66"/>
      <c r="N99" s="56" t="s">
        <v>293</v>
      </c>
      <c r="O99" s="31"/>
      <c r="P99" s="31"/>
      <c r="Q99" s="31"/>
      <c r="R99" s="69">
        <f>(H24+M24)/3</f>
        <v>544471.33333333337</v>
      </c>
    </row>
    <row r="100" spans="1:20" s="29" customFormat="1" ht="11.25" x14ac:dyDescent="0.2">
      <c r="C100" s="66"/>
      <c r="N100" s="56" t="s">
        <v>38</v>
      </c>
      <c r="O100" s="31"/>
      <c r="P100" s="31"/>
      <c r="Q100" s="31"/>
      <c r="R100" s="59">
        <f>+R101/(3*R99)</f>
        <v>1.71365006054803E-2</v>
      </c>
    </row>
    <row r="101" spans="1:20" s="29" customFormat="1" ht="11.25" x14ac:dyDescent="0.2">
      <c r="C101" s="66"/>
      <c r="N101" s="56" t="s">
        <v>39</v>
      </c>
      <c r="O101" s="31"/>
      <c r="P101" s="31"/>
      <c r="Q101" s="31"/>
      <c r="R101" s="69">
        <f>ROUND(P24,0)</f>
        <v>27991</v>
      </c>
      <c r="S101" s="86"/>
    </row>
    <row r="102" spans="1:20" s="29" customFormat="1" ht="11.25" x14ac:dyDescent="0.2">
      <c r="C102" s="66"/>
      <c r="N102" s="57"/>
      <c r="R102" s="33"/>
    </row>
    <row r="103" spans="1:20" s="29" customFormat="1" ht="11.25" x14ac:dyDescent="0.2">
      <c r="C103" s="66"/>
      <c r="F103" s="88"/>
      <c r="N103" s="123" t="s">
        <v>43</v>
      </c>
      <c r="O103" s="110"/>
      <c r="P103" s="110"/>
      <c r="Q103" s="110"/>
      <c r="R103" s="111"/>
    </row>
    <row r="104" spans="1:20" s="29" customFormat="1" ht="11.25" customHeight="1" x14ac:dyDescent="0.2">
      <c r="C104" s="66"/>
      <c r="N104" s="109" t="s">
        <v>292</v>
      </c>
      <c r="O104" s="110"/>
      <c r="P104" s="110"/>
      <c r="Q104" s="111"/>
      <c r="R104" s="69">
        <f>+E72</f>
        <v>186608</v>
      </c>
    </row>
    <row r="105" spans="1:20" s="29" customFormat="1" ht="11.25" x14ac:dyDescent="0.2">
      <c r="C105" s="66"/>
      <c r="N105" s="109" t="s">
        <v>37</v>
      </c>
      <c r="O105" s="110"/>
      <c r="P105" s="110"/>
      <c r="Q105" s="111"/>
      <c r="R105" s="59">
        <f>+(3*R106)/R104</f>
        <v>9.2031692103232441</v>
      </c>
    </row>
    <row r="106" spans="1:20" s="29" customFormat="1" ht="11.25" x14ac:dyDescent="0.2">
      <c r="C106" s="66"/>
      <c r="N106" s="56" t="s">
        <v>293</v>
      </c>
      <c r="O106" s="31"/>
      <c r="P106" s="31"/>
      <c r="Q106" s="31"/>
      <c r="R106" s="69">
        <f>(H72+M72)/3</f>
        <v>572461.66666666663</v>
      </c>
    </row>
    <row r="107" spans="1:20" x14ac:dyDescent="0.25">
      <c r="A107" s="8"/>
      <c r="B107" s="8"/>
      <c r="C107" s="17"/>
      <c r="D107" s="8"/>
      <c r="E107" s="8"/>
      <c r="F107" s="8"/>
      <c r="G107" s="8"/>
      <c r="N107" s="56" t="s">
        <v>38</v>
      </c>
      <c r="O107" s="31"/>
      <c r="P107" s="31"/>
      <c r="Q107" s="31"/>
      <c r="R107" s="59">
        <f>+R108/(3*R106)</f>
        <v>1.8697030659985969E-2</v>
      </c>
    </row>
    <row r="108" spans="1:20" x14ac:dyDescent="0.25">
      <c r="A108" s="8"/>
      <c r="B108" s="8"/>
      <c r="N108" s="56" t="s">
        <v>39</v>
      </c>
      <c r="O108" s="31"/>
      <c r="P108" s="31"/>
      <c r="Q108" s="31"/>
      <c r="R108" s="69">
        <f>ROUND(P72,0)</f>
        <v>32110</v>
      </c>
      <c r="S108" s="86"/>
      <c r="T108" s="87"/>
    </row>
    <row r="109" spans="1:20" x14ac:dyDescent="0.25">
      <c r="A109" s="8"/>
      <c r="B109" s="8"/>
      <c r="N109" s="29"/>
      <c r="O109" s="29"/>
      <c r="P109" s="29"/>
      <c r="Q109" s="29"/>
      <c r="R109" s="30"/>
    </row>
    <row r="110" spans="1:20" x14ac:dyDescent="0.25">
      <c r="A110" s="8"/>
      <c r="B110" s="8"/>
      <c r="N110" s="29"/>
      <c r="O110" s="29"/>
      <c r="P110" s="29"/>
      <c r="Q110" s="29"/>
      <c r="R110" s="29"/>
    </row>
    <row r="111" spans="1:20" x14ac:dyDescent="0.25">
      <c r="A111" s="8"/>
      <c r="B111" s="8"/>
      <c r="N111" s="29"/>
      <c r="O111" s="29"/>
      <c r="P111" s="29"/>
      <c r="Q111" s="29"/>
      <c r="R111" s="29"/>
    </row>
  </sheetData>
  <mergeCells count="40">
    <mergeCell ref="N84:Q84"/>
    <mergeCell ref="N91:Q91"/>
    <mergeCell ref="N98:Q98"/>
    <mergeCell ref="N105:Q105"/>
    <mergeCell ref="A44:D44"/>
    <mergeCell ref="B56:B61"/>
    <mergeCell ref="B62:B65"/>
    <mergeCell ref="B66:B70"/>
    <mergeCell ref="A45:A70"/>
    <mergeCell ref="N97:Q97"/>
    <mergeCell ref="N96:R96"/>
    <mergeCell ref="N103:R103"/>
    <mergeCell ref="N104:Q104"/>
    <mergeCell ref="N89:R89"/>
    <mergeCell ref="N90:Q90"/>
    <mergeCell ref="N75:R75"/>
    <mergeCell ref="A74:L77"/>
    <mergeCell ref="N76:Q76"/>
    <mergeCell ref="A82:L82"/>
    <mergeCell ref="A83:L83"/>
    <mergeCell ref="A81:L81"/>
    <mergeCell ref="A78:L79"/>
    <mergeCell ref="N82:R82"/>
    <mergeCell ref="N77:Q77"/>
    <mergeCell ref="A71:D71"/>
    <mergeCell ref="A72:D72"/>
    <mergeCell ref="A84:L84"/>
    <mergeCell ref="A80:L80"/>
    <mergeCell ref="F1:J1"/>
    <mergeCell ref="K1:O1"/>
    <mergeCell ref="B3:B12"/>
    <mergeCell ref="A24:D24"/>
    <mergeCell ref="N83:Q83"/>
    <mergeCell ref="B13:B23"/>
    <mergeCell ref="A3:A23"/>
    <mergeCell ref="B25:B33"/>
    <mergeCell ref="B34:B43"/>
    <mergeCell ref="A25:A43"/>
    <mergeCell ref="B45:B51"/>
    <mergeCell ref="B52:B55"/>
  </mergeCells>
  <printOptions gridLines="1"/>
  <pageMargins left="0.7" right="0.7" top="0.75" bottom="0.75" header="0.3" footer="0.3"/>
  <pageSetup scale="41" orientation="landscape" r:id="rId1"/>
  <headerFooter>
    <oddHeader>&amp;LAppendix - Burden Table for The Study of Food Access and Well-Being</oddHeader>
  </headerFooter>
  <ignoredErrors>
    <ignoredError sqref="H44:J44 O44:P44 J43:K43 J26 J25:K25 O25:P25 I27:K27 P27 O43:P43 J72:K72 R24:R27 J45:K45 N45:P45 R43 R45 H71:I71 L71 H24 I24:J24 M24 R44 R72 L44:M44 H72 L72:M72 O72:P72 O24:P2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3E76C-E29A-4BFD-BA5E-827C94019907}">
  <dimension ref="A1:DI82"/>
  <sheetViews>
    <sheetView topLeftCell="A69" workbookViewId="0">
      <selection activeCell="B90" sqref="B90"/>
    </sheetView>
  </sheetViews>
  <sheetFormatPr defaultColWidth="9.28515625" defaultRowHeight="12.75" x14ac:dyDescent="0.2"/>
  <cols>
    <col min="1" max="1" width="9.28515625" style="1"/>
    <col min="2" max="2" width="86.28515625" style="1" customWidth="1"/>
    <col min="3" max="3" width="10.5703125" style="1" bestFit="1" customWidth="1"/>
    <col min="4" max="4" width="96.28515625" style="43" customWidth="1"/>
    <col min="5" max="16384" width="9.28515625" style="1"/>
  </cols>
  <sheetData>
    <row r="1" spans="1:5" s="36" customFormat="1" ht="39" thickBot="1" x14ac:dyDescent="0.25">
      <c r="A1" s="27" t="s">
        <v>44</v>
      </c>
      <c r="B1" s="38" t="s">
        <v>45</v>
      </c>
      <c r="C1" s="35" t="s">
        <v>201</v>
      </c>
      <c r="D1" s="35" t="s">
        <v>46</v>
      </c>
    </row>
    <row r="2" spans="1:5" ht="25.5" x14ac:dyDescent="0.2">
      <c r="A2" s="1" t="s">
        <v>47</v>
      </c>
      <c r="B2" s="12" t="s">
        <v>229</v>
      </c>
      <c r="C2" s="12">
        <f>+ROUND(575/0.625/10,0)*10</f>
        <v>920</v>
      </c>
      <c r="D2" s="43" t="s">
        <v>143</v>
      </c>
      <c r="E2" s="28"/>
    </row>
    <row r="3" spans="1:5" x14ac:dyDescent="0.2">
      <c r="A3" s="1" t="s">
        <v>48</v>
      </c>
      <c r="B3" s="12" t="s">
        <v>230</v>
      </c>
      <c r="C3" s="12">
        <f>+C2*0.7</f>
        <v>644</v>
      </c>
      <c r="D3" s="43" t="s">
        <v>199</v>
      </c>
      <c r="E3" s="28"/>
    </row>
    <row r="4" spans="1:5" ht="25.5" x14ac:dyDescent="0.2">
      <c r="A4" s="1" t="s">
        <v>49</v>
      </c>
      <c r="B4" s="12" t="s">
        <v>231</v>
      </c>
      <c r="C4" s="12">
        <f>+C3</f>
        <v>644</v>
      </c>
      <c r="D4" s="43" t="s">
        <v>144</v>
      </c>
      <c r="E4" s="28"/>
    </row>
    <row r="5" spans="1:5" x14ac:dyDescent="0.2">
      <c r="A5" s="1" t="s">
        <v>50</v>
      </c>
      <c r="B5" s="12" t="s">
        <v>233</v>
      </c>
      <c r="C5" s="12">
        <f>+C3</f>
        <v>644</v>
      </c>
      <c r="D5" s="43" t="s">
        <v>142</v>
      </c>
    </row>
    <row r="6" spans="1:5" x14ac:dyDescent="0.2">
      <c r="A6" s="1" t="s">
        <v>51</v>
      </c>
      <c r="B6" s="12" t="s">
        <v>234</v>
      </c>
      <c r="C6" s="12">
        <f>+C4</f>
        <v>644</v>
      </c>
      <c r="D6" s="43" t="s">
        <v>52</v>
      </c>
    </row>
    <row r="7" spans="1:5" x14ac:dyDescent="0.2">
      <c r="A7" s="1" t="s">
        <v>53</v>
      </c>
      <c r="B7" s="12" t="s">
        <v>235</v>
      </c>
      <c r="C7" s="12">
        <f>+C4</f>
        <v>644</v>
      </c>
      <c r="D7" s="43" t="s">
        <v>54</v>
      </c>
    </row>
    <row r="8" spans="1:5" ht="38.25" x14ac:dyDescent="0.2">
      <c r="A8" s="1" t="s">
        <v>55</v>
      </c>
      <c r="B8" s="12" t="s">
        <v>232</v>
      </c>
      <c r="C8" s="12">
        <f>ROUND(C7*0.9,0)</f>
        <v>580</v>
      </c>
      <c r="D8" s="39" t="s">
        <v>210</v>
      </c>
    </row>
    <row r="9" spans="1:5" x14ac:dyDescent="0.2">
      <c r="A9" s="1" t="s">
        <v>56</v>
      </c>
      <c r="B9" s="12" t="s">
        <v>236</v>
      </c>
      <c r="C9" s="12">
        <f>+C8</f>
        <v>580</v>
      </c>
      <c r="D9" s="43" t="s">
        <v>57</v>
      </c>
    </row>
    <row r="10" spans="1:5" x14ac:dyDescent="0.2">
      <c r="A10" s="1" t="s">
        <v>58</v>
      </c>
      <c r="B10" s="12" t="s">
        <v>237</v>
      </c>
      <c r="C10" s="12">
        <f>+C8</f>
        <v>580</v>
      </c>
      <c r="D10" s="43" t="s">
        <v>59</v>
      </c>
    </row>
    <row r="11" spans="1:5" ht="25.5" x14ac:dyDescent="0.2">
      <c r="A11" s="1" t="s">
        <v>60</v>
      </c>
      <c r="B11" s="12" t="s">
        <v>239</v>
      </c>
      <c r="C11" s="12">
        <v>1600</v>
      </c>
      <c r="D11" s="39" t="s">
        <v>200</v>
      </c>
    </row>
    <row r="12" spans="1:5" s="18" customFormat="1" x14ac:dyDescent="0.2">
      <c r="B12" s="20"/>
      <c r="C12" s="19"/>
      <c r="D12" s="42"/>
    </row>
    <row r="13" spans="1:5" ht="26.25" x14ac:dyDescent="0.25">
      <c r="A13" s="1" t="s">
        <v>61</v>
      </c>
      <c r="B13" s="12" t="s">
        <v>152</v>
      </c>
      <c r="C13" s="68">
        <v>175550</v>
      </c>
      <c r="D13" s="39" t="s">
        <v>146</v>
      </c>
    </row>
    <row r="14" spans="1:5" x14ac:dyDescent="0.2">
      <c r="A14" s="1" t="s">
        <v>62</v>
      </c>
      <c r="B14" s="12" t="s">
        <v>15</v>
      </c>
      <c r="C14" s="14">
        <f>+C13</f>
        <v>175550</v>
      </c>
      <c r="D14" s="39" t="s">
        <v>63</v>
      </c>
    </row>
    <row r="15" spans="1:5" x14ac:dyDescent="0.2">
      <c r="A15" s="1" t="s">
        <v>64</v>
      </c>
      <c r="B15" s="12" t="s">
        <v>16</v>
      </c>
      <c r="C15" s="14">
        <f>+C13</f>
        <v>175550</v>
      </c>
      <c r="D15" s="39" t="s">
        <v>63</v>
      </c>
    </row>
    <row r="16" spans="1:5" x14ac:dyDescent="0.2">
      <c r="A16" s="1" t="s">
        <v>65</v>
      </c>
      <c r="B16" s="12" t="s">
        <v>17</v>
      </c>
      <c r="C16" s="14">
        <f>+C13</f>
        <v>175550</v>
      </c>
      <c r="D16" s="39" t="s">
        <v>140</v>
      </c>
    </row>
    <row r="17" spans="1:5" x14ac:dyDescent="0.2">
      <c r="A17" s="8" t="s">
        <v>66</v>
      </c>
      <c r="B17" s="40" t="s">
        <v>18</v>
      </c>
      <c r="C17" s="14">
        <f>+C13</f>
        <v>175550</v>
      </c>
      <c r="D17" s="39" t="s">
        <v>141</v>
      </c>
    </row>
    <row r="18" spans="1:5" x14ac:dyDescent="0.2">
      <c r="A18" s="1" t="s">
        <v>67</v>
      </c>
      <c r="B18" s="40" t="s">
        <v>280</v>
      </c>
      <c r="C18" s="14">
        <f>+C17*0.05</f>
        <v>8777.5</v>
      </c>
      <c r="D18" s="39" t="s">
        <v>282</v>
      </c>
    </row>
    <row r="19" spans="1:5" x14ac:dyDescent="0.2">
      <c r="A19" s="1" t="s">
        <v>68</v>
      </c>
      <c r="B19" s="40" t="s">
        <v>281</v>
      </c>
      <c r="C19" s="14">
        <f>+C17*0.03</f>
        <v>5266.5</v>
      </c>
      <c r="D19" s="39" t="s">
        <v>283</v>
      </c>
    </row>
    <row r="20" spans="1:5" x14ac:dyDescent="0.2">
      <c r="A20" s="1" t="s">
        <v>70</v>
      </c>
      <c r="B20" s="12" t="s">
        <v>19</v>
      </c>
      <c r="C20" s="14">
        <v>15800</v>
      </c>
      <c r="D20" s="39" t="s">
        <v>209</v>
      </c>
      <c r="E20" s="8"/>
    </row>
    <row r="21" spans="1:5" x14ac:dyDescent="0.2">
      <c r="A21" s="1" t="s">
        <v>72</v>
      </c>
      <c r="B21" s="1" t="s">
        <v>20</v>
      </c>
      <c r="C21" s="14">
        <f>+C20</f>
        <v>15800</v>
      </c>
      <c r="D21" s="43" t="s">
        <v>69</v>
      </c>
      <c r="E21" s="8"/>
    </row>
    <row r="22" spans="1:5" x14ac:dyDescent="0.2">
      <c r="A22" s="1" t="s">
        <v>286</v>
      </c>
      <c r="B22" s="12" t="s">
        <v>21</v>
      </c>
      <c r="C22" s="14">
        <f>+C20</f>
        <v>15800</v>
      </c>
      <c r="D22" s="43" t="s">
        <v>71</v>
      </c>
      <c r="E22" s="12"/>
    </row>
    <row r="23" spans="1:5" x14ac:dyDescent="0.2">
      <c r="A23" s="1" t="s">
        <v>74</v>
      </c>
      <c r="B23" s="1" t="s">
        <v>22</v>
      </c>
      <c r="C23" s="14">
        <f>+C13</f>
        <v>175550</v>
      </c>
      <c r="D23" s="39" t="s">
        <v>73</v>
      </c>
      <c r="E23" s="8"/>
    </row>
    <row r="24" spans="1:5" s="18" customFormat="1" x14ac:dyDescent="0.2">
      <c r="B24" s="20"/>
      <c r="C24" s="19"/>
      <c r="D24" s="44"/>
    </row>
    <row r="25" spans="1:5" ht="51" x14ac:dyDescent="0.2">
      <c r="A25" s="1" t="s">
        <v>76</v>
      </c>
      <c r="B25" s="17" t="s">
        <v>157</v>
      </c>
      <c r="C25" s="12">
        <f>+ROUND(16*0.6,0)*10</f>
        <v>100</v>
      </c>
      <c r="D25" s="43" t="s">
        <v>145</v>
      </c>
    </row>
    <row r="26" spans="1:5" ht="25.5" x14ac:dyDescent="0.2">
      <c r="A26" s="1" t="s">
        <v>78</v>
      </c>
      <c r="B26" s="17" t="s">
        <v>193</v>
      </c>
      <c r="C26" s="12">
        <f>+C25*0.75</f>
        <v>75</v>
      </c>
      <c r="D26" s="43" t="s">
        <v>75</v>
      </c>
    </row>
    <row r="27" spans="1:5" x14ac:dyDescent="0.2">
      <c r="A27" s="1" t="s">
        <v>79</v>
      </c>
      <c r="B27" s="17" t="s">
        <v>158</v>
      </c>
      <c r="C27" s="12">
        <f>+C25*0.75</f>
        <v>75</v>
      </c>
      <c r="D27" s="43" t="s">
        <v>77</v>
      </c>
    </row>
    <row r="28" spans="1:5" x14ac:dyDescent="0.2">
      <c r="A28" s="1" t="s">
        <v>81</v>
      </c>
      <c r="B28" s="12" t="s">
        <v>159</v>
      </c>
      <c r="C28" s="12">
        <f>+C27</f>
        <v>75</v>
      </c>
      <c r="D28" s="43" t="s">
        <v>77</v>
      </c>
    </row>
    <row r="29" spans="1:5" x14ac:dyDescent="0.2">
      <c r="A29" s="1" t="s">
        <v>83</v>
      </c>
      <c r="B29" s="17" t="s">
        <v>160</v>
      </c>
      <c r="C29" s="12">
        <f>+C27</f>
        <v>75</v>
      </c>
      <c r="D29" s="43" t="s">
        <v>80</v>
      </c>
    </row>
    <row r="30" spans="1:5" x14ac:dyDescent="0.2">
      <c r="A30" s="1" t="s">
        <v>84</v>
      </c>
      <c r="B30" s="12" t="s">
        <v>161</v>
      </c>
      <c r="C30" s="12">
        <f>+C27</f>
        <v>75</v>
      </c>
      <c r="D30" s="43" t="s">
        <v>82</v>
      </c>
    </row>
    <row r="31" spans="1:5" ht="25.5" x14ac:dyDescent="0.2">
      <c r="A31" s="1" t="s">
        <v>86</v>
      </c>
      <c r="B31" s="17" t="s">
        <v>162</v>
      </c>
      <c r="C31" s="12">
        <f>+ROUND(C30*0.9,0)</f>
        <v>68</v>
      </c>
      <c r="D31" s="43" t="s">
        <v>208</v>
      </c>
    </row>
    <row r="32" spans="1:5" x14ac:dyDescent="0.2">
      <c r="A32" s="1" t="s">
        <v>88</v>
      </c>
      <c r="B32" s="1" t="s">
        <v>163</v>
      </c>
      <c r="C32" s="12">
        <f>+C31</f>
        <v>68</v>
      </c>
      <c r="D32" s="43" t="s">
        <v>85</v>
      </c>
    </row>
    <row r="33" spans="1:4" x14ac:dyDescent="0.2">
      <c r="A33" s="1" t="s">
        <v>89</v>
      </c>
      <c r="B33" s="1" t="s">
        <v>164</v>
      </c>
      <c r="C33" s="12">
        <f>+C31</f>
        <v>68</v>
      </c>
      <c r="D33" s="43" t="s">
        <v>87</v>
      </c>
    </row>
    <row r="34" spans="1:4" s="18" customFormat="1" x14ac:dyDescent="0.2">
      <c r="D34" s="45"/>
    </row>
    <row r="35" spans="1:4" ht="51" x14ac:dyDescent="0.2">
      <c r="A35" s="1" t="s">
        <v>90</v>
      </c>
      <c r="B35" s="1" t="s">
        <v>156</v>
      </c>
      <c r="C35" s="12">
        <f>+ROUND((50*75+38*10)/100,0)*100</f>
        <v>4100</v>
      </c>
      <c r="D35" s="43" t="s">
        <v>147</v>
      </c>
    </row>
    <row r="36" spans="1:4" x14ac:dyDescent="0.2">
      <c r="A36" s="1" t="s">
        <v>91</v>
      </c>
      <c r="B36" s="1" t="s">
        <v>192</v>
      </c>
      <c r="C36" s="12">
        <f>+C35</f>
        <v>4100</v>
      </c>
      <c r="D36" s="39" t="s">
        <v>63</v>
      </c>
    </row>
    <row r="37" spans="1:4" x14ac:dyDescent="0.2">
      <c r="A37" s="1" t="s">
        <v>93</v>
      </c>
      <c r="B37" s="1" t="s">
        <v>165</v>
      </c>
      <c r="C37" s="12">
        <f>+C35</f>
        <v>4100</v>
      </c>
      <c r="D37" s="39" t="s">
        <v>63</v>
      </c>
    </row>
    <row r="38" spans="1:4" x14ac:dyDescent="0.2">
      <c r="A38" s="1" t="s">
        <v>95</v>
      </c>
      <c r="B38" s="1" t="s">
        <v>166</v>
      </c>
      <c r="C38" s="12">
        <f>+C35</f>
        <v>4100</v>
      </c>
      <c r="D38" s="39" t="s">
        <v>92</v>
      </c>
    </row>
    <row r="39" spans="1:4" x14ac:dyDescent="0.2">
      <c r="A39" s="1" t="s">
        <v>97</v>
      </c>
      <c r="B39" s="1" t="s">
        <v>167</v>
      </c>
      <c r="C39" s="12">
        <f>+C35</f>
        <v>4100</v>
      </c>
      <c r="D39" s="39" t="s">
        <v>94</v>
      </c>
    </row>
    <row r="40" spans="1:4" x14ac:dyDescent="0.2">
      <c r="A40" s="1" t="s">
        <v>98</v>
      </c>
      <c r="B40" s="1" t="s">
        <v>279</v>
      </c>
      <c r="C40" s="12">
        <f>+C39*0.3</f>
        <v>1230</v>
      </c>
      <c r="D40" s="39" t="s">
        <v>291</v>
      </c>
    </row>
    <row r="41" spans="1:4" x14ac:dyDescent="0.2">
      <c r="A41" s="1" t="s">
        <v>99</v>
      </c>
      <c r="B41" s="1" t="s">
        <v>168</v>
      </c>
      <c r="C41" s="12">
        <f>+C35*0.8</f>
        <v>3280</v>
      </c>
      <c r="D41" s="43" t="s">
        <v>96</v>
      </c>
    </row>
    <row r="42" spans="1:4" x14ac:dyDescent="0.2">
      <c r="A42" s="1" t="s">
        <v>287</v>
      </c>
      <c r="B42" s="1" t="s">
        <v>169</v>
      </c>
      <c r="C42" s="12">
        <f>+C41</f>
        <v>3280</v>
      </c>
      <c r="D42" s="43" t="s">
        <v>69</v>
      </c>
    </row>
    <row r="43" spans="1:4" x14ac:dyDescent="0.2">
      <c r="A43" s="1" t="s">
        <v>100</v>
      </c>
      <c r="B43" s="1" t="s">
        <v>170</v>
      </c>
      <c r="C43" s="12">
        <f>+C41</f>
        <v>3280</v>
      </c>
      <c r="D43" s="43" t="s">
        <v>71</v>
      </c>
    </row>
    <row r="44" spans="1:4" x14ac:dyDescent="0.2">
      <c r="A44" s="1" t="s">
        <v>101</v>
      </c>
      <c r="B44" s="1" t="s">
        <v>171</v>
      </c>
      <c r="C44" s="12">
        <f>+C35</f>
        <v>4100</v>
      </c>
      <c r="D44" s="39" t="s">
        <v>73</v>
      </c>
    </row>
    <row r="45" spans="1:4" s="18" customFormat="1" x14ac:dyDescent="0.2">
      <c r="D45" s="45"/>
    </row>
    <row r="46" spans="1:4" x14ac:dyDescent="0.2">
      <c r="A46" s="1" t="s">
        <v>103</v>
      </c>
      <c r="B46" s="1" t="s">
        <v>173</v>
      </c>
      <c r="C46" s="1">
        <v>32</v>
      </c>
      <c r="D46" s="43" t="s">
        <v>197</v>
      </c>
    </row>
    <row r="47" spans="1:4" x14ac:dyDescent="0.2">
      <c r="A47" s="1" t="s">
        <v>104</v>
      </c>
      <c r="B47" s="1" t="s">
        <v>196</v>
      </c>
      <c r="C47" s="1">
        <f>+C46</f>
        <v>32</v>
      </c>
      <c r="D47" s="43" t="s">
        <v>102</v>
      </c>
    </row>
    <row r="48" spans="1:4" ht="25.5" x14ac:dyDescent="0.2">
      <c r="A48" s="1" t="s">
        <v>105</v>
      </c>
      <c r="B48" s="1" t="s">
        <v>174</v>
      </c>
      <c r="C48" s="1">
        <f>ROUND(222*0.8,0)</f>
        <v>178</v>
      </c>
      <c r="D48" s="43" t="s">
        <v>211</v>
      </c>
    </row>
    <row r="49" spans="1:4" x14ac:dyDescent="0.2">
      <c r="A49" s="1" t="s">
        <v>107</v>
      </c>
      <c r="B49" s="1" t="s">
        <v>175</v>
      </c>
      <c r="C49" s="1">
        <f>ROUND(222*0.8,0)</f>
        <v>178</v>
      </c>
      <c r="D49" s="43" t="s">
        <v>198</v>
      </c>
    </row>
    <row r="50" spans="1:4" ht="25.5" x14ac:dyDescent="0.2">
      <c r="A50" s="1" t="s">
        <v>108</v>
      </c>
      <c r="B50" s="1" t="s">
        <v>176</v>
      </c>
      <c r="C50" s="1">
        <f>32*5</f>
        <v>160</v>
      </c>
      <c r="D50" s="43" t="s">
        <v>212</v>
      </c>
    </row>
    <row r="51" spans="1:4" x14ac:dyDescent="0.2">
      <c r="A51" s="1" t="s">
        <v>109</v>
      </c>
      <c r="B51" s="1" t="s">
        <v>177</v>
      </c>
      <c r="C51" s="1">
        <f>+C50</f>
        <v>160</v>
      </c>
      <c r="D51" s="43" t="s">
        <v>106</v>
      </c>
    </row>
    <row r="52" spans="1:4" x14ac:dyDescent="0.2">
      <c r="A52" s="1" t="s">
        <v>110</v>
      </c>
      <c r="B52" s="1" t="s">
        <v>28</v>
      </c>
      <c r="C52" s="1">
        <f>+C46</f>
        <v>32</v>
      </c>
      <c r="D52" s="39" t="s">
        <v>73</v>
      </c>
    </row>
    <row r="53" spans="1:4" s="18" customFormat="1" x14ac:dyDescent="0.2">
      <c r="D53" s="45"/>
    </row>
    <row r="54" spans="1:4" ht="25.5" x14ac:dyDescent="0.2">
      <c r="A54" s="1" t="s">
        <v>111</v>
      </c>
      <c r="B54" s="43" t="s">
        <v>178</v>
      </c>
      <c r="C54" s="12">
        <f>ROUND((88*44)/100,0)*100</f>
        <v>3900</v>
      </c>
      <c r="D54" s="39" t="s">
        <v>63</v>
      </c>
    </row>
    <row r="55" spans="1:4" x14ac:dyDescent="0.2">
      <c r="A55" s="1" t="s">
        <v>112</v>
      </c>
      <c r="B55" s="1" t="s">
        <v>179</v>
      </c>
      <c r="C55" s="12">
        <f>+C54</f>
        <v>3900</v>
      </c>
      <c r="D55" s="39" t="s">
        <v>92</v>
      </c>
    </row>
    <row r="56" spans="1:4" x14ac:dyDescent="0.2">
      <c r="A56" s="1" t="s">
        <v>114</v>
      </c>
      <c r="B56" s="1" t="s">
        <v>180</v>
      </c>
      <c r="C56" s="12">
        <f>0.8*C54</f>
        <v>3120</v>
      </c>
      <c r="D56" s="43" t="s">
        <v>96</v>
      </c>
    </row>
    <row r="57" spans="1:4" ht="25.5" x14ac:dyDescent="0.2">
      <c r="A57" s="1" t="s">
        <v>115</v>
      </c>
      <c r="B57" s="1" t="s">
        <v>181</v>
      </c>
      <c r="C57" s="12">
        <f>+C56</f>
        <v>3120</v>
      </c>
      <c r="D57" s="43" t="s">
        <v>113</v>
      </c>
    </row>
    <row r="58" spans="1:4" s="18" customFormat="1" x14ac:dyDescent="0.2">
      <c r="D58" s="45"/>
    </row>
    <row r="59" spans="1:4" ht="25.5" x14ac:dyDescent="0.2">
      <c r="A59" s="1" t="s">
        <v>116</v>
      </c>
      <c r="B59" s="1" t="s">
        <v>268</v>
      </c>
      <c r="C59" s="1">
        <f>88*2</f>
        <v>176</v>
      </c>
      <c r="D59" s="43" t="s">
        <v>267</v>
      </c>
    </row>
    <row r="60" spans="1:4" ht="51" x14ac:dyDescent="0.2">
      <c r="A60" s="1" t="s">
        <v>117</v>
      </c>
      <c r="B60" s="1" t="s">
        <v>269</v>
      </c>
      <c r="C60" s="1">
        <v>88</v>
      </c>
      <c r="D60" s="39" t="s">
        <v>270</v>
      </c>
    </row>
    <row r="61" spans="1:4" ht="25.5" x14ac:dyDescent="0.2">
      <c r="A61" s="1" t="s">
        <v>118</v>
      </c>
      <c r="B61" s="1" t="s">
        <v>155</v>
      </c>
      <c r="C61" s="1">
        <v>88</v>
      </c>
      <c r="D61" s="43" t="s">
        <v>252</v>
      </c>
    </row>
    <row r="62" spans="1:4" ht="54.75" customHeight="1" x14ac:dyDescent="0.2">
      <c r="A62" s="1" t="s">
        <v>119</v>
      </c>
      <c r="B62" s="1" t="s">
        <v>30</v>
      </c>
      <c r="C62" s="1">
        <v>132</v>
      </c>
      <c r="D62" s="43" t="s">
        <v>253</v>
      </c>
    </row>
    <row r="63" spans="1:4" ht="38.25" x14ac:dyDescent="0.2">
      <c r="A63" s="1" t="s">
        <v>120</v>
      </c>
      <c r="B63" s="1" t="s">
        <v>271</v>
      </c>
      <c r="C63" s="1">
        <v>132</v>
      </c>
      <c r="D63" s="43" t="s">
        <v>272</v>
      </c>
    </row>
    <row r="64" spans="1:4" x14ac:dyDescent="0.2">
      <c r="A64" s="1" t="s">
        <v>121</v>
      </c>
      <c r="B64" s="1" t="s">
        <v>31</v>
      </c>
      <c r="C64" s="1">
        <v>88</v>
      </c>
      <c r="D64" s="39" t="s">
        <v>73</v>
      </c>
    </row>
    <row r="65" spans="1:113" s="18" customFormat="1" x14ac:dyDescent="0.2">
      <c r="D65" s="45"/>
    </row>
    <row r="66" spans="1:113" s="18" customFormat="1" x14ac:dyDescent="0.2">
      <c r="A66" s="1" t="s">
        <v>122</v>
      </c>
      <c r="B66" s="1" t="s">
        <v>182</v>
      </c>
      <c r="C66" s="12">
        <f>ROUND(88*15/100,0)*100</f>
        <v>1300</v>
      </c>
      <c r="D66" s="43" t="s">
        <v>63</v>
      </c>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row>
    <row r="67" spans="1:113" s="18" customFormat="1" x14ac:dyDescent="0.2">
      <c r="A67" s="1" t="s">
        <v>123</v>
      </c>
      <c r="B67" s="1" t="s">
        <v>183</v>
      </c>
      <c r="C67" s="12">
        <f>+C66</f>
        <v>1300</v>
      </c>
      <c r="D67" s="39" t="s">
        <v>92</v>
      </c>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row>
    <row r="68" spans="1:113" s="18" customFormat="1" x14ac:dyDescent="0.2">
      <c r="A68" s="1" t="s">
        <v>124</v>
      </c>
      <c r="B68" s="1" t="s">
        <v>184</v>
      </c>
      <c r="C68" s="12">
        <f>+C66*0.8</f>
        <v>1040</v>
      </c>
      <c r="D68" s="43" t="s">
        <v>96</v>
      </c>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row>
    <row r="69" spans="1:113" s="18" customFormat="1" ht="25.5" x14ac:dyDescent="0.2">
      <c r="A69" s="1" t="s">
        <v>126</v>
      </c>
      <c r="B69" s="1" t="s">
        <v>185</v>
      </c>
      <c r="C69" s="12">
        <f>+C68</f>
        <v>1040</v>
      </c>
      <c r="D69" s="43" t="s">
        <v>150</v>
      </c>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row>
    <row r="70" spans="1:113" s="18" customFormat="1" x14ac:dyDescent="0.2">
      <c r="D70" s="45"/>
    </row>
    <row r="71" spans="1:113" ht="51" x14ac:dyDescent="0.2">
      <c r="A71" s="1" t="s">
        <v>149</v>
      </c>
      <c r="B71" s="1" t="s">
        <v>194</v>
      </c>
      <c r="C71" s="1">
        <v>88</v>
      </c>
      <c r="D71" s="43" t="s">
        <v>254</v>
      </c>
    </row>
    <row r="72" spans="1:113" ht="51" x14ac:dyDescent="0.2">
      <c r="A72" s="1" t="s">
        <v>151</v>
      </c>
      <c r="B72" s="1" t="s">
        <v>195</v>
      </c>
      <c r="C72" s="1">
        <v>88</v>
      </c>
      <c r="D72" s="43" t="s">
        <v>204</v>
      </c>
    </row>
    <row r="73" spans="1:113" ht="38.25" x14ac:dyDescent="0.2">
      <c r="A73" s="1" t="s">
        <v>288</v>
      </c>
      <c r="B73" s="43" t="s">
        <v>202</v>
      </c>
      <c r="C73" s="1">
        <v>88</v>
      </c>
      <c r="D73" s="43" t="s">
        <v>203</v>
      </c>
    </row>
    <row r="74" spans="1:113" x14ac:dyDescent="0.2">
      <c r="A74" s="1" t="s">
        <v>289</v>
      </c>
      <c r="B74" s="1" t="s">
        <v>32</v>
      </c>
      <c r="C74" s="1">
        <v>88</v>
      </c>
      <c r="D74" s="43" t="s">
        <v>125</v>
      </c>
    </row>
    <row r="75" spans="1:113" ht="25.5" x14ac:dyDescent="0.2">
      <c r="A75" s="1" t="s">
        <v>290</v>
      </c>
      <c r="B75" s="1" t="s">
        <v>190</v>
      </c>
      <c r="C75" s="1">
        <v>88</v>
      </c>
      <c r="D75" s="43" t="s">
        <v>191</v>
      </c>
    </row>
    <row r="77" spans="1:113" x14ac:dyDescent="0.2">
      <c r="I77" s="28"/>
      <c r="J77" s="28"/>
      <c r="K77" s="28"/>
      <c r="L77" s="28"/>
    </row>
    <row r="78" spans="1:113" x14ac:dyDescent="0.2">
      <c r="I78" s="28"/>
      <c r="J78" s="28"/>
      <c r="K78" s="28"/>
      <c r="L78" s="28"/>
    </row>
    <row r="79" spans="1:113" x14ac:dyDescent="0.2">
      <c r="A79" s="134" t="s">
        <v>324</v>
      </c>
      <c r="B79" s="135"/>
      <c r="C79" s="135"/>
      <c r="D79" s="136"/>
    </row>
    <row r="80" spans="1:113" x14ac:dyDescent="0.2">
      <c r="A80" s="134" t="s">
        <v>325</v>
      </c>
      <c r="B80" s="135"/>
      <c r="C80" s="135"/>
      <c r="D80" s="136"/>
    </row>
    <row r="81" spans="1:4" x14ac:dyDescent="0.2">
      <c r="A81" s="134" t="s">
        <v>326</v>
      </c>
      <c r="B81" s="135"/>
      <c r="C81" s="135"/>
      <c r="D81" s="136"/>
    </row>
    <row r="82" spans="1:4" x14ac:dyDescent="0.2">
      <c r="A82" s="137" t="s">
        <v>327</v>
      </c>
      <c r="B82" s="135"/>
      <c r="C82" s="135"/>
      <c r="D82" s="136"/>
    </row>
  </sheetData>
  <phoneticPr fontId="5" type="noConversion"/>
  <pageMargins left="0.7" right="0.7" top="0.75" bottom="0.75" header="0.3" footer="0.3"/>
  <pageSetup orientation="portrait" r:id="rId1"/>
  <ignoredErrors>
    <ignoredError sqref="C27"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2909085-e45b-4cb2-8078-2e93f647589c" xsi:nil="true"/>
    <lcf76f155ced4ddcb4097134ff3c332f xmlns="a66792a8-2fd5-41c3-b912-80b66a6e2f55">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E9A9900D482140AB38DE48D8564535" ma:contentTypeVersion="18" ma:contentTypeDescription="Create a new document." ma:contentTypeScope="" ma:versionID="e8b0214b6d8108a10493adf8561dc561">
  <xsd:schema xmlns:xsd="http://www.w3.org/2001/XMLSchema" xmlns:xs="http://www.w3.org/2001/XMLSchema" xmlns:p="http://schemas.microsoft.com/office/2006/metadata/properties" xmlns:ns1="http://schemas.microsoft.com/sharepoint/v3" xmlns:ns2="a66792a8-2fd5-41c3-b912-80b66a6e2f55" xmlns:ns3="72909085-e45b-4cb2-8078-2e93f647589c" targetNamespace="http://schemas.microsoft.com/office/2006/metadata/properties" ma:root="true" ma:fieldsID="cc841e760aef3f624891f684836d9bce" ns1:_="" ns2:_="" ns3:_="">
    <xsd:import namespace="http://schemas.microsoft.com/sharepoint/v3"/>
    <xsd:import namespace="a66792a8-2fd5-41c3-b912-80b66a6e2f55"/>
    <xsd:import namespace="72909085-e45b-4cb2-8078-2e93f647589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6792a8-2fd5-41c3-b912-80b66a6e2f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909085-e45b-4cb2-8078-2e93f647589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73ab8c-e0b9-451e-b7ca-e1a9de3f7530}" ma:internalName="TaxCatchAll" ma:showField="CatchAllData" ma:web="72909085-e45b-4cb2-8078-2e93f64758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5FB8E0-3424-4C7F-913E-773768F051A4}">
  <ds:schemaRefs>
    <ds:schemaRef ds:uri="http://schemas.microsoft.com/sharepoint/v3/contenttype/forms"/>
  </ds:schemaRefs>
</ds:datastoreItem>
</file>

<file path=customXml/itemProps2.xml><?xml version="1.0" encoding="utf-8"?>
<ds:datastoreItem xmlns:ds="http://schemas.openxmlformats.org/officeDocument/2006/customXml" ds:itemID="{E7C8AD49-9C1D-4BE7-A13C-9332EB8FBC4E}">
  <ds:schemaRefs>
    <ds:schemaRef ds:uri="http://purl.org/dc/terms/"/>
    <ds:schemaRef ds:uri="a66792a8-2fd5-41c3-b912-80b66a6e2f55"/>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www.w3.org/XML/1998/namespace"/>
    <ds:schemaRef ds:uri="http://schemas.microsoft.com/office/infopath/2007/PartnerControls"/>
    <ds:schemaRef ds:uri="72909085-e45b-4cb2-8078-2e93f647589c"/>
    <ds:schemaRef ds:uri="http://purl.org/dc/elements/1.1/"/>
  </ds:schemaRefs>
</ds:datastoreItem>
</file>

<file path=customXml/itemProps3.xml><?xml version="1.0" encoding="utf-8"?>
<ds:datastoreItem xmlns:ds="http://schemas.openxmlformats.org/officeDocument/2006/customXml" ds:itemID="{702F78DF-E693-4109-9B00-217A29CD4B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Burden Table</vt:lpstr>
      <vt:lpstr>Assumptions</vt:lpstr>
    </vt:vector>
  </TitlesOfParts>
  <Manager/>
  <Company>Westat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Frank Bennici</dc:creator>
  <cp:keywords/>
  <dc:description/>
  <cp:lastModifiedBy>Bevin Mory</cp:lastModifiedBy>
  <cp:revision/>
  <dcterms:created xsi:type="dcterms:W3CDTF">2019-07-26T12:10:08Z</dcterms:created>
  <dcterms:modified xsi:type="dcterms:W3CDTF">2025-05-21T18:44:26Z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0x01010023E9A9900D482140AB38DE48D8564535</vt:lpwstr>
  </property>
  <property fmtid="{D5CDD505-2E9C-101B-9397-08002B2CF9AE}" pid="3" name="MediaServiceImageTags">
    <vt:lpwstr/>
  </property>
</Properties>
</file>