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epa-my.sharepoint.com/personal/salahuddin_diane_epa_gov/Documents/Documents/"/>
    </mc:Choice>
  </mc:AlternateContent>
  <xr:revisionPtr revIDLastSave="0" documentId="8_{09FB224A-10CC-47BF-AF60-B9E9FEA032FD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ICR summary" sheetId="8" r:id="rId1"/>
    <sheet name="Final State Summary" sheetId="4" r:id="rId2"/>
    <sheet name="Present Value Costs" sheetId="5" r:id="rId3"/>
    <sheet name="2015NAAcount" sheetId="26" r:id="rId4"/>
    <sheet name="2015MarNAAcount" sheetId="38" r:id="rId5"/>
    <sheet name="2015 Marg bumpups" sheetId="40" r:id="rId6"/>
    <sheet name="Prel2020determinations" sheetId="37" r:id="rId7"/>
    <sheet name="NAAs by State" sheetId="1" r:id="rId8"/>
    <sheet name="2015Areas by Class" sheetId="28" r:id="rId9"/>
    <sheet name="new2008Sev15" sheetId="34" r:id="rId10"/>
    <sheet name="2008serious" sheetId="31" r:id="rId11"/>
    <sheet name="Table 6 and 7" sheetId="36" r:id="rId12"/>
    <sheet name="Table10" sheetId="29" r:id="rId13"/>
    <sheet name="Reg lookup" sheetId="7" r:id="rId14"/>
    <sheet name="Updated labor rates" sheetId="22" r:id="rId15"/>
  </sheets>
  <externalReferences>
    <externalReference r:id="rId16"/>
  </externalReferences>
  <definedNames>
    <definedName name="_xlnm._FilterDatabase" localSheetId="8" hidden="1">'2015Areas by Class'!$A$2:$E$151</definedName>
    <definedName name="_xlnm._FilterDatabase" localSheetId="1" hidden="1">'Final State Summary'!$A$3:$AU$43</definedName>
    <definedName name="_xlnm._FilterDatabase" localSheetId="7" hidden="1">'NAAs by State'!$A$3:$F$152</definedName>
    <definedName name="Abbn">'Reg lookup'!$A$1:$C$52</definedName>
    <definedName name="Allegan__MI">#REF!</definedName>
    <definedName name="MPs_1997">'Table 6 and 7'!$A$15:$F$23</definedName>
    <definedName name="NewSev15NAAs" localSheetId="11">'Table 6 and 7'!$A$6:$C$9</definedName>
    <definedName name="NewSev15NAAs">'2008serious'!$A$6:$C$18</definedName>
    <definedName name="Percentabove">'[1]Class lookup'!$B$5:$C$142</definedName>
    <definedName name="_xlnm.Print_Area" localSheetId="14">'Updated labor rates'!$A$1:$M$34</definedName>
    <definedName name="_xlnm.Print_Titles" localSheetId="8">'2015Areas by Class'!$A:$A,'2015Areas by Class'!$2:$2</definedName>
    <definedName name="_xlnm.Print_Titles" localSheetId="1">'Final State Summary'!$A:$B,'Final State Summary'!$3:$3</definedName>
    <definedName name="_xlnm.Print_Titles" localSheetId="7">'NAAs by State'!$A:$A,'NAAs by State'!$3:$3</definedName>
    <definedName name="_xlnm.Print_Titles" localSheetId="2">'Present Value Costs'!$A:$A,'Present Value Costs'!$2:$2</definedName>
    <definedName name="Regionnum">'Reg lookup'!$B$2:$C$52</definedName>
    <definedName name="Regions">'Reg lookup'!$B$2:$D$52</definedName>
    <definedName name="scottclasslook" localSheetId="8">#REF!</definedName>
    <definedName name="scottclasslook">#REF!</definedName>
    <definedName name="State_abrv">'Reg lookup'!$A$1:$C$52</definedName>
    <definedName name="Statename" localSheetId="8">'2015Areas by Class'!$B$3:$G$12</definedName>
    <definedName name="Statename">'NAAs by State'!$B$4:$C$63</definedName>
    <definedName name="StateReg">'Reg lookup'!$B$2:$C$52</definedName>
  </definedNames>
  <calcPr calcId="191029"/>
  <pivotCaches>
    <pivotCache cacheId="0" r:id="rId17"/>
    <pivotCache cacheId="1" r:id="rId18"/>
    <pivotCache cacheId="2" r:id="rId19"/>
    <pivotCache cacheId="3" r:id="rId20"/>
    <pivotCache cacheId="4" r:id="rId21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V59" i="4" l="1"/>
  <c r="AI67" i="4" l="1"/>
  <c r="E8" i="36" l="1"/>
  <c r="E7" i="36"/>
  <c r="E6" i="36"/>
  <c r="E23" i="36"/>
  <c r="E22" i="36"/>
  <c r="E21" i="36"/>
  <c r="E20" i="36"/>
  <c r="E19" i="36"/>
  <c r="E18" i="36"/>
  <c r="E17" i="36"/>
  <c r="E16" i="36"/>
  <c r="AG58" i="4" l="1"/>
  <c r="AH58" i="4" s="1"/>
  <c r="AI58" i="4" s="1"/>
  <c r="AG50" i="4"/>
  <c r="AH50" i="4" s="1"/>
  <c r="AI50" i="4" s="1"/>
  <c r="AG42" i="4"/>
  <c r="AH42" i="4" s="1"/>
  <c r="AI42" i="4" s="1"/>
  <c r="AG30" i="4"/>
  <c r="AH30" i="4" s="1"/>
  <c r="AI30" i="4" s="1"/>
  <c r="AG22" i="4"/>
  <c r="AH22" i="4" s="1"/>
  <c r="AI22" i="4" s="1"/>
  <c r="AG14" i="4"/>
  <c r="AH14" i="4" s="1"/>
  <c r="AI14" i="4" s="1"/>
  <c r="AG6" i="4"/>
  <c r="AH6" i="4" s="1"/>
  <c r="AI6" i="4" s="1"/>
  <c r="AG57" i="4"/>
  <c r="AH57" i="4" s="1"/>
  <c r="AI57" i="4" s="1"/>
  <c r="AG49" i="4"/>
  <c r="AH49" i="4" s="1"/>
  <c r="AI49" i="4" s="1"/>
  <c r="AG41" i="4"/>
  <c r="AH41" i="4" s="1"/>
  <c r="AI41" i="4" s="1"/>
  <c r="AG29" i="4"/>
  <c r="AH29" i="4" s="1"/>
  <c r="AI29" i="4" s="1"/>
  <c r="AG21" i="4"/>
  <c r="AH21" i="4" s="1"/>
  <c r="AI21" i="4" s="1"/>
  <c r="AG13" i="4"/>
  <c r="AH13" i="4" s="1"/>
  <c r="AI13" i="4" s="1"/>
  <c r="AG5" i="4"/>
  <c r="AH5" i="4" s="1"/>
  <c r="AI5" i="4" s="1"/>
  <c r="AG56" i="4"/>
  <c r="AH56" i="4" s="1"/>
  <c r="AI56" i="4" s="1"/>
  <c r="AG48" i="4"/>
  <c r="AH48" i="4" s="1"/>
  <c r="AI48" i="4" s="1"/>
  <c r="AG40" i="4"/>
  <c r="AH40" i="4" s="1"/>
  <c r="AI40" i="4" s="1"/>
  <c r="AG28" i="4"/>
  <c r="AH28" i="4" s="1"/>
  <c r="AI28" i="4" s="1"/>
  <c r="AG20" i="4"/>
  <c r="AH20" i="4" s="1"/>
  <c r="AI20" i="4" s="1"/>
  <c r="AG12" i="4"/>
  <c r="AH12" i="4" s="1"/>
  <c r="AI12" i="4" s="1"/>
  <c r="AG4" i="4"/>
  <c r="AG55" i="4"/>
  <c r="AH55" i="4" s="1"/>
  <c r="AI55" i="4" s="1"/>
  <c r="AG47" i="4"/>
  <c r="AH47" i="4" s="1"/>
  <c r="AI47" i="4" s="1"/>
  <c r="AG39" i="4"/>
  <c r="AH39" i="4" s="1"/>
  <c r="AI39" i="4" s="1"/>
  <c r="AG27" i="4"/>
  <c r="AH27" i="4" s="1"/>
  <c r="AI27" i="4" s="1"/>
  <c r="AG19" i="4"/>
  <c r="AH19" i="4" s="1"/>
  <c r="AI19" i="4" s="1"/>
  <c r="AG11" i="4"/>
  <c r="AH11" i="4" s="1"/>
  <c r="AI11" i="4" s="1"/>
  <c r="AG54" i="4"/>
  <c r="AH54" i="4" s="1"/>
  <c r="AI54" i="4" s="1"/>
  <c r="AG46" i="4"/>
  <c r="AH46" i="4" s="1"/>
  <c r="AI46" i="4" s="1"/>
  <c r="AG38" i="4"/>
  <c r="AH38" i="4" s="1"/>
  <c r="AI38" i="4" s="1"/>
  <c r="AG26" i="4"/>
  <c r="AH26" i="4" s="1"/>
  <c r="AI26" i="4" s="1"/>
  <c r="AG18" i="4"/>
  <c r="AH18" i="4" s="1"/>
  <c r="AI18" i="4" s="1"/>
  <c r="AG10" i="4"/>
  <c r="AH10" i="4" s="1"/>
  <c r="AI10" i="4" s="1"/>
  <c r="AG53" i="4"/>
  <c r="AH53" i="4" s="1"/>
  <c r="AI53" i="4" s="1"/>
  <c r="AG45" i="4"/>
  <c r="AH45" i="4" s="1"/>
  <c r="AI45" i="4" s="1"/>
  <c r="AG37" i="4"/>
  <c r="AH37" i="4" s="1"/>
  <c r="AI37" i="4" s="1"/>
  <c r="AG25" i="4"/>
  <c r="AH25" i="4" s="1"/>
  <c r="AI25" i="4" s="1"/>
  <c r="AG17" i="4"/>
  <c r="AH17" i="4" s="1"/>
  <c r="AI17" i="4" s="1"/>
  <c r="AG9" i="4"/>
  <c r="AH9" i="4" s="1"/>
  <c r="AI9" i="4" s="1"/>
  <c r="AG52" i="4"/>
  <c r="AH52" i="4" s="1"/>
  <c r="AI52" i="4" s="1"/>
  <c r="AG44" i="4"/>
  <c r="AH44" i="4" s="1"/>
  <c r="AI44" i="4" s="1"/>
  <c r="AG36" i="4"/>
  <c r="AG24" i="4"/>
  <c r="AH24" i="4" s="1"/>
  <c r="AI24" i="4" s="1"/>
  <c r="AG16" i="4"/>
  <c r="AH16" i="4" s="1"/>
  <c r="AI16" i="4" s="1"/>
  <c r="AG8" i="4"/>
  <c r="AH8" i="4" s="1"/>
  <c r="AI8" i="4" s="1"/>
  <c r="AG51" i="4"/>
  <c r="AH51" i="4" s="1"/>
  <c r="AI51" i="4" s="1"/>
  <c r="AG43" i="4"/>
  <c r="AH43" i="4" s="1"/>
  <c r="AI43" i="4" s="1"/>
  <c r="AG31" i="4"/>
  <c r="AH31" i="4" s="1"/>
  <c r="AI31" i="4" s="1"/>
  <c r="AG23" i="4"/>
  <c r="AH23" i="4" s="1"/>
  <c r="AI23" i="4" s="1"/>
  <c r="AG15" i="4"/>
  <c r="AH15" i="4" s="1"/>
  <c r="AI15" i="4" s="1"/>
  <c r="AG7" i="4"/>
  <c r="AH7" i="4" s="1"/>
  <c r="AI7" i="4" s="1"/>
  <c r="AD57" i="4"/>
  <c r="AE57" i="4" s="1"/>
  <c r="AF57" i="4" s="1"/>
  <c r="AD49" i="4"/>
  <c r="AE49" i="4" s="1"/>
  <c r="AF49" i="4" s="1"/>
  <c r="AD41" i="4"/>
  <c r="AE41" i="4" s="1"/>
  <c r="AF41" i="4" s="1"/>
  <c r="AD29" i="4"/>
  <c r="AE29" i="4" s="1"/>
  <c r="AD21" i="4"/>
  <c r="AE21" i="4" s="1"/>
  <c r="AD13" i="4"/>
  <c r="AE13" i="4" s="1"/>
  <c r="AF13" i="4" s="1"/>
  <c r="AD5" i="4"/>
  <c r="AE5" i="4" s="1"/>
  <c r="AF5" i="4" s="1"/>
  <c r="AD56" i="4"/>
  <c r="AE56" i="4" s="1"/>
  <c r="AF56" i="4" s="1"/>
  <c r="AD48" i="4"/>
  <c r="AE48" i="4" s="1"/>
  <c r="AF48" i="4" s="1"/>
  <c r="AD40" i="4"/>
  <c r="AE40" i="4" s="1"/>
  <c r="AD28" i="4"/>
  <c r="AE28" i="4" s="1"/>
  <c r="AF28" i="4" s="1"/>
  <c r="AD20" i="4"/>
  <c r="AE20" i="4" s="1"/>
  <c r="AF20" i="4" s="1"/>
  <c r="AD12" i="4"/>
  <c r="AE12" i="4" s="1"/>
  <c r="AF12" i="4" s="1"/>
  <c r="AD4" i="4"/>
  <c r="AD55" i="4"/>
  <c r="AE55" i="4" s="1"/>
  <c r="AF55" i="4" s="1"/>
  <c r="AD47" i="4"/>
  <c r="AE47" i="4" s="1"/>
  <c r="AF47" i="4" s="1"/>
  <c r="AD39" i="4"/>
  <c r="AE39" i="4" s="1"/>
  <c r="AF39" i="4" s="1"/>
  <c r="AD27" i="4"/>
  <c r="AE27" i="4" s="1"/>
  <c r="AF27" i="4" s="1"/>
  <c r="AD19" i="4"/>
  <c r="AE19" i="4" s="1"/>
  <c r="AF19" i="4" s="1"/>
  <c r="AD11" i="4"/>
  <c r="AE11" i="4" s="1"/>
  <c r="AD54" i="4"/>
  <c r="AE54" i="4" s="1"/>
  <c r="AF54" i="4" s="1"/>
  <c r="AD46" i="4"/>
  <c r="AE46" i="4" s="1"/>
  <c r="AF46" i="4" s="1"/>
  <c r="AD38" i="4"/>
  <c r="AE38" i="4" s="1"/>
  <c r="AF38" i="4" s="1"/>
  <c r="AD26" i="4"/>
  <c r="AE26" i="4" s="1"/>
  <c r="AD18" i="4"/>
  <c r="AE18" i="4" s="1"/>
  <c r="AF18" i="4" s="1"/>
  <c r="AD10" i="4"/>
  <c r="AE10" i="4" s="1"/>
  <c r="AF10" i="4" s="1"/>
  <c r="AD16" i="4"/>
  <c r="AE16" i="4" s="1"/>
  <c r="AF16" i="4" s="1"/>
  <c r="AD53" i="4"/>
  <c r="AE53" i="4" s="1"/>
  <c r="AF53" i="4" s="1"/>
  <c r="AD45" i="4"/>
  <c r="AE45" i="4" s="1"/>
  <c r="AF45" i="4" s="1"/>
  <c r="AD37" i="4"/>
  <c r="AE37" i="4" s="1"/>
  <c r="AF37" i="4" s="1"/>
  <c r="AD25" i="4"/>
  <c r="AE25" i="4" s="1"/>
  <c r="AF25" i="4" s="1"/>
  <c r="AD17" i="4"/>
  <c r="AE17" i="4" s="1"/>
  <c r="AD9" i="4"/>
  <c r="AE9" i="4" s="1"/>
  <c r="AF9" i="4" s="1"/>
  <c r="AD8" i="4"/>
  <c r="AE8" i="4" s="1"/>
  <c r="AF8" i="4" s="1"/>
  <c r="AD52" i="4"/>
  <c r="AE52" i="4" s="1"/>
  <c r="AF52" i="4" s="1"/>
  <c r="AD44" i="4"/>
  <c r="AE44" i="4" s="1"/>
  <c r="AF44" i="4" s="1"/>
  <c r="AD36" i="4"/>
  <c r="AD24" i="4"/>
  <c r="AE24" i="4" s="1"/>
  <c r="AF24" i="4" s="1"/>
  <c r="AD51" i="4"/>
  <c r="AE51" i="4" s="1"/>
  <c r="AF51" i="4" s="1"/>
  <c r="AD43" i="4"/>
  <c r="AE43" i="4" s="1"/>
  <c r="AF43" i="4" s="1"/>
  <c r="AD31" i="4"/>
  <c r="AE31" i="4" s="1"/>
  <c r="AF31" i="4" s="1"/>
  <c r="AD23" i="4"/>
  <c r="AE23" i="4" s="1"/>
  <c r="AF23" i="4" s="1"/>
  <c r="AD15" i="4"/>
  <c r="AE15" i="4" s="1"/>
  <c r="AF15" i="4" s="1"/>
  <c r="AD7" i="4"/>
  <c r="AE7" i="4" s="1"/>
  <c r="AD58" i="4"/>
  <c r="AE58" i="4" s="1"/>
  <c r="AF58" i="4" s="1"/>
  <c r="AD50" i="4"/>
  <c r="AE50" i="4" s="1"/>
  <c r="AF50" i="4" s="1"/>
  <c r="AD42" i="4"/>
  <c r="AE42" i="4" s="1"/>
  <c r="AF42" i="4" s="1"/>
  <c r="AD30" i="4"/>
  <c r="AE30" i="4" s="1"/>
  <c r="AF30" i="4" s="1"/>
  <c r="AD22" i="4"/>
  <c r="AE22" i="4" s="1"/>
  <c r="AF22" i="4" s="1"/>
  <c r="AD14" i="4"/>
  <c r="AE14" i="4" s="1"/>
  <c r="AD6" i="4"/>
  <c r="AE6" i="4" s="1"/>
  <c r="AF6" i="4" s="1"/>
  <c r="AF26" i="4"/>
  <c r="AF21" i="4"/>
  <c r="AF40" i="4"/>
  <c r="AF11" i="4"/>
  <c r="AF17" i="4"/>
  <c r="C15" i="34"/>
  <c r="AF29" i="4" l="1"/>
  <c r="AF7" i="4"/>
  <c r="AF14" i="4"/>
  <c r="AD59" i="4"/>
  <c r="AE36" i="4"/>
  <c r="AH4" i="4"/>
  <c r="AG33" i="4"/>
  <c r="AH36" i="4"/>
  <c r="AG59" i="4"/>
  <c r="AE4" i="4"/>
  <c r="AD33" i="4"/>
  <c r="AG60" i="4" l="1"/>
  <c r="AI4" i="4"/>
  <c r="AI33" i="4" s="1"/>
  <c r="AH33" i="4"/>
  <c r="AF4" i="4"/>
  <c r="AE33" i="4"/>
  <c r="AI36" i="4"/>
  <c r="AI59" i="4" s="1"/>
  <c r="AH59" i="4"/>
  <c r="AF36" i="4"/>
  <c r="AE59" i="4"/>
  <c r="AD60" i="4"/>
  <c r="D23" i="5"/>
  <c r="F23" i="5"/>
  <c r="AD69" i="4" l="1"/>
  <c r="AF33" i="4"/>
  <c r="AH60" i="4"/>
  <c r="AI60" i="4" s="1"/>
  <c r="AE60" i="4"/>
  <c r="AF59" i="4"/>
  <c r="AA31" i="4"/>
  <c r="AB31" i="4" s="1"/>
  <c r="AC31" i="4" s="1"/>
  <c r="AA30" i="4"/>
  <c r="AA29" i="4"/>
  <c r="AB29" i="4" s="1"/>
  <c r="AA28" i="4"/>
  <c r="AA27" i="4"/>
  <c r="AA26" i="4"/>
  <c r="AB26" i="4" s="1"/>
  <c r="AC26" i="4" s="1"/>
  <c r="AA25" i="4"/>
  <c r="AB25" i="4" s="1"/>
  <c r="AC25" i="4" s="1"/>
  <c r="AA24" i="4"/>
  <c r="AB24" i="4" s="1"/>
  <c r="AC24" i="4" s="1"/>
  <c r="AA23" i="4"/>
  <c r="AB23" i="4" s="1"/>
  <c r="AC23" i="4" s="1"/>
  <c r="AA22" i="4"/>
  <c r="AB22" i="4" s="1"/>
  <c r="AC22" i="4" s="1"/>
  <c r="AA21" i="4"/>
  <c r="AA20" i="4"/>
  <c r="AA19" i="4"/>
  <c r="AA18" i="4"/>
  <c r="AB18" i="4" s="1"/>
  <c r="AC18" i="4" s="1"/>
  <c r="AA17" i="4"/>
  <c r="AB17" i="4" s="1"/>
  <c r="AC17" i="4" s="1"/>
  <c r="AA16" i="4"/>
  <c r="AB16" i="4" s="1"/>
  <c r="AC16" i="4" s="1"/>
  <c r="AA15" i="4"/>
  <c r="AB15" i="4" s="1"/>
  <c r="AC15" i="4" s="1"/>
  <c r="AA14" i="4"/>
  <c r="AA13" i="4"/>
  <c r="AB13" i="4" s="1"/>
  <c r="AA12" i="4"/>
  <c r="AA11" i="4"/>
  <c r="AA10" i="4"/>
  <c r="AB10" i="4" s="1"/>
  <c r="AC10" i="4" s="1"/>
  <c r="AA9" i="4"/>
  <c r="AB9" i="4" s="1"/>
  <c r="AC9" i="4" s="1"/>
  <c r="AA8" i="4"/>
  <c r="AB8" i="4" s="1"/>
  <c r="AC8" i="4" s="1"/>
  <c r="AA7" i="4"/>
  <c r="AB7" i="4" s="1"/>
  <c r="AC7" i="4" s="1"/>
  <c r="AA6" i="4"/>
  <c r="AA5" i="4"/>
  <c r="AA4" i="4"/>
  <c r="AE69" i="4" l="1"/>
  <c r="AF60" i="4"/>
  <c r="AB28" i="4"/>
  <c r="AC28" i="4" s="1"/>
  <c r="AB6" i="4"/>
  <c r="AC6" i="4" s="1"/>
  <c r="AB14" i="4"/>
  <c r="AC14" i="4" s="1"/>
  <c r="AB20" i="4"/>
  <c r="AC20" i="4" s="1"/>
  <c r="AB30" i="4"/>
  <c r="AC30" i="4" s="1"/>
  <c r="AB12" i="4"/>
  <c r="AC12" i="4" s="1"/>
  <c r="AB27" i="4"/>
  <c r="AC27" i="4" s="1"/>
  <c r="AB19" i="4"/>
  <c r="AC19" i="4" s="1"/>
  <c r="AB11" i="4"/>
  <c r="AC11" i="4" s="1"/>
  <c r="AC13" i="4"/>
  <c r="AC29" i="4"/>
  <c r="AA33" i="4"/>
  <c r="AB5" i="4"/>
  <c r="AB21" i="4"/>
  <c r="AA32" i="4"/>
  <c r="AB4" i="4"/>
  <c r="D33" i="4"/>
  <c r="D60" i="4" s="1"/>
  <c r="E60" i="4" s="1"/>
  <c r="E69" i="4" s="1"/>
  <c r="C33" i="4"/>
  <c r="C60" i="4" s="1"/>
  <c r="C69" i="4" s="1"/>
  <c r="B33" i="4"/>
  <c r="AF69" i="4" l="1"/>
  <c r="AC4" i="4"/>
  <c r="AB33" i="4"/>
  <c r="AB60" i="4" s="1"/>
  <c r="AB69" i="4" s="1"/>
  <c r="AC21" i="4"/>
  <c r="AC5" i="4"/>
  <c r="AA60" i="4"/>
  <c r="AA69" i="4" s="1"/>
  <c r="D69" i="4"/>
  <c r="E22" i="4"/>
  <c r="E5" i="4"/>
  <c r="E4" i="4"/>
  <c r="E28" i="4"/>
  <c r="E6" i="4"/>
  <c r="E18" i="4"/>
  <c r="E27" i="4"/>
  <c r="E21" i="4"/>
  <c r="E31" i="4"/>
  <c r="E24" i="4"/>
  <c r="E17" i="4"/>
  <c r="E12" i="4"/>
  <c r="E11" i="4"/>
  <c r="E13" i="4"/>
  <c r="E10" i="4"/>
  <c r="E29" i="4"/>
  <c r="E30" i="4"/>
  <c r="E26" i="4"/>
  <c r="E25" i="4"/>
  <c r="E23" i="4"/>
  <c r="E20" i="4"/>
  <c r="E19" i="4"/>
  <c r="E16" i="4"/>
  <c r="E15" i="4"/>
  <c r="E14" i="4"/>
  <c r="E9" i="4"/>
  <c r="E8" i="4"/>
  <c r="E7" i="4"/>
  <c r="AC60" i="4" l="1"/>
  <c r="AC69" i="4" s="1"/>
  <c r="AC33" i="4"/>
  <c r="E33" i="4"/>
  <c r="I6" i="1"/>
  <c r="Q67" i="4" l="1"/>
  <c r="Q5" i="4"/>
  <c r="H72" i="28"/>
  <c r="I4" i="4" l="1"/>
  <c r="J4" i="4" s="1"/>
  <c r="R31" i="4"/>
  <c r="R28" i="4"/>
  <c r="R27" i="4"/>
  <c r="R8" i="4"/>
  <c r="R25" i="4"/>
  <c r="R24" i="4"/>
  <c r="R22" i="4"/>
  <c r="R23" i="4"/>
  <c r="R21" i="4"/>
  <c r="R20" i="4"/>
  <c r="R18" i="4"/>
  <c r="R17" i="4"/>
  <c r="R15" i="4"/>
  <c r="R29" i="4"/>
  <c r="R13" i="4"/>
  <c r="R12" i="4"/>
  <c r="R11" i="4"/>
  <c r="R10" i="4"/>
  <c r="R9" i="4"/>
  <c r="R7" i="4"/>
  <c r="R6" i="4"/>
  <c r="R4" i="4"/>
  <c r="R5" i="4"/>
  <c r="I68" i="28"/>
  <c r="H76" i="28"/>
  <c r="H75" i="28"/>
  <c r="H74" i="28"/>
  <c r="H73" i="28"/>
  <c r="H71" i="28"/>
  <c r="H70" i="28"/>
  <c r="H77" i="28" l="1"/>
  <c r="E45" i="22"/>
  <c r="F47" i="22" s="1"/>
  <c r="C45" i="22"/>
  <c r="D47" i="22" s="1"/>
  <c r="B45" i="22"/>
  <c r="B47" i="22" s="1"/>
  <c r="E76" i="28"/>
  <c r="F77" i="1"/>
  <c r="F76" i="1"/>
  <c r="D55" i="26"/>
  <c r="G49" i="22" l="1"/>
  <c r="E75" i="28"/>
  <c r="E74" i="28"/>
  <c r="E73" i="28"/>
  <c r="E72" i="28"/>
  <c r="E71" i="28"/>
  <c r="E70" i="28"/>
  <c r="A69" i="28"/>
  <c r="A71" i="28" s="1"/>
  <c r="J49" i="22" l="1"/>
  <c r="I49" i="22"/>
  <c r="K49" i="22"/>
  <c r="E77" i="28"/>
  <c r="X58" i="4"/>
  <c r="X57" i="4"/>
  <c r="X56" i="4"/>
  <c r="X55" i="4"/>
  <c r="X22" i="4"/>
  <c r="X54" i="4"/>
  <c r="X28" i="4"/>
  <c r="X52" i="4"/>
  <c r="X51" i="4"/>
  <c r="X50" i="4"/>
  <c r="X49" i="4"/>
  <c r="X48" i="4"/>
  <c r="X47" i="4"/>
  <c r="X46" i="4"/>
  <c r="X21" i="4"/>
  <c r="X43" i="4"/>
  <c r="X17" i="4"/>
  <c r="X39" i="4"/>
  <c r="X38" i="4"/>
  <c r="X37" i="4"/>
  <c r="X36" i="4"/>
  <c r="X30" i="4"/>
  <c r="X8" i="4"/>
  <c r="X19" i="4"/>
  <c r="X16" i="4"/>
  <c r="X53" i="4"/>
  <c r="X31" i="4"/>
  <c r="X45" i="4"/>
  <c r="X27" i="4"/>
  <c r="X42" i="4"/>
  <c r="X41" i="4"/>
  <c r="X25" i="4"/>
  <c r="X24" i="4"/>
  <c r="X40" i="4"/>
  <c r="X23" i="4"/>
  <c r="X20" i="4"/>
  <c r="X18" i="4"/>
  <c r="X14" i="4"/>
  <c r="X15" i="4"/>
  <c r="X29" i="4"/>
  <c r="X13" i="4"/>
  <c r="X12" i="4"/>
  <c r="X11" i="4"/>
  <c r="X10" i="4"/>
  <c r="X26" i="4"/>
  <c r="X9" i="4"/>
  <c r="X7" i="4"/>
  <c r="X6" i="4"/>
  <c r="X5" i="4"/>
  <c r="Y5" i="4" s="1"/>
  <c r="Z5" i="4" s="1"/>
  <c r="X44" i="4"/>
  <c r="X4" i="4"/>
  <c r="U58" i="4"/>
  <c r="U57" i="4"/>
  <c r="U56" i="4"/>
  <c r="U55" i="4"/>
  <c r="U22" i="4"/>
  <c r="U54" i="4"/>
  <c r="U28" i="4"/>
  <c r="U52" i="4"/>
  <c r="U51" i="4"/>
  <c r="U50" i="4"/>
  <c r="U49" i="4"/>
  <c r="U48" i="4"/>
  <c r="U47" i="4"/>
  <c r="U46" i="4"/>
  <c r="U21" i="4"/>
  <c r="U43" i="4"/>
  <c r="U17" i="4"/>
  <c r="U39" i="4"/>
  <c r="U38" i="4"/>
  <c r="U37" i="4"/>
  <c r="U36" i="4"/>
  <c r="U30" i="4"/>
  <c r="U8" i="4"/>
  <c r="U19" i="4"/>
  <c r="U16" i="4"/>
  <c r="U53" i="4"/>
  <c r="U31" i="4"/>
  <c r="U45" i="4"/>
  <c r="U27" i="4"/>
  <c r="U42" i="4"/>
  <c r="U41" i="4"/>
  <c r="U25" i="4"/>
  <c r="U24" i="4"/>
  <c r="U40" i="4"/>
  <c r="U23" i="4"/>
  <c r="U20" i="4"/>
  <c r="U18" i="4"/>
  <c r="U14" i="4"/>
  <c r="U15" i="4"/>
  <c r="U29" i="4"/>
  <c r="U13" i="4"/>
  <c r="U12" i="4"/>
  <c r="U11" i="4"/>
  <c r="U10" i="4"/>
  <c r="U26" i="4"/>
  <c r="U9" i="4"/>
  <c r="U7" i="4"/>
  <c r="U6" i="4"/>
  <c r="U5" i="4"/>
  <c r="U4" i="4"/>
  <c r="R58" i="4"/>
  <c r="R57" i="4"/>
  <c r="R56" i="4"/>
  <c r="R55" i="4"/>
  <c r="R54" i="4"/>
  <c r="R52" i="4"/>
  <c r="R51" i="4"/>
  <c r="R50" i="4"/>
  <c r="R49" i="4"/>
  <c r="R48" i="4"/>
  <c r="R47" i="4"/>
  <c r="R46" i="4"/>
  <c r="R43" i="4"/>
  <c r="R39" i="4"/>
  <c r="R38" i="4"/>
  <c r="R37" i="4"/>
  <c r="R36" i="4"/>
  <c r="R30" i="4"/>
  <c r="R19" i="4"/>
  <c r="R16" i="4"/>
  <c r="R53" i="4"/>
  <c r="R45" i="4"/>
  <c r="R42" i="4"/>
  <c r="R41" i="4"/>
  <c r="R40" i="4"/>
  <c r="R14" i="4"/>
  <c r="R26" i="4"/>
  <c r="R44" i="4"/>
  <c r="O58" i="4"/>
  <c r="O57" i="4"/>
  <c r="O56" i="4"/>
  <c r="O55" i="4"/>
  <c r="O22" i="4"/>
  <c r="O54" i="4"/>
  <c r="O28" i="4"/>
  <c r="O52" i="4"/>
  <c r="O51" i="4"/>
  <c r="O50" i="4"/>
  <c r="O49" i="4"/>
  <c r="O48" i="4"/>
  <c r="O47" i="4"/>
  <c r="O46" i="4"/>
  <c r="O21" i="4"/>
  <c r="O43" i="4"/>
  <c r="O17" i="4"/>
  <c r="O39" i="4"/>
  <c r="O38" i="4"/>
  <c r="O37" i="4"/>
  <c r="O36" i="4"/>
  <c r="O30" i="4"/>
  <c r="O8" i="4"/>
  <c r="O19" i="4"/>
  <c r="O16" i="4"/>
  <c r="O53" i="4"/>
  <c r="O31" i="4"/>
  <c r="O45" i="4"/>
  <c r="O27" i="4"/>
  <c r="O42" i="4"/>
  <c r="O41" i="4"/>
  <c r="O25" i="4"/>
  <c r="O24" i="4"/>
  <c r="O40" i="4"/>
  <c r="O23" i="4"/>
  <c r="O20" i="4"/>
  <c r="O18" i="4"/>
  <c r="O14" i="4"/>
  <c r="O15" i="4"/>
  <c r="O29" i="4"/>
  <c r="O13" i="4"/>
  <c r="O12" i="4"/>
  <c r="O11" i="4"/>
  <c r="O10" i="4"/>
  <c r="O26" i="4"/>
  <c r="O9" i="4"/>
  <c r="O7" i="4"/>
  <c r="O6" i="4"/>
  <c r="O5" i="4"/>
  <c r="O44" i="4"/>
  <c r="O4" i="4"/>
  <c r="L58" i="4"/>
  <c r="L57" i="4"/>
  <c r="L56" i="4"/>
  <c r="L55" i="4"/>
  <c r="L22" i="4"/>
  <c r="L54" i="4"/>
  <c r="L28" i="4"/>
  <c r="L52" i="4"/>
  <c r="L51" i="4"/>
  <c r="L50" i="4"/>
  <c r="L49" i="4"/>
  <c r="L48" i="4"/>
  <c r="L47" i="4"/>
  <c r="L46" i="4"/>
  <c r="L21" i="4"/>
  <c r="L43" i="4"/>
  <c r="L17" i="4"/>
  <c r="L39" i="4"/>
  <c r="L38" i="4"/>
  <c r="L37" i="4"/>
  <c r="L36" i="4"/>
  <c r="L30" i="4"/>
  <c r="L8" i="4"/>
  <c r="L19" i="4"/>
  <c r="L16" i="4"/>
  <c r="L53" i="4"/>
  <c r="L31" i="4"/>
  <c r="L45" i="4"/>
  <c r="L27" i="4"/>
  <c r="L42" i="4"/>
  <c r="L41" i="4"/>
  <c r="L25" i="4"/>
  <c r="L24" i="4"/>
  <c r="L40" i="4"/>
  <c r="L23" i="4"/>
  <c r="L20" i="4"/>
  <c r="L18" i="4"/>
  <c r="L14" i="4"/>
  <c r="L15" i="4"/>
  <c r="L29" i="4"/>
  <c r="L13" i="4"/>
  <c r="L12" i="4"/>
  <c r="L11" i="4"/>
  <c r="L10" i="4"/>
  <c r="L26" i="4"/>
  <c r="L9" i="4"/>
  <c r="L7" i="4"/>
  <c r="L6" i="4"/>
  <c r="L5" i="4"/>
  <c r="L44" i="4"/>
  <c r="L4" i="4"/>
  <c r="I58" i="4"/>
  <c r="F58" i="4" s="1"/>
  <c r="I57" i="4"/>
  <c r="F57" i="4" s="1"/>
  <c r="AO57" i="4" s="1"/>
  <c r="I56" i="4"/>
  <c r="F56" i="4" s="1"/>
  <c r="I55" i="4"/>
  <c r="F55" i="4" s="1"/>
  <c r="I22" i="4"/>
  <c r="F22" i="4" s="1"/>
  <c r="AO22" i="4" s="1"/>
  <c r="I54" i="4"/>
  <c r="F54" i="4" s="1"/>
  <c r="I28" i="4"/>
  <c r="F28" i="4" s="1"/>
  <c r="I52" i="4"/>
  <c r="F52" i="4" s="1"/>
  <c r="I51" i="4"/>
  <c r="F51" i="4" s="1"/>
  <c r="I50" i="4"/>
  <c r="F50" i="4" s="1"/>
  <c r="I49" i="4"/>
  <c r="F49" i="4" s="1"/>
  <c r="I48" i="4"/>
  <c r="F48" i="4" s="1"/>
  <c r="I47" i="4"/>
  <c r="F47" i="4" s="1"/>
  <c r="AO47" i="4" s="1"/>
  <c r="I46" i="4"/>
  <c r="F46" i="4" s="1"/>
  <c r="I21" i="4"/>
  <c r="F21" i="4" s="1"/>
  <c r="I43" i="4"/>
  <c r="F43" i="4" s="1"/>
  <c r="I17" i="4"/>
  <c r="F17" i="4" s="1"/>
  <c r="I39" i="4"/>
  <c r="F39" i="4" s="1"/>
  <c r="I38" i="4"/>
  <c r="F38" i="4" s="1"/>
  <c r="I37" i="4"/>
  <c r="F37" i="4" s="1"/>
  <c r="I36" i="4"/>
  <c r="I30" i="4"/>
  <c r="F30" i="4" s="1"/>
  <c r="I8" i="4"/>
  <c r="F8" i="4" s="1"/>
  <c r="I19" i="4"/>
  <c r="F19" i="4" s="1"/>
  <c r="I16" i="4"/>
  <c r="F16" i="4" s="1"/>
  <c r="I53" i="4"/>
  <c r="F53" i="4" s="1"/>
  <c r="I31" i="4"/>
  <c r="F31" i="4" s="1"/>
  <c r="I45" i="4"/>
  <c r="F45" i="4" s="1"/>
  <c r="I27" i="4"/>
  <c r="F27" i="4" s="1"/>
  <c r="AO27" i="4" s="1"/>
  <c r="I42" i="4"/>
  <c r="F42" i="4" s="1"/>
  <c r="I41" i="4"/>
  <c r="F41" i="4" s="1"/>
  <c r="I25" i="4"/>
  <c r="F25" i="4" s="1"/>
  <c r="I24" i="4"/>
  <c r="F24" i="4" s="1"/>
  <c r="I40" i="4"/>
  <c r="F40" i="4" s="1"/>
  <c r="I23" i="4"/>
  <c r="F23" i="4" s="1"/>
  <c r="I20" i="4"/>
  <c r="F20" i="4" s="1"/>
  <c r="AO20" i="4" s="1"/>
  <c r="I18" i="4"/>
  <c r="F18" i="4" s="1"/>
  <c r="AO18" i="4" s="1"/>
  <c r="I14" i="4"/>
  <c r="F14" i="4" s="1"/>
  <c r="AO14" i="4" s="1"/>
  <c r="I15" i="4"/>
  <c r="F15" i="4" s="1"/>
  <c r="I29" i="4"/>
  <c r="F29" i="4" s="1"/>
  <c r="I13" i="4"/>
  <c r="F13" i="4" s="1"/>
  <c r="I12" i="4"/>
  <c r="F12" i="4" s="1"/>
  <c r="I11" i="4"/>
  <c r="F11" i="4" s="1"/>
  <c r="I10" i="4"/>
  <c r="F10" i="4" s="1"/>
  <c r="I26" i="4"/>
  <c r="F26" i="4" s="1"/>
  <c r="AO26" i="4" s="1"/>
  <c r="I9" i="4"/>
  <c r="F9" i="4" s="1"/>
  <c r="AO9" i="4" s="1"/>
  <c r="I7" i="4"/>
  <c r="I6" i="4"/>
  <c r="F6" i="4" s="1"/>
  <c r="I5" i="4"/>
  <c r="I44" i="4"/>
  <c r="F44" i="4" s="1"/>
  <c r="F4" i="4"/>
  <c r="F75" i="1"/>
  <c r="F74" i="1"/>
  <c r="F72" i="1"/>
  <c r="F71" i="1"/>
  <c r="A70" i="1"/>
  <c r="A72" i="1" s="1"/>
  <c r="AO30" i="4" l="1"/>
  <c r="AO46" i="4"/>
  <c r="AO54" i="4"/>
  <c r="AO45" i="4"/>
  <c r="AO4" i="4"/>
  <c r="AO11" i="4"/>
  <c r="AO23" i="4"/>
  <c r="AO31" i="4"/>
  <c r="AO38" i="4"/>
  <c r="AO49" i="4"/>
  <c r="AO56" i="4"/>
  <c r="AO40" i="4"/>
  <c r="AO17" i="4"/>
  <c r="AO10" i="4"/>
  <c r="AO55" i="4"/>
  <c r="AO12" i="4"/>
  <c r="AO50" i="4"/>
  <c r="AO13" i="4"/>
  <c r="AO51" i="4"/>
  <c r="AO6" i="4"/>
  <c r="AO29" i="4"/>
  <c r="AO25" i="4"/>
  <c r="AO19" i="4"/>
  <c r="AO43" i="4"/>
  <c r="AO52" i="4"/>
  <c r="AO37" i="4"/>
  <c r="AO53" i="4"/>
  <c r="AO24" i="4"/>
  <c r="AO58" i="4"/>
  <c r="AO15" i="4"/>
  <c r="AO41" i="4"/>
  <c r="AO8" i="4"/>
  <c r="AO21" i="4"/>
  <c r="AO28" i="4"/>
  <c r="AO48" i="4"/>
  <c r="AO39" i="4"/>
  <c r="AO16" i="4"/>
  <c r="AO42" i="4"/>
  <c r="R33" i="4"/>
  <c r="L33" i="4"/>
  <c r="U33" i="4"/>
  <c r="L59" i="4"/>
  <c r="F36" i="4"/>
  <c r="I59" i="4"/>
  <c r="O33" i="4"/>
  <c r="X33" i="4"/>
  <c r="F7" i="4"/>
  <c r="AO7" i="4" s="1"/>
  <c r="I33" i="4"/>
  <c r="O59" i="4"/>
  <c r="R59" i="4"/>
  <c r="X59" i="4"/>
  <c r="F5" i="4"/>
  <c r="AO5" i="4" s="1"/>
  <c r="M49" i="22"/>
  <c r="K50" i="22"/>
  <c r="F59" i="4" l="1"/>
  <c r="AO36" i="4"/>
  <c r="R60" i="4"/>
  <c r="L60" i="4"/>
  <c r="O60" i="4"/>
  <c r="I60" i="4"/>
  <c r="X60" i="4"/>
  <c r="F33" i="4"/>
  <c r="AO33" i="4"/>
  <c r="AL66" i="4"/>
  <c r="Z35" i="4"/>
  <c r="Z66" i="4"/>
  <c r="W35" i="4"/>
  <c r="W66" i="4"/>
  <c r="T35" i="4"/>
  <c r="T66" i="4"/>
  <c r="Q35" i="4"/>
  <c r="Q66" i="4"/>
  <c r="N35" i="4"/>
  <c r="N66" i="4"/>
  <c r="K35" i="4"/>
  <c r="K66" i="4"/>
  <c r="E29" i="22"/>
  <c r="C29" i="22"/>
  <c r="B29" i="22"/>
  <c r="B31" i="22" s="1"/>
  <c r="F31" i="22"/>
  <c r="D31" i="22"/>
  <c r="K17" i="22"/>
  <c r="F12" i="22"/>
  <c r="D12" i="22"/>
  <c r="B12" i="22"/>
  <c r="AN58" i="4"/>
  <c r="AL58" i="4"/>
  <c r="AN57" i="4"/>
  <c r="AL57" i="4"/>
  <c r="AN56" i="4"/>
  <c r="AL56" i="4"/>
  <c r="AN55" i="4"/>
  <c r="AL55" i="4"/>
  <c r="AN22" i="4"/>
  <c r="AL22" i="4"/>
  <c r="AN54" i="4"/>
  <c r="AL54" i="4"/>
  <c r="AN67" i="4"/>
  <c r="AL67" i="4"/>
  <c r="AN5" i="4"/>
  <c r="AL5" i="4"/>
  <c r="AM5" i="4" s="1"/>
  <c r="AN4" i="4"/>
  <c r="AL4" i="4"/>
  <c r="AM4" i="4" s="1"/>
  <c r="AN53" i="4"/>
  <c r="AL53" i="4"/>
  <c r="AM53" i="4" s="1"/>
  <c r="AN28" i="4"/>
  <c r="AL28" i="4"/>
  <c r="AN52" i="4"/>
  <c r="AL52" i="4"/>
  <c r="AN51" i="4"/>
  <c r="AL51" i="4"/>
  <c r="AN50" i="4"/>
  <c r="AL50" i="4"/>
  <c r="AN6" i="4"/>
  <c r="AL6" i="4"/>
  <c r="AM6" i="4" s="1"/>
  <c r="AN49" i="4"/>
  <c r="AL49" i="4"/>
  <c r="AN18" i="4"/>
  <c r="AL18" i="4"/>
  <c r="AM18" i="4" s="1"/>
  <c r="AN48" i="4"/>
  <c r="AL48" i="4"/>
  <c r="AN47" i="4"/>
  <c r="AL47" i="4"/>
  <c r="AN27" i="4"/>
  <c r="AL27" i="4"/>
  <c r="AM27" i="4" s="1"/>
  <c r="AN46" i="4"/>
  <c r="AL46" i="4"/>
  <c r="AN21" i="4"/>
  <c r="AL21" i="4"/>
  <c r="AN29" i="4"/>
  <c r="AL29" i="4"/>
  <c r="AM29" i="4" s="1"/>
  <c r="AN44" i="4"/>
  <c r="AL44" i="4"/>
  <c r="AM44" i="4" s="1"/>
  <c r="AN31" i="4"/>
  <c r="AL31" i="4"/>
  <c r="AM31" i="4" s="1"/>
  <c r="AN24" i="4"/>
  <c r="AL24" i="4"/>
  <c r="AM24" i="4" s="1"/>
  <c r="AN43" i="4"/>
  <c r="AL43" i="4"/>
  <c r="AN17" i="4"/>
  <c r="AL17" i="4"/>
  <c r="AN12" i="4"/>
  <c r="AL12" i="4"/>
  <c r="AM12" i="4" s="1"/>
  <c r="AN11" i="4"/>
  <c r="AL11" i="4"/>
  <c r="AM11" i="4" s="1"/>
  <c r="AN42" i="4"/>
  <c r="AL42" i="4"/>
  <c r="AM42" i="4" s="1"/>
  <c r="AN41" i="4"/>
  <c r="AL41" i="4"/>
  <c r="AM41" i="4" s="1"/>
  <c r="AN40" i="4"/>
  <c r="AL40" i="4"/>
  <c r="AM40" i="4" s="1"/>
  <c r="AN39" i="4"/>
  <c r="AL39" i="4"/>
  <c r="AN13" i="4"/>
  <c r="AL13" i="4"/>
  <c r="AM13" i="4" s="1"/>
  <c r="AN10" i="4"/>
  <c r="AL10" i="4"/>
  <c r="AM10" i="4" s="1"/>
  <c r="AN38" i="4"/>
  <c r="AL38" i="4"/>
  <c r="AN37" i="4"/>
  <c r="AL37" i="4"/>
  <c r="AN36" i="4"/>
  <c r="AL36" i="4"/>
  <c r="AN45" i="4"/>
  <c r="AL45" i="4"/>
  <c r="AM45" i="4" s="1"/>
  <c r="AN25" i="4"/>
  <c r="AL25" i="4"/>
  <c r="AM25" i="4" s="1"/>
  <c r="AN15" i="4"/>
  <c r="AL15" i="4"/>
  <c r="AM15" i="4" s="1"/>
  <c r="AN9" i="4"/>
  <c r="AL9" i="4"/>
  <c r="AM9" i="4" s="1"/>
  <c r="AN26" i="4"/>
  <c r="AL26" i="4"/>
  <c r="AM26" i="4" s="1"/>
  <c r="AN23" i="4"/>
  <c r="AL23" i="4"/>
  <c r="AM23" i="4" s="1"/>
  <c r="AN20" i="4"/>
  <c r="AL20" i="4"/>
  <c r="AM20" i="4" s="1"/>
  <c r="AN30" i="4"/>
  <c r="AL30" i="4"/>
  <c r="AN8" i="4"/>
  <c r="AL8" i="4"/>
  <c r="AN19" i="4"/>
  <c r="AL19" i="4"/>
  <c r="AN16" i="4"/>
  <c r="AL16" i="4"/>
  <c r="AN14" i="4"/>
  <c r="AL14" i="4"/>
  <c r="AM14" i="4" s="1"/>
  <c r="AN7" i="4"/>
  <c r="AL7" i="4"/>
  <c r="AM7" i="4" s="1"/>
  <c r="X67" i="4"/>
  <c r="Y67" i="4" s="1"/>
  <c r="Z67" i="4" s="1"/>
  <c r="U67" i="4"/>
  <c r="V67" i="4" s="1"/>
  <c r="W67" i="4" s="1"/>
  <c r="R67" i="4"/>
  <c r="O67" i="4"/>
  <c r="O69" i="4" s="1"/>
  <c r="L67" i="4"/>
  <c r="M67" i="4" s="1"/>
  <c r="N67" i="4" s="1"/>
  <c r="I67" i="4"/>
  <c r="V14" i="4"/>
  <c r="W14" i="4" s="1"/>
  <c r="V16" i="4"/>
  <c r="W16" i="4" s="1"/>
  <c r="V19" i="4"/>
  <c r="W19" i="4" s="1"/>
  <c r="V8" i="4"/>
  <c r="W8" i="4" s="1"/>
  <c r="V30" i="4"/>
  <c r="W30" i="4" s="1"/>
  <c r="V20" i="4"/>
  <c r="W20" i="4" s="1"/>
  <c r="V23" i="4"/>
  <c r="W23" i="4" s="1"/>
  <c r="V26" i="4"/>
  <c r="W26" i="4" s="1"/>
  <c r="V9" i="4"/>
  <c r="W9" i="4" s="1"/>
  <c r="V15" i="4"/>
  <c r="W15" i="4" s="1"/>
  <c r="V25" i="4"/>
  <c r="W25" i="4" s="1"/>
  <c r="V45" i="4"/>
  <c r="W45" i="4" s="1"/>
  <c r="V36" i="4"/>
  <c r="W36" i="4" s="1"/>
  <c r="V37" i="4"/>
  <c r="W37" i="4" s="1"/>
  <c r="V38" i="4"/>
  <c r="W38" i="4" s="1"/>
  <c r="V10" i="4"/>
  <c r="W10" i="4" s="1"/>
  <c r="V13" i="4"/>
  <c r="W13" i="4" s="1"/>
  <c r="V39" i="4"/>
  <c r="W39" i="4" s="1"/>
  <c r="V40" i="4"/>
  <c r="W40" i="4" s="1"/>
  <c r="V41" i="4"/>
  <c r="W41" i="4" s="1"/>
  <c r="V42" i="4"/>
  <c r="W42" i="4" s="1"/>
  <c r="V11" i="4"/>
  <c r="W11" i="4" s="1"/>
  <c r="V12" i="4"/>
  <c r="W12" i="4" s="1"/>
  <c r="V17" i="4"/>
  <c r="W17" i="4" s="1"/>
  <c r="V43" i="4"/>
  <c r="W43" i="4" s="1"/>
  <c r="V24" i="4"/>
  <c r="W24" i="4" s="1"/>
  <c r="V31" i="4"/>
  <c r="W31" i="4" s="1"/>
  <c r="U44" i="4"/>
  <c r="AO44" i="4" s="1"/>
  <c r="V29" i="4"/>
  <c r="W29" i="4" s="1"/>
  <c r="V21" i="4"/>
  <c r="W21" i="4" s="1"/>
  <c r="V46" i="4"/>
  <c r="W46" i="4" s="1"/>
  <c r="V27" i="4"/>
  <c r="W27" i="4" s="1"/>
  <c r="V47" i="4"/>
  <c r="W47" i="4" s="1"/>
  <c r="V48" i="4"/>
  <c r="W48" i="4" s="1"/>
  <c r="V18" i="4"/>
  <c r="W18" i="4" s="1"/>
  <c r="V49" i="4"/>
  <c r="W49" i="4" s="1"/>
  <c r="V6" i="4"/>
  <c r="W6" i="4" s="1"/>
  <c r="V50" i="4"/>
  <c r="W50" i="4" s="1"/>
  <c r="V51" i="4"/>
  <c r="W51" i="4" s="1"/>
  <c r="V52" i="4"/>
  <c r="W52" i="4" s="1"/>
  <c r="V28" i="4"/>
  <c r="W28" i="4" s="1"/>
  <c r="V53" i="4"/>
  <c r="V4" i="4"/>
  <c r="W4" i="4" s="1"/>
  <c r="V5" i="4"/>
  <c r="W5" i="4" s="1"/>
  <c r="V54" i="4"/>
  <c r="W54" i="4" s="1"/>
  <c r="V22" i="4"/>
  <c r="W22" i="4" s="1"/>
  <c r="V55" i="4"/>
  <c r="W55" i="4" s="1"/>
  <c r="V56" i="4"/>
  <c r="W56" i="4" s="1"/>
  <c r="V57" i="4"/>
  <c r="V58" i="4"/>
  <c r="W58" i="4" s="1"/>
  <c r="V7" i="4"/>
  <c r="S14" i="4"/>
  <c r="T14" i="4" s="1"/>
  <c r="S16" i="4"/>
  <c r="T16" i="4" s="1"/>
  <c r="S19" i="4"/>
  <c r="T19" i="4" s="1"/>
  <c r="S8" i="4"/>
  <c r="T8" i="4" s="1"/>
  <c r="S30" i="4"/>
  <c r="T30" i="4" s="1"/>
  <c r="S20" i="4"/>
  <c r="T20" i="4" s="1"/>
  <c r="S23" i="4"/>
  <c r="T23" i="4" s="1"/>
  <c r="S26" i="4"/>
  <c r="T26" i="4" s="1"/>
  <c r="S9" i="4"/>
  <c r="T9" i="4" s="1"/>
  <c r="S15" i="4"/>
  <c r="T15" i="4" s="1"/>
  <c r="S25" i="4"/>
  <c r="T25" i="4" s="1"/>
  <c r="S45" i="4"/>
  <c r="T45" i="4" s="1"/>
  <c r="S36" i="4"/>
  <c r="T36" i="4" s="1"/>
  <c r="S37" i="4"/>
  <c r="T37" i="4" s="1"/>
  <c r="S38" i="4"/>
  <c r="T38" i="4" s="1"/>
  <c r="S10" i="4"/>
  <c r="T10" i="4" s="1"/>
  <c r="S13" i="4"/>
  <c r="T13" i="4" s="1"/>
  <c r="S39" i="4"/>
  <c r="T39" i="4" s="1"/>
  <c r="S40" i="4"/>
  <c r="T40" i="4" s="1"/>
  <c r="S41" i="4"/>
  <c r="S42" i="4"/>
  <c r="T42" i="4" s="1"/>
  <c r="S11" i="4"/>
  <c r="T11" i="4" s="1"/>
  <c r="S12" i="4"/>
  <c r="T12" i="4" s="1"/>
  <c r="S17" i="4"/>
  <c r="T17" i="4" s="1"/>
  <c r="S43" i="4"/>
  <c r="T43" i="4" s="1"/>
  <c r="S24" i="4"/>
  <c r="T24" i="4" s="1"/>
  <c r="S31" i="4"/>
  <c r="T31" i="4" s="1"/>
  <c r="S44" i="4"/>
  <c r="S29" i="4"/>
  <c r="T29" i="4" s="1"/>
  <c r="S21" i="4"/>
  <c r="T21" i="4" s="1"/>
  <c r="S46" i="4"/>
  <c r="T46" i="4" s="1"/>
  <c r="S27" i="4"/>
  <c r="T27" i="4" s="1"/>
  <c r="S47" i="4"/>
  <c r="T47" i="4" s="1"/>
  <c r="S48" i="4"/>
  <c r="T48" i="4" s="1"/>
  <c r="S18" i="4"/>
  <c r="T18" i="4" s="1"/>
  <c r="S49" i="4"/>
  <c r="T49" i="4" s="1"/>
  <c r="S6" i="4"/>
  <c r="T6" i="4" s="1"/>
  <c r="S50" i="4"/>
  <c r="T50" i="4" s="1"/>
  <c r="S51" i="4"/>
  <c r="T51" i="4" s="1"/>
  <c r="S52" i="4"/>
  <c r="T52" i="4" s="1"/>
  <c r="S28" i="4"/>
  <c r="T28" i="4" s="1"/>
  <c r="S53" i="4"/>
  <c r="T53" i="4" s="1"/>
  <c r="S4" i="4"/>
  <c r="T4" i="4" s="1"/>
  <c r="S5" i="4"/>
  <c r="T5" i="4" s="1"/>
  <c r="S54" i="4"/>
  <c r="S22" i="4"/>
  <c r="T22" i="4" s="1"/>
  <c r="S55" i="4"/>
  <c r="T55" i="4" s="1"/>
  <c r="S56" i="4"/>
  <c r="T56" i="4" s="1"/>
  <c r="S57" i="4"/>
  <c r="T57" i="4" s="1"/>
  <c r="S58" i="4"/>
  <c r="T58" i="4" s="1"/>
  <c r="S7" i="4"/>
  <c r="F73" i="1"/>
  <c r="F78" i="1" s="1"/>
  <c r="Y14" i="4"/>
  <c r="Z14" i="4" s="1"/>
  <c r="Y16" i="4"/>
  <c r="Z16" i="4" s="1"/>
  <c r="Y19" i="4"/>
  <c r="Z19" i="4" s="1"/>
  <c r="Y8" i="4"/>
  <c r="Z8" i="4" s="1"/>
  <c r="Y30" i="4"/>
  <c r="Z30" i="4" s="1"/>
  <c r="Y20" i="4"/>
  <c r="Z20" i="4" s="1"/>
  <c r="Y23" i="4"/>
  <c r="Z23" i="4" s="1"/>
  <c r="Y26" i="4"/>
  <c r="Z26" i="4" s="1"/>
  <c r="Y9" i="4"/>
  <c r="Z9" i="4" s="1"/>
  <c r="Y15" i="4"/>
  <c r="Z15" i="4" s="1"/>
  <c r="Y25" i="4"/>
  <c r="Z25" i="4" s="1"/>
  <c r="Y45" i="4"/>
  <c r="Z45" i="4" s="1"/>
  <c r="Y36" i="4"/>
  <c r="Z36" i="4" s="1"/>
  <c r="Y37" i="4"/>
  <c r="Z37" i="4" s="1"/>
  <c r="Y38" i="4"/>
  <c r="Z38" i="4" s="1"/>
  <c r="Y10" i="4"/>
  <c r="Z10" i="4" s="1"/>
  <c r="Y13" i="4"/>
  <c r="Z13" i="4" s="1"/>
  <c r="Y39" i="4"/>
  <c r="Z39" i="4" s="1"/>
  <c r="Y40" i="4"/>
  <c r="Z40" i="4" s="1"/>
  <c r="Y41" i="4"/>
  <c r="Z41" i="4" s="1"/>
  <c r="Y42" i="4"/>
  <c r="Z42" i="4" s="1"/>
  <c r="Y11" i="4"/>
  <c r="Z11" i="4" s="1"/>
  <c r="Y12" i="4"/>
  <c r="Z12" i="4" s="1"/>
  <c r="Y17" i="4"/>
  <c r="Z17" i="4" s="1"/>
  <c r="Y43" i="4"/>
  <c r="Z43" i="4" s="1"/>
  <c r="Y24" i="4"/>
  <c r="Z24" i="4" s="1"/>
  <c r="Y31" i="4"/>
  <c r="Z31" i="4" s="1"/>
  <c r="Y29" i="4"/>
  <c r="Z29" i="4" s="1"/>
  <c r="Y21" i="4"/>
  <c r="Z21" i="4" s="1"/>
  <c r="Y46" i="4"/>
  <c r="Z46" i="4" s="1"/>
  <c r="Y27" i="4"/>
  <c r="Z27" i="4" s="1"/>
  <c r="Y47" i="4"/>
  <c r="Z47" i="4" s="1"/>
  <c r="Y48" i="4"/>
  <c r="Z48" i="4" s="1"/>
  <c r="Y18" i="4"/>
  <c r="Z18" i="4" s="1"/>
  <c r="Y49" i="4"/>
  <c r="Z49" i="4" s="1"/>
  <c r="Y6" i="4"/>
  <c r="Z6" i="4" s="1"/>
  <c r="Y50" i="4"/>
  <c r="Z50" i="4" s="1"/>
  <c r="Y51" i="4"/>
  <c r="Z51" i="4" s="1"/>
  <c r="Y52" i="4"/>
  <c r="Z52" i="4" s="1"/>
  <c r="Y28" i="4"/>
  <c r="Z28" i="4" s="1"/>
  <c r="Y53" i="4"/>
  <c r="Z53" i="4" s="1"/>
  <c r="Y4" i="4"/>
  <c r="Z4" i="4" s="1"/>
  <c r="Y54" i="4"/>
  <c r="Z54" i="4" s="1"/>
  <c r="Y22" i="4"/>
  <c r="Z22" i="4" s="1"/>
  <c r="Y55" i="4"/>
  <c r="Z55" i="4" s="1"/>
  <c r="Y56" i="4"/>
  <c r="Z56" i="4" s="1"/>
  <c r="Y57" i="4"/>
  <c r="Z57" i="4" s="1"/>
  <c r="Y58" i="4"/>
  <c r="Z58" i="4" s="1"/>
  <c r="Y7" i="4"/>
  <c r="P14" i="4"/>
  <c r="P16" i="4"/>
  <c r="Q16" i="4" s="1"/>
  <c r="P19" i="4"/>
  <c r="Q19" i="4" s="1"/>
  <c r="P8" i="4"/>
  <c r="Q8" i="4" s="1"/>
  <c r="P30" i="4"/>
  <c r="Q30" i="4" s="1"/>
  <c r="P20" i="4"/>
  <c r="Q20" i="4" s="1"/>
  <c r="P23" i="4"/>
  <c r="Q23" i="4" s="1"/>
  <c r="P26" i="4"/>
  <c r="Q26" i="4" s="1"/>
  <c r="P9" i="4"/>
  <c r="Q9" i="4" s="1"/>
  <c r="P15" i="4"/>
  <c r="Q15" i="4" s="1"/>
  <c r="P25" i="4"/>
  <c r="Q25" i="4" s="1"/>
  <c r="P45" i="4"/>
  <c r="Q45" i="4" s="1"/>
  <c r="P36" i="4"/>
  <c r="Q36" i="4" s="1"/>
  <c r="P37" i="4"/>
  <c r="Q37" i="4" s="1"/>
  <c r="P38" i="4"/>
  <c r="Q38" i="4" s="1"/>
  <c r="P10" i="4"/>
  <c r="Q10" i="4" s="1"/>
  <c r="P13" i="4"/>
  <c r="Q13" i="4" s="1"/>
  <c r="P39" i="4"/>
  <c r="Q39" i="4" s="1"/>
  <c r="P40" i="4"/>
  <c r="Q40" i="4" s="1"/>
  <c r="P41" i="4"/>
  <c r="Q41" i="4" s="1"/>
  <c r="P42" i="4"/>
  <c r="Q42" i="4" s="1"/>
  <c r="P11" i="4"/>
  <c r="Q11" i="4" s="1"/>
  <c r="P12" i="4"/>
  <c r="Q12" i="4" s="1"/>
  <c r="P17" i="4"/>
  <c r="Q17" i="4" s="1"/>
  <c r="P43" i="4"/>
  <c r="Q43" i="4" s="1"/>
  <c r="P24" i="4"/>
  <c r="Q24" i="4" s="1"/>
  <c r="P31" i="4"/>
  <c r="Q31" i="4" s="1"/>
  <c r="P29" i="4"/>
  <c r="Q29" i="4" s="1"/>
  <c r="P21" i="4"/>
  <c r="Q21" i="4" s="1"/>
  <c r="P46" i="4"/>
  <c r="Q46" i="4" s="1"/>
  <c r="P27" i="4"/>
  <c r="Q27" i="4" s="1"/>
  <c r="P47" i="4"/>
  <c r="Q47" i="4" s="1"/>
  <c r="P48" i="4"/>
  <c r="Q48" i="4" s="1"/>
  <c r="P18" i="4"/>
  <c r="Q18" i="4" s="1"/>
  <c r="P49" i="4"/>
  <c r="Q49" i="4" s="1"/>
  <c r="P6" i="4"/>
  <c r="Q6" i="4" s="1"/>
  <c r="P50" i="4"/>
  <c r="Q50" i="4" s="1"/>
  <c r="P51" i="4"/>
  <c r="Q51" i="4" s="1"/>
  <c r="P52" i="4"/>
  <c r="Q52" i="4" s="1"/>
  <c r="P28" i="4"/>
  <c r="Q28" i="4" s="1"/>
  <c r="P53" i="4"/>
  <c r="Q53" i="4" s="1"/>
  <c r="P4" i="4"/>
  <c r="Q4" i="4" s="1"/>
  <c r="P54" i="4"/>
  <c r="Q54" i="4" s="1"/>
  <c r="P22" i="4"/>
  <c r="Q22" i="4" s="1"/>
  <c r="P55" i="4"/>
  <c r="Q55" i="4" s="1"/>
  <c r="P56" i="4"/>
  <c r="Q56" i="4" s="1"/>
  <c r="P57" i="4"/>
  <c r="Q57" i="4" s="1"/>
  <c r="P58" i="4"/>
  <c r="Q58" i="4" s="1"/>
  <c r="P7" i="4"/>
  <c r="M14" i="4"/>
  <c r="N14" i="4" s="1"/>
  <c r="M16" i="4"/>
  <c r="N16" i="4" s="1"/>
  <c r="M19" i="4"/>
  <c r="N19" i="4" s="1"/>
  <c r="M8" i="4"/>
  <c r="N8" i="4" s="1"/>
  <c r="M30" i="4"/>
  <c r="N30" i="4" s="1"/>
  <c r="M20" i="4"/>
  <c r="N20" i="4" s="1"/>
  <c r="M23" i="4"/>
  <c r="N23" i="4" s="1"/>
  <c r="M26" i="4"/>
  <c r="N26" i="4" s="1"/>
  <c r="M9" i="4"/>
  <c r="N9" i="4" s="1"/>
  <c r="M15" i="4"/>
  <c r="N15" i="4" s="1"/>
  <c r="M25" i="4"/>
  <c r="N25" i="4" s="1"/>
  <c r="M45" i="4"/>
  <c r="N45" i="4" s="1"/>
  <c r="M36" i="4"/>
  <c r="N36" i="4" s="1"/>
  <c r="M37" i="4"/>
  <c r="N37" i="4" s="1"/>
  <c r="M38" i="4"/>
  <c r="N38" i="4" s="1"/>
  <c r="M10" i="4"/>
  <c r="N10" i="4" s="1"/>
  <c r="M13" i="4"/>
  <c r="N13" i="4" s="1"/>
  <c r="M40" i="4"/>
  <c r="N40" i="4" s="1"/>
  <c r="M41" i="4"/>
  <c r="N41" i="4" s="1"/>
  <c r="M42" i="4"/>
  <c r="N42" i="4" s="1"/>
  <c r="M11" i="4"/>
  <c r="N11" i="4" s="1"/>
  <c r="M17" i="4"/>
  <c r="N17" i="4" s="1"/>
  <c r="M43" i="4"/>
  <c r="N43" i="4" s="1"/>
  <c r="M24" i="4"/>
  <c r="N24" i="4" s="1"/>
  <c r="M31" i="4"/>
  <c r="N31" i="4" s="1"/>
  <c r="M44" i="4"/>
  <c r="N44" i="4" s="1"/>
  <c r="M29" i="4"/>
  <c r="N29" i="4" s="1"/>
  <c r="M21" i="4"/>
  <c r="N21" i="4" s="1"/>
  <c r="M46" i="4"/>
  <c r="N46" i="4" s="1"/>
  <c r="M27" i="4"/>
  <c r="N27" i="4" s="1"/>
  <c r="M47" i="4"/>
  <c r="N47" i="4" s="1"/>
  <c r="M48" i="4"/>
  <c r="N48" i="4" s="1"/>
  <c r="M18" i="4"/>
  <c r="N18" i="4" s="1"/>
  <c r="M49" i="4"/>
  <c r="M6" i="4"/>
  <c r="N6" i="4" s="1"/>
  <c r="M50" i="4"/>
  <c r="N50" i="4" s="1"/>
  <c r="M51" i="4"/>
  <c r="N51" i="4" s="1"/>
  <c r="M52" i="4"/>
  <c r="N52" i="4" s="1"/>
  <c r="M28" i="4"/>
  <c r="N28" i="4" s="1"/>
  <c r="M53" i="4"/>
  <c r="N53" i="4" s="1"/>
  <c r="M5" i="4"/>
  <c r="N5" i="4" s="1"/>
  <c r="M54" i="4"/>
  <c r="N54" i="4" s="1"/>
  <c r="M22" i="4"/>
  <c r="N22" i="4" s="1"/>
  <c r="M55" i="4"/>
  <c r="N55" i="4" s="1"/>
  <c r="M56" i="4"/>
  <c r="N56" i="4" s="1"/>
  <c r="M57" i="4"/>
  <c r="N57" i="4" s="1"/>
  <c r="M58" i="4"/>
  <c r="N58" i="4" s="1"/>
  <c r="M7" i="4"/>
  <c r="J16" i="4"/>
  <c r="K16" i="4" s="1"/>
  <c r="J8" i="4"/>
  <c r="K8" i="4" s="1"/>
  <c r="J20" i="4"/>
  <c r="K20" i="4" s="1"/>
  <c r="J23" i="4"/>
  <c r="K23" i="4" s="1"/>
  <c r="J9" i="4"/>
  <c r="K9" i="4" s="1"/>
  <c r="J45" i="4"/>
  <c r="K45" i="4" s="1"/>
  <c r="J36" i="4"/>
  <c r="K36" i="4" s="1"/>
  <c r="J10" i="4"/>
  <c r="K10" i="4" s="1"/>
  <c r="J13" i="4"/>
  <c r="K13" i="4" s="1"/>
  <c r="J39" i="4"/>
  <c r="K39" i="4" s="1"/>
  <c r="J42" i="4"/>
  <c r="K42" i="4" s="1"/>
  <c r="J12" i="4"/>
  <c r="K12" i="4" s="1"/>
  <c r="J43" i="4"/>
  <c r="K43" i="4" s="1"/>
  <c r="J31" i="4"/>
  <c r="K31" i="4" s="1"/>
  <c r="J29" i="4"/>
  <c r="K29" i="4" s="1"/>
  <c r="J46" i="4"/>
  <c r="K46" i="4" s="1"/>
  <c r="J47" i="4"/>
  <c r="J48" i="4"/>
  <c r="K48" i="4" s="1"/>
  <c r="J6" i="4"/>
  <c r="K6" i="4" s="1"/>
  <c r="J51" i="4"/>
  <c r="K51" i="4" s="1"/>
  <c r="J52" i="4"/>
  <c r="K52" i="4" s="1"/>
  <c r="J28" i="4"/>
  <c r="K28" i="4" s="1"/>
  <c r="K4" i="4"/>
  <c r="J5" i="4"/>
  <c r="K5" i="4" s="1"/>
  <c r="J22" i="4"/>
  <c r="K22" i="4" s="1"/>
  <c r="J55" i="4"/>
  <c r="K55" i="4" s="1"/>
  <c r="J56" i="4"/>
  <c r="K56" i="4" s="1"/>
  <c r="G57" i="4"/>
  <c r="H57" i="4" s="1"/>
  <c r="J17" i="22"/>
  <c r="I17" i="22"/>
  <c r="AO59" i="4" l="1"/>
  <c r="AO60" i="4" s="1"/>
  <c r="AO66" i="4" s="1"/>
  <c r="F60" i="4"/>
  <c r="AL33" i="4"/>
  <c r="I69" i="4"/>
  <c r="G33" i="22"/>
  <c r="Z7" i="4"/>
  <c r="Z33" i="4" s="1"/>
  <c r="Y33" i="4"/>
  <c r="Y60" i="4" s="1"/>
  <c r="T7" i="4"/>
  <c r="T33" i="4" s="1"/>
  <c r="S33" i="4"/>
  <c r="S60" i="4" s="1"/>
  <c r="W7" i="4"/>
  <c r="W33" i="4" s="1"/>
  <c r="V33" i="4"/>
  <c r="V60" i="4" s="1"/>
  <c r="V44" i="4"/>
  <c r="W44" i="4" s="1"/>
  <c r="U59" i="4"/>
  <c r="U60" i="4" s="1"/>
  <c r="H62" i="4" s="1"/>
  <c r="N7" i="4"/>
  <c r="Q7" i="4"/>
  <c r="P33" i="4"/>
  <c r="P60" i="4" s="1"/>
  <c r="S67" i="4"/>
  <c r="T67" i="4" s="1"/>
  <c r="R69" i="4"/>
  <c r="X69" i="4"/>
  <c r="L69" i="4"/>
  <c r="G14" i="22"/>
  <c r="I14" i="22" s="1"/>
  <c r="J25" i="4"/>
  <c r="K25" i="4" s="1"/>
  <c r="J50" i="4"/>
  <c r="K50" i="4" s="1"/>
  <c r="G23" i="4"/>
  <c r="AK23" i="4" s="1"/>
  <c r="J37" i="4"/>
  <c r="K37" i="4" s="1"/>
  <c r="G12" i="4"/>
  <c r="G42" i="4"/>
  <c r="AK42" i="4" s="1"/>
  <c r="J44" i="4"/>
  <c r="K44" i="4" s="1"/>
  <c r="J26" i="4"/>
  <c r="K26" i="4" s="1"/>
  <c r="G48" i="4"/>
  <c r="G4" i="4"/>
  <c r="G25" i="4"/>
  <c r="G31" i="4"/>
  <c r="AK31" i="4" s="1"/>
  <c r="G16" i="4"/>
  <c r="AK16" i="4" s="1"/>
  <c r="J18" i="4"/>
  <c r="K18" i="4" s="1"/>
  <c r="G28" i="4"/>
  <c r="AK28" i="4" s="1"/>
  <c r="G47" i="4"/>
  <c r="H47" i="4" s="1"/>
  <c r="G39" i="4"/>
  <c r="H39" i="4" s="1"/>
  <c r="G51" i="4"/>
  <c r="J53" i="4"/>
  <c r="K53" i="4" s="1"/>
  <c r="J58" i="4"/>
  <c r="K58" i="4" s="1"/>
  <c r="K33" i="22"/>
  <c r="J54" i="4"/>
  <c r="K54" i="4" s="1"/>
  <c r="J27" i="4"/>
  <c r="K27" i="4" s="1"/>
  <c r="G27" i="4"/>
  <c r="J21" i="4"/>
  <c r="K21" i="4" s="1"/>
  <c r="J24" i="4"/>
  <c r="K24" i="4" s="1"/>
  <c r="J17" i="4"/>
  <c r="K17" i="4" s="1"/>
  <c r="J11" i="4"/>
  <c r="K11" i="4" s="1"/>
  <c r="G11" i="4"/>
  <c r="J41" i="4"/>
  <c r="K41" i="4" s="1"/>
  <c r="M4" i="4"/>
  <c r="N4" i="4" s="1"/>
  <c r="M12" i="4"/>
  <c r="N12" i="4" s="1"/>
  <c r="M39" i="4"/>
  <c r="N39" i="4" s="1"/>
  <c r="P44" i="4"/>
  <c r="Q44" i="4" s="1"/>
  <c r="Y44" i="4"/>
  <c r="Z44" i="4" s="1"/>
  <c r="J67" i="4"/>
  <c r="K67" i="4" s="1"/>
  <c r="F67" i="4"/>
  <c r="F69" i="4" s="1"/>
  <c r="K14" i="22"/>
  <c r="J14" i="22"/>
  <c r="J7" i="4"/>
  <c r="G18" i="4"/>
  <c r="AK18" i="4" s="1"/>
  <c r="B9" i="5" s="1"/>
  <c r="J57" i="4"/>
  <c r="K57" i="4" s="1"/>
  <c r="J33" i="22"/>
  <c r="K18" i="22"/>
  <c r="M17" i="22"/>
  <c r="I33" i="22"/>
  <c r="J40" i="4"/>
  <c r="K40" i="4" s="1"/>
  <c r="J38" i="4"/>
  <c r="K38" i="4" s="1"/>
  <c r="J15" i="4"/>
  <c r="K15" i="4" s="1"/>
  <c r="J30" i="4"/>
  <c r="K30" i="4" s="1"/>
  <c r="J19" i="4"/>
  <c r="K19" i="4" s="1"/>
  <c r="G19" i="4"/>
  <c r="J14" i="4"/>
  <c r="K14" i="4" s="1"/>
  <c r="G49" i="4"/>
  <c r="H49" i="4" s="1"/>
  <c r="T41" i="4"/>
  <c r="G7" i="4"/>
  <c r="J49" i="4"/>
  <c r="K49" i="4" s="1"/>
  <c r="K47" i="4"/>
  <c r="G44" i="4"/>
  <c r="H44" i="4" s="1"/>
  <c r="Q14" i="4"/>
  <c r="T54" i="4"/>
  <c r="G50" i="4"/>
  <c r="H50" i="4" s="1"/>
  <c r="G26" i="4"/>
  <c r="AK26" i="4" s="1"/>
  <c r="N49" i="4"/>
  <c r="T44" i="4"/>
  <c r="W57" i="4"/>
  <c r="G58" i="4"/>
  <c r="H58" i="4" s="1"/>
  <c r="AJ58" i="4" s="1"/>
  <c r="G53" i="4"/>
  <c r="H53" i="4" s="1"/>
  <c r="W53" i="4"/>
  <c r="G37" i="4"/>
  <c r="H37" i="4" s="1"/>
  <c r="AJ37" i="4" s="1"/>
  <c r="AJ50" i="4" l="1"/>
  <c r="AK19" i="4"/>
  <c r="AK27" i="4"/>
  <c r="AJ53" i="4"/>
  <c r="AK25" i="4"/>
  <c r="AP25" i="4" s="1"/>
  <c r="AR25" i="4" s="1"/>
  <c r="AJ57" i="4"/>
  <c r="AS57" i="4" s="1"/>
  <c r="AU57" i="4" s="1"/>
  <c r="AJ47" i="4"/>
  <c r="AJ49" i="4"/>
  <c r="AS49" i="4" s="1"/>
  <c r="AU49" i="4" s="1"/>
  <c r="AJ44" i="4"/>
  <c r="AK11" i="4"/>
  <c r="AK12" i="4"/>
  <c r="AP12" i="4" s="1"/>
  <c r="AR12" i="4" s="1"/>
  <c r="AK7" i="4"/>
  <c r="AK4" i="4"/>
  <c r="AL60" i="4"/>
  <c r="C13" i="8" s="1"/>
  <c r="AJ39" i="4"/>
  <c r="AS39" i="4" s="1"/>
  <c r="AT39" i="4" s="1"/>
  <c r="AP27" i="4"/>
  <c r="AQ27" i="4" s="1"/>
  <c r="AP19" i="4"/>
  <c r="AR19" i="4" s="1"/>
  <c r="AP18" i="4"/>
  <c r="U69" i="4"/>
  <c r="H11" i="4"/>
  <c r="H16" i="4"/>
  <c r="H4" i="4"/>
  <c r="AJ4" i="4" s="1"/>
  <c r="Q33" i="4"/>
  <c r="H12" i="4"/>
  <c r="AJ12" i="4" s="1"/>
  <c r="M33" i="4"/>
  <c r="M60" i="4" s="1"/>
  <c r="H31" i="4"/>
  <c r="AP31" i="4"/>
  <c r="AQ31" i="4" s="1"/>
  <c r="H7" i="4"/>
  <c r="H18" i="4"/>
  <c r="AJ18" i="4" s="1"/>
  <c r="K7" i="4"/>
  <c r="K33" i="4" s="1"/>
  <c r="J33" i="4"/>
  <c r="J60" i="4" s="1"/>
  <c r="H27" i="4"/>
  <c r="N33" i="4"/>
  <c r="H19" i="4"/>
  <c r="AJ19" i="4" s="1"/>
  <c r="H26" i="4"/>
  <c r="AJ26" i="4" s="1"/>
  <c r="AP26" i="4"/>
  <c r="H25" i="4"/>
  <c r="AP48" i="4"/>
  <c r="AQ48" i="4" s="1"/>
  <c r="H48" i="4"/>
  <c r="Y69" i="4"/>
  <c r="Z60" i="4"/>
  <c r="Z69" i="4" s="1"/>
  <c r="AP42" i="4"/>
  <c r="AQ42" i="4" s="1"/>
  <c r="H42" i="4"/>
  <c r="H28" i="4"/>
  <c r="AJ28" i="4" s="1"/>
  <c r="S69" i="4"/>
  <c r="T60" i="4"/>
  <c r="T69" i="4" s="1"/>
  <c r="P69" i="4"/>
  <c r="Q60" i="4"/>
  <c r="Q69" i="4" s="1"/>
  <c r="AP51" i="4"/>
  <c r="AQ51" i="4" s="1"/>
  <c r="H51" i="4"/>
  <c r="AP23" i="4"/>
  <c r="H23" i="4"/>
  <c r="AJ23" i="4" s="1"/>
  <c r="W60" i="4"/>
  <c r="W69" i="4" s="1"/>
  <c r="V69" i="4"/>
  <c r="K34" i="22"/>
  <c r="K15" i="22"/>
  <c r="G22" i="4"/>
  <c r="AK22" i="4" s="1"/>
  <c r="G46" i="4"/>
  <c r="G45" i="4"/>
  <c r="G5" i="4"/>
  <c r="AK5" i="4" s="1"/>
  <c r="G43" i="4"/>
  <c r="AS47" i="4"/>
  <c r="AT47" i="4" s="1"/>
  <c r="G29" i="4"/>
  <c r="AK29" i="4" s="1"/>
  <c r="G21" i="4"/>
  <c r="AK21" i="4" s="1"/>
  <c r="B8" i="5" s="1"/>
  <c r="G10" i="4"/>
  <c r="AK10" i="4" s="1"/>
  <c r="G6" i="4"/>
  <c r="AK6" i="4" s="1"/>
  <c r="B10" i="5" s="1"/>
  <c r="G14" i="4"/>
  <c r="AK14" i="4" s="1"/>
  <c r="G20" i="4"/>
  <c r="AK20" i="4" s="1"/>
  <c r="B4" i="5" s="1"/>
  <c r="AP28" i="4"/>
  <c r="AQ28" i="4" s="1"/>
  <c r="G15" i="4"/>
  <c r="AK15" i="4" s="1"/>
  <c r="AP47" i="4"/>
  <c r="AR47" i="4" s="1"/>
  <c r="G13" i="4"/>
  <c r="AK13" i="4" s="1"/>
  <c r="AP39" i="4"/>
  <c r="G9" i="4"/>
  <c r="AK9" i="4" s="1"/>
  <c r="G8" i="4"/>
  <c r="AK8" i="4" s="1"/>
  <c r="AP57" i="4"/>
  <c r="AR57" i="4" s="1"/>
  <c r="AP49" i="4"/>
  <c r="M14" i="22"/>
  <c r="G54" i="4"/>
  <c r="H54" i="4" s="1"/>
  <c r="AJ54" i="4" s="1"/>
  <c r="G30" i="4"/>
  <c r="AK30" i="4" s="1"/>
  <c r="G38" i="4"/>
  <c r="H38" i="4" s="1"/>
  <c r="AJ38" i="4" s="1"/>
  <c r="G40" i="4"/>
  <c r="G67" i="4"/>
  <c r="AO67" i="4"/>
  <c r="G41" i="4"/>
  <c r="G17" i="4"/>
  <c r="AK17" i="4" s="1"/>
  <c r="G24" i="4"/>
  <c r="AK24" i="4" s="1"/>
  <c r="M33" i="22"/>
  <c r="G55" i="4"/>
  <c r="H55" i="4" s="1"/>
  <c r="AJ55" i="4" s="1"/>
  <c r="G36" i="4"/>
  <c r="H36" i="4" s="1"/>
  <c r="AJ36" i="4" s="1"/>
  <c r="G56" i="4"/>
  <c r="H56" i="4" s="1"/>
  <c r="AJ56" i="4" s="1"/>
  <c r="G52" i="4"/>
  <c r="H52" i="4" s="1"/>
  <c r="AJ52" i="4" s="1"/>
  <c r="AP50" i="4"/>
  <c r="AS50" i="4"/>
  <c r="AS44" i="4"/>
  <c r="AP44" i="4"/>
  <c r="AP53" i="4"/>
  <c r="AS53" i="4"/>
  <c r="AS58" i="4"/>
  <c r="AP37" i="4"/>
  <c r="AS37" i="4"/>
  <c r="B7" i="5" l="1"/>
  <c r="H67" i="4"/>
  <c r="AJ67" i="4" s="1"/>
  <c r="AK67" i="4"/>
  <c r="AJ7" i="4"/>
  <c r="B11" i="5"/>
  <c r="B5" i="5"/>
  <c r="B3" i="5"/>
  <c r="C3" i="5" s="1"/>
  <c r="AJ42" i="4"/>
  <c r="AS42" i="4" s="1"/>
  <c r="AJ51" i="4"/>
  <c r="AS51" i="4" s="1"/>
  <c r="AJ31" i="4"/>
  <c r="AS31" i="4" s="1"/>
  <c r="H41" i="4"/>
  <c r="AJ41" i="4" s="1"/>
  <c r="AK41" i="4"/>
  <c r="AJ27" i="4"/>
  <c r="AS27" i="4" s="1"/>
  <c r="AJ48" i="4"/>
  <c r="AS48" i="4" s="1"/>
  <c r="AJ25" i="4"/>
  <c r="AS25" i="4" s="1"/>
  <c r="AJ16" i="4"/>
  <c r="AS16" i="4" s="1"/>
  <c r="H40" i="4"/>
  <c r="AJ40" i="4" s="1"/>
  <c r="AS40" i="4" s="1"/>
  <c r="AK40" i="4"/>
  <c r="B6" i="5" s="1"/>
  <c r="AJ11" i="4"/>
  <c r="AS11" i="4" s="1"/>
  <c r="AP7" i="4"/>
  <c r="AQ7" i="4" s="1"/>
  <c r="AR48" i="4"/>
  <c r="AS12" i="4"/>
  <c r="AS26" i="4"/>
  <c r="AS18" i="4"/>
  <c r="AS19" i="4"/>
  <c r="G33" i="4"/>
  <c r="G60" i="4" s="1"/>
  <c r="H17" i="4"/>
  <c r="AP17" i="4"/>
  <c r="H30" i="4"/>
  <c r="H29" i="4"/>
  <c r="AJ29" i="4" s="1"/>
  <c r="AP29" i="4"/>
  <c r="H9" i="4"/>
  <c r="AJ9" i="4" s="1"/>
  <c r="AP9" i="4"/>
  <c r="H20" i="4"/>
  <c r="AS23" i="4"/>
  <c r="AS28" i="4"/>
  <c r="H13" i="4"/>
  <c r="AJ13" i="4" s="1"/>
  <c r="H24" i="4"/>
  <c r="AP24" i="4"/>
  <c r="H8" i="4"/>
  <c r="AJ8" i="4" s="1"/>
  <c r="AR51" i="4"/>
  <c r="AR42" i="4"/>
  <c r="H6" i="4"/>
  <c r="AJ6" i="4" s="1"/>
  <c r="H5" i="4"/>
  <c r="AJ5" i="4" s="1"/>
  <c r="H46" i="4"/>
  <c r="AP21" i="4"/>
  <c r="H21" i="4"/>
  <c r="AJ21" i="4" s="1"/>
  <c r="H22" i="4"/>
  <c r="AJ22" i="4" s="1"/>
  <c r="J69" i="4"/>
  <c r="K60" i="4"/>
  <c r="K69" i="4" s="1"/>
  <c r="M69" i="4"/>
  <c r="N60" i="4"/>
  <c r="N69" i="4" s="1"/>
  <c r="AP43" i="4"/>
  <c r="AR43" i="4" s="1"/>
  <c r="H43" i="4"/>
  <c r="H45" i="4"/>
  <c r="AP10" i="4"/>
  <c r="H10" i="4"/>
  <c r="AJ10" i="4" s="1"/>
  <c r="H15" i="4"/>
  <c r="AJ15" i="4" s="1"/>
  <c r="H14" i="4"/>
  <c r="AJ14" i="4" s="1"/>
  <c r="AS4" i="4"/>
  <c r="AP4" i="4"/>
  <c r="AQ4" i="4" s="1"/>
  <c r="AQ19" i="4"/>
  <c r="AP46" i="4"/>
  <c r="AR46" i="4" s="1"/>
  <c r="AP22" i="4"/>
  <c r="AR22" i="4" s="1"/>
  <c r="AQ12" i="4"/>
  <c r="AT57" i="4"/>
  <c r="AR31" i="4"/>
  <c r="AU47" i="4"/>
  <c r="AP45" i="4"/>
  <c r="AQ45" i="4" s="1"/>
  <c r="AR28" i="4"/>
  <c r="AQ47" i="4"/>
  <c r="AT49" i="4"/>
  <c r="AQ25" i="4"/>
  <c r="AR27" i="4"/>
  <c r="AU39" i="4"/>
  <c r="AP6" i="4"/>
  <c r="AP14" i="4"/>
  <c r="AQ14" i="4" s="1"/>
  <c r="AP15" i="4"/>
  <c r="AQ57" i="4"/>
  <c r="AQ39" i="4"/>
  <c r="AR39" i="4"/>
  <c r="AP13" i="4"/>
  <c r="AS41" i="4"/>
  <c r="AP41" i="4"/>
  <c r="AP40" i="4"/>
  <c r="AP30" i="4"/>
  <c r="AS54" i="4"/>
  <c r="AP54" i="4"/>
  <c r="AQ49" i="4"/>
  <c r="AR49" i="4"/>
  <c r="AP38" i="4"/>
  <c r="AS38" i="4"/>
  <c r="AS55" i="4"/>
  <c r="AP55" i="4"/>
  <c r="AU44" i="4"/>
  <c r="AT44" i="4"/>
  <c r="AR50" i="4"/>
  <c r="AQ50" i="4"/>
  <c r="AQ18" i="4"/>
  <c r="AR18" i="4"/>
  <c r="AR26" i="4"/>
  <c r="AQ26" i="4"/>
  <c r="AQ44" i="4"/>
  <c r="AR44" i="4"/>
  <c r="AT50" i="4"/>
  <c r="AU50" i="4"/>
  <c r="AP52" i="4"/>
  <c r="AS52" i="4"/>
  <c r="AP56" i="4"/>
  <c r="AS56" i="4"/>
  <c r="AS36" i="4"/>
  <c r="AP36" i="4"/>
  <c r="AP11" i="4"/>
  <c r="AU37" i="4"/>
  <c r="AT37" i="4"/>
  <c r="AP58" i="4"/>
  <c r="AU53" i="4"/>
  <c r="AT53" i="4"/>
  <c r="AQ23" i="4"/>
  <c r="AR23" i="4"/>
  <c r="AP16" i="4"/>
  <c r="AQ37" i="4"/>
  <c r="AR37" i="4"/>
  <c r="AT58" i="4"/>
  <c r="AU58" i="4"/>
  <c r="AR53" i="4"/>
  <c r="AQ53" i="4"/>
  <c r="AU51" i="4" l="1"/>
  <c r="AT51" i="4"/>
  <c r="F4" i="29"/>
  <c r="I4" i="29" s="1"/>
  <c r="AP59" i="4"/>
  <c r="AR7" i="4"/>
  <c r="AT27" i="4"/>
  <c r="AU27" i="4"/>
  <c r="AT16" i="4"/>
  <c r="AU16" i="4"/>
  <c r="AT25" i="4"/>
  <c r="AU25" i="4"/>
  <c r="AU11" i="4"/>
  <c r="AT11" i="4"/>
  <c r="AT48" i="4"/>
  <c r="AU48" i="4"/>
  <c r="AT31" i="4"/>
  <c r="AU31" i="4"/>
  <c r="AU42" i="4"/>
  <c r="AT42" i="4"/>
  <c r="AJ30" i="4"/>
  <c r="AS30" i="4" s="1"/>
  <c r="AJ17" i="4"/>
  <c r="AS17" i="4" s="1"/>
  <c r="AJ20" i="4"/>
  <c r="AS20" i="4" s="1"/>
  <c r="I62" i="4"/>
  <c r="I70" i="4" s="1"/>
  <c r="AK60" i="4"/>
  <c r="AJ45" i="4"/>
  <c r="AS45" i="4" s="1"/>
  <c r="AJ43" i="4"/>
  <c r="AK59" i="4"/>
  <c r="AK61" i="4"/>
  <c r="AJ24" i="4"/>
  <c r="AS24" i="4" s="1"/>
  <c r="AJ46" i="4"/>
  <c r="AS46" i="4" s="1"/>
  <c r="AU46" i="4" s="1"/>
  <c r="H4" i="29"/>
  <c r="C9" i="5"/>
  <c r="H9" i="5" s="1"/>
  <c r="J9" i="5" s="1"/>
  <c r="F10" i="29"/>
  <c r="C4" i="5"/>
  <c r="F5" i="29"/>
  <c r="AT19" i="4"/>
  <c r="AU19" i="4"/>
  <c r="AU26" i="4"/>
  <c r="AT26" i="4"/>
  <c r="AT18" i="4"/>
  <c r="AU18" i="4"/>
  <c r="AT12" i="4"/>
  <c r="AU12" i="4"/>
  <c r="AS9" i="4"/>
  <c r="AS13" i="4"/>
  <c r="AS29" i="4"/>
  <c r="AS8" i="4"/>
  <c r="AU23" i="4"/>
  <c r="AT23" i="4"/>
  <c r="AT28" i="4"/>
  <c r="AU28" i="4"/>
  <c r="D12" i="5"/>
  <c r="K13" i="29"/>
  <c r="AK35" i="4"/>
  <c r="B63" i="4" s="1"/>
  <c r="C10" i="8" s="1"/>
  <c r="C12" i="8" s="1"/>
  <c r="AK33" i="4"/>
  <c r="AP8" i="4"/>
  <c r="AS7" i="4"/>
  <c r="AS15" i="4"/>
  <c r="H33" i="4"/>
  <c r="AJ33" i="4" s="1"/>
  <c r="AS5" i="4"/>
  <c r="AS6" i="4"/>
  <c r="AT6" i="4" s="1"/>
  <c r="AS10" i="4"/>
  <c r="AS14" i="4"/>
  <c r="AS22" i="4"/>
  <c r="AS21" i="4"/>
  <c r="AT4" i="4"/>
  <c r="AQ43" i="4"/>
  <c r="G69" i="4"/>
  <c r="AK69" i="4" s="1"/>
  <c r="H60" i="4"/>
  <c r="AJ60" i="4" s="1"/>
  <c r="AU4" i="4"/>
  <c r="AQ22" i="4"/>
  <c r="AP5" i="4"/>
  <c r="AR5" i="4" s="1"/>
  <c r="M9" i="5"/>
  <c r="AR4" i="4"/>
  <c r="AQ46" i="4"/>
  <c r="AR45" i="4"/>
  <c r="AR14" i="4"/>
  <c r="AR29" i="4"/>
  <c r="AQ29" i="4"/>
  <c r="Q9" i="5"/>
  <c r="D9" i="5"/>
  <c r="E9" i="5" s="1"/>
  <c r="L9" i="5"/>
  <c r="P9" i="5"/>
  <c r="AP20" i="4"/>
  <c r="O9" i="5"/>
  <c r="N9" i="5"/>
  <c r="B13" i="5"/>
  <c r="M13" i="5" s="1"/>
  <c r="AR9" i="4"/>
  <c r="AQ9" i="4"/>
  <c r="AR13" i="4"/>
  <c r="AQ13" i="4"/>
  <c r="AU38" i="4"/>
  <c r="AT38" i="4"/>
  <c r="AR24" i="4"/>
  <c r="AQ24" i="4"/>
  <c r="AQ54" i="4"/>
  <c r="AR54" i="4"/>
  <c r="AR30" i="4"/>
  <c r="AQ30" i="4"/>
  <c r="AQ40" i="4"/>
  <c r="AQ59" i="4" s="1"/>
  <c r="AR40" i="4"/>
  <c r="AP67" i="4"/>
  <c r="AR41" i="4"/>
  <c r="AQ41" i="4"/>
  <c r="AR17" i="4"/>
  <c r="AQ17" i="4"/>
  <c r="AQ38" i="4"/>
  <c r="AR38" i="4"/>
  <c r="AU54" i="4"/>
  <c r="AT54" i="4"/>
  <c r="AU40" i="4"/>
  <c r="AT40" i="4"/>
  <c r="AT41" i="4"/>
  <c r="AU41" i="4"/>
  <c r="AU55" i="4"/>
  <c r="AT55" i="4"/>
  <c r="AR55" i="4"/>
  <c r="AQ55" i="4"/>
  <c r="AQ36" i="4"/>
  <c r="AR36" i="4"/>
  <c r="AT56" i="4"/>
  <c r="AU56" i="4"/>
  <c r="AU52" i="4"/>
  <c r="AT52" i="4"/>
  <c r="AT36" i="4"/>
  <c r="AU36" i="4"/>
  <c r="AQ56" i="4"/>
  <c r="AR56" i="4"/>
  <c r="AQ52" i="4"/>
  <c r="AR52" i="4"/>
  <c r="AR11" i="4"/>
  <c r="AQ11" i="4"/>
  <c r="AQ6" i="4"/>
  <c r="AR6" i="4"/>
  <c r="AR16" i="4"/>
  <c r="AQ16" i="4"/>
  <c r="AQ10" i="4"/>
  <c r="AR10" i="4"/>
  <c r="AR58" i="4"/>
  <c r="AQ58" i="4"/>
  <c r="AQ21" i="4"/>
  <c r="AR21" i="4"/>
  <c r="AQ15" i="4"/>
  <c r="AR15" i="4"/>
  <c r="AR59" i="4" l="1"/>
  <c r="AJ59" i="4"/>
  <c r="G4" i="29"/>
  <c r="AT45" i="4"/>
  <c r="AU45" i="4"/>
  <c r="AT46" i="4"/>
  <c r="Q12" i="5"/>
  <c r="P12" i="5"/>
  <c r="O12" i="5"/>
  <c r="AT24" i="4"/>
  <c r="AU24" i="4"/>
  <c r="AU20" i="4"/>
  <c r="AT20" i="4"/>
  <c r="AU17" i="4"/>
  <c r="AT17" i="4"/>
  <c r="AU30" i="4"/>
  <c r="AT30" i="4"/>
  <c r="AS43" i="4"/>
  <c r="AS59" i="4" s="1"/>
  <c r="C7" i="5"/>
  <c r="H7" i="5" s="1"/>
  <c r="I7" i="5" s="1"/>
  <c r="F8" i="29"/>
  <c r="C11" i="5"/>
  <c r="H11" i="5" s="1"/>
  <c r="I11" i="5" s="1"/>
  <c r="F12" i="29"/>
  <c r="C8" i="5"/>
  <c r="H8" i="5" s="1"/>
  <c r="I8" i="5" s="1"/>
  <c r="F9" i="29"/>
  <c r="C10" i="5"/>
  <c r="H10" i="5" s="1"/>
  <c r="J10" i="5" s="1"/>
  <c r="F11" i="29"/>
  <c r="G5" i="29"/>
  <c r="H5" i="29"/>
  <c r="I5" i="29"/>
  <c r="C6" i="5"/>
  <c r="H6" i="5" s="1"/>
  <c r="I6" i="5" s="1"/>
  <c r="F7" i="29"/>
  <c r="C5" i="5"/>
  <c r="H5" i="5" s="1"/>
  <c r="I5" i="5" s="1"/>
  <c r="F6" i="29"/>
  <c r="H10" i="29"/>
  <c r="G10" i="29"/>
  <c r="I10" i="29"/>
  <c r="G13" i="29"/>
  <c r="I13" i="29"/>
  <c r="H13" i="29"/>
  <c r="AU8" i="4"/>
  <c r="AT8" i="4"/>
  <c r="AU29" i="4"/>
  <c r="AT29" i="4"/>
  <c r="AU13" i="4"/>
  <c r="AT13" i="4"/>
  <c r="AU9" i="4"/>
  <c r="AT9" i="4"/>
  <c r="AT10" i="4"/>
  <c r="AU10" i="4"/>
  <c r="AT21" i="4"/>
  <c r="AU21" i="4"/>
  <c r="AP33" i="4"/>
  <c r="AT15" i="4"/>
  <c r="AU15" i="4"/>
  <c r="AU22" i="4"/>
  <c r="AT22" i="4"/>
  <c r="AU5" i="4"/>
  <c r="AT5" i="4"/>
  <c r="AU14" i="4"/>
  <c r="AT14" i="4"/>
  <c r="AU6" i="4"/>
  <c r="AT7" i="4"/>
  <c r="AS33" i="4"/>
  <c r="AU7" i="4"/>
  <c r="AJ32" i="4"/>
  <c r="H12" i="5"/>
  <c r="AQ8" i="4"/>
  <c r="AR8" i="4"/>
  <c r="H69" i="4"/>
  <c r="AJ69" i="4" s="1"/>
  <c r="AQ5" i="4"/>
  <c r="M11" i="5"/>
  <c r="M6" i="5"/>
  <c r="Q10" i="5"/>
  <c r="D7" i="5"/>
  <c r="E7" i="5" s="1"/>
  <c r="P3" i="5"/>
  <c r="H3" i="5"/>
  <c r="I3" i="5" s="1"/>
  <c r="P5" i="5"/>
  <c r="P8" i="5"/>
  <c r="M8" i="5"/>
  <c r="N8" i="5"/>
  <c r="D8" i="5"/>
  <c r="F8" i="5" s="1"/>
  <c r="L8" i="5"/>
  <c r="O8" i="5"/>
  <c r="D10" i="5"/>
  <c r="E10" i="5" s="1"/>
  <c r="P13" i="5"/>
  <c r="D13" i="5"/>
  <c r="E13" i="5" s="1"/>
  <c r="L3" i="5"/>
  <c r="D3" i="5"/>
  <c r="E3" i="5" s="1"/>
  <c r="N13" i="5"/>
  <c r="Q3" i="5"/>
  <c r="M3" i="5"/>
  <c r="Q8" i="5"/>
  <c r="O3" i="5"/>
  <c r="O13" i="5"/>
  <c r="N3" i="5"/>
  <c r="Q7" i="5"/>
  <c r="L7" i="5"/>
  <c r="Q13" i="5"/>
  <c r="I9" i="5"/>
  <c r="K9" i="5" s="1"/>
  <c r="F9" i="5"/>
  <c r="G9" i="5" s="1"/>
  <c r="M10" i="5"/>
  <c r="P10" i="5"/>
  <c r="O7" i="5"/>
  <c r="C13" i="5"/>
  <c r="H13" i="5" s="1"/>
  <c r="J13" i="5" s="1"/>
  <c r="M7" i="5"/>
  <c r="L13" i="5"/>
  <c r="L10" i="5"/>
  <c r="N10" i="5"/>
  <c r="O11" i="5"/>
  <c r="N11" i="5"/>
  <c r="L11" i="5"/>
  <c r="O10" i="5"/>
  <c r="Q11" i="5"/>
  <c r="D11" i="5"/>
  <c r="E11" i="5" s="1"/>
  <c r="P11" i="5"/>
  <c r="M4" i="5"/>
  <c r="H4" i="5"/>
  <c r="O4" i="5"/>
  <c r="N4" i="5"/>
  <c r="D4" i="5"/>
  <c r="Q4" i="5"/>
  <c r="L4" i="5"/>
  <c r="P4" i="5"/>
  <c r="AR20" i="4"/>
  <c r="AQ20" i="4"/>
  <c r="N6" i="5"/>
  <c r="Q6" i="5"/>
  <c r="L6" i="5"/>
  <c r="P7" i="5"/>
  <c r="P6" i="5"/>
  <c r="N7" i="5"/>
  <c r="D6" i="5"/>
  <c r="F6" i="5" s="1"/>
  <c r="O6" i="5"/>
  <c r="C12" i="5"/>
  <c r="L12" i="5"/>
  <c r="M12" i="5"/>
  <c r="N12" i="5"/>
  <c r="AQ67" i="4"/>
  <c r="AR67" i="4"/>
  <c r="N5" i="5"/>
  <c r="O5" i="5"/>
  <c r="L5" i="5"/>
  <c r="D5" i="5"/>
  <c r="E5" i="5" s="1"/>
  <c r="B14" i="5"/>
  <c r="C14" i="5" s="1"/>
  <c r="M5" i="5"/>
  <c r="Q5" i="5"/>
  <c r="AS60" i="4" l="1"/>
  <c r="AS66" i="4" s="1"/>
  <c r="AP60" i="4"/>
  <c r="AP66" i="4" s="1"/>
  <c r="AT43" i="4"/>
  <c r="AT59" i="4" s="1"/>
  <c r="AU43" i="4"/>
  <c r="AU59" i="4" s="1"/>
  <c r="H11" i="29"/>
  <c r="G11" i="29"/>
  <c r="I11" i="29"/>
  <c r="H6" i="29"/>
  <c r="G6" i="29"/>
  <c r="I6" i="29"/>
  <c r="G9" i="29"/>
  <c r="I9" i="29"/>
  <c r="H9" i="29"/>
  <c r="I7" i="29"/>
  <c r="H7" i="29"/>
  <c r="G7" i="29"/>
  <c r="I12" i="29"/>
  <c r="H12" i="29"/>
  <c r="G12" i="29"/>
  <c r="G8" i="29"/>
  <c r="I8" i="29"/>
  <c r="H8" i="29"/>
  <c r="AQ33" i="4"/>
  <c r="AU33" i="4"/>
  <c r="AT33" i="4"/>
  <c r="AR33" i="4"/>
  <c r="F7" i="5"/>
  <c r="G7" i="5" s="1"/>
  <c r="B19" i="5"/>
  <c r="C7" i="8" s="1"/>
  <c r="J8" i="5"/>
  <c r="K8" i="5" s="1"/>
  <c r="F10" i="5"/>
  <c r="G10" i="5" s="1"/>
  <c r="F13" i="5"/>
  <c r="G13" i="5" s="1"/>
  <c r="E8" i="5"/>
  <c r="G8" i="5" s="1"/>
  <c r="F3" i="5"/>
  <c r="G3" i="5" s="1"/>
  <c r="I13" i="5"/>
  <c r="K13" i="5" s="1"/>
  <c r="J3" i="5"/>
  <c r="K3" i="5" s="1"/>
  <c r="J7" i="5"/>
  <c r="K7" i="5" s="1"/>
  <c r="I10" i="5"/>
  <c r="K10" i="5" s="1"/>
  <c r="F5" i="5"/>
  <c r="G5" i="5" s="1"/>
  <c r="D14" i="5"/>
  <c r="D15" i="5" s="1"/>
  <c r="D16" i="5" s="1"/>
  <c r="O14" i="5"/>
  <c r="O15" i="5" s="1"/>
  <c r="O16" i="5" s="1"/>
  <c r="H14" i="5"/>
  <c r="H15" i="5" s="1"/>
  <c r="H16" i="5" s="1"/>
  <c r="J11" i="5"/>
  <c r="K11" i="5" s="1"/>
  <c r="L14" i="5"/>
  <c r="L15" i="5" s="1"/>
  <c r="L16" i="5" s="1"/>
  <c r="F4" i="5"/>
  <c r="E4" i="5"/>
  <c r="N14" i="5"/>
  <c r="N15" i="5" s="1"/>
  <c r="N16" i="5" s="1"/>
  <c r="F11" i="5"/>
  <c r="G11" i="5" s="1"/>
  <c r="E6" i="5"/>
  <c r="G6" i="5" s="1"/>
  <c r="M14" i="5"/>
  <c r="M15" i="5" s="1"/>
  <c r="M16" i="5" s="1"/>
  <c r="I4" i="5"/>
  <c r="J4" i="5"/>
  <c r="J5" i="5"/>
  <c r="J6" i="5"/>
  <c r="K6" i="5" s="1"/>
  <c r="F12" i="5"/>
  <c r="J12" i="5" s="1"/>
  <c r="E12" i="5"/>
  <c r="I12" i="5" s="1"/>
  <c r="AT60" i="4" l="1"/>
  <c r="AR60" i="4"/>
  <c r="AR66" i="4" s="1"/>
  <c r="AU60" i="4"/>
  <c r="AQ60" i="4"/>
  <c r="AQ66" i="4" s="1"/>
  <c r="C11" i="8"/>
  <c r="F9" i="8"/>
  <c r="AT66" i="4"/>
  <c r="B25" i="5"/>
  <c r="K12" i="5"/>
  <c r="P14" i="5"/>
  <c r="P15" i="5" s="1"/>
  <c r="P16" i="5" s="1"/>
  <c r="Q14" i="5"/>
  <c r="Q15" i="5" s="1"/>
  <c r="Q16" i="5" s="1"/>
  <c r="J14" i="5"/>
  <c r="J15" i="5" s="1"/>
  <c r="J16" i="5" s="1"/>
  <c r="C26" i="5" s="1"/>
  <c r="G4" i="5"/>
  <c r="E14" i="5"/>
  <c r="E15" i="5" s="1"/>
  <c r="E16" i="5" s="1"/>
  <c r="F14" i="5"/>
  <c r="F15" i="5" s="1"/>
  <c r="F16" i="5" s="1"/>
  <c r="K4" i="5"/>
  <c r="K5" i="5"/>
  <c r="G12" i="5"/>
  <c r="F7" i="8"/>
  <c r="AV60" i="4" l="1"/>
  <c r="AU66" i="4"/>
  <c r="C25" i="5"/>
  <c r="C27" i="5" s="1"/>
  <c r="F14" i="29"/>
  <c r="F20" i="29" s="1"/>
  <c r="H14" i="29"/>
  <c r="H26" i="29" s="1"/>
  <c r="G14" i="29"/>
  <c r="I14" i="29"/>
  <c r="I26" i="29" s="1"/>
  <c r="I14" i="5"/>
  <c r="I15" i="5" s="1"/>
  <c r="I16" i="5" s="1"/>
  <c r="B26" i="5" s="1"/>
  <c r="B27" i="5" s="1"/>
  <c r="B20" i="5"/>
  <c r="B21" i="5" s="1"/>
  <c r="G14" i="5"/>
  <c r="G15" i="5" s="1"/>
  <c r="G16" i="5" s="1"/>
  <c r="E30" i="5" s="1"/>
  <c r="D25" i="5" l="1"/>
  <c r="E25" i="5" s="1"/>
  <c r="F25" i="5" s="1"/>
  <c r="H25" i="5" s="1"/>
  <c r="F24" i="29"/>
  <c r="I22" i="29"/>
  <c r="H22" i="29"/>
  <c r="G22" i="29"/>
  <c r="K14" i="29"/>
  <c r="G26" i="29"/>
  <c r="K26" i="29" s="1"/>
  <c r="D26" i="5"/>
  <c r="E26" i="5" s="1"/>
  <c r="K14" i="5"/>
  <c r="K15" i="5" s="1"/>
  <c r="K16" i="5" s="1"/>
  <c r="C8" i="8" l="1"/>
  <c r="C9" i="8" s="1"/>
  <c r="K22" i="29"/>
  <c r="K28" i="29" s="1"/>
  <c r="D27" i="5"/>
  <c r="F26" i="5"/>
  <c r="E27" i="5"/>
  <c r="F27" i="5" s="1"/>
  <c r="AS67" i="4"/>
  <c r="AT67" i="4" s="1"/>
  <c r="AU67" i="4" l="1"/>
</calcChain>
</file>

<file path=xl/sharedStrings.xml><?xml version="1.0" encoding="utf-8"?>
<sst xmlns="http://schemas.openxmlformats.org/spreadsheetml/2006/main" count="1879" uniqueCount="498">
  <si>
    <t>Attain Yr</t>
  </si>
  <si>
    <t>_state_name</t>
  </si>
  <si>
    <t>_county_name</t>
  </si>
  <si>
    <t>Marginal</t>
  </si>
  <si>
    <t>Moderate</t>
  </si>
  <si>
    <t>Severe-17</t>
  </si>
  <si>
    <t>Serious</t>
  </si>
  <si>
    <t>Severe-15</t>
  </si>
  <si>
    <t>San Diego</t>
  </si>
  <si>
    <t>Sheboygan</t>
  </si>
  <si>
    <t>ST</t>
  </si>
  <si>
    <t>Region</t>
  </si>
  <si>
    <t>MAR</t>
  </si>
  <si>
    <t>Unit Hours</t>
  </si>
  <si>
    <t>Cost</t>
  </si>
  <si>
    <t>MOD</t>
  </si>
  <si>
    <t>SER</t>
  </si>
  <si>
    <t>SEV15</t>
  </si>
  <si>
    <t>SEV17</t>
  </si>
  <si>
    <t>EX</t>
  </si>
  <si>
    <t>STATE TOTAL</t>
  </si>
  <si>
    <t>STATE TOTAL HOURS</t>
  </si>
  <si>
    <t>Yr 1 hrs</t>
  </si>
  <si>
    <t>Yr 2 hrs</t>
  </si>
  <si>
    <t>Yr 3 hrs</t>
  </si>
  <si>
    <t>Yr 1 cost</t>
  </si>
  <si>
    <t>Yr 2 cost</t>
  </si>
  <si>
    <t>Yr 3 cost</t>
  </si>
  <si>
    <t>AL</t>
  </si>
  <si>
    <t>AR</t>
  </si>
  <si>
    <t>AZ</t>
  </si>
  <si>
    <t>CA</t>
  </si>
  <si>
    <t>CO</t>
  </si>
  <si>
    <t>CT</t>
  </si>
  <si>
    <t>DC</t>
  </si>
  <si>
    <t>DE</t>
  </si>
  <si>
    <t>FL</t>
  </si>
  <si>
    <t>GA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</si>
  <si>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</si>
  <si>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</si>
  <si>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</si>
  <si>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</si>
  <si>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</si>
  <si>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</si>
  <si>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</si>
  <si>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</si>
  <si>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</si>
  <si>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</si>
  <si>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</si>
  <si>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</si>
  <si>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</si>
  <si>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MS</t>
  </si>
  <si>
    <t>NC</t>
  </si>
  <si>
    <t>NH</t>
  </si>
  <si>
    <t>NJ</t>
  </si>
  <si>
    <t>NM</t>
  </si>
  <si>
    <t>NV</t>
  </si>
  <si>
    <t>NY</t>
  </si>
  <si>
    <t>OH</t>
  </si>
  <si>
    <t>OK</t>
  </si>
  <si>
    <t>OR</t>
  </si>
  <si>
    <t>PA</t>
  </si>
  <si>
    <t>SC</t>
  </si>
  <si>
    <t>TN</t>
  </si>
  <si>
    <t>TX</t>
  </si>
  <si>
    <t>UT</t>
  </si>
  <si>
    <t>VA</t>
  </si>
  <si>
    <t>VT</t>
  </si>
  <si>
    <t>WA</t>
  </si>
  <si>
    <t>WI</t>
  </si>
  <si>
    <t>WV</t>
  </si>
  <si>
    <t>WY</t>
  </si>
  <si>
    <t>EPA</t>
  </si>
  <si>
    <t>Yr 1 EPA Region hrs</t>
  </si>
  <si>
    <t>Yr 2 EPA Region hrs</t>
  </si>
  <si>
    <t>Yr 3 EPA Reg. Hr</t>
  </si>
  <si>
    <t>EPA Regional Total</t>
  </si>
  <si>
    <t>Yr 1 EPA Region Cost</t>
  </si>
  <si>
    <t>Yr 2 EPA Region Cost</t>
  </si>
  <si>
    <t>Yr 3 EPA Region Cost</t>
  </si>
  <si>
    <t>Yr 1 EPA Region hrs (37.5%)</t>
  </si>
  <si>
    <t>Yr 2 EPA Region hrs (37.5%)</t>
  </si>
  <si>
    <t>Yr 3 EPA Reg. Hr (37.5)</t>
  </si>
  <si>
    <t>Yr 1 EPA Region hrs (37.5)</t>
  </si>
  <si>
    <t>Yr 2 EPA Region hrs (37.5)</t>
  </si>
  <si>
    <t>Yr 3 EPA Reg. Hr (25)</t>
  </si>
  <si>
    <t>HEADQUARTERS</t>
  </si>
  <si>
    <t>TOTAL EPA BURDEN</t>
  </si>
  <si>
    <t>Average Yearly Burden (hours)</t>
  </si>
  <si>
    <t>States</t>
  </si>
  <si>
    <t>Total</t>
  </si>
  <si>
    <t>Present value costs</t>
  </si>
  <si>
    <t>2nd year rate</t>
  </si>
  <si>
    <t>3rd year rate</t>
  </si>
  <si>
    <t>2nd year</t>
  </si>
  <si>
    <t>3rd year</t>
  </si>
  <si>
    <t>Subtotal</t>
  </si>
  <si>
    <t>State</t>
  </si>
  <si>
    <t>RI</t>
  </si>
  <si>
    <t>70 ppb</t>
  </si>
  <si>
    <t>AK</t>
  </si>
  <si>
    <t>HI</t>
  </si>
  <si>
    <t>MT</t>
  </si>
  <si>
    <t>ND</t>
  </si>
  <si>
    <t>NE</t>
  </si>
  <si>
    <t>SD</t>
  </si>
  <si>
    <t xml:space="preserve"> Alaska</t>
  </si>
  <si>
    <t xml:space="preserve"> Alabama</t>
  </si>
  <si>
    <t xml:space="preserve"> Arkansas</t>
  </si>
  <si>
    <t xml:space="preserve"> Hawaii</t>
  </si>
  <si>
    <t xml:space="preserve"> Georgia</t>
  </si>
  <si>
    <t xml:space="preserve"> Florida</t>
  </si>
  <si>
    <t xml:space="preserve"> Delaware</t>
  </si>
  <si>
    <t xml:space="preserve"> District of Columbia</t>
  </si>
  <si>
    <t xml:space="preserve"> Connecticut </t>
  </si>
  <si>
    <t xml:space="preserve"> Colorado</t>
  </si>
  <si>
    <t xml:space="preserve"> California</t>
  </si>
  <si>
    <t xml:space="preserve"> Arizona</t>
  </si>
  <si>
    <t xml:space="preserve"> Iowa</t>
  </si>
  <si>
    <t xml:space="preserve"> Idaho</t>
  </si>
  <si>
    <t xml:space="preserve"> Illinois</t>
  </si>
  <si>
    <t xml:space="preserve"> Indiana</t>
  </si>
  <si>
    <t xml:space="preserve"> Kansas</t>
  </si>
  <si>
    <t xml:space="preserve"> Kentucky</t>
  </si>
  <si>
    <t xml:space="preserve"> Louisiana</t>
  </si>
  <si>
    <t xml:space="preserve"> Massachusetts</t>
  </si>
  <si>
    <t xml:space="preserve"> Maine</t>
  </si>
  <si>
    <t xml:space="preserve"> Maryland</t>
  </si>
  <si>
    <t xml:space="preserve"> Michigan</t>
  </si>
  <si>
    <t xml:space="preserve"> Minnesota</t>
  </si>
  <si>
    <t xml:space="preserve"> Missouri</t>
  </si>
  <si>
    <t xml:space="preserve"> Mississippi</t>
  </si>
  <si>
    <t xml:space="preserve"> Montana</t>
  </si>
  <si>
    <t xml:space="preserve"> North Carolina</t>
  </si>
  <si>
    <t xml:space="preserve"> North Dakota</t>
  </si>
  <si>
    <t xml:space="preserve"> Nebraska</t>
  </si>
  <si>
    <t xml:space="preserve"> New Hampshire</t>
  </si>
  <si>
    <t xml:space="preserve"> New Jersey</t>
  </si>
  <si>
    <t xml:space="preserve"> New Mexico</t>
  </si>
  <si>
    <t xml:space="preserve"> Nevada</t>
  </si>
  <si>
    <t xml:space="preserve"> New York</t>
  </si>
  <si>
    <t xml:space="preserve"> Ohio</t>
  </si>
  <si>
    <t xml:space="preserve"> Oklahoma</t>
  </si>
  <si>
    <t xml:space="preserve"> Oregon</t>
  </si>
  <si>
    <t xml:space="preserve"> Pennsylvania</t>
  </si>
  <si>
    <t xml:space="preserve"> Rhode Island</t>
  </si>
  <si>
    <t xml:space="preserve"> South Carolina</t>
  </si>
  <si>
    <t xml:space="preserve"> South Dakota</t>
  </si>
  <si>
    <t xml:space="preserve"> Tennessee</t>
  </si>
  <si>
    <t xml:space="preserve"> Texas</t>
  </si>
  <si>
    <t xml:space="preserve"> Utah</t>
  </si>
  <si>
    <t xml:space="preserve"> Vermont </t>
  </si>
  <si>
    <t xml:space="preserve"> Virginia</t>
  </si>
  <si>
    <t xml:space="preserve"> Washington</t>
  </si>
  <si>
    <t xml:space="preserve"> Wisconsin</t>
  </si>
  <si>
    <t xml:space="preserve"> West Virginia</t>
  </si>
  <si>
    <t xml:space="preserve"> Wyoming</t>
  </si>
  <si>
    <t>Abbn</t>
  </si>
  <si>
    <t>EPA Region</t>
  </si>
  <si>
    <t>Extreme</t>
  </si>
  <si>
    <t>SUM</t>
  </si>
  <si>
    <t>Marginal          B-U</t>
  </si>
  <si>
    <t>Atlanta</t>
  </si>
  <si>
    <t>Baltimore</t>
  </si>
  <si>
    <t>Chico</t>
  </si>
  <si>
    <t>Columbus</t>
  </si>
  <si>
    <t>Dallas-Fort Worth</t>
  </si>
  <si>
    <t>Greater Connecticut</t>
  </si>
  <si>
    <t>Houston-Galveston-Brazoria</t>
  </si>
  <si>
    <t>Imperial County</t>
  </si>
  <si>
    <t>Los Angeles-South Coast Air Basin</t>
  </si>
  <si>
    <t>New York-N. New Jersey-Long Island</t>
  </si>
  <si>
    <t>Sacramento Metro</t>
  </si>
  <si>
    <t>San Francisco-Bay Area</t>
  </si>
  <si>
    <t>San Joaquin Valley</t>
  </si>
  <si>
    <t>San Luis Obispo (Eastern part)</t>
  </si>
  <si>
    <t>St. Louis</t>
  </si>
  <si>
    <t>Tuscan Buttes</t>
  </si>
  <si>
    <t>Ventura County</t>
  </si>
  <si>
    <t>Severe 15</t>
  </si>
  <si>
    <t>Severe 17</t>
  </si>
  <si>
    <t>Phoenix-Mesa</t>
  </si>
  <si>
    <t>labor hours:</t>
  </si>
  <si>
    <t>annual labor cost:</t>
  </si>
  <si>
    <t>cost per state:</t>
  </si>
  <si>
    <t>State respondents:</t>
  </si>
  <si>
    <t>hrs/response:</t>
  </si>
  <si>
    <t>Responses/state:</t>
  </si>
  <si>
    <t xml:space="preserve"># state respondents: </t>
  </si>
  <si>
    <t>Sum hrs</t>
  </si>
  <si>
    <t>Grand Total</t>
  </si>
  <si>
    <t>Count of State</t>
  </si>
  <si>
    <t>R9</t>
  </si>
  <si>
    <t>Tribal areas in R9</t>
  </si>
  <si>
    <t>Less tribal</t>
  </si>
  <si>
    <t>State Abrv.</t>
  </si>
  <si>
    <t>California Tribal Land</t>
  </si>
  <si>
    <t>GRAND TOTAL W/O TRIBAL AREAS IN CA</t>
  </si>
  <si>
    <t>Sum of STATE TOTAL HOURS</t>
  </si>
  <si>
    <t>EPA Regional Office</t>
  </si>
  <si>
    <t>Year 1 Agency Regional Office Burden</t>
  </si>
  <si>
    <t>Year 2 Agency Regional Office Burden</t>
  </si>
  <si>
    <t>Year 3 Agency Regional Office Burden</t>
  </si>
  <si>
    <t>SAN JOSE-SAN FRANCISCO-OAKLAND, CA</t>
  </si>
  <si>
    <t xml:space="preserve">LOCALITY PAY AREA </t>
  </si>
  <si>
    <t>WASHINGTON-BALTIMORE-NORTHERN VIRGINIA, DC-MD-VA-WV-</t>
  </si>
  <si>
    <t>Average labor rates</t>
  </si>
  <si>
    <t>1/11 of GS-13 Step 3</t>
  </si>
  <si>
    <t>1/8 of GS-6 Step 6</t>
  </si>
  <si>
    <t>Weighted direct labor estimate parts</t>
  </si>
  <si>
    <t>Weighted direct labor estimate total</t>
  </si>
  <si>
    <t>2009 weighted direct salary per employee</t>
  </si>
  <si>
    <t>2009 weighted indirect cost per employee</t>
  </si>
  <si>
    <t>Benefits - 16% weighted labor rate</t>
  </si>
  <si>
    <t>Sick/Annual leave - 10% weighted labor rate</t>
  </si>
  <si>
    <t>Overhead - 32% weighted labor rate</t>
  </si>
  <si>
    <t>Matched if used 16% for support staff instead of 1/8 ratio</t>
  </si>
  <si>
    <t>2009 Estimated total weighted direct and indirect hourly equivalent salary</t>
  </si>
  <si>
    <t>2012 weighted direct salary per employee</t>
  </si>
  <si>
    <t>2012 weighted indirect cost per employee</t>
  </si>
  <si>
    <t>2012 Estimated total weighted direct and indirect hourly equivalent salary</t>
  </si>
  <si>
    <t>GS-11 Step 3 (Staff)</t>
  </si>
  <si>
    <t>GS-13 Step 3 (Mgmt)</t>
  </si>
  <si>
    <t>GS-6 Step 6 (Support staff)</t>
  </si>
  <si>
    <t>(States with no nonattainment areas)</t>
  </si>
  <si>
    <t>State hours</t>
  </si>
  <si>
    <t>State hours &amp; R9 hours for 2 tribal areas</t>
  </si>
  <si>
    <t>(2 Tribal areas in CA that R9 will Implement)</t>
  </si>
  <si>
    <t>State Total Hours by Region</t>
  </si>
  <si>
    <t>State Total Cost by Region</t>
  </si>
  <si>
    <t>Row Labels</t>
  </si>
  <si>
    <t>Nonattainment Areas by Classification Options for 70 ppb NAAQS</t>
  </si>
  <si>
    <t>Total by State</t>
  </si>
  <si>
    <t>(Does not include 2 tribal areas in R9</t>
  </si>
  <si>
    <t xml:space="preserve">Highlighted numbers needed in ICR </t>
  </si>
  <si>
    <t>R9 tribal areas</t>
  </si>
  <si>
    <t>Actual NA Area name</t>
  </si>
  <si>
    <t>Phoenix-Mesa, AZ</t>
  </si>
  <si>
    <t>Yuma, AZ</t>
  </si>
  <si>
    <t>Amador County, CA</t>
  </si>
  <si>
    <t>Butte County, CA</t>
  </si>
  <si>
    <t>Calaveras County, CA</t>
  </si>
  <si>
    <t>Imperial County, CA</t>
  </si>
  <si>
    <t>Kern County (Eastern Kern), CA</t>
  </si>
  <si>
    <t>Los Angeles-San Bernardino Counties (West Mojave Desert), CA</t>
  </si>
  <si>
    <t>Los Angeles-South Coast Air Basin, CA</t>
  </si>
  <si>
    <t>Mariposa County, CA</t>
  </si>
  <si>
    <t>Morongo Band of Mission Indians, CA</t>
  </si>
  <si>
    <t>Nevada County (Western part), CA</t>
  </si>
  <si>
    <t>Pechanga Band of LuiseÃ±o Mission Indians of the Pechanga Reservation, CA</t>
  </si>
  <si>
    <t>Riverside County (Coachella Valley), CA</t>
  </si>
  <si>
    <t>Sacramento Metro, CA</t>
  </si>
  <si>
    <t>San Diego County, CA</t>
  </si>
  <si>
    <t>San Francisco Bay Area, CA</t>
  </si>
  <si>
    <t>San Joaquin Valley, CA</t>
  </si>
  <si>
    <t>San Luis Obispo (Eastern part), CA</t>
  </si>
  <si>
    <t>Sutter Buttes, CA</t>
  </si>
  <si>
    <t>Tuolumne County, CA</t>
  </si>
  <si>
    <t>Tuscan Buttes, CA</t>
  </si>
  <si>
    <t>Marginal (Rural Transport)</t>
  </si>
  <si>
    <t>Ventura County, CA</t>
  </si>
  <si>
    <t>Denver Metro/North Front Range, CO</t>
  </si>
  <si>
    <t>Greater Connecticut, CT</t>
  </si>
  <si>
    <t>New York-Northern New Jersey-Long Island, NY-NJ-CT</t>
  </si>
  <si>
    <t>Washington, DC-MD-VA</t>
  </si>
  <si>
    <t>Philadelphia-Wilmington-Atlantic City, PA-NJ-MD-DE</t>
  </si>
  <si>
    <t>Atlanta, GA</t>
  </si>
  <si>
    <t>Chicago, IL-IN-WI</t>
  </si>
  <si>
    <t>St. Louis, MO-IL</t>
  </si>
  <si>
    <t>Louisville, KY-IN</t>
  </si>
  <si>
    <t>Cincinnati, OH-KY</t>
  </si>
  <si>
    <t>Baltimore, MD</t>
  </si>
  <si>
    <t>Allegan County, MI</t>
  </si>
  <si>
    <t>Berrien County, MI</t>
  </si>
  <si>
    <t>Detroit, MI</t>
  </si>
  <si>
    <t>Muskegon County, MI</t>
  </si>
  <si>
    <t>DoÃ±a Ana County (Sunland Park Area), NM</t>
  </si>
  <si>
    <t>Las Vegas, NV</t>
  </si>
  <si>
    <t>Cleveland, OH</t>
  </si>
  <si>
    <t>Columbus, OH</t>
  </si>
  <si>
    <t>Dallas-Fort Worth, TX</t>
  </si>
  <si>
    <t>Houston-Galveston-Brazoria, TX</t>
  </si>
  <si>
    <t>San Antonio, TX</t>
  </si>
  <si>
    <t>Northern Wasatch Front, UT</t>
  </si>
  <si>
    <t>Southern Wasatch Front, UT</t>
  </si>
  <si>
    <t>Uinta Basin, UT</t>
  </si>
  <si>
    <t>Door County, WI</t>
  </si>
  <si>
    <t>Manitowoc County, WI</t>
  </si>
  <si>
    <t>Northern Milwaukee/Ozaukee Shoreline, WI</t>
  </si>
  <si>
    <t>Sheboygan County, WI</t>
  </si>
  <si>
    <t>Area Name</t>
  </si>
  <si>
    <t>Simple Area Name</t>
  </si>
  <si>
    <t>Common Area Mapping ID</t>
  </si>
  <si>
    <t>No</t>
  </si>
  <si>
    <t>Ozone_8-hr.2015.Phoenix</t>
  </si>
  <si>
    <t>Yuma</t>
  </si>
  <si>
    <t>Ozone_8-hr.2015.Yuma</t>
  </si>
  <si>
    <t>Yes</t>
  </si>
  <si>
    <t>Amador County</t>
  </si>
  <si>
    <t>Amador and Calaveras Counties (Central Mountain Counties)</t>
  </si>
  <si>
    <t>Ozone_8-hr.2015.Amador_Co</t>
  </si>
  <si>
    <t>Butte County</t>
  </si>
  <si>
    <t>Ozone_8-hr.2015.Chico</t>
  </si>
  <si>
    <t>Calaveras County</t>
  </si>
  <si>
    <t>Ozone_8-hr.2015.Calaveras_Co</t>
  </si>
  <si>
    <t>Ozone_8-hr.2015.Imperial_Co</t>
  </si>
  <si>
    <t>Kern County (Eastern Kern)</t>
  </si>
  <si>
    <t>Ozone_8-hr.2015.East_Kern</t>
  </si>
  <si>
    <t>Los Angeles-San Bernardino Counties (West Mojave Desert)</t>
  </si>
  <si>
    <t>Southeast Desert Modified AQMA</t>
  </si>
  <si>
    <t>Ozone_8-hr.2015.LA-Desert</t>
  </si>
  <si>
    <t>Ozone_8-hr.2015.LA-South_Coast</t>
  </si>
  <si>
    <t>Mariposa County</t>
  </si>
  <si>
    <t>Mariposa and Tuolumne Counties (Southern Mountain Counties)</t>
  </si>
  <si>
    <t>Ozone_8-hr.2015.Mariposa_Co</t>
  </si>
  <si>
    <t>Morongo Band of Mission Indians</t>
  </si>
  <si>
    <t>Ozone_8-hr.2015.Morongo</t>
  </si>
  <si>
    <t>Nevada County (Western part)</t>
  </si>
  <si>
    <t>Ozone_8-hr.2015.Nevada_Co</t>
  </si>
  <si>
    <t>Pechanga Band of LuiseÃ±o Mission Indians of the Pechanga Reservation</t>
  </si>
  <si>
    <t>Ozone_8-hr.2015.Pechanga</t>
  </si>
  <si>
    <t>Riverside County (Coachella Valley)</t>
  </si>
  <si>
    <t>Ozone_8-hr.2015.Coachella_Valley</t>
  </si>
  <si>
    <t>Ozone_8-hr.2015.Sacramento</t>
  </si>
  <si>
    <t>San Diego County</t>
  </si>
  <si>
    <t>Ozone_8-hr.2015.San_Diego</t>
  </si>
  <si>
    <t>San Francisco Bay Area</t>
  </si>
  <si>
    <t>Ozone_8-hr.2015.San_Francisco</t>
  </si>
  <si>
    <t>Ozone_8-hr.2015.San_Joaquin_Valley</t>
  </si>
  <si>
    <t>San Luis Obispo</t>
  </si>
  <si>
    <t>Ozone_8-hr.2015.San_Luis_Obispo</t>
  </si>
  <si>
    <t>Sutter Buttes</t>
  </si>
  <si>
    <t>Yuba City</t>
  </si>
  <si>
    <t>Ozone_8-hr.2015.Sutter_Buttes</t>
  </si>
  <si>
    <t>Tuolumne County</t>
  </si>
  <si>
    <t>Ozone_8-hr.2015.Tuolumne_Co</t>
  </si>
  <si>
    <t>Ozone_8-hr.2015.Tuscan_Buttes</t>
  </si>
  <si>
    <t>Ozone_8-hr.2015.Ventura_Co</t>
  </si>
  <si>
    <t>Denver Metro/North Front Range</t>
  </si>
  <si>
    <t>Denver-Boulder-Greeley-Ft. Collins-Loveland</t>
  </si>
  <si>
    <t>Ozone_8-hr.2015.Denver</t>
  </si>
  <si>
    <t>Ozone_8-hr.2015.Connecticut</t>
  </si>
  <si>
    <t>New York-Northern New Jersey-Long Island</t>
  </si>
  <si>
    <t>Ozone_8-hr.2015.New_York</t>
  </si>
  <si>
    <t>Washington</t>
  </si>
  <si>
    <t>Ozone_8-hr.2015.Washington</t>
  </si>
  <si>
    <t>Philadelphia-Wilmington-Atlantic City</t>
  </si>
  <si>
    <t>Ozone_8-hr.2015.Philadelphia</t>
  </si>
  <si>
    <t>Ozone_8-hr.2015.Atlanta</t>
  </si>
  <si>
    <t>Chicago</t>
  </si>
  <si>
    <t>Chicago-Joliet-Naperville</t>
  </si>
  <si>
    <t>Ozone_8-hr.2015.Chicago</t>
  </si>
  <si>
    <t>Ozone_8-hr.2015.St_Louis</t>
  </si>
  <si>
    <t>Louisville</t>
  </si>
  <si>
    <t>Ozone_8-hr.2015.Louisville</t>
  </si>
  <si>
    <t>Cincinnati</t>
  </si>
  <si>
    <t>Cincinnati-Middletown-Wilmington</t>
  </si>
  <si>
    <t>Ozone_8-hr.2015.Cincinnati</t>
  </si>
  <si>
    <t>Ozone_8-hr.2015.Baltimore</t>
  </si>
  <si>
    <t>Allegan County</t>
  </si>
  <si>
    <t>Ozone_8-hr.2015.Allegan_Co</t>
  </si>
  <si>
    <t>Berrien County</t>
  </si>
  <si>
    <t>Benton Harbor</t>
  </si>
  <si>
    <t>Ozone_8-hr.2015.Benton_Harbor</t>
  </si>
  <si>
    <t>Detroit</t>
  </si>
  <si>
    <t>Detroit-Ann Arbor</t>
  </si>
  <si>
    <t>Ozone_8-hr.2015.Detroit</t>
  </si>
  <si>
    <t>Muskegon County</t>
  </si>
  <si>
    <t>Muskegon</t>
  </si>
  <si>
    <t>Ozone_8-hr.2015.Muskegon</t>
  </si>
  <si>
    <t>DoÃ±a Ana County (Sunland Park Area)</t>
  </si>
  <si>
    <t>Sunland Park</t>
  </si>
  <si>
    <t>Ozone_8-hr.2015.Sunland_Park</t>
  </si>
  <si>
    <t>Las Vegas</t>
  </si>
  <si>
    <t>Ozone_8-hr.2015.Las_Vegas</t>
  </si>
  <si>
    <t>Cleveland</t>
  </si>
  <si>
    <t>Cleveland-Akron-Elyria</t>
  </si>
  <si>
    <t>Ozone_8-hr.2015.Cleveland</t>
  </si>
  <si>
    <t>Columbus-Marion-Chillicothe</t>
  </si>
  <si>
    <t>Ozone_8-hr.2015.Columbus</t>
  </si>
  <si>
    <t>Ozone_8-hr.2015.Dallas</t>
  </si>
  <si>
    <t>Houston-Sugar Land-Baytown</t>
  </si>
  <si>
    <t>Ozone_8-hr.2015.Houston</t>
  </si>
  <si>
    <t>San Antonio</t>
  </si>
  <si>
    <t>Ozone_8-hr.2015.San_Antonio</t>
  </si>
  <si>
    <t>Northern Wasatch Front</t>
  </si>
  <si>
    <t>Salt Lake City</t>
  </si>
  <si>
    <t>Ozone_8-hr.2015.Salt_Lake</t>
  </si>
  <si>
    <t>Southern Wasatch Front</t>
  </si>
  <si>
    <t>Provo</t>
  </si>
  <si>
    <t>Ozone_8-hr.2015.Provo</t>
  </si>
  <si>
    <t>Uinta Basin</t>
  </si>
  <si>
    <t>Ozone_8-hr.2015.Uinta_Basin</t>
  </si>
  <si>
    <t>Door County</t>
  </si>
  <si>
    <t>Ozone_8-hr.2015.Door_Co</t>
  </si>
  <si>
    <t>Manitowoc County</t>
  </si>
  <si>
    <t>Ozone_8-hr.2015.Manitowoc_Co</t>
  </si>
  <si>
    <t>Northern Milwaukee/Ozaukee Shoreline</t>
  </si>
  <si>
    <t>Milwaukee-Racine</t>
  </si>
  <si>
    <t>Ozone_8-hr.2015.Milwaukee</t>
  </si>
  <si>
    <t>Sheboygan County</t>
  </si>
  <si>
    <t>Ozone_8-hr.2015.Sheboygan</t>
  </si>
  <si>
    <t>2019 weighted direct salary per employee</t>
  </si>
  <si>
    <t>2019 weighted indirect cost per employee</t>
  </si>
  <si>
    <t>2019 Estimated total weighted direct and indirect hourly equivalent salary</t>
  </si>
  <si>
    <t>Michigan</t>
  </si>
  <si>
    <t>New Mexico</t>
  </si>
  <si>
    <t>Nevada</t>
  </si>
  <si>
    <t>Utah</t>
  </si>
  <si>
    <t>District of Columbia</t>
  </si>
  <si>
    <t>Total 3-yr burden hours</t>
  </si>
  <si>
    <t xml:space="preserve">Estimated 3-year Burden (hours) </t>
  </si>
  <si>
    <t>Change Rural transpost to Marginal &amp; bumping up some Marginal</t>
  </si>
  <si>
    <t>Use in Final state summary</t>
  </si>
  <si>
    <t>Original classifications</t>
  </si>
  <si>
    <t>COUNT OF STATES with NAAs &amp; OTR</t>
  </si>
  <si>
    <t>No. of Areas/OTR State</t>
  </si>
  <si>
    <t>Total areas with R9 tribal areas &amp; OTR States</t>
  </si>
  <si>
    <t>Total State Respondents' Burden</t>
  </si>
  <si>
    <t>DOES NOT INCLUDE OTR STATES - USED Final State Summary response number</t>
  </si>
  <si>
    <t>Maine</t>
  </si>
  <si>
    <t>New Hampshire</t>
  </si>
  <si>
    <t>Vermont</t>
  </si>
  <si>
    <t>2008 NAAQS Nonattainment Area</t>
  </si>
  <si>
    <t>Chicago-Naperville, IL-IN-WI</t>
  </si>
  <si>
    <t>Denver-Boulder-Greeley-Ft. Collins-Loveland, CO</t>
  </si>
  <si>
    <t>New York-N. New Jersey-Long Island, NY-NJ-CT</t>
  </si>
  <si>
    <t>2008 Serious to SEV15</t>
  </si>
  <si>
    <t>Discount rate at 3.25% from Larry Sorrells in June 2020</t>
  </si>
  <si>
    <t>If instead of 50%, 25% &amp; 25% used 37.5%, 37.5% &amp; 25% in years 1,2, &amp; 3</t>
  </si>
  <si>
    <t>Agency burden is 10% of Regional hours</t>
  </si>
  <si>
    <t>Agency burden at  50%, 25% &amp; 25% in years 1,2, &amp; 3</t>
  </si>
  <si>
    <t>100% for R9 instead of 10%</t>
  </si>
  <si>
    <t>Regional burden is 10% of state hours plus 100% of R9 tribal hours</t>
  </si>
  <si>
    <t>Check against Present Value Costs tab</t>
  </si>
  <si>
    <t>NAAs</t>
  </si>
  <si>
    <t>Column Labels</t>
  </si>
  <si>
    <t>Dona Ana County (Sunland Park Area), NM</t>
  </si>
  <si>
    <t>Do not bump up Rural transport areas</t>
  </si>
  <si>
    <t>2 tribes in R9 (2015 Mar-Mod * 2 2008 Ser-Sev)</t>
  </si>
  <si>
    <t>2015 NAAQS</t>
  </si>
  <si>
    <t>2008 NAAQS</t>
  </si>
  <si>
    <t>2nd MPs</t>
  </si>
  <si>
    <t>1997 NAAQS</t>
  </si>
  <si>
    <t>Area Name with State(s)</t>
  </si>
  <si>
    <t>Pollutant</t>
  </si>
  <si>
    <t>Atlanta Area</t>
  </si>
  <si>
    <t>Atlanta Area, GA</t>
  </si>
  <si>
    <t>Ozone-8Hr (1997)</t>
  </si>
  <si>
    <t>Boston-Manchester-Portsmouth (SE) Area</t>
  </si>
  <si>
    <t>Boston-Manchester-Portsmouth (SE) Area, NH</t>
  </si>
  <si>
    <t>Charlotte-Gastonia-Rock Hill Area</t>
  </si>
  <si>
    <t>Charlotte-Gastonia-Rock Hill Area, NC-SC</t>
  </si>
  <si>
    <t>San Diego, CA</t>
  </si>
  <si>
    <t>St. Louis Area</t>
  </si>
  <si>
    <t>St. Louis Area, MO-IL</t>
  </si>
  <si>
    <t>Charlotte-Rock Hill</t>
  </si>
  <si>
    <t>Charlotte-Rock Hill, NC-SC</t>
  </si>
  <si>
    <t>Ozone-8Hr (2008)</t>
  </si>
  <si>
    <t>Knoxville</t>
  </si>
  <si>
    <t>Knoxville, TN</t>
  </si>
  <si>
    <t>2008 ozone maintenance areas with 2nd MPs due in ICR renewal period -- 1/2021 to 1/2024</t>
  </si>
  <si>
    <t xml:space="preserve">COUNT OF STATES with no  NAAs with 2nd MPs </t>
  </si>
  <si>
    <t># of RESPONSES for NAAs</t>
  </si>
  <si>
    <t>Moved 25,200 to Regional hrs for  R9 hours to develop SIP requirements for 2 tribal areas in CA including 2nd MP for 1997 Pechanga</t>
  </si>
  <si>
    <t>OTR State RACT</t>
  </si>
  <si>
    <t>Adjusted formula to have Region 9  incur burden of developing the Tribal planning and control requirements for the 2 tribal nonattainment areas – Morongo Band of Mission Indians and Pechanga Band of Luiseno Mission Indians of the Pechanga Reservation. Pechanga bumped up for 2015 Marginal to Moderate &amp; both tribal areas bumped up 2008 Serious to Severe. Pechanga has a 2nd MP for 1997 ozone included.</t>
  </si>
  <si>
    <t># of state respondents for NAAs &amp; OTR</t>
  </si>
  <si>
    <t>Total # of State reqmnts</t>
  </si>
  <si>
    <t>R9 has 1st years hours of the  25,200 (3 yr total) hours for 2 tribal areas in CA -- should include in EPA burden not State burden</t>
  </si>
  <si>
    <t>2nd MP due date</t>
  </si>
  <si>
    <t>Redesignation Final Approval Effective Date</t>
  </si>
  <si>
    <t>2015 NAAQS Nonattainment Area</t>
  </si>
  <si>
    <t>Status</t>
  </si>
  <si>
    <t>Classification</t>
  </si>
  <si>
    <t>Meets 2015 NAAQS?</t>
  </si>
  <si>
    <t>Nonattainment</t>
  </si>
  <si>
    <t>Dona Ana County (Sunland Park), NM</t>
  </si>
  <si>
    <t>Pechanga Band of Luiseno Mission Indians, CA</t>
  </si>
  <si>
    <t>Maintenance</t>
  </si>
  <si>
    <t>Marginal - RTA</t>
  </si>
  <si>
    <t>Count of Classification</t>
  </si>
  <si>
    <t>Count of Status</t>
  </si>
  <si>
    <t xml:space="preserve">Alternative to 50% 1st year then 25% </t>
  </si>
  <si>
    <t xml:space="preserve">2015 ozone Marginal areas preliminary meets NAAQS determination from September 2020 </t>
  </si>
  <si>
    <t>States that might have to submit Severe SIP revisions for 2008 ozone if the areas is bumped up from Serious to Severe 15</t>
  </si>
  <si>
    <t>Bump up Serious to Severe for 2008 NAAQS</t>
  </si>
  <si>
    <t xml:space="preserve">Table 8 in SS </t>
  </si>
  <si>
    <t xml:space="preserve">The totals below update automatically </t>
  </si>
  <si>
    <t>Difference in this ICR &amp; the previous ICR annual hours</t>
  </si>
  <si>
    <t xml:space="preserve">Nonattainment Areas by Classification </t>
  </si>
  <si>
    <t>NAAs for Marginal to Moderate bumpup based on 2020 preliminary data</t>
  </si>
  <si>
    <t>Marginal to Moderate bumpup based preliminary 2020 data</t>
  </si>
  <si>
    <t>This tab should not be used but left in case included in formulas</t>
  </si>
  <si>
    <t xml:space="preserve">1997 ozone maintenance areas with 2nd MPs due </t>
  </si>
  <si>
    <t>Pechanga Band of Luiseno Mission Indians of the Pechanga Reservation, CA</t>
  </si>
  <si>
    <t>Pechanga Band of Luiseno Mission Indians of the Pechanga Reservation</t>
  </si>
  <si>
    <t>does not include R9 labor costs (25,200 hours) to develop SIP requirements for 2 CA tribal areas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</si>
</sst>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* #,##0_);_(* \(#,##0\);_(* &quot;-&quot;?_);_(@_)"/>
    <numFmt numFmtId="167" formatCode="_(* #,##0.000000_);_(* \(#,##0.000000\);_(* &quot;-&quot;??_);_(@_)"/>
    <numFmt numFmtId="168" formatCode="&quot;$&quot;#,##0"/>
    <numFmt numFmtId="169" formatCode="&quot;$&quot;#,##0.00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</font>
    <font>
      <sz val="8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u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1"/>
      <color theme="0" tint="-0.499984740745262"/>
      <name val="Calibri"/>
      <family val="2"/>
      <scheme val="minor"/>
    </font>
    <font>
      <sz val="10"/>
      <color rgb="FF000000"/>
      <name val="Arial"/>
      <family val="2"/>
    </font>
    <font>
      <b/>
      <u/>
      <sz val="11"/>
      <color theme="1"/>
      <name val="Calibri"/>
      <family val="2"/>
      <scheme val="minor"/>
    </font>
    <font>
      <b/>
      <sz val="12"/>
      <color rgb="FF1C0173"/>
      <name val="Calibri"/>
      <family val="2"/>
      <scheme val="minor"/>
    </font>
    <font>
      <sz val="11"/>
      <color rgb="FF1C0173"/>
      <name val="Calibri"/>
      <family val="2"/>
      <scheme val="minor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color rgb="FF363636"/>
      <name val="Times New Roman"/>
      <family val="1"/>
    </font>
    <font>
      <sz val="10"/>
      <name val="MS Sans Serif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sz val="1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34"/>
        <bgColor indexed="0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43" fontId="1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7" fillId="0" borderId="0" applyFont="0" applyFill="0" applyBorder="0" applyAlignment="0" applyProtection="0"/>
    <xf numFmtId="3" fontId="15" fillId="0" borderId="0"/>
    <xf numFmtId="3" fontId="17" fillId="0" borderId="0"/>
    <xf numFmtId="44" fontId="20" fillId="0" borderId="0" applyFont="0" applyFill="0" applyBorder="0" applyAlignment="0" applyProtection="0"/>
    <xf numFmtId="0" fontId="20" fillId="0" borderId="0"/>
    <xf numFmtId="0" fontId="17" fillId="0" borderId="0"/>
    <xf numFmtId="0" fontId="18" fillId="0" borderId="0"/>
    <xf numFmtId="0" fontId="34" fillId="0" borderId="0"/>
  </cellStyleXfs>
  <cellXfs count="278">
    <xf numFmtId="0" fontId="0" fillId="0" borderId="0" xfId="0"/>
    <xf numFmtId="43" fontId="13" fillId="2" borderId="1" xfId="1" applyFont="1" applyFill="1" applyBorder="1" applyAlignment="1">
      <alignment horizontal="centerContinuous" vertical="center" wrapText="1"/>
    </xf>
    <xf numFmtId="43" fontId="13" fillId="2" borderId="2" xfId="1" applyFont="1" applyFill="1" applyBorder="1" applyAlignment="1">
      <alignment horizontal="center" vertical="center" wrapText="1"/>
    </xf>
    <xf numFmtId="0" fontId="21" fillId="0" borderId="0" xfId="8" applyFont="1" applyAlignment="1">
      <alignment wrapText="1"/>
    </xf>
    <xf numFmtId="0" fontId="20" fillId="0" borderId="0" xfId="8" applyAlignment="1">
      <alignment wrapText="1"/>
    </xf>
    <xf numFmtId="164" fontId="20" fillId="0" borderId="3" xfId="7" applyNumberFormat="1" applyFont="1" applyBorder="1" applyAlignment="1">
      <alignment wrapText="1"/>
    </xf>
    <xf numFmtId="164" fontId="20" fillId="0" borderId="0" xfId="7" applyNumberFormat="1" applyFont="1" applyAlignment="1">
      <alignment wrapText="1"/>
    </xf>
    <xf numFmtId="0" fontId="21" fillId="0" borderId="0" xfId="8" applyFont="1" applyFill="1" applyBorder="1" applyAlignment="1">
      <alignment wrapText="1"/>
    </xf>
    <xf numFmtId="0" fontId="20" fillId="0" borderId="0" xfId="8"/>
    <xf numFmtId="164" fontId="20" fillId="0" borderId="3" xfId="7" applyNumberFormat="1" applyFont="1" applyBorder="1"/>
    <xf numFmtId="164" fontId="20" fillId="0" borderId="0" xfId="8" applyNumberFormat="1"/>
    <xf numFmtId="3" fontId="20" fillId="0" borderId="0" xfId="8" applyNumberFormat="1"/>
    <xf numFmtId="44" fontId="20" fillId="0" borderId="0" xfId="8" applyNumberFormat="1"/>
    <xf numFmtId="164" fontId="20" fillId="0" borderId="0" xfId="7" applyNumberFormat="1" applyFont="1"/>
    <xf numFmtId="0" fontId="21" fillId="0" borderId="0" xfId="8" applyFont="1"/>
    <xf numFmtId="164" fontId="21" fillId="0" borderId="0" xfId="8" applyNumberFormat="1" applyFont="1"/>
    <xf numFmtId="164" fontId="20" fillId="0" borderId="0" xfId="8" applyNumberFormat="1" applyFill="1" applyBorder="1"/>
    <xf numFmtId="37" fontId="20" fillId="0" borderId="0" xfId="8" applyNumberFormat="1"/>
    <xf numFmtId="165" fontId="20" fillId="0" borderId="0" xfId="8" applyNumberFormat="1"/>
    <xf numFmtId="164" fontId="21" fillId="0" borderId="0" xfId="7" applyNumberFormat="1" applyFont="1"/>
    <xf numFmtId="165" fontId="21" fillId="0" borderId="0" xfId="8" applyNumberFormat="1" applyFont="1"/>
    <xf numFmtId="166" fontId="20" fillId="0" borderId="0" xfId="8" applyNumberFormat="1"/>
    <xf numFmtId="37" fontId="20" fillId="0" borderId="0" xfId="7" applyNumberFormat="1" applyFont="1"/>
    <xf numFmtId="0" fontId="20" fillId="0" borderId="4" xfId="8" applyBorder="1"/>
    <xf numFmtId="164" fontId="20" fillId="0" borderId="5" xfId="7" applyNumberFormat="1" applyFont="1" applyBorder="1"/>
    <xf numFmtId="167" fontId="20" fillId="0" borderId="5" xfId="8" applyNumberFormat="1" applyBorder="1"/>
    <xf numFmtId="0" fontId="20" fillId="0" borderId="5" xfId="8" applyBorder="1"/>
    <xf numFmtId="0" fontId="20" fillId="0" borderId="6" xfId="8" applyBorder="1"/>
    <xf numFmtId="164" fontId="20" fillId="0" borderId="0" xfId="8" applyNumberFormat="1" applyFont="1"/>
    <xf numFmtId="0" fontId="17" fillId="0" borderId="0" xfId="0" applyFont="1"/>
    <xf numFmtId="0" fontId="0" fillId="0" borderId="7" xfId="0" applyBorder="1"/>
    <xf numFmtId="37" fontId="20" fillId="0" borderId="0" xfId="7" applyNumberFormat="1" applyFont="1" applyAlignment="1">
      <alignment wrapText="1"/>
    </xf>
    <xf numFmtId="37" fontId="20" fillId="0" borderId="0" xfId="8" applyNumberFormat="1" applyAlignment="1">
      <alignment wrapText="1"/>
    </xf>
    <xf numFmtId="165" fontId="20" fillId="0" borderId="5" xfId="8" applyNumberFormat="1" applyBorder="1" applyAlignment="1">
      <alignment wrapText="1"/>
    </xf>
    <xf numFmtId="164" fontId="21" fillId="0" borderId="0" xfId="7" applyNumberFormat="1" applyFont="1" applyAlignment="1">
      <alignment wrapText="1"/>
    </xf>
    <xf numFmtId="0" fontId="0" fillId="0" borderId="0" xfId="0" applyAlignment="1">
      <alignment wrapText="1"/>
    </xf>
    <xf numFmtId="0" fontId="21" fillId="3" borderId="7" xfId="8" applyFont="1" applyFill="1" applyBorder="1" applyAlignment="1">
      <alignment wrapText="1"/>
    </xf>
    <xf numFmtId="164" fontId="21" fillId="3" borderId="7" xfId="7" applyNumberFormat="1" applyFont="1" applyFill="1" applyBorder="1" applyAlignment="1">
      <alignment wrapText="1"/>
    </xf>
    <xf numFmtId="164" fontId="21" fillId="0" borderId="7" xfId="7" applyNumberFormat="1" applyFont="1" applyFill="1" applyBorder="1" applyAlignment="1">
      <alignment wrapText="1"/>
    </xf>
    <xf numFmtId="0" fontId="21" fillId="0" borderId="7" xfId="8" applyFont="1" applyFill="1" applyBorder="1" applyAlignment="1">
      <alignment wrapText="1"/>
    </xf>
    <xf numFmtId="164" fontId="23" fillId="0" borderId="7" xfId="7" applyNumberFormat="1" applyFont="1" applyFill="1" applyBorder="1" applyAlignment="1">
      <alignment wrapText="1"/>
    </xf>
    <xf numFmtId="0" fontId="23" fillId="0" borderId="7" xfId="8" applyFont="1" applyFill="1" applyBorder="1" applyAlignment="1">
      <alignment wrapText="1"/>
    </xf>
    <xf numFmtId="0" fontId="20" fillId="0" borderId="7" xfId="8" applyBorder="1"/>
    <xf numFmtId="164" fontId="20" fillId="0" borderId="7" xfId="7" applyNumberFormat="1" applyFont="1" applyBorder="1"/>
    <xf numFmtId="165" fontId="20" fillId="0" borderId="7" xfId="3" applyNumberFormat="1" applyFont="1" applyBorder="1"/>
    <xf numFmtId="43" fontId="20" fillId="0" borderId="7" xfId="3" applyNumberFormat="1" applyFont="1" applyBorder="1"/>
    <xf numFmtId="164" fontId="20" fillId="0" borderId="7" xfId="8" applyNumberFormat="1" applyBorder="1"/>
    <xf numFmtId="3" fontId="21" fillId="0" borderId="7" xfId="7" applyNumberFormat="1" applyFont="1" applyBorder="1"/>
    <xf numFmtId="165" fontId="21" fillId="0" borderId="7" xfId="3" applyNumberFormat="1" applyFont="1" applyBorder="1"/>
    <xf numFmtId="164" fontId="21" fillId="0" borderId="7" xfId="8" applyNumberFormat="1" applyFont="1" applyBorder="1"/>
    <xf numFmtId="165" fontId="21" fillId="0" borderId="7" xfId="8" applyNumberFormat="1" applyFont="1" applyBorder="1"/>
    <xf numFmtId="0" fontId="21" fillId="0" borderId="7" xfId="8" applyFont="1" applyBorder="1"/>
    <xf numFmtId="0" fontId="20" fillId="0" borderId="7" xfId="8" applyBorder="1" applyAlignment="1">
      <alignment wrapText="1"/>
    </xf>
    <xf numFmtId="166" fontId="20" fillId="0" borderId="7" xfId="8" applyNumberFormat="1" applyBorder="1"/>
    <xf numFmtId="0" fontId="24" fillId="0" borderId="0" xfId="8" applyFont="1"/>
    <xf numFmtId="166" fontId="22" fillId="0" borderId="7" xfId="8" applyNumberFormat="1" applyFont="1" applyBorder="1"/>
    <xf numFmtId="43" fontId="20" fillId="0" borderId="0" xfId="1" applyFont="1"/>
    <xf numFmtId="0" fontId="0" fillId="0" borderId="0" xfId="0" quotePrefix="1" applyNumberFormat="1"/>
    <xf numFmtId="0" fontId="0" fillId="0" borderId="0" xfId="0" quotePrefix="1" applyNumberFormat="1" applyFill="1"/>
    <xf numFmtId="1" fontId="0" fillId="0" borderId="0" xfId="0" applyNumberFormat="1"/>
    <xf numFmtId="43" fontId="16" fillId="2" borderId="2" xfId="1" applyFont="1" applyFill="1" applyBorder="1" applyAlignment="1">
      <alignment horizontal="center" vertical="center" wrapText="1"/>
    </xf>
    <xf numFmtId="0" fontId="17" fillId="0" borderId="0" xfId="0" applyFont="1" applyAlignment="1">
      <alignment wrapText="1"/>
    </xf>
    <xf numFmtId="0" fontId="0" fillId="0" borderId="0" xfId="0" applyFill="1"/>
    <xf numFmtId="1" fontId="0" fillId="0" borderId="0" xfId="0" applyNumberFormat="1" applyFill="1"/>
    <xf numFmtId="0" fontId="20" fillId="0" borderId="0" xfId="8" applyFill="1"/>
    <xf numFmtId="164" fontId="20" fillId="0" borderId="3" xfId="7" applyNumberFormat="1" applyFont="1" applyFill="1" applyBorder="1"/>
    <xf numFmtId="164" fontId="20" fillId="0" borderId="0" xfId="8" applyNumberFormat="1" applyFill="1"/>
    <xf numFmtId="3" fontId="20" fillId="0" borderId="0" xfId="8" applyNumberFormat="1" applyFill="1"/>
    <xf numFmtId="44" fontId="20" fillId="0" borderId="0" xfId="8" applyNumberFormat="1" applyFill="1"/>
    <xf numFmtId="0" fontId="17" fillId="0" borderId="0" xfId="0" applyFont="1" applyFill="1"/>
    <xf numFmtId="0" fontId="21" fillId="0" borderId="0" xfId="8" applyFont="1" applyFill="1"/>
    <xf numFmtId="165" fontId="20" fillId="4" borderId="7" xfId="3" applyNumberFormat="1" applyFont="1" applyFill="1" applyBorder="1" applyAlignment="1">
      <alignment wrapText="1"/>
    </xf>
    <xf numFmtId="0" fontId="0" fillId="0" borderId="0" xfId="0" applyFill="1" applyAlignment="1">
      <alignment wrapText="1"/>
    </xf>
    <xf numFmtId="0" fontId="0" fillId="0" borderId="0" xfId="1" applyNumberFormat="1" applyFont="1" applyFill="1"/>
    <xf numFmtId="0" fontId="0" fillId="0" borderId="8" xfId="0" applyBorder="1" applyAlignment="1">
      <alignment wrapText="1"/>
    </xf>
    <xf numFmtId="1" fontId="0" fillId="0" borderId="0" xfId="0" applyNumberFormat="1" applyFill="1" applyAlignment="1">
      <alignment horizontal="right"/>
    </xf>
    <xf numFmtId="1" fontId="17" fillId="0" borderId="9" xfId="0" applyNumberFormat="1" applyFont="1" applyFill="1" applyBorder="1"/>
    <xf numFmtId="0" fontId="17" fillId="0" borderId="9" xfId="0" quotePrefix="1" applyNumberFormat="1" applyFont="1" applyFill="1" applyBorder="1"/>
    <xf numFmtId="164" fontId="20" fillId="0" borderId="0" xfId="7" applyNumberFormat="1" applyFont="1" applyBorder="1"/>
    <xf numFmtId="0" fontId="21" fillId="0" borderId="0" xfId="8" applyFont="1" applyAlignment="1">
      <alignment vertical="top" wrapText="1"/>
    </xf>
    <xf numFmtId="164" fontId="21" fillId="0" borderId="0" xfId="7" applyNumberFormat="1" applyFont="1" applyBorder="1" applyAlignment="1">
      <alignment vertical="top" wrapText="1"/>
    </xf>
    <xf numFmtId="3" fontId="24" fillId="0" borderId="0" xfId="7" applyNumberFormat="1" applyFont="1" applyBorder="1"/>
    <xf numFmtId="37" fontId="20" fillId="0" borderId="3" xfId="7" applyNumberFormat="1" applyFont="1" applyBorder="1"/>
    <xf numFmtId="43" fontId="13" fillId="2" borderId="10" xfId="1" applyFont="1" applyFill="1" applyBorder="1" applyAlignment="1">
      <alignment horizontal="center" vertical="center" wrapText="1"/>
    </xf>
    <xf numFmtId="0" fontId="0" fillId="0" borderId="0" xfId="0" applyNumberFormat="1" applyFill="1"/>
    <xf numFmtId="43" fontId="16" fillId="2" borderId="10" xfId="1" applyFont="1" applyFill="1" applyBorder="1" applyAlignment="1">
      <alignment horizontal="center" vertical="center" wrapText="1"/>
    </xf>
    <xf numFmtId="37" fontId="17" fillId="6" borderId="12" xfId="0" applyNumberFormat="1" applyFont="1" applyFill="1" applyBorder="1"/>
    <xf numFmtId="168" fontId="17" fillId="6" borderId="13" xfId="0" applyNumberFormat="1" applyFont="1" applyFill="1" applyBorder="1"/>
    <xf numFmtId="3" fontId="17" fillId="6" borderId="13" xfId="0" applyNumberFormat="1" applyFont="1" applyFill="1" applyBorder="1"/>
    <xf numFmtId="166" fontId="22" fillId="7" borderId="7" xfId="8" applyNumberFormat="1" applyFont="1" applyFill="1" applyBorder="1"/>
    <xf numFmtId="165" fontId="20" fillId="7" borderId="7" xfId="8" applyNumberFormat="1" applyFill="1" applyBorder="1" applyAlignment="1">
      <alignment wrapText="1"/>
    </xf>
    <xf numFmtId="164" fontId="21" fillId="7" borderId="0" xfId="8" applyNumberFormat="1" applyFont="1" applyFill="1"/>
    <xf numFmtId="44" fontId="20" fillId="7" borderId="0" xfId="8" applyNumberFormat="1" applyFill="1"/>
    <xf numFmtId="0" fontId="20" fillId="7" borderId="0" xfId="8" applyFill="1"/>
    <xf numFmtId="164" fontId="20" fillId="7" borderId="0" xfId="7" applyNumberFormat="1" applyFont="1" applyFill="1"/>
    <xf numFmtId="0" fontId="0" fillId="7" borderId="0" xfId="0" applyFill="1"/>
    <xf numFmtId="164" fontId="20" fillId="7" borderId="0" xfId="8" applyNumberFormat="1" applyFill="1"/>
    <xf numFmtId="3" fontId="20" fillId="7" borderId="0" xfId="8" applyNumberFormat="1" applyFill="1"/>
    <xf numFmtId="164" fontId="24" fillId="7" borderId="0" xfId="7" applyNumberFormat="1" applyFont="1" applyFill="1" applyBorder="1"/>
    <xf numFmtId="0" fontId="0" fillId="0" borderId="0" xfId="1" applyNumberFormat="1" applyFont="1" applyFill="1" applyBorder="1"/>
    <xf numFmtId="37" fontId="0" fillId="0" borderId="0" xfId="0" applyNumberFormat="1"/>
    <xf numFmtId="0" fontId="17" fillId="0" borderId="0" xfId="1" applyNumberFormat="1" applyFont="1" applyFill="1"/>
    <xf numFmtId="43" fontId="16" fillId="2" borderId="17" xfId="1" applyFont="1" applyFill="1" applyBorder="1" applyAlignment="1">
      <alignment horizontal="center" vertical="center" wrapText="1"/>
    </xf>
    <xf numFmtId="0" fontId="0" fillId="0" borderId="0" xfId="0" applyFill="1" applyBorder="1"/>
    <xf numFmtId="3" fontId="20" fillId="0" borderId="18" xfId="8" applyNumberFormat="1" applyFill="1" applyBorder="1"/>
    <xf numFmtId="3" fontId="20" fillId="0" borderId="19" xfId="8" applyNumberFormat="1" applyFill="1" applyBorder="1"/>
    <xf numFmtId="3" fontId="0" fillId="0" borderId="0" xfId="0" applyNumberFormat="1"/>
    <xf numFmtId="169" fontId="0" fillId="0" borderId="0" xfId="0" applyNumberFormat="1"/>
    <xf numFmtId="0" fontId="0" fillId="0" borderId="0" xfId="0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69" fontId="0" fillId="0" borderId="7" xfId="0" applyNumberFormat="1" applyBorder="1"/>
    <xf numFmtId="0" fontId="19" fillId="0" borderId="6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7" xfId="0" applyFont="1" applyBorder="1"/>
    <xf numFmtId="0" fontId="0" fillId="0" borderId="7" xfId="0" applyBorder="1" applyAlignment="1">
      <alignment wrapText="1"/>
    </xf>
    <xf numFmtId="0" fontId="17" fillId="0" borderId="7" xfId="0" applyFont="1" applyBorder="1" applyAlignment="1">
      <alignment horizontal="right"/>
    </xf>
    <xf numFmtId="169" fontId="0" fillId="0" borderId="16" xfId="0" applyNumberFormat="1" applyBorder="1"/>
    <xf numFmtId="0" fontId="19" fillId="0" borderId="9" xfId="0" applyFont="1" applyBorder="1" applyAlignment="1">
      <alignment horizontal="center" vertical="center" wrapText="1"/>
    </xf>
    <xf numFmtId="169" fontId="0" fillId="0" borderId="0" xfId="0" applyNumberFormat="1" applyBorder="1"/>
    <xf numFmtId="0" fontId="0" fillId="0" borderId="0" xfId="0" applyBorder="1"/>
    <xf numFmtId="169" fontId="0" fillId="0" borderId="11" xfId="0" applyNumberFormat="1" applyBorder="1"/>
    <xf numFmtId="0" fontId="25" fillId="0" borderId="0" xfId="0" applyFont="1"/>
    <xf numFmtId="0" fontId="19" fillId="0" borderId="0" xfId="0" applyFont="1" applyFill="1"/>
    <xf numFmtId="37" fontId="20" fillId="0" borderId="0" xfId="7" applyNumberFormat="1" applyFont="1" applyBorder="1"/>
    <xf numFmtId="37" fontId="24" fillId="7" borderId="0" xfId="7" applyNumberFormat="1" applyFont="1" applyFill="1" applyBorder="1"/>
    <xf numFmtId="168" fontId="24" fillId="0" borderId="0" xfId="8" applyNumberFormat="1" applyFont="1"/>
    <xf numFmtId="37" fontId="21" fillId="0" borderId="7" xfId="3" applyNumberFormat="1" applyFont="1" applyBorder="1"/>
    <xf numFmtId="37" fontId="20" fillId="0" borderId="7" xfId="3" applyNumberFormat="1" applyFont="1" applyBorder="1"/>
    <xf numFmtId="1" fontId="26" fillId="0" borderId="7" xfId="8" applyNumberFormat="1" applyFont="1" applyBorder="1"/>
    <xf numFmtId="1" fontId="23" fillId="0" borderId="7" xfId="7" applyNumberFormat="1" applyFont="1" applyBorder="1"/>
    <xf numFmtId="1" fontId="23" fillId="0" borderId="7" xfId="3" applyNumberFormat="1" applyFont="1" applyBorder="1"/>
    <xf numFmtId="37" fontId="20" fillId="7" borderId="0" xfId="8" applyNumberFormat="1" applyFill="1"/>
    <xf numFmtId="165" fontId="20" fillId="5" borderId="7" xfId="3" applyNumberFormat="1" applyFont="1" applyFill="1" applyBorder="1" applyAlignment="1">
      <alignment wrapText="1"/>
    </xf>
    <xf numFmtId="164" fontId="20" fillId="5" borderId="7" xfId="7" applyNumberFormat="1" applyFont="1" applyFill="1" applyBorder="1"/>
    <xf numFmtId="165" fontId="20" fillId="5" borderId="7" xfId="3" applyNumberFormat="1" applyFont="1" applyFill="1" applyBorder="1"/>
    <xf numFmtId="164" fontId="20" fillId="5" borderId="7" xfId="8" applyNumberFormat="1" applyFill="1" applyBorder="1"/>
    <xf numFmtId="37" fontId="20" fillId="5" borderId="7" xfId="7" applyNumberFormat="1" applyFont="1" applyFill="1" applyBorder="1"/>
    <xf numFmtId="164" fontId="22" fillId="7" borderId="7" xfId="7" applyNumberFormat="1" applyFont="1" applyFill="1" applyBorder="1"/>
    <xf numFmtId="164" fontId="20" fillId="7" borderId="7" xfId="7" applyNumberFormat="1" applyFont="1" applyFill="1" applyBorder="1"/>
    <xf numFmtId="165" fontId="20" fillId="8" borderId="0" xfId="8" applyNumberFormat="1" applyFill="1"/>
    <xf numFmtId="0" fontId="20" fillId="8" borderId="0" xfId="8" applyFill="1"/>
    <xf numFmtId="166" fontId="20" fillId="8" borderId="0" xfId="8" applyNumberFormat="1" applyFill="1"/>
    <xf numFmtId="164" fontId="20" fillId="8" borderId="0" xfId="7" applyNumberFormat="1" applyFont="1" applyFill="1"/>
    <xf numFmtId="165" fontId="20" fillId="8" borderId="7" xfId="3" applyNumberFormat="1" applyFont="1" applyFill="1" applyBorder="1"/>
    <xf numFmtId="37" fontId="20" fillId="8" borderId="7" xfId="3" applyNumberFormat="1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7" xfId="0" applyNumberFormat="1" applyBorder="1"/>
    <xf numFmtId="0" fontId="0" fillId="0" borderId="0" xfId="1" applyNumberFormat="1" applyFont="1" applyFill="1" applyBorder="1" applyAlignment="1">
      <alignment horizontal="left" indent="1"/>
    </xf>
    <xf numFmtId="3" fontId="20" fillId="0" borderId="0" xfId="8" applyNumberFormat="1" applyAlignment="1">
      <alignment wrapText="1"/>
    </xf>
    <xf numFmtId="0" fontId="10" fillId="0" borderId="0" xfId="8" applyFont="1" applyAlignment="1">
      <alignment wrapText="1"/>
    </xf>
    <xf numFmtId="42" fontId="20" fillId="0" borderId="0" xfId="8" applyNumberFormat="1" applyFill="1"/>
    <xf numFmtId="0" fontId="10" fillId="7" borderId="0" xfId="8" applyFont="1" applyFill="1" applyAlignment="1"/>
    <xf numFmtId="0" fontId="0" fillId="9" borderId="0" xfId="0" applyFill="1"/>
    <xf numFmtId="0" fontId="0" fillId="0" borderId="21" xfId="0" applyBorder="1" applyAlignment="1">
      <alignment vertical="top" wrapText="1"/>
    </xf>
    <xf numFmtId="0" fontId="21" fillId="0" borderId="21" xfId="0" applyFont="1" applyBorder="1" applyAlignment="1">
      <alignment horizontal="center" vertical="center" wrapText="1"/>
    </xf>
    <xf numFmtId="1" fontId="17" fillId="0" borderId="0" xfId="0" applyNumberFormat="1" applyFont="1" applyFill="1" applyBorder="1"/>
    <xf numFmtId="0" fontId="17" fillId="0" borderId="21" xfId="0" applyFont="1" applyBorder="1" applyAlignment="1">
      <alignment vertical="top" wrapText="1"/>
    </xf>
    <xf numFmtId="0" fontId="20" fillId="9" borderId="0" xfId="8" applyFill="1"/>
    <xf numFmtId="164" fontId="20" fillId="9" borderId="3" xfId="7" applyNumberFormat="1" applyFont="1" applyFill="1" applyBorder="1"/>
    <xf numFmtId="164" fontId="20" fillId="9" borderId="0" xfId="8" applyNumberFormat="1" applyFill="1"/>
    <xf numFmtId="3" fontId="20" fillId="9" borderId="0" xfId="8" applyNumberFormat="1" applyFill="1"/>
    <xf numFmtId="44" fontId="20" fillId="9" borderId="0" xfId="8" applyNumberFormat="1" applyFill="1"/>
    <xf numFmtId="2" fontId="17" fillId="6" borderId="13" xfId="0" applyNumberFormat="1" applyFont="1" applyFill="1" applyBorder="1"/>
    <xf numFmtId="0" fontId="9" fillId="0" borderId="0" xfId="8" applyFont="1" applyAlignment="1">
      <alignment wrapText="1"/>
    </xf>
    <xf numFmtId="3" fontId="8" fillId="0" borderId="0" xfId="8" applyNumberFormat="1" applyFont="1" applyFill="1"/>
    <xf numFmtId="3" fontId="0" fillId="0" borderId="15" xfId="0" applyNumberFormat="1" applyFill="1" applyBorder="1"/>
    <xf numFmtId="0" fontId="17" fillId="9" borderId="0" xfId="0" applyFont="1" applyFill="1"/>
    <xf numFmtId="164" fontId="8" fillId="0" borderId="0" xfId="7" applyNumberFormat="1" applyFont="1"/>
    <xf numFmtId="165" fontId="20" fillId="7" borderId="0" xfId="8" applyNumberFormat="1" applyFill="1"/>
    <xf numFmtId="3" fontId="0" fillId="0" borderId="21" xfId="0" applyNumberFormat="1" applyBorder="1" applyAlignment="1">
      <alignment vertical="top" wrapText="1"/>
    </xf>
    <xf numFmtId="3" fontId="0" fillId="0" borderId="0" xfId="0" applyNumberFormat="1" applyBorder="1" applyAlignment="1">
      <alignment wrapText="1"/>
    </xf>
    <xf numFmtId="3" fontId="16" fillId="0" borderId="0" xfId="0" applyNumberFormat="1" applyFont="1" applyAlignment="1">
      <alignment wrapText="1"/>
    </xf>
    <xf numFmtId="3" fontId="0" fillId="0" borderId="0" xfId="1" applyNumberFormat="1" applyFont="1" applyFill="1" applyBorder="1" applyAlignment="1">
      <alignment horizontal="left" indent="1"/>
    </xf>
    <xf numFmtId="3" fontId="0" fillId="0" borderId="0" xfId="0" quotePrefix="1" applyNumberFormat="1" applyFill="1"/>
    <xf numFmtId="3" fontId="17" fillId="0" borderId="0" xfId="0" quotePrefix="1" applyNumberFormat="1" applyFont="1" applyFill="1" applyBorder="1"/>
    <xf numFmtId="3" fontId="0" fillId="0" borderId="0" xfId="0" quotePrefix="1" applyNumberFormat="1"/>
    <xf numFmtId="0" fontId="0" fillId="9" borderId="21" xfId="0" applyFill="1" applyBorder="1" applyAlignment="1">
      <alignment vertical="top" wrapText="1"/>
    </xf>
    <xf numFmtId="7" fontId="20" fillId="0" borderId="3" xfId="7" applyNumberFormat="1" applyFont="1" applyBorder="1"/>
    <xf numFmtId="0" fontId="20" fillId="9" borderId="0" xfId="8" applyFill="1" applyAlignment="1"/>
    <xf numFmtId="3" fontId="20" fillId="9" borderId="0" xfId="8" applyNumberFormat="1" applyFill="1" applyAlignment="1"/>
    <xf numFmtId="168" fontId="20" fillId="9" borderId="0" xfId="8" applyNumberFormat="1" applyFill="1" applyAlignment="1"/>
    <xf numFmtId="168" fontId="20" fillId="7" borderId="0" xfId="8" applyNumberFormat="1" applyFill="1"/>
    <xf numFmtId="168" fontId="20" fillId="0" borderId="0" xfId="8" applyNumberFormat="1"/>
    <xf numFmtId="0" fontId="0" fillId="0" borderId="0" xfId="0" applyBorder="1" applyAlignment="1">
      <alignment wrapText="1"/>
    </xf>
    <xf numFmtId="0" fontId="0" fillId="0" borderId="0" xfId="0" applyBorder="1" applyAlignment="1">
      <alignment vertical="top" wrapText="1"/>
    </xf>
    <xf numFmtId="0" fontId="17" fillId="0" borderId="0" xfId="0" applyFont="1" applyBorder="1" applyAlignment="1">
      <alignment vertical="top" wrapText="1"/>
    </xf>
    <xf numFmtId="0" fontId="17" fillId="0" borderId="0" xfId="0" quotePrefix="1" applyNumberFormat="1" applyFont="1" applyFill="1" applyBorder="1"/>
    <xf numFmtId="0" fontId="0" fillId="0" borderId="21" xfId="0" applyFill="1" applyBorder="1"/>
    <xf numFmtId="0" fontId="22" fillId="0" borderId="0" xfId="8" applyFont="1"/>
    <xf numFmtId="165" fontId="21" fillId="7" borderId="7" xfId="3" applyNumberFormat="1" applyFont="1" applyFill="1" applyBorder="1"/>
    <xf numFmtId="164" fontId="21" fillId="7" borderId="7" xfId="7" applyNumberFormat="1" applyFont="1" applyFill="1" applyBorder="1"/>
    <xf numFmtId="3" fontId="6" fillId="0" borderId="0" xfId="8" applyNumberFormat="1" applyFont="1" applyFill="1"/>
    <xf numFmtId="168" fontId="20" fillId="0" borderId="0" xfId="8" applyNumberFormat="1" applyFill="1"/>
    <xf numFmtId="0" fontId="25" fillId="0" borderId="0" xfId="0" quotePrefix="1" applyNumberFormat="1" applyFont="1" applyFill="1"/>
    <xf numFmtId="3" fontId="22" fillId="0" borderId="0" xfId="8" applyNumberFormat="1" applyFont="1" applyFill="1"/>
    <xf numFmtId="3" fontId="17" fillId="6" borderId="14" xfId="0" applyNumberFormat="1" applyFont="1" applyFill="1" applyBorder="1"/>
    <xf numFmtId="3" fontId="5" fillId="0" borderId="0" xfId="8" applyNumberFormat="1" applyFont="1" applyFill="1"/>
    <xf numFmtId="0" fontId="0" fillId="0" borderId="0" xfId="0"/>
    <xf numFmtId="0" fontId="17" fillId="0" borderId="22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/>
    </xf>
    <xf numFmtId="0" fontId="17" fillId="0" borderId="24" xfId="0" applyFont="1" applyBorder="1" applyAlignment="1">
      <alignment vertical="center" wrapText="1"/>
    </xf>
    <xf numFmtId="164" fontId="20" fillId="0" borderId="0" xfId="7" applyNumberFormat="1" applyFont="1" applyFill="1" applyBorder="1"/>
    <xf numFmtId="164" fontId="20" fillId="9" borderId="0" xfId="7" applyNumberFormat="1" applyFont="1" applyFill="1" applyBorder="1"/>
    <xf numFmtId="0" fontId="17" fillId="0" borderId="25" xfId="0" applyFont="1" applyBorder="1" applyAlignment="1">
      <alignment vertical="center" wrapText="1"/>
    </xf>
    <xf numFmtId="0" fontId="0" fillId="0" borderId="0" xfId="0"/>
    <xf numFmtId="0" fontId="4" fillId="0" borderId="0" xfId="8" applyFont="1"/>
    <xf numFmtId="0" fontId="17" fillId="0" borderId="25" xfId="0" applyFont="1" applyFill="1" applyBorder="1" applyAlignment="1">
      <alignment horizontal="center" vertical="center"/>
    </xf>
    <xf numFmtId="0" fontId="27" fillId="0" borderId="25" xfId="0" applyFont="1" applyFill="1" applyBorder="1" applyAlignment="1">
      <alignment horizontal="center" vertical="center"/>
    </xf>
    <xf numFmtId="0" fontId="3" fillId="9" borderId="7" xfId="8" applyFont="1" applyFill="1" applyBorder="1" applyAlignment="1">
      <alignment wrapText="1"/>
    </xf>
    <xf numFmtId="0" fontId="0" fillId="0" borderId="0" xfId="0"/>
    <xf numFmtId="0" fontId="0" fillId="0" borderId="7" xfId="0" applyBorder="1" applyAlignment="1">
      <alignment horizontal="left"/>
    </xf>
    <xf numFmtId="165" fontId="20" fillId="0" borderId="7" xfId="3" applyNumberFormat="1" applyFont="1" applyFill="1" applyBorder="1" applyAlignment="1">
      <alignment wrapText="1"/>
    </xf>
    <xf numFmtId="3" fontId="0" fillId="0" borderId="7" xfId="0" applyNumberFormat="1" applyFill="1" applyBorder="1"/>
    <xf numFmtId="0" fontId="0" fillId="0" borderId="7" xfId="0" applyFill="1" applyBorder="1"/>
    <xf numFmtId="0" fontId="28" fillId="0" borderId="0" xfId="8" applyFont="1"/>
    <xf numFmtId="164" fontId="20" fillId="0" borderId="0" xfId="7" applyNumberFormat="1" applyFont="1" applyBorder="1" applyAlignment="1">
      <alignment wrapText="1"/>
    </xf>
    <xf numFmtId="164" fontId="20" fillId="0" borderId="26" xfId="7" applyNumberFormat="1" applyFont="1" applyBorder="1"/>
    <xf numFmtId="164" fontId="20" fillId="0" borderId="27" xfId="7" applyNumberFormat="1" applyFont="1" applyBorder="1"/>
    <xf numFmtId="0" fontId="28" fillId="0" borderId="28" xfId="8" applyFont="1" applyBorder="1"/>
    <xf numFmtId="0" fontId="21" fillId="0" borderId="29" xfId="8" applyFont="1" applyBorder="1" applyAlignment="1">
      <alignment vertical="top" wrapText="1"/>
    </xf>
    <xf numFmtId="0" fontId="20" fillId="0" borderId="0" xfId="8" applyBorder="1" applyAlignment="1">
      <alignment wrapText="1"/>
    </xf>
    <xf numFmtId="164" fontId="20" fillId="0" borderId="30" xfId="7" applyNumberFormat="1" applyFont="1" applyBorder="1" applyAlignment="1">
      <alignment wrapText="1"/>
    </xf>
    <xf numFmtId="164" fontId="20" fillId="0" borderId="31" xfId="7" applyNumberFormat="1" applyFont="1" applyFill="1" applyBorder="1"/>
    <xf numFmtId="164" fontId="20" fillId="0" borderId="32" xfId="7" applyNumberFormat="1" applyFont="1" applyFill="1" applyBorder="1"/>
    <xf numFmtId="164" fontId="20" fillId="0" borderId="33" xfId="7" applyNumberFormat="1" applyFont="1" applyFill="1" applyBorder="1"/>
    <xf numFmtId="0" fontId="28" fillId="0" borderId="26" xfId="8" applyFont="1" applyBorder="1"/>
    <xf numFmtId="0" fontId="28" fillId="0" borderId="27" xfId="8" applyFont="1" applyBorder="1"/>
    <xf numFmtId="37" fontId="20" fillId="0" borderId="29" xfId="7" applyNumberFormat="1" applyFont="1" applyFill="1" applyBorder="1"/>
    <xf numFmtId="37" fontId="20" fillId="0" borderId="0" xfId="8" applyNumberFormat="1" applyFill="1"/>
    <xf numFmtId="0" fontId="0" fillId="0" borderId="0" xfId="0"/>
    <xf numFmtId="3" fontId="2" fillId="0" borderId="0" xfId="8" applyNumberFormat="1" applyFont="1" applyFill="1"/>
    <xf numFmtId="37" fontId="20" fillId="0" borderId="0" xfId="7" applyNumberFormat="1" applyFont="1" applyFill="1" applyBorder="1"/>
    <xf numFmtId="37" fontId="2" fillId="8" borderId="0" xfId="7" applyNumberFormat="1" applyFont="1" applyFill="1"/>
    <xf numFmtId="0" fontId="17" fillId="7" borderId="0" xfId="0" applyFont="1" applyFill="1"/>
    <xf numFmtId="0" fontId="22" fillId="0" borderId="0" xfId="8" applyFont="1" applyAlignment="1">
      <alignment wrapText="1"/>
    </xf>
    <xf numFmtId="3" fontId="22" fillId="0" borderId="0" xfId="8" applyNumberFormat="1" applyFont="1" applyAlignment="1">
      <alignment wrapText="1"/>
    </xf>
    <xf numFmtId="0" fontId="0" fillId="0" borderId="34" xfId="0" applyBorder="1" applyAlignment="1">
      <alignment vertical="top" wrapText="1"/>
    </xf>
    <xf numFmtId="0" fontId="31" fillId="0" borderId="7" xfId="0" applyFont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32" fillId="0" borderId="7" xfId="0" applyFont="1" applyBorder="1" applyAlignment="1">
      <alignment vertical="top" wrapText="1"/>
    </xf>
    <xf numFmtId="14" fontId="32" fillId="0" borderId="7" xfId="0" applyNumberFormat="1" applyFont="1" applyBorder="1" applyAlignment="1">
      <alignment vertical="top" wrapText="1"/>
    </xf>
    <xf numFmtId="14" fontId="33" fillId="0" borderId="7" xfId="0" applyNumberFormat="1" applyFont="1" applyBorder="1"/>
    <xf numFmtId="0" fontId="35" fillId="10" borderId="35" xfId="11" quotePrefix="1" applyFont="1" applyFill="1" applyBorder="1" applyAlignment="1">
      <alignment horizontal="center" wrapText="1"/>
    </xf>
    <xf numFmtId="0" fontId="35" fillId="11" borderId="35" xfId="11" quotePrefix="1" applyFont="1" applyFill="1" applyBorder="1" applyAlignment="1">
      <alignment horizontal="center" wrapText="1"/>
    </xf>
    <xf numFmtId="0" fontId="36" fillId="10" borderId="36" xfId="11" quotePrefix="1" applyFont="1" applyFill="1" applyBorder="1" applyAlignment="1">
      <alignment horizontal="left"/>
    </xf>
    <xf numFmtId="0" fontId="36" fillId="10" borderId="36" xfId="11" quotePrefix="1" applyFont="1" applyFill="1" applyBorder="1" applyAlignment="1">
      <alignment horizontal="center"/>
    </xf>
    <xf numFmtId="0" fontId="36" fillId="0" borderId="36" xfId="11" quotePrefix="1" applyFont="1" applyBorder="1" applyAlignment="1">
      <alignment horizontal="left"/>
    </xf>
    <xf numFmtId="0" fontId="36" fillId="0" borderId="36" xfId="11" quotePrefix="1" applyFont="1" applyBorder="1" applyAlignment="1">
      <alignment horizontal="center"/>
    </xf>
    <xf numFmtId="0" fontId="0" fillId="0" borderId="0" xfId="0"/>
    <xf numFmtId="0" fontId="22" fillId="0" borderId="0" xfId="8" applyFont="1" applyFill="1"/>
    <xf numFmtId="3" fontId="22" fillId="0" borderId="18" xfId="8" applyNumberFormat="1" applyFont="1" applyFill="1" applyBorder="1"/>
    <xf numFmtId="3" fontId="22" fillId="0" borderId="19" xfId="8" applyNumberFormat="1" applyFont="1" applyFill="1" applyBorder="1"/>
    <xf numFmtId="3" fontId="22" fillId="0" borderId="37" xfId="8" applyNumberFormat="1" applyFont="1" applyFill="1" applyBorder="1"/>
    <xf numFmtId="5" fontId="24" fillId="7" borderId="0" xfId="7" applyNumberFormat="1" applyFont="1" applyFill="1" applyBorder="1"/>
    <xf numFmtId="0" fontId="32" fillId="0" borderId="21" xfId="0" applyFont="1" applyBorder="1" applyAlignment="1">
      <alignment vertical="top" wrapText="1"/>
    </xf>
    <xf numFmtId="14" fontId="32" fillId="0" borderId="7" xfId="0" applyNumberFormat="1" applyFont="1" applyBorder="1" applyAlignment="1">
      <alignment horizontal="left" vertical="top" wrapText="1"/>
    </xf>
    <xf numFmtId="14" fontId="33" fillId="0" borderId="7" xfId="0" applyNumberFormat="1" applyFont="1" applyBorder="1" applyAlignment="1">
      <alignment horizontal="left" vertical="top"/>
    </xf>
    <xf numFmtId="0" fontId="37" fillId="0" borderId="21" xfId="0" applyFont="1" applyBorder="1" applyAlignment="1">
      <alignment horizontal="left" vertical="top" wrapText="1"/>
    </xf>
    <xf numFmtId="0" fontId="6" fillId="9" borderId="0" xfId="8" applyFont="1" applyFill="1" applyAlignment="1">
      <alignment horizontal="center" wrapText="1"/>
    </xf>
    <xf numFmtId="0" fontId="7" fillId="9" borderId="0" xfId="8" applyFont="1" applyFill="1" applyAlignment="1">
      <alignment horizontal="center" wrapText="1"/>
    </xf>
    <xf numFmtId="0" fontId="21" fillId="3" borderId="7" xfId="8" applyFont="1" applyFill="1" applyBorder="1" applyAlignment="1">
      <alignment horizontal="center"/>
    </xf>
    <xf numFmtId="0" fontId="0" fillId="3" borderId="7" xfId="0" applyFill="1" applyBorder="1" applyAlignment="1"/>
    <xf numFmtId="0" fontId="2" fillId="5" borderId="0" xfId="8" applyFont="1" applyFill="1" applyAlignment="1">
      <alignment vertical="top" wrapText="1"/>
    </xf>
    <xf numFmtId="0" fontId="11" fillId="5" borderId="0" xfId="8" applyFont="1" applyFill="1" applyAlignment="1">
      <alignment vertical="top" wrapText="1"/>
    </xf>
    <xf numFmtId="0" fontId="1" fillId="0" borderId="9" xfId="8" applyFont="1" applyBorder="1" applyAlignment="1">
      <alignment horizontal="center"/>
    </xf>
    <xf numFmtId="0" fontId="20" fillId="0" borderId="9" xfId="8" applyBorder="1" applyAlignment="1">
      <alignment horizontal="center"/>
    </xf>
    <xf numFmtId="0" fontId="29" fillId="0" borderId="0" xfId="0" applyFont="1" applyAlignment="1">
      <alignment horizontal="left" wrapText="1"/>
    </xf>
    <xf numFmtId="0" fontId="30" fillId="0" borderId="0" xfId="0" applyFont="1" applyAlignment="1">
      <alignment horizontal="left" wrapText="1"/>
    </xf>
    <xf numFmtId="15" fontId="30" fillId="0" borderId="0" xfId="0" applyNumberFormat="1" applyFont="1" applyAlignment="1">
      <alignment horizontal="left" wrapText="1"/>
    </xf>
    <xf numFmtId="0" fontId="19" fillId="0" borderId="7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</cellXfs>
  <cellStyles count="12">
    <cellStyle name="Comma" xfId="1" builtinId="3"/>
    <cellStyle name="Comma 2" xfId="2" xr:uid="{00000000-0005-0000-0000-000001000000}"/>
    <cellStyle name="Comma 2 2" xfId="3" xr:uid="{00000000-0005-0000-0000-000002000000}"/>
    <cellStyle name="Comma 3" xfId="4" xr:uid="{00000000-0005-0000-0000-000003000000}"/>
    <cellStyle name="Comma0" xfId="5" xr:uid="{00000000-0005-0000-0000-000004000000}"/>
    <cellStyle name="Comma0 2" xfId="6" xr:uid="{00000000-0005-0000-0000-000005000000}"/>
    <cellStyle name="Currency 2" xfId="7" xr:uid="{00000000-0005-0000-0000-000006000000}"/>
    <cellStyle name="Normal" xfId="0" builtinId="0"/>
    <cellStyle name="Normal 2" xfId="8" xr:uid="{00000000-0005-0000-0000-000008000000}"/>
    <cellStyle name="Normal 3" xfId="9" xr:uid="{00000000-0005-0000-0000-000009000000}"/>
    <cellStyle name="Normal 4" xfId="10" xr:uid="{00000000-0005-0000-0000-00000A000000}"/>
    <cellStyle name="Normal_NAA_PRELIMINARY" xfId="11" xr:uid="{8393DD30-67A5-43C4-8401-A005A5F96459}"/>
  </cellStyles>
  <dxfs count="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pivotCacheDefinition" Target="pivotCache/pivotCacheDefinition2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pivotCacheDefinition" Target="pivotCache/pivotCacheDefinition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pivotCacheDefinition" Target="pivotCache/pivotCacheDefinition1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pivotCacheDefinition" Target="pivotCache/pivotCacheDefinition4.xml"/><Relationship Id="rId29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pivotCacheDefinition" Target="pivotCache/pivotCacheDefinition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bstack\LOCALS~1\Temp\notesFCBCEE\Summary%20New%20hypo%20list%20based%20on%20NAA%20with%20Kenosha%20chang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CR list"/>
      <sheetName val="Marginal success rate"/>
      <sheetName val="Summary"/>
      <sheetName val="65ppb by Class"/>
      <sheetName val="65ppb by State"/>
      <sheetName val="65ppb by NAA_CSA"/>
      <sheetName val="Attain yr"/>
      <sheetName val="NAA_RDV20072009_STD_ALL2"/>
      <sheetName val="Class lookup"/>
      <sheetName val="Missing projec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5">
          <cell r="B5">
            <v>0</v>
          </cell>
          <cell r="C5" t="str">
            <v>Attainment</v>
          </cell>
        </row>
        <row r="6">
          <cell r="B6">
            <v>6.5000000000000002E-2</v>
          </cell>
          <cell r="C6" t="str">
            <v>Attainment</v>
          </cell>
        </row>
        <row r="7">
          <cell r="B7">
            <v>6.5009999999999998E-2</v>
          </cell>
          <cell r="C7" t="str">
            <v>Marginal</v>
          </cell>
        </row>
        <row r="8">
          <cell r="B8">
            <v>6.6000000000000003E-2</v>
          </cell>
          <cell r="C8" t="str">
            <v>Marginal</v>
          </cell>
        </row>
        <row r="9">
          <cell r="B9">
            <v>6.7000000000000004E-2</v>
          </cell>
          <cell r="C9" t="str">
            <v>Marginal</v>
          </cell>
        </row>
        <row r="10">
          <cell r="B10">
            <v>6.8000000000000005E-2</v>
          </cell>
          <cell r="C10" t="str">
            <v>Marginal</v>
          </cell>
        </row>
        <row r="11">
          <cell r="B11">
            <v>6.9000000000000006E-2</v>
          </cell>
          <cell r="C11" t="str">
            <v>Marginal</v>
          </cell>
        </row>
        <row r="12">
          <cell r="B12">
            <v>7.0000000000000007E-2</v>
          </cell>
          <cell r="C12" t="str">
            <v>Marginal</v>
          </cell>
        </row>
        <row r="13">
          <cell r="B13">
            <v>7.0999999999999994E-2</v>
          </cell>
          <cell r="C13" t="str">
            <v>Marginal</v>
          </cell>
        </row>
        <row r="14">
          <cell r="B14">
            <v>7.1999999999999995E-2</v>
          </cell>
          <cell r="C14" t="str">
            <v>Marginal</v>
          </cell>
        </row>
        <row r="15">
          <cell r="B15">
            <v>7.2999999999999995E-2</v>
          </cell>
          <cell r="C15" t="str">
            <v>Marginal</v>
          </cell>
        </row>
        <row r="16">
          <cell r="B16">
            <v>7.3999999999999996E-2</v>
          </cell>
          <cell r="C16" t="str">
            <v>Marginal</v>
          </cell>
        </row>
        <row r="17">
          <cell r="B17">
            <v>7.4999999999999997E-2</v>
          </cell>
          <cell r="C17" t="str">
            <v>Moderate</v>
          </cell>
        </row>
        <row r="18">
          <cell r="B18">
            <v>7.5999999999999998E-2</v>
          </cell>
          <cell r="C18" t="str">
            <v>Moderate</v>
          </cell>
        </row>
        <row r="19">
          <cell r="B19">
            <v>7.6999999999999999E-2</v>
          </cell>
          <cell r="C19" t="str">
            <v>Moderate</v>
          </cell>
        </row>
        <row r="20">
          <cell r="B20">
            <v>7.8E-2</v>
          </cell>
          <cell r="C20" t="str">
            <v>Moderate</v>
          </cell>
        </row>
        <row r="21">
          <cell r="B21">
            <v>7.9000000000000001E-2</v>
          </cell>
          <cell r="C21" t="str">
            <v>Moderate</v>
          </cell>
        </row>
        <row r="22">
          <cell r="B22">
            <v>0.08</v>
          </cell>
          <cell r="C22" t="str">
            <v>Moderate</v>
          </cell>
        </row>
        <row r="23">
          <cell r="B23">
            <v>8.1000000000000003E-2</v>
          </cell>
          <cell r="C23" t="str">
            <v>Moderate</v>
          </cell>
        </row>
        <row r="24">
          <cell r="B24">
            <v>8.2000000000000003E-2</v>
          </cell>
          <cell r="C24" t="str">
            <v>Moderate</v>
          </cell>
        </row>
        <row r="25">
          <cell r="B25">
            <v>8.3000000000000004E-2</v>
          </cell>
          <cell r="C25" t="str">
            <v>Moderate</v>
          </cell>
        </row>
        <row r="26">
          <cell r="B26">
            <v>8.4000000000000005E-2</v>
          </cell>
          <cell r="C26" t="str">
            <v>Moderate</v>
          </cell>
        </row>
        <row r="27">
          <cell r="B27">
            <v>8.5000000000000006E-2</v>
          </cell>
          <cell r="C27" t="str">
            <v>Moderate</v>
          </cell>
        </row>
        <row r="28">
          <cell r="B28">
            <v>8.5999999999999993E-2</v>
          </cell>
          <cell r="C28" t="str">
            <v>Moderate</v>
          </cell>
        </row>
        <row r="29">
          <cell r="B29">
            <v>8.6999999999999994E-2</v>
          </cell>
          <cell r="C29" t="str">
            <v>Serious</v>
          </cell>
        </row>
        <row r="30">
          <cell r="B30">
            <v>8.7999999999999995E-2</v>
          </cell>
          <cell r="C30" t="str">
            <v>Serious</v>
          </cell>
        </row>
        <row r="31">
          <cell r="B31">
            <v>8.8999999999999996E-2</v>
          </cell>
          <cell r="C31" t="str">
            <v>Serious</v>
          </cell>
        </row>
        <row r="32">
          <cell r="B32">
            <v>0.09</v>
          </cell>
          <cell r="C32" t="str">
            <v>Serious</v>
          </cell>
        </row>
        <row r="33">
          <cell r="B33">
            <v>9.0999999999999998E-2</v>
          </cell>
          <cell r="C33" t="str">
            <v>Serious</v>
          </cell>
        </row>
        <row r="34">
          <cell r="B34">
            <v>9.1999999999999998E-2</v>
          </cell>
          <cell r="C34" t="str">
            <v>Serious</v>
          </cell>
        </row>
        <row r="35">
          <cell r="B35">
            <v>9.2999999999999999E-2</v>
          </cell>
          <cell r="C35" t="str">
            <v>Serious</v>
          </cell>
        </row>
        <row r="36">
          <cell r="B36">
            <v>9.4E-2</v>
          </cell>
          <cell r="C36" t="str">
            <v>Serious</v>
          </cell>
        </row>
        <row r="37">
          <cell r="B37">
            <v>9.5000000000000001E-2</v>
          </cell>
          <cell r="C37" t="str">
            <v>Serious</v>
          </cell>
        </row>
        <row r="38">
          <cell r="B38">
            <v>9.6000000000000002E-2</v>
          </cell>
          <cell r="C38" t="str">
            <v>Serious</v>
          </cell>
        </row>
        <row r="39">
          <cell r="B39">
            <v>9.7000000000000003E-2</v>
          </cell>
          <cell r="C39" t="str">
            <v>Serious</v>
          </cell>
        </row>
        <row r="40">
          <cell r="B40">
            <v>9.8000000000000004E-2</v>
          </cell>
          <cell r="C40" t="str">
            <v>Severe-15</v>
          </cell>
        </row>
        <row r="41">
          <cell r="B41">
            <v>9.9000000000000005E-2</v>
          </cell>
          <cell r="C41" t="str">
            <v>Severe-15</v>
          </cell>
        </row>
        <row r="42">
          <cell r="B42">
            <v>0.1</v>
          </cell>
          <cell r="C42" t="str">
            <v>Severe-15</v>
          </cell>
        </row>
        <row r="43">
          <cell r="B43">
            <v>0.10100000000000001</v>
          </cell>
          <cell r="C43" t="str">
            <v>Severe-15</v>
          </cell>
        </row>
        <row r="44">
          <cell r="B44">
            <v>0.10199999999999999</v>
          </cell>
          <cell r="C44" t="str">
            <v>Severe-15</v>
          </cell>
        </row>
        <row r="45">
          <cell r="B45">
            <v>0.10299999999999999</v>
          </cell>
          <cell r="C45" t="str">
            <v>Severe-17</v>
          </cell>
        </row>
        <row r="46">
          <cell r="B46">
            <v>0.104</v>
          </cell>
          <cell r="C46" t="str">
            <v>Severe-17</v>
          </cell>
        </row>
        <row r="47">
          <cell r="B47">
            <v>0.105</v>
          </cell>
          <cell r="C47" t="str">
            <v>Severe-17</v>
          </cell>
        </row>
        <row r="48">
          <cell r="B48">
            <v>0.106</v>
          </cell>
          <cell r="C48" t="str">
            <v>Severe-17</v>
          </cell>
        </row>
        <row r="49">
          <cell r="B49">
            <v>0.107</v>
          </cell>
          <cell r="C49" t="str">
            <v>Severe-17</v>
          </cell>
        </row>
        <row r="50">
          <cell r="B50">
            <v>0.108</v>
          </cell>
          <cell r="C50" t="str">
            <v>Severe-17</v>
          </cell>
        </row>
        <row r="51">
          <cell r="B51">
            <v>0.109</v>
          </cell>
          <cell r="C51" t="str">
            <v>Severe-17</v>
          </cell>
        </row>
        <row r="52">
          <cell r="B52">
            <v>0.11</v>
          </cell>
          <cell r="C52" t="str">
            <v>Severe-17</v>
          </cell>
        </row>
        <row r="53">
          <cell r="B53">
            <v>0.111</v>
          </cell>
          <cell r="C53" t="str">
            <v>Severe-17</v>
          </cell>
        </row>
        <row r="54">
          <cell r="B54">
            <v>0.112</v>
          </cell>
          <cell r="C54" t="str">
            <v>Severe-17</v>
          </cell>
        </row>
        <row r="55">
          <cell r="B55">
            <v>0.113</v>
          </cell>
          <cell r="C55" t="str">
            <v>Severe-17</v>
          </cell>
        </row>
        <row r="56">
          <cell r="B56">
            <v>0.114</v>
          </cell>
          <cell r="C56" t="str">
            <v>Severe-17</v>
          </cell>
        </row>
        <row r="57">
          <cell r="B57">
            <v>0.115</v>
          </cell>
          <cell r="C57" t="str">
            <v>Severe-17</v>
          </cell>
        </row>
        <row r="58">
          <cell r="B58">
            <v>0.11600000000000001</v>
          </cell>
          <cell r="C58" t="str">
            <v>Severe-17</v>
          </cell>
        </row>
        <row r="59">
          <cell r="B59">
            <v>0.11700000000000001</v>
          </cell>
          <cell r="C59" t="str">
            <v>Severe-17</v>
          </cell>
        </row>
        <row r="60">
          <cell r="B60">
            <v>0.11799999999999999</v>
          </cell>
          <cell r="C60" t="str">
            <v>Severe-17</v>
          </cell>
        </row>
        <row r="61">
          <cell r="B61">
            <v>0.11899999999999999</v>
          </cell>
          <cell r="C61" t="str">
            <v>Severe-17</v>
          </cell>
        </row>
        <row r="62">
          <cell r="B62">
            <v>0.12</v>
          </cell>
          <cell r="C62" t="str">
            <v>Severe-17</v>
          </cell>
        </row>
        <row r="63">
          <cell r="B63">
            <v>0.121</v>
          </cell>
          <cell r="C63" t="str">
            <v>Severe-17</v>
          </cell>
        </row>
        <row r="64">
          <cell r="B64">
            <v>0.122</v>
          </cell>
          <cell r="C64" t="str">
            <v>Severe-17</v>
          </cell>
        </row>
        <row r="65">
          <cell r="B65">
            <v>0.123</v>
          </cell>
          <cell r="C65" t="str">
            <v>Severe-17</v>
          </cell>
        </row>
        <row r="66">
          <cell r="B66">
            <v>0.124</v>
          </cell>
          <cell r="C66" t="str">
            <v>Severe-17</v>
          </cell>
        </row>
        <row r="67">
          <cell r="B67">
            <v>0.125</v>
          </cell>
          <cell r="C67" t="str">
            <v>Severe-17</v>
          </cell>
        </row>
        <row r="68">
          <cell r="B68">
            <v>0.126</v>
          </cell>
          <cell r="C68" t="str">
            <v>Severe-17</v>
          </cell>
        </row>
        <row r="69">
          <cell r="B69">
            <v>0.127</v>
          </cell>
          <cell r="C69" t="str">
            <v>Severe-17</v>
          </cell>
        </row>
        <row r="70">
          <cell r="B70">
            <v>0.128</v>
          </cell>
          <cell r="C70" t="str">
            <v>Severe-17</v>
          </cell>
        </row>
        <row r="71">
          <cell r="B71">
            <v>0.129</v>
          </cell>
          <cell r="C71" t="str">
            <v>Severe-17</v>
          </cell>
        </row>
        <row r="72">
          <cell r="B72">
            <v>0.13</v>
          </cell>
          <cell r="C72" t="str">
            <v>Severe-17</v>
          </cell>
        </row>
        <row r="73">
          <cell r="B73">
            <v>0.13100000000000001</v>
          </cell>
          <cell r="C73" t="str">
            <v>Severe-17</v>
          </cell>
        </row>
        <row r="74">
          <cell r="B74">
            <v>0.13200000000000001</v>
          </cell>
          <cell r="C74" t="str">
            <v>Severe-17</v>
          </cell>
        </row>
        <row r="75">
          <cell r="B75">
            <v>0.13300000000000001</v>
          </cell>
          <cell r="C75" t="str">
            <v>Severe-17</v>
          </cell>
        </row>
        <row r="76">
          <cell r="B76">
            <v>0.13400000000000001</v>
          </cell>
          <cell r="C76" t="str">
            <v>Severe-17</v>
          </cell>
        </row>
        <row r="77">
          <cell r="B77">
            <v>0.13500000000000001</v>
          </cell>
          <cell r="C77" t="str">
            <v>Severe-17</v>
          </cell>
        </row>
        <row r="78">
          <cell r="B78">
            <v>0.13600000000000001</v>
          </cell>
          <cell r="C78" t="str">
            <v>Severe-17</v>
          </cell>
        </row>
        <row r="79">
          <cell r="B79">
            <v>0.13700000000000001</v>
          </cell>
          <cell r="C79" t="str">
            <v>Severe-17</v>
          </cell>
        </row>
        <row r="80">
          <cell r="B80">
            <v>0.13800000000000001</v>
          </cell>
          <cell r="C80" t="str">
            <v>Severe-17</v>
          </cell>
        </row>
        <row r="81">
          <cell r="B81">
            <v>0.13900000000000001</v>
          </cell>
          <cell r="C81" t="str">
            <v>Severe-17</v>
          </cell>
        </row>
        <row r="82">
          <cell r="B82">
            <v>0.14000000000000001</v>
          </cell>
          <cell r="C82" t="str">
            <v>Severe-17</v>
          </cell>
        </row>
        <row r="83">
          <cell r="B83">
            <v>0.14099999999999999</v>
          </cell>
          <cell r="C83" t="str">
            <v>Severe-17</v>
          </cell>
        </row>
        <row r="84">
          <cell r="B84">
            <v>0.14199999999999999</v>
          </cell>
          <cell r="C84" t="str">
            <v>Severe-17</v>
          </cell>
        </row>
        <row r="85">
          <cell r="B85">
            <v>0.14299999999999999</v>
          </cell>
          <cell r="C85" t="str">
            <v>Severe-17</v>
          </cell>
        </row>
        <row r="86">
          <cell r="B86">
            <v>0.14399999999999999</v>
          </cell>
          <cell r="C86" t="str">
            <v>Severe-17</v>
          </cell>
        </row>
        <row r="87">
          <cell r="B87">
            <v>0.14499999999999999</v>
          </cell>
          <cell r="C87" t="str">
            <v>Severe-17</v>
          </cell>
        </row>
        <row r="88">
          <cell r="B88">
            <v>0.14599999999999999</v>
          </cell>
          <cell r="C88" t="str">
            <v>Severe-17</v>
          </cell>
        </row>
        <row r="89">
          <cell r="B89">
            <v>0.14699999999999999</v>
          </cell>
          <cell r="C89" t="str">
            <v>Severe-17</v>
          </cell>
        </row>
        <row r="90">
          <cell r="B90">
            <v>0.14799999999999999</v>
          </cell>
          <cell r="C90" t="str">
            <v>Severe-17</v>
          </cell>
        </row>
        <row r="91">
          <cell r="B91">
            <v>0.14899999999999999</v>
          </cell>
          <cell r="C91" t="str">
            <v>Severe-17</v>
          </cell>
        </row>
        <row r="92">
          <cell r="B92">
            <v>0.15</v>
          </cell>
          <cell r="C92" t="str">
            <v>Severe-17</v>
          </cell>
        </row>
        <row r="93">
          <cell r="B93">
            <v>0.151</v>
          </cell>
          <cell r="C93" t="str">
            <v>Severe-17</v>
          </cell>
        </row>
        <row r="94">
          <cell r="B94">
            <v>0.152</v>
          </cell>
          <cell r="C94" t="str">
            <v>Extreme</v>
          </cell>
        </row>
        <row r="95">
          <cell r="B95">
            <v>0.153</v>
          </cell>
          <cell r="C95" t="str">
            <v>Extreme</v>
          </cell>
        </row>
        <row r="96">
          <cell r="B96">
            <v>0.154</v>
          </cell>
          <cell r="C96" t="str">
            <v>Extreme</v>
          </cell>
        </row>
        <row r="97">
          <cell r="B97">
            <v>0.155</v>
          </cell>
          <cell r="C97" t="str">
            <v>Extreme</v>
          </cell>
        </row>
        <row r="98">
          <cell r="B98">
            <v>0.156</v>
          </cell>
          <cell r="C98" t="str">
            <v>Extreme</v>
          </cell>
        </row>
        <row r="99">
          <cell r="B99">
            <v>0.157</v>
          </cell>
          <cell r="C99" t="str">
            <v>Extreme</v>
          </cell>
        </row>
        <row r="100">
          <cell r="B100">
            <v>0.158</v>
          </cell>
          <cell r="C100" t="str">
            <v>Extreme</v>
          </cell>
        </row>
        <row r="101">
          <cell r="B101">
            <v>0.159</v>
          </cell>
          <cell r="C101" t="str">
            <v>Extreme</v>
          </cell>
        </row>
        <row r="102">
          <cell r="B102">
            <v>0.16</v>
          </cell>
          <cell r="C102" t="str">
            <v>Extreme</v>
          </cell>
        </row>
        <row r="103">
          <cell r="B103">
            <v>0.161</v>
          </cell>
          <cell r="C103" t="str">
            <v>Extreme</v>
          </cell>
        </row>
        <row r="104">
          <cell r="B104">
            <v>0.16200000000000001</v>
          </cell>
          <cell r="C104" t="str">
            <v>Extreme</v>
          </cell>
        </row>
        <row r="105">
          <cell r="B105">
            <v>0.16300000000000001</v>
          </cell>
          <cell r="C105" t="str">
            <v>Extreme</v>
          </cell>
        </row>
        <row r="106">
          <cell r="B106">
            <v>0.16400000000000001</v>
          </cell>
          <cell r="C106" t="str">
            <v>Extreme</v>
          </cell>
        </row>
        <row r="107">
          <cell r="B107">
            <v>0.16500000000000001</v>
          </cell>
          <cell r="C107" t="str">
            <v>Extreme</v>
          </cell>
        </row>
        <row r="108">
          <cell r="B108">
            <v>0.16600000000000001</v>
          </cell>
          <cell r="C108" t="str">
            <v>Extreme</v>
          </cell>
        </row>
        <row r="109">
          <cell r="B109">
            <v>0.16700000000000001</v>
          </cell>
          <cell r="C109" t="str">
            <v>Extreme</v>
          </cell>
        </row>
        <row r="110">
          <cell r="B110">
            <v>0.16800000000000001</v>
          </cell>
          <cell r="C110" t="str">
            <v>Extreme</v>
          </cell>
        </row>
        <row r="111">
          <cell r="B111">
            <v>0.16900000000000001</v>
          </cell>
          <cell r="C111" t="str">
            <v>Extreme</v>
          </cell>
        </row>
        <row r="112">
          <cell r="B112">
            <v>0.17</v>
          </cell>
          <cell r="C112" t="str">
            <v>Extreme</v>
          </cell>
        </row>
        <row r="113">
          <cell r="B113">
            <v>0.17100000000000001</v>
          </cell>
          <cell r="C113" t="str">
            <v>Extreme</v>
          </cell>
        </row>
        <row r="114">
          <cell r="B114">
            <v>0.17199999999999999</v>
          </cell>
          <cell r="C114" t="str">
            <v>Extreme</v>
          </cell>
        </row>
        <row r="115">
          <cell r="B115">
            <v>0.17299999999999999</v>
          </cell>
          <cell r="C115" t="str">
            <v>Extreme</v>
          </cell>
        </row>
        <row r="116">
          <cell r="B116">
            <v>0.17399999999999999</v>
          </cell>
          <cell r="C116" t="str">
            <v>Extreme</v>
          </cell>
        </row>
        <row r="117">
          <cell r="B117">
            <v>0.17499999999999999</v>
          </cell>
          <cell r="C117" t="str">
            <v>Extreme</v>
          </cell>
        </row>
        <row r="118">
          <cell r="B118">
            <v>0.17599999999999999</v>
          </cell>
          <cell r="C118" t="str">
            <v>Extreme</v>
          </cell>
        </row>
        <row r="119">
          <cell r="B119">
            <v>0.17699999999999999</v>
          </cell>
          <cell r="C119" t="str">
            <v>Extreme</v>
          </cell>
        </row>
        <row r="120">
          <cell r="B120">
            <v>0.17799999999999999</v>
          </cell>
          <cell r="C120" t="str">
            <v>Extreme</v>
          </cell>
        </row>
        <row r="121">
          <cell r="B121">
            <v>0.17899999999999999</v>
          </cell>
          <cell r="C121" t="str">
            <v>Extreme</v>
          </cell>
        </row>
        <row r="122">
          <cell r="B122">
            <v>0.18</v>
          </cell>
          <cell r="C122" t="str">
            <v>Extreme</v>
          </cell>
        </row>
        <row r="123">
          <cell r="B123">
            <v>0.18099999999999999</v>
          </cell>
          <cell r="C123" t="str">
            <v>Extreme</v>
          </cell>
        </row>
        <row r="124">
          <cell r="B124">
            <v>0.182</v>
          </cell>
          <cell r="C124" t="str">
            <v>Extreme</v>
          </cell>
        </row>
        <row r="125">
          <cell r="B125">
            <v>0.183</v>
          </cell>
          <cell r="C125" t="str">
            <v>Extreme</v>
          </cell>
        </row>
        <row r="126">
          <cell r="B126">
            <v>0.184</v>
          </cell>
          <cell r="C126" t="str">
            <v>Extreme</v>
          </cell>
        </row>
        <row r="127">
          <cell r="B127">
            <v>0.185</v>
          </cell>
          <cell r="C127" t="str">
            <v>Extreme</v>
          </cell>
        </row>
        <row r="128">
          <cell r="B128">
            <v>0.186</v>
          </cell>
          <cell r="C128" t="str">
            <v>Extreme</v>
          </cell>
        </row>
        <row r="129">
          <cell r="B129">
            <v>0.187</v>
          </cell>
          <cell r="C129" t="str">
            <v>Extreme</v>
          </cell>
        </row>
        <row r="130">
          <cell r="B130">
            <v>0.188</v>
          </cell>
          <cell r="C130" t="str">
            <v>Extreme</v>
          </cell>
        </row>
        <row r="131">
          <cell r="B131">
            <v>0.189</v>
          </cell>
          <cell r="C131" t="str">
            <v>Extreme</v>
          </cell>
        </row>
        <row r="132">
          <cell r="B132">
            <v>0.19</v>
          </cell>
          <cell r="C132" t="str">
            <v>Extreme</v>
          </cell>
        </row>
        <row r="133">
          <cell r="B133">
            <v>0.191</v>
          </cell>
          <cell r="C133" t="str">
            <v>Extreme</v>
          </cell>
        </row>
        <row r="134">
          <cell r="B134">
            <v>0.192</v>
          </cell>
          <cell r="C134" t="str">
            <v>Extreme</v>
          </cell>
        </row>
        <row r="135">
          <cell r="B135">
            <v>0.193</v>
          </cell>
          <cell r="C135" t="str">
            <v>Extreme</v>
          </cell>
        </row>
        <row r="136">
          <cell r="B136">
            <v>0.19400000000000001</v>
          </cell>
          <cell r="C136" t="str">
            <v>Extreme</v>
          </cell>
        </row>
        <row r="137">
          <cell r="B137">
            <v>0.19500000000000001</v>
          </cell>
          <cell r="C137" t="str">
            <v>Extreme</v>
          </cell>
        </row>
        <row r="138">
          <cell r="B138">
            <v>0.19600000000000001</v>
          </cell>
          <cell r="C138" t="str">
            <v>Extreme</v>
          </cell>
        </row>
        <row r="139">
          <cell r="B139">
            <v>0.19700000000000001</v>
          </cell>
          <cell r="C139" t="str">
            <v>Extreme</v>
          </cell>
        </row>
        <row r="140">
          <cell r="B140">
            <v>0.19800000000000001</v>
          </cell>
          <cell r="C140" t="str">
            <v>Extreme</v>
          </cell>
        </row>
        <row r="141">
          <cell r="B141">
            <v>0.19900000000000001</v>
          </cell>
          <cell r="C141" t="str">
            <v>Extreme</v>
          </cell>
        </row>
        <row r="142">
          <cell r="B142">
            <v>0.2</v>
          </cell>
          <cell r="C142" t="str">
            <v>Extreme</v>
          </cell>
        </row>
      </sheetData>
      <sheetData sheetId="9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utch Stackhouse 4-05" refreshedDate="43706.741730092595" createdVersion="5" refreshedVersion="6" minRefreshableVersion="3" recordCount="64" xr:uid="{00000000-000A-0000-FFFF-FFFF01000000}">
  <cacheSource type="worksheet">
    <worksheetSource ref="A3:H67" sheet="NAAs by State"/>
  </cacheSource>
  <cacheFields count="7">
    <cacheField name="Actual NA Area name" numFmtId="0">
      <sharedItems count="52">
        <s v="Phoenix-Mesa, AZ"/>
        <s v="Yuma, AZ"/>
        <s v="Amador County, CA"/>
        <s v="Butte County, CA"/>
        <s v="Calaveras County, CA"/>
        <s v="Imperial County, CA"/>
        <s v="Kern County (Eastern Kern), CA"/>
        <s v="Los Angeles-San Bernardino Counties (West Mojave Desert), CA"/>
        <s v="Los Angeles-South Coast Air Basin, CA"/>
        <s v="Mariposa County, CA"/>
        <s v="Morongo Band of Mission Indians, CA"/>
        <s v="Nevada County (Western part), CA"/>
        <s v="Pechanga Band of LuiseÃ±o Mission Indians of the Pechanga Reservation, CA"/>
        <s v="Riverside County (Coachella Valley), CA"/>
        <s v="Sacramento Metro, CA"/>
        <s v="San Diego County, CA"/>
        <s v="San Francisco Bay Area, CA"/>
        <s v="San Joaquin Valley, CA"/>
        <s v="San Luis Obispo (Eastern part), CA"/>
        <s v="Sutter Buttes, CA"/>
        <s v="Tuolumne County, CA"/>
        <s v="Tuscan Buttes, CA"/>
        <s v="Ventura County, CA"/>
        <s v="Denver Metro/North Front Range, CO"/>
        <s v="Greater Connecticut, CT"/>
        <s v="New York-Northern New Jersey-Long Island, NY-NJ-CT"/>
        <s v="Washington, DC-MD-VA"/>
        <s v="Philadelphia-Wilmington-Atlantic City, PA-NJ-MD-DE"/>
        <s v="Atlanta, GA"/>
        <s v="Chicago, IL-IN-WI"/>
        <s v="St. Louis, MO-IL"/>
        <s v="Louisville, KY-IN"/>
        <s v="Cincinnati, OH-KY"/>
        <s v="Baltimore, MD"/>
        <s v="Allegan County, MI"/>
        <s v="Berrien County, MI"/>
        <s v="Detroit, MI"/>
        <s v="Muskegon County, MI"/>
        <s v="DoÃ±a Ana County (Sunland Park Area), NM"/>
        <s v="Las Vegas, NV"/>
        <s v="Cleveland, OH"/>
        <s v="Columbus, OH"/>
        <s v="Dallas-Fort Worth, TX"/>
        <s v="Houston-Galveston-Brazoria, TX"/>
        <s v="San Antonio, TX"/>
        <s v="Northern Wasatch Front, UT"/>
        <s v="Southern Wasatch Front, UT"/>
        <s v="Uinta Basin, UT"/>
        <s v="Door County, WI"/>
        <s v="Manitowoc County, WI"/>
        <s v="Northern Milwaukee/Ozaukee Shoreline, WI"/>
        <s v="Sheboygan County, WI"/>
      </sharedItems>
    </cacheField>
    <cacheField name="_state_name" numFmtId="0">
      <sharedItems containsNonDate="0" containsString="0" containsBlank="1"/>
    </cacheField>
    <cacheField name="State" numFmtId="0">
      <sharedItems count="26">
        <s v="AZ"/>
        <s v="CA"/>
        <s v="R9"/>
        <s v="CO"/>
        <s v="CT"/>
        <s v="DC"/>
        <s v="DE"/>
        <s v="GA"/>
        <s v="IL"/>
        <s v="IN"/>
        <s v="KY"/>
        <s v="MD"/>
        <s v="MI"/>
        <s v="MO"/>
        <s v="NJ"/>
        <s v="NM"/>
        <s v="NV"/>
        <s v="NY"/>
        <s v="OH"/>
        <s v="PA"/>
        <s v="TX"/>
        <s v="UT"/>
        <s v="VA"/>
        <s v="WI"/>
        <s v="LA" u="1"/>
        <s v="RI" u="1"/>
      </sharedItems>
    </cacheField>
    <cacheField name="_county_name" numFmtId="0">
      <sharedItems/>
    </cacheField>
    <cacheField name="70 ppb" numFmtId="0">
      <sharedItems containsSemiMixedTypes="0" containsString="0" containsNumber="1" minValue="6.9000000000000006E-2" maxValue="0.111"/>
    </cacheField>
    <cacheField name="70 ppb2" numFmtId="0">
      <sharedItems/>
    </cacheField>
    <cacheField name="2018 DV" numFmtId="0">
      <sharedItems containsSemiMixedTypes="0" containsString="0" containsNumber="1" containsInteger="1" minValue="71" maxValue="1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utch Stackhouse 4-05" refreshedDate="43985.738015856485" createdVersion="5" refreshedVersion="6" minRefreshableVersion="3" recordCount="28" xr:uid="{00000000-000A-0000-FFFF-FFFF07000000}">
  <cacheSource type="worksheet">
    <worksheetSource ref="A3:AU31" sheet="Final State Summary"/>
  </cacheSource>
  <cacheFields count="41">
    <cacheField name="ST" numFmtId="0">
      <sharedItems/>
    </cacheField>
    <cacheField name="Region" numFmtId="0">
      <sharedItems containsSemiMixedTypes="0" containsString="0" containsNumber="1" containsInteger="1" minValue="1" maxValue="9" count="9">
        <n v="9"/>
        <n v="8"/>
        <n v="1"/>
        <n v="3"/>
        <n v="4"/>
        <n v="5"/>
        <n v="7"/>
        <n v="2"/>
        <n v="6"/>
      </sharedItems>
    </cacheField>
    <cacheField name="OTR State" numFmtId="0">
      <sharedItems containsSemiMixedTypes="0" containsString="0" containsNumber="1" containsInteger="1" minValue="0" maxValue="1"/>
    </cacheField>
    <cacheField name="Unit Hours" numFmtId="0">
      <sharedItems containsSemiMixedTypes="0" containsString="0" containsNumber="1" containsInteger="1" minValue="0" maxValue="500"/>
    </cacheField>
    <cacheField name="Cost" numFmtId="164">
      <sharedItems containsSemiMixedTypes="0" containsString="0" containsNumber="1" containsInteger="1" minValue="0" maxValue="36750"/>
    </cacheField>
    <cacheField name="MAR" numFmtId="0">
      <sharedItems containsSemiMixedTypes="0" containsString="0" containsNumber="1" containsInteger="1" minValue="0" maxValue="10"/>
    </cacheField>
    <cacheField name="Unit Hours2" numFmtId="0">
      <sharedItems containsSemiMixedTypes="0" containsString="0" containsNumber="1" containsInteger="1" minValue="0" maxValue="1000"/>
    </cacheField>
    <cacheField name="Cost2" numFmtId="164">
      <sharedItems containsSemiMixedTypes="0" containsString="0" containsNumber="1" containsInteger="1" minValue="0" maxValue="73500"/>
    </cacheField>
    <cacheField name="Marginal          B-U" numFmtId="0">
      <sharedItems containsSemiMixedTypes="0" containsString="0" containsNumber="1" containsInteger="1" minValue="0" maxValue="2"/>
    </cacheField>
    <cacheField name="Unit Hours3" numFmtId="0">
      <sharedItems containsSemiMixedTypes="0" containsString="0" containsNumber="1" containsInteger="1" minValue="0" maxValue="10200"/>
    </cacheField>
    <cacheField name="Cost3" numFmtId="164">
      <sharedItems containsSemiMixedTypes="0" containsString="0" containsNumber="1" containsInteger="1" minValue="0" maxValue="749700"/>
    </cacheField>
    <cacheField name="MOD" numFmtId="0">
      <sharedItems containsSemiMixedTypes="0" containsString="0" containsNumber="1" containsInteger="1" minValue="0" maxValue="4"/>
    </cacheField>
    <cacheField name="Unit Hours4" numFmtId="0">
      <sharedItems containsSemiMixedTypes="0" containsString="0" containsNumber="1" containsInteger="1" minValue="0" maxValue="20000"/>
    </cacheField>
    <cacheField name="Cost4" numFmtId="164">
      <sharedItems containsSemiMixedTypes="0" containsString="0" containsNumber="1" containsInteger="1" minValue="0" maxValue="1470000"/>
    </cacheField>
    <cacheField name="SER" numFmtId="0">
      <sharedItems containsSemiMixedTypes="0" containsString="0" containsNumber="1" containsInteger="1" minValue="0" maxValue="1"/>
    </cacheField>
    <cacheField name="Unit Hours5" numFmtId="0">
      <sharedItems containsSemiMixedTypes="0" containsString="0" containsNumber="1" containsInteger="1" minValue="0" maxValue="20000"/>
    </cacheField>
    <cacheField name="Cost5" numFmtId="164">
      <sharedItems containsSemiMixedTypes="0" containsString="0" containsNumber="1" containsInteger="1" minValue="0" maxValue="1470000"/>
    </cacheField>
    <cacheField name="SEV15" numFmtId="0">
      <sharedItems containsSemiMixedTypes="0" containsString="0" containsNumber="1" containsInteger="1" minValue="0" maxValue="2"/>
    </cacheField>
    <cacheField name="Unit Hours6" numFmtId="0">
      <sharedItems containsSemiMixedTypes="0" containsString="0" containsNumber="1" containsInteger="1" minValue="0" maxValue="10000"/>
    </cacheField>
    <cacheField name="Cost6" numFmtId="164">
      <sharedItems containsSemiMixedTypes="0" containsString="0" containsNumber="1" containsInteger="1" minValue="0" maxValue="735000"/>
    </cacheField>
    <cacheField name="SEV17" numFmtId="0">
      <sharedItems containsSemiMixedTypes="0" containsString="0" containsNumber="1" containsInteger="1" minValue="0" maxValue="0"/>
    </cacheField>
    <cacheField name="Unit Hours7" numFmtId="0">
      <sharedItems containsSemiMixedTypes="0" containsString="0" containsNumber="1" containsInteger="1" minValue="0" maxValue="0"/>
    </cacheField>
    <cacheField name="Cost7" numFmtId="164">
      <sharedItems containsSemiMixedTypes="0" containsString="0" containsNumber="1" containsInteger="1" minValue="0" maxValue="0"/>
    </cacheField>
    <cacheField name="EX" numFmtId="0">
      <sharedItems containsSemiMixedTypes="0" containsString="0" containsNumber="1" containsInteger="1" minValue="0" maxValue="2"/>
    </cacheField>
    <cacheField name="Unit Hours8" numFmtId="0">
      <sharedItems containsSemiMixedTypes="0" containsString="0" containsNumber="1" containsInteger="1" minValue="0" maxValue="40000"/>
    </cacheField>
    <cacheField name="Cost8" numFmtId="164">
      <sharedItems containsSemiMixedTypes="0" containsString="0" containsNumber="1" containsInteger="1" minValue="0" maxValue="2940000"/>
    </cacheField>
    <cacheField name="2008 Serious to SEV15" numFmtId="0">
      <sharedItems containsSemiMixedTypes="0" containsString="0" containsNumber="1" containsInteger="1" minValue="0" maxValue="4"/>
    </cacheField>
    <cacheField name="Unit Hours9" numFmtId="0">
      <sharedItems containsSemiMixedTypes="0" containsString="0" containsNumber="1" containsInteger="1" minValue="0" maxValue="20000"/>
    </cacheField>
    <cacheField name="Cost9" numFmtId="164">
      <sharedItems containsSemiMixedTypes="0" containsString="0" containsNumber="1" containsInteger="1" minValue="0" maxValue="1470000"/>
    </cacheField>
    <cacheField name="STATE TOTAL" numFmtId="164">
      <sharedItems containsSemiMixedTypes="0" containsString="0" containsNumber="1" containsInteger="1" minValue="7350" maxValue="8158500"/>
    </cacheField>
    <cacheField name="STATE TOTAL HOURS" numFmtId="3">
      <sharedItems containsSemiMixedTypes="0" containsString="0" containsNumber="1" containsInteger="1" minValue="100" maxValue="111000"/>
    </cacheField>
    <cacheField name="State Abrv." numFmtId="3">
      <sharedItems/>
    </cacheField>
    <cacheField name="State" numFmtId="3">
      <sharedItems/>
    </cacheField>
    <cacheField name="EPA Region" numFmtId="3">
      <sharedItems containsSemiMixedTypes="0" containsString="0" containsNumber="1" containsInteger="1" minValue="1" maxValue="9"/>
    </cacheField>
    <cacheField name="No. of Areas/OTR State" numFmtId="3">
      <sharedItems containsSemiMixedTypes="0" containsString="0" containsNumber="1" containsInteger="1" minValue="1" maxValue="23"/>
    </cacheField>
    <cacheField name="Yr 1 hrs" numFmtId="3">
      <sharedItems containsSemiMixedTypes="0" containsString="0" containsNumber="1" containsInteger="1" minValue="50" maxValue="55500"/>
    </cacheField>
    <cacheField name="Yr 2 hrs" numFmtId="0">
      <sharedItems containsSemiMixedTypes="0" containsString="0" containsNumber="1" containsInteger="1" minValue="25" maxValue="27750"/>
    </cacheField>
    <cacheField name="Yr 3 hrs" numFmtId="0">
      <sharedItems containsSemiMixedTypes="0" containsString="0" containsNumber="1" containsInteger="1" minValue="25" maxValue="27750"/>
    </cacheField>
    <cacheField name="Yr 1 cost" numFmtId="164">
      <sharedItems containsSemiMixedTypes="0" containsString="0" containsNumber="1" containsInteger="1" minValue="3675" maxValue="4079250"/>
    </cacheField>
    <cacheField name="Yr 2 cost" numFmtId="164">
      <sharedItems containsSemiMixedTypes="0" containsString="0" containsNumber="1" minValue="1837.5" maxValue="2039625"/>
    </cacheField>
    <cacheField name="Yr 3 cost" numFmtId="0">
      <sharedItems containsSemiMixedTypes="0" containsString="0" containsNumber="1" minValue="1837.5" maxValue="203962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utch Stackhouse 4-05" refreshedDate="44056.667022337962" createdVersion="6" refreshedVersion="6" minRefreshableVersion="3" recordCount="27" xr:uid="{E17BF27C-510B-4205-9730-FE29B2173FC4}">
  <cacheSource type="worksheet">
    <worksheetSource ref="A4:D31" sheet="Prel2020determinations"/>
  </cacheSource>
  <cacheFields count="11">
    <cacheField name="2015 NAAQS Nonattainment Area" numFmtId="0">
      <sharedItems count="27">
        <s v="Allegan County, MI"/>
        <s v="Baltimore, MD"/>
        <s v="Berrien County, MI"/>
        <s v="Chicago, IL-IN-WI"/>
        <s v="Cincinnati, OH-KY"/>
        <s v="Cleveland, OH"/>
        <s v="Dallas-Fort Worth, TX"/>
        <s v="Denver Metro/North Front Range, CO"/>
        <s v="Detroit, MI"/>
        <s v="Dona Ana County (Sunland Park), NM"/>
        <s v="Greater Connecticut, CT"/>
        <s v="Houston-Galveston-Brazoria, TX"/>
        <s v="Imperial County, CA"/>
        <s v="Las Vegas, NV"/>
        <s v="Louisville, KY-IN"/>
        <s v="Mariposa County, CA"/>
        <s v="Muskegon County, MI"/>
        <s v="Northern Milwaukee/Ozaukee Shoreline, WI"/>
        <s v="Northern Wasatch Front, UT"/>
        <s v="Pechanga Band of Luiseno Mission Indians, CA"/>
        <s v="Philadelphia-Wilmington-Atlantic City, PA-NJ-MD-DE"/>
        <s v="Phoenix-Mesa, AZ"/>
        <s v="Sheboygan County, WI"/>
        <s v="St. Louis, MO-IL"/>
        <s v="Tuolumne County, CA"/>
        <s v="Uinta Basin, UT"/>
        <s v="Washington, DC-MD-VA"/>
      </sharedItems>
    </cacheField>
    <cacheField name="Status" numFmtId="0">
      <sharedItems/>
    </cacheField>
    <cacheField name="Classification" numFmtId="0">
      <sharedItems count="1">
        <s v="Marginal"/>
      </sharedItems>
    </cacheField>
    <cacheField name="Preliminary 2018 - 2020 Design Value" numFmtId="1">
      <sharedItems/>
    </cacheField>
    <cacheField name="Meets 2015 NAAQS?" numFmtId="0">
      <sharedItems/>
    </cacheField>
    <cacheField name="2020 Exceedance Days*" numFmtId="0">
      <sharedItems/>
    </cacheField>
    <cacheField name="2018 4th Highest Daily Maximum**" numFmtId="0">
      <sharedItems/>
    </cacheField>
    <cacheField name="2019 4th Highest Daily Maximum**" numFmtId="0">
      <sharedItems/>
    </cacheField>
    <cacheField name="2020 4th Highest Daily Maximum**" numFmtId="0">
      <sharedItems/>
    </cacheField>
    <cacheField name="2020 Critical Value***" numFmtId="0">
      <sharedItems/>
    </cacheField>
    <cacheField name="2021 Critical Value***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utch Stackhouse 4-05" refreshedDate="44056.732702662041" createdVersion="6" refreshedVersion="6" minRefreshableVersion="3" recordCount="11" xr:uid="{8E6E0DD2-B9D6-4BA4-8DE1-CCF1F3B3A535}">
  <cacheSource type="worksheet">
    <worksheetSource ref="A6:B18" sheet="2008serious"/>
  </cacheSource>
  <cacheFields count="2">
    <cacheField name="2008 NAAQS Nonattainment Area" numFmtId="0">
      <sharedItems count="12">
        <s v="Chicago-Naperville, IL-IN-WI"/>
        <s v="Denver-Boulder-Greeley-Ft. Collins-Loveland, CO"/>
        <s v="Houston-Galveston-Brazoria, TX"/>
        <s v="Kern County (Eastern Kern), CA"/>
        <s v="Nevada County (Western part), CA"/>
        <s v="New York-N. New Jersey-Long Island, NY-NJ-CT"/>
        <s v="San Diego County, CA"/>
        <s v="Shoreline Sheboygan County, WI" u="1"/>
        <s v="Dallas-Fort Worth, TX" u="1"/>
        <s v="Inland Sheboygan County, WI" u="1"/>
        <s v="Ventura County, CA" u="1"/>
        <s v="Greater Connecticut, CT" u="1"/>
      </sharedItems>
    </cacheField>
    <cacheField name="State" numFmtId="0">
      <sharedItems count="9">
        <s v="IL"/>
        <s v="IN"/>
        <s v="WI"/>
        <s v="CO"/>
        <s v="TX"/>
        <s v="CA"/>
        <s v="CT"/>
        <s v="NJ"/>
        <s v="NY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utch Stackhouse 4-05" refreshedDate="44069.747251967594" createdVersion="6" refreshedVersion="6" minRefreshableVersion="3" recordCount="27" xr:uid="{774001E6-C29E-4A76-BD78-BBE32DE1022B}">
  <cacheSource type="worksheet">
    <worksheetSource ref="A4:D31" sheet="Prel2020determinations"/>
  </cacheSource>
  <cacheFields count="5">
    <cacheField name="2015 NAAQS Nonattainment Area" numFmtId="0">
      <sharedItems count="27">
        <s v="Allegan County, MI"/>
        <s v="Baltimore, MD"/>
        <s v="Berrien County, MI"/>
        <s v="Chicago, IL-IN-WI"/>
        <s v="Cincinnati, OH-KY"/>
        <s v="Cleveland, OH"/>
        <s v="Dallas-Fort Worth, TX"/>
        <s v="Denver Metro/North Front Range, CO"/>
        <s v="Detroit, MI"/>
        <s v="Dona Ana County (Sunland Park), NM"/>
        <s v="Greater Connecticut, CT"/>
        <s v="Houston-Galveston-Brazoria, TX"/>
        <s v="Imperial County, CA"/>
        <s v="Las Vegas, NV"/>
        <s v="Louisville, KY-IN"/>
        <s v="Mariposa County, CA"/>
        <s v="Muskegon County, MI"/>
        <s v="Northern Milwaukee/Ozaukee Shoreline, WI"/>
        <s v="Northern Wasatch Front, UT"/>
        <s v="Pechanga Band of Luiseno Mission Indians, CA"/>
        <s v="Philadelphia-Wilmington-Atlantic City, PA-NJ-MD-DE"/>
        <s v="Phoenix-Mesa, AZ"/>
        <s v="Sheboygan County, WI"/>
        <s v="St. Louis, MO-IL"/>
        <s v="Tuolumne County, CA"/>
        <s v="Uinta Basin, UT"/>
        <s v="Washington, DC-MD-VA"/>
      </sharedItems>
    </cacheField>
    <cacheField name="Status" numFmtId="0">
      <sharedItems count="1">
        <s v="Nonattainment"/>
      </sharedItems>
    </cacheField>
    <cacheField name="Classification" numFmtId="0">
      <sharedItems/>
    </cacheField>
    <cacheField name="Preliminary 2018 - 2020 Design Value" numFmtId="1">
      <sharedItems containsMixedTypes="1" containsNumber="1" containsInteger="1" minValue="76" maxValue="76"/>
    </cacheField>
    <cacheField name="Meets 2015 NAAQS?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4">
  <r>
    <x v="0"/>
    <m/>
    <x v="0"/>
    <s v="Marginal"/>
    <n v="7.6999999999999999E-2"/>
    <s v="Marginal"/>
    <n v="72"/>
  </r>
  <r>
    <x v="1"/>
    <m/>
    <x v="0"/>
    <s v="Marginal"/>
    <n v="7.0999999999999994E-2"/>
    <s v="Marginal"/>
    <n v="78"/>
  </r>
  <r>
    <x v="2"/>
    <m/>
    <x v="1"/>
    <s v="Marginal"/>
    <n v="7.1999999999999995E-2"/>
    <s v="Marginal"/>
    <n v="72"/>
  </r>
  <r>
    <x v="3"/>
    <m/>
    <x v="1"/>
    <s v="Marginal"/>
    <n v="7.9000000000000001E-2"/>
    <s v="Marginal"/>
    <n v="76"/>
  </r>
  <r>
    <x v="4"/>
    <m/>
    <x v="1"/>
    <s v="Marginal"/>
    <n v="7.6999999999999999E-2"/>
    <s v="Marginal"/>
    <n v="71"/>
  </r>
  <r>
    <x v="5"/>
    <m/>
    <x v="1"/>
    <s v="Marginal"/>
    <n v="7.6999999999999999E-2"/>
    <s v="Marginal"/>
    <n v="73"/>
  </r>
  <r>
    <x v="6"/>
    <m/>
    <x v="1"/>
    <s v="Moderate"/>
    <n v="8.5000000000000006E-2"/>
    <s v="Moderate"/>
    <n v="73"/>
  </r>
  <r>
    <x v="7"/>
    <m/>
    <x v="1"/>
    <s v="Severe-15"/>
    <n v="9.8000000000000004E-2"/>
    <s v="Severe-15"/>
    <n v="78"/>
  </r>
  <r>
    <x v="8"/>
    <m/>
    <x v="1"/>
    <s v="Extreme"/>
    <n v="0.111"/>
    <s v="Extreme"/>
    <n v="83"/>
  </r>
  <r>
    <x v="9"/>
    <m/>
    <x v="1"/>
    <s v="Marginal"/>
    <n v="7.9000000000000001E-2"/>
    <s v="Marginal"/>
    <n v="90"/>
  </r>
  <r>
    <x v="10"/>
    <m/>
    <x v="2"/>
    <s v="Serious"/>
    <n v="0.10100000000000001"/>
    <s v="Serious"/>
    <n v="102"/>
  </r>
  <r>
    <x v="11"/>
    <m/>
    <x v="1"/>
    <s v="Moderate"/>
    <n v="0.09"/>
    <s v="Moderate"/>
    <n v="75"/>
  </r>
  <r>
    <x v="12"/>
    <m/>
    <x v="2"/>
    <s v="Marginal"/>
    <n v="0.08"/>
    <s v="Marginal"/>
    <n v="98"/>
  </r>
  <r>
    <x v="13"/>
    <m/>
    <x v="1"/>
    <s v="Severe-15"/>
    <n v="9.0999999999999998E-2"/>
    <s v="Severe-15"/>
    <n v="81"/>
  </r>
  <r>
    <x v="14"/>
    <m/>
    <x v="1"/>
    <s v="Moderate"/>
    <n v="8.7999999999999995E-2"/>
    <s v="Moderate"/>
    <n v="76"/>
  </r>
  <r>
    <x v="15"/>
    <m/>
    <x v="1"/>
    <s v="Moderate"/>
    <n v="8.4000000000000005E-2"/>
    <s v="Moderate"/>
    <n v="88"/>
  </r>
  <r>
    <x v="16"/>
    <m/>
    <x v="1"/>
    <s v="Marginal"/>
    <n v="7.2999999999999995E-2"/>
    <s v="Marginal"/>
    <n v="81"/>
  </r>
  <r>
    <x v="17"/>
    <m/>
    <x v="1"/>
    <s v="Extreme"/>
    <n v="0.09"/>
    <s v="Extreme"/>
    <n v="79"/>
  </r>
  <r>
    <x v="18"/>
    <m/>
    <x v="1"/>
    <s v="Marginal"/>
    <n v="7.1999999999999995E-2"/>
    <s v="Marginal"/>
    <n v="73"/>
  </r>
  <r>
    <x v="19"/>
    <m/>
    <x v="1"/>
    <s v="Marginal"/>
    <n v="7.2999999999999995E-2"/>
    <s v="Marginal"/>
    <n v="91"/>
  </r>
  <r>
    <x v="20"/>
    <m/>
    <x v="1"/>
    <s v="Marginal"/>
    <n v="8.3000000000000004E-2"/>
    <s v="Marginal"/>
    <n v="73"/>
  </r>
  <r>
    <x v="21"/>
    <m/>
    <x v="1"/>
    <s v="Marginal (Rural Transport)"/>
    <n v="8.1000000000000003E-2"/>
    <s v="Marginal"/>
    <n v="73"/>
  </r>
  <r>
    <x v="22"/>
    <m/>
    <x v="1"/>
    <s v="Serious"/>
    <n v="7.8E-2"/>
    <s v="Serious"/>
    <n v="74"/>
  </r>
  <r>
    <x v="23"/>
    <m/>
    <x v="3"/>
    <s v="Marginal"/>
    <n v="7.9000000000000001E-2"/>
    <s v="Marginal"/>
    <n v="74"/>
  </r>
  <r>
    <x v="24"/>
    <m/>
    <x v="4"/>
    <s v="Marginal"/>
    <n v="7.4999999999999997E-2"/>
    <s v="Marginal"/>
    <n v="77"/>
  </r>
  <r>
    <x v="25"/>
    <m/>
    <x v="4"/>
    <s v="Moderate"/>
    <n v="8.2000000000000003E-2"/>
    <s v="Moderate"/>
    <n v="80"/>
  </r>
  <r>
    <x v="26"/>
    <m/>
    <x v="5"/>
    <s v="Marginal"/>
    <n v="7.1999999999999995E-2"/>
    <s v="Marginal"/>
    <n v="80"/>
  </r>
  <r>
    <x v="27"/>
    <m/>
    <x v="6"/>
    <s v="Marginal"/>
    <n v="8.1000000000000003E-2"/>
    <s v="Marginal"/>
    <n v="76"/>
  </r>
  <r>
    <x v="28"/>
    <m/>
    <x v="7"/>
    <s v="Marginal"/>
    <n v="7.2999999999999995E-2"/>
    <s v="Marginal"/>
    <n v="84"/>
  </r>
  <r>
    <x v="29"/>
    <m/>
    <x v="8"/>
    <s v="Marginal"/>
    <n v="7.9000000000000001E-2"/>
    <s v="Marginal"/>
    <n v="75"/>
  </r>
  <r>
    <x v="30"/>
    <m/>
    <x v="8"/>
    <s v="Marginal"/>
    <n v="7.3999999999999996E-2"/>
    <s v="Marginal"/>
    <n v="73"/>
  </r>
  <r>
    <x v="29"/>
    <m/>
    <x v="9"/>
    <s v="Marginal"/>
    <n v="7.9000000000000001E-2"/>
    <s v="Marginal"/>
    <n v="75"/>
  </r>
  <r>
    <x v="31"/>
    <m/>
    <x v="9"/>
    <s v="Marginal"/>
    <n v="7.4999999999999997E-2"/>
    <s v="Marginal"/>
    <n v="71"/>
  </r>
  <r>
    <x v="32"/>
    <m/>
    <x v="10"/>
    <s v="Marginal"/>
    <n v="7.4999999999999997E-2"/>
    <s v="Marginal"/>
    <n v="75"/>
  </r>
  <r>
    <x v="31"/>
    <m/>
    <x v="10"/>
    <s v="Marginal"/>
    <n v="7.4999999999999997E-2"/>
    <s v="Marginal"/>
    <n v="71"/>
  </r>
  <r>
    <x v="33"/>
    <m/>
    <x v="11"/>
    <s v="Marginal"/>
    <n v="7.4999999999999997E-2"/>
    <s v="Marginal"/>
    <n v="71"/>
  </r>
  <r>
    <x v="27"/>
    <m/>
    <x v="11"/>
    <s v="Marginal"/>
    <n v="8.1000000000000003E-2"/>
    <s v="Marginal"/>
    <n v="71"/>
  </r>
  <r>
    <x v="26"/>
    <m/>
    <x v="11"/>
    <s v="Marginal"/>
    <n v="7.1999999999999995E-2"/>
    <s v="Marginal"/>
    <n v="71"/>
  </r>
  <r>
    <x v="34"/>
    <m/>
    <x v="12"/>
    <s v="Marginal"/>
    <n v="7.2999999999999995E-2"/>
    <s v="Marginal"/>
    <n v="75"/>
  </r>
  <r>
    <x v="35"/>
    <m/>
    <x v="12"/>
    <s v="Marginal"/>
    <n v="7.2999999999999995E-2"/>
    <s v="Marginal"/>
    <n v="76"/>
  </r>
  <r>
    <x v="36"/>
    <m/>
    <x v="12"/>
    <s v="Marginal"/>
    <n v="7.3999999999999996E-2"/>
    <s v="Marginal"/>
    <n v="72"/>
  </r>
  <r>
    <x v="37"/>
    <m/>
    <x v="12"/>
    <s v="Marginal"/>
    <n v="7.5999999999999998E-2"/>
    <s v="Marginal"/>
    <n v="71"/>
  </r>
  <r>
    <x v="30"/>
    <m/>
    <x v="13"/>
    <s v="Marginal"/>
    <n v="7.3999999999999996E-2"/>
    <s v="Marginal"/>
    <n v="74"/>
  </r>
  <r>
    <x v="25"/>
    <m/>
    <x v="14"/>
    <s v="Moderate"/>
    <n v="8.2000000000000003E-2"/>
    <s v="Moderate"/>
    <n v="71"/>
  </r>
  <r>
    <x v="27"/>
    <m/>
    <x v="14"/>
    <s v="Marginal"/>
    <n v="8.1000000000000003E-2"/>
    <s v="Marginal"/>
    <n v="84"/>
  </r>
  <r>
    <x v="38"/>
    <m/>
    <x v="15"/>
    <s v="Marginal"/>
    <n v="7.3999999999999996E-2"/>
    <s v="Marginal"/>
    <n v="75"/>
  </r>
  <r>
    <x v="39"/>
    <m/>
    <x v="16"/>
    <s v="Marginal"/>
    <n v="7.5999999999999998E-2"/>
    <s v="Marginal"/>
    <n v="72"/>
  </r>
  <r>
    <x v="25"/>
    <m/>
    <x v="17"/>
    <s v="Moderate"/>
    <n v="8.2000000000000003E-2"/>
    <s v="Moderate"/>
    <n v="75"/>
  </r>
  <r>
    <x v="32"/>
    <m/>
    <x v="18"/>
    <s v="Marginal"/>
    <n v="7.4999999999999997E-2"/>
    <s v="Marginal"/>
    <n v="71"/>
  </r>
  <r>
    <x v="40"/>
    <m/>
    <x v="18"/>
    <s v="Marginal"/>
    <n v="7.3999999999999996E-2"/>
    <s v="Marginal"/>
    <n v="84"/>
  </r>
  <r>
    <x v="41"/>
    <m/>
    <x v="18"/>
    <s v="Marginal"/>
    <n v="6.9000000000000006E-2"/>
    <s v="Marginal"/>
    <n v="71"/>
  </r>
  <r>
    <x v="27"/>
    <m/>
    <x v="19"/>
    <s v="Marginal"/>
    <n v="8.1000000000000003E-2"/>
    <s v="Marginal"/>
    <n v="73"/>
  </r>
  <r>
    <x v="42"/>
    <m/>
    <x v="20"/>
    <s v="Marginal"/>
    <n v="7.5999999999999998E-2"/>
    <s v="Marginal"/>
    <n v="71"/>
  </r>
  <r>
    <x v="43"/>
    <m/>
    <x v="20"/>
    <s v="Marginal"/>
    <n v="7.8E-2"/>
    <s v="Marginal"/>
    <n v="71"/>
  </r>
  <r>
    <x v="44"/>
    <m/>
    <x v="20"/>
    <s v="Marginal"/>
    <n v="7.1999999999999995E-2"/>
    <s v="Marginal"/>
    <n v="71"/>
  </r>
  <r>
    <x v="45"/>
    <m/>
    <x v="21"/>
    <s v="Marginal"/>
    <n v="7.8E-2"/>
    <s v="Marginal"/>
    <n v="75"/>
  </r>
  <r>
    <x v="46"/>
    <m/>
    <x v="21"/>
    <s v="Marginal"/>
    <n v="7.1999999999999995E-2"/>
    <s v="Marginal"/>
    <n v="73"/>
  </r>
  <r>
    <x v="47"/>
    <m/>
    <x v="21"/>
    <s v="Marginal"/>
    <n v="8.7999999999999995E-2"/>
    <s v="Marginal"/>
    <n v="73"/>
  </r>
  <r>
    <x v="26"/>
    <m/>
    <x v="22"/>
    <s v="Marginal"/>
    <n v="7.1999999999999995E-2"/>
    <s v="Marginal"/>
    <n v="78"/>
  </r>
  <r>
    <x v="29"/>
    <m/>
    <x v="23"/>
    <s v="Marginal"/>
    <n v="7.9000000000000001E-2"/>
    <s v="Marginal"/>
    <n v="83"/>
  </r>
  <r>
    <x v="48"/>
    <m/>
    <x v="23"/>
    <s v="Marginal (Rural Transport)"/>
    <n v="7.2999999999999995E-2"/>
    <s v="Marginal"/>
    <n v="71"/>
  </r>
  <r>
    <x v="49"/>
    <m/>
    <x v="23"/>
    <s v="Marginal"/>
    <n v="7.2999999999999995E-2"/>
    <s v="Marginal"/>
    <n v="80"/>
  </r>
  <r>
    <x v="50"/>
    <m/>
    <x v="23"/>
    <s v="Marginal"/>
    <n v="7.3999999999999996E-2"/>
    <s v="Marginal"/>
    <n v="76"/>
  </r>
  <r>
    <x v="51"/>
    <m/>
    <x v="23"/>
    <s v="Marginal"/>
    <n v="8.1000000000000003E-2"/>
    <s v="Marginal"/>
    <n v="8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8">
  <r>
    <s v="AZ"/>
    <x v="0"/>
    <n v="0"/>
    <n v="0"/>
    <n v="0"/>
    <n v="1"/>
    <n v="100"/>
    <n v="7350"/>
    <n v="1"/>
    <n v="5100"/>
    <n v="3748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82200"/>
    <n v="5200"/>
    <s v="AZ"/>
    <s v=" Arizona"/>
    <n v="9"/>
    <n v="2"/>
    <n v="2600"/>
    <n v="1300"/>
    <n v="1300"/>
    <n v="191100"/>
    <n v="95550"/>
    <n v="95550"/>
  </r>
  <r>
    <s v="CA"/>
    <x v="0"/>
    <n v="0"/>
    <n v="0"/>
    <n v="0"/>
    <n v="10"/>
    <n v="1000"/>
    <n v="73500"/>
    <n v="0"/>
    <n v="0"/>
    <n v="0"/>
    <n v="4"/>
    <n v="20000"/>
    <n v="1470000"/>
    <n v="1"/>
    <n v="20000"/>
    <n v="1470000"/>
    <n v="2"/>
    <n v="10000"/>
    <n v="735000"/>
    <n v="0"/>
    <n v="0"/>
    <n v="0"/>
    <n v="2"/>
    <n v="40000"/>
    <n v="2940000"/>
    <n v="4"/>
    <n v="20000"/>
    <n v="1470000"/>
    <n v="8158500"/>
    <n v="111000"/>
    <s v="CA"/>
    <s v=" California"/>
    <n v="9"/>
    <n v="23"/>
    <n v="55500"/>
    <n v="27750"/>
    <n v="27750"/>
    <n v="4079250"/>
    <n v="2039625"/>
    <n v="2039625"/>
  </r>
  <r>
    <s v="CO"/>
    <x v="1"/>
    <n v="0"/>
    <n v="0"/>
    <n v="0"/>
    <n v="0"/>
    <n v="0"/>
    <n v="0"/>
    <n v="1"/>
    <n v="5100"/>
    <n v="374850"/>
    <n v="0"/>
    <n v="0"/>
    <n v="0"/>
    <n v="0"/>
    <n v="0"/>
    <n v="0"/>
    <n v="0"/>
    <n v="0"/>
    <n v="0"/>
    <n v="0"/>
    <n v="0"/>
    <n v="0"/>
    <n v="0"/>
    <n v="0"/>
    <n v="0"/>
    <n v="1"/>
    <n v="5000"/>
    <n v="367500"/>
    <n v="742350"/>
    <n v="10100"/>
    <s v="CO"/>
    <s v=" Colorado"/>
    <n v="8"/>
    <n v="2"/>
    <n v="5050"/>
    <n v="2525"/>
    <n v="2525"/>
    <n v="371175"/>
    <n v="185587.5"/>
    <n v="185587.5"/>
  </r>
  <r>
    <s v="CT"/>
    <x v="2"/>
    <n v="1"/>
    <n v="500"/>
    <n v="36750"/>
    <n v="1"/>
    <n v="100"/>
    <n v="7350"/>
    <n v="0"/>
    <n v="0"/>
    <n v="0"/>
    <n v="1"/>
    <n v="5000"/>
    <n v="367500"/>
    <n v="0"/>
    <n v="0"/>
    <n v="0"/>
    <n v="0"/>
    <n v="0"/>
    <n v="0"/>
    <n v="0"/>
    <n v="0"/>
    <n v="0"/>
    <n v="0"/>
    <n v="0"/>
    <n v="0"/>
    <n v="2"/>
    <n v="10000"/>
    <n v="735000"/>
    <n v="1146600"/>
    <n v="15600"/>
    <s v="CT"/>
    <s v=" Connecticut "/>
    <n v="1"/>
    <n v="5"/>
    <n v="7800"/>
    <n v="3900"/>
    <n v="3900"/>
    <n v="573300"/>
    <n v="286650"/>
    <n v="286650"/>
  </r>
  <r>
    <s v="DC"/>
    <x v="2"/>
    <n v="1"/>
    <n v="500"/>
    <n v="36750"/>
    <n v="1"/>
    <n v="100"/>
    <n v="73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44100"/>
    <n v="600"/>
    <s v="DC"/>
    <s v="District of Columbia"/>
    <n v="1"/>
    <n v="2"/>
    <n v="300"/>
    <n v="150"/>
    <n v="150"/>
    <n v="22050"/>
    <n v="11025"/>
    <n v="11025"/>
  </r>
  <r>
    <s v="DE"/>
    <x v="3"/>
    <n v="1"/>
    <n v="500"/>
    <n v="36750"/>
    <n v="1"/>
    <n v="100"/>
    <n v="73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44100"/>
    <n v="600"/>
    <s v="DE"/>
    <s v=" Delaware"/>
    <n v="3"/>
    <n v="2"/>
    <n v="300"/>
    <n v="150"/>
    <n v="150"/>
    <n v="22050"/>
    <n v="11025"/>
    <n v="11025"/>
  </r>
  <r>
    <s v="GA"/>
    <x v="4"/>
    <n v="0"/>
    <n v="0"/>
    <n v="0"/>
    <n v="1"/>
    <n v="100"/>
    <n v="73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7350"/>
    <n v="100"/>
    <s v="GA"/>
    <s v=" Georgia"/>
    <n v="4"/>
    <n v="1"/>
    <n v="50"/>
    <n v="25"/>
    <n v="25"/>
    <n v="3675"/>
    <n v="1837.5"/>
    <n v="1837.5"/>
  </r>
  <r>
    <s v="IL"/>
    <x v="5"/>
    <n v="0"/>
    <n v="0"/>
    <n v="0"/>
    <n v="2"/>
    <n v="200"/>
    <n v="147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5000"/>
    <n v="367500"/>
    <n v="382200"/>
    <n v="5200"/>
    <s v="IL"/>
    <s v=" Illinois"/>
    <n v="5"/>
    <n v="3"/>
    <n v="2600"/>
    <n v="1300"/>
    <n v="1300"/>
    <n v="191100"/>
    <n v="95550"/>
    <n v="95550"/>
  </r>
  <r>
    <s v="IN"/>
    <x v="5"/>
    <n v="0"/>
    <n v="0"/>
    <n v="0"/>
    <n v="2"/>
    <n v="200"/>
    <n v="147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5000"/>
    <n v="367500"/>
    <n v="382200"/>
    <n v="5200"/>
    <s v="IN"/>
    <s v=" Indiana"/>
    <n v="5"/>
    <n v="3"/>
    <n v="2600"/>
    <n v="1300"/>
    <n v="1300"/>
    <n v="191100"/>
    <n v="95550"/>
    <n v="95550"/>
  </r>
  <r>
    <s v="KY"/>
    <x v="4"/>
    <n v="0"/>
    <n v="0"/>
    <n v="0"/>
    <n v="2"/>
    <n v="200"/>
    <n v="147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4700"/>
    <n v="200"/>
    <s v="KY"/>
    <s v=" Kentucky"/>
    <n v="4"/>
    <n v="2"/>
    <n v="100"/>
    <n v="50"/>
    <n v="50"/>
    <n v="7350"/>
    <n v="3675"/>
    <n v="3675"/>
  </r>
  <r>
    <s v="MA"/>
    <x v="2"/>
    <n v="1"/>
    <n v="500"/>
    <n v="367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6750"/>
    <n v="500"/>
    <s v="MA"/>
    <s v=" Massachusetts"/>
    <n v="1"/>
    <n v="1"/>
    <n v="250"/>
    <n v="125"/>
    <n v="125"/>
    <n v="18375"/>
    <n v="9187.5"/>
    <n v="9187.5"/>
  </r>
  <r>
    <s v="MD"/>
    <x v="3"/>
    <n v="1"/>
    <n v="500"/>
    <n v="36750"/>
    <n v="2"/>
    <n v="200"/>
    <n v="14700"/>
    <n v="1"/>
    <n v="5100"/>
    <n v="3748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426300"/>
    <n v="5800"/>
    <s v="MD"/>
    <s v=" Maryland"/>
    <n v="3"/>
    <n v="4"/>
    <n v="2900"/>
    <n v="1450"/>
    <n v="1450"/>
    <n v="213150"/>
    <n v="106575"/>
    <n v="106575"/>
  </r>
  <r>
    <s v="ME"/>
    <x v="2"/>
    <n v="1"/>
    <n v="500"/>
    <n v="367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6750"/>
    <n v="500"/>
    <s v="ME"/>
    <s v="Maine"/>
    <n v="1"/>
    <n v="1"/>
    <n v="250"/>
    <n v="125"/>
    <n v="125"/>
    <n v="18375"/>
    <n v="9187.5"/>
    <n v="9187.5"/>
  </r>
  <r>
    <s v="MI"/>
    <x v="5"/>
    <n v="0"/>
    <n v="0"/>
    <n v="0"/>
    <n v="2"/>
    <n v="200"/>
    <n v="14700"/>
    <n v="2"/>
    <n v="10200"/>
    <n v="7497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764400"/>
    <n v="10400"/>
    <s v="MI"/>
    <s v="Michigan"/>
    <n v="5"/>
    <n v="4"/>
    <n v="5200"/>
    <n v="2600"/>
    <n v="2600"/>
    <n v="382200"/>
    <n v="191100"/>
    <n v="191100"/>
  </r>
  <r>
    <s v="MO"/>
    <x v="6"/>
    <n v="0"/>
    <n v="0"/>
    <n v="0"/>
    <n v="1"/>
    <n v="100"/>
    <n v="73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7350"/>
    <n v="100"/>
    <s v="MO"/>
    <s v=" Missouri"/>
    <n v="7"/>
    <n v="1"/>
    <n v="50"/>
    <n v="25"/>
    <n v="25"/>
    <n v="3675"/>
    <n v="1837.5"/>
    <n v="1837.5"/>
  </r>
  <r>
    <s v="NH"/>
    <x v="2"/>
    <n v="1"/>
    <n v="500"/>
    <n v="367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6750"/>
    <n v="500"/>
    <s v="NH"/>
    <s v="New Hampshire"/>
    <n v="1"/>
    <n v="1"/>
    <n v="250"/>
    <n v="125"/>
    <n v="125"/>
    <n v="18375"/>
    <n v="9187.5"/>
    <n v="9187.5"/>
  </r>
  <r>
    <s v="NJ"/>
    <x v="7"/>
    <n v="1"/>
    <n v="500"/>
    <n v="36750"/>
    <n v="1"/>
    <n v="100"/>
    <n v="7350"/>
    <n v="0"/>
    <n v="0"/>
    <n v="0"/>
    <n v="1"/>
    <n v="5000"/>
    <n v="367500"/>
    <n v="0"/>
    <n v="0"/>
    <n v="0"/>
    <n v="0"/>
    <n v="0"/>
    <n v="0"/>
    <n v="0"/>
    <n v="0"/>
    <n v="0"/>
    <n v="0"/>
    <n v="0"/>
    <n v="0"/>
    <n v="1"/>
    <n v="5000"/>
    <n v="367500"/>
    <n v="779100"/>
    <n v="10600"/>
    <s v="NJ"/>
    <s v=" New Jersey"/>
    <n v="2"/>
    <n v="4"/>
    <n v="5300"/>
    <n v="2650"/>
    <n v="2650"/>
    <n v="389550"/>
    <n v="194775"/>
    <n v="194775"/>
  </r>
  <r>
    <s v="NM"/>
    <x v="8"/>
    <n v="0"/>
    <n v="0"/>
    <n v="0"/>
    <n v="1"/>
    <n v="100"/>
    <n v="73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7350"/>
    <n v="100"/>
    <s v="NM"/>
    <s v="New Mexico"/>
    <n v="6"/>
    <n v="1"/>
    <n v="50"/>
    <n v="25"/>
    <n v="25"/>
    <n v="3675"/>
    <n v="1837.5"/>
    <n v="1837.5"/>
  </r>
  <r>
    <s v="NV"/>
    <x v="0"/>
    <n v="0"/>
    <n v="0"/>
    <n v="0"/>
    <n v="1"/>
    <n v="100"/>
    <n v="73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7350"/>
    <n v="100"/>
    <s v="NV"/>
    <s v="Nevada"/>
    <n v="9"/>
    <n v="1"/>
    <n v="50"/>
    <n v="25"/>
    <n v="25"/>
    <n v="3675"/>
    <n v="1837.5"/>
    <n v="1837.5"/>
  </r>
  <r>
    <s v="NY"/>
    <x v="7"/>
    <n v="1"/>
    <n v="500"/>
    <n v="36750"/>
    <n v="0"/>
    <n v="0"/>
    <n v="0"/>
    <n v="0"/>
    <n v="0"/>
    <n v="0"/>
    <n v="1"/>
    <n v="5000"/>
    <n v="367500"/>
    <n v="0"/>
    <n v="0"/>
    <n v="0"/>
    <n v="0"/>
    <n v="0"/>
    <n v="0"/>
    <n v="0"/>
    <n v="0"/>
    <n v="0"/>
    <n v="0"/>
    <n v="0"/>
    <n v="0"/>
    <n v="1"/>
    <n v="5000"/>
    <n v="367500"/>
    <n v="771750"/>
    <n v="10500"/>
    <s v="NY"/>
    <s v=" New York"/>
    <n v="2"/>
    <n v="3"/>
    <n v="5250"/>
    <n v="2625"/>
    <n v="2625"/>
    <n v="385875"/>
    <n v="192937.5"/>
    <n v="192937.5"/>
  </r>
  <r>
    <s v="OH"/>
    <x v="5"/>
    <n v="0"/>
    <n v="0"/>
    <n v="0"/>
    <n v="3"/>
    <n v="300"/>
    <n v="22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2050"/>
    <n v="300"/>
    <s v="OH"/>
    <s v=" Ohio"/>
    <n v="5"/>
    <n v="3"/>
    <n v="150"/>
    <n v="75"/>
    <n v="75"/>
    <n v="11025"/>
    <n v="5512.5"/>
    <n v="5512.5"/>
  </r>
  <r>
    <s v="PA"/>
    <x v="3"/>
    <n v="1"/>
    <n v="500"/>
    <n v="36750"/>
    <n v="1"/>
    <n v="100"/>
    <n v="73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44100"/>
    <n v="600"/>
    <s v="PA"/>
    <s v=" Pennsylvania"/>
    <n v="3"/>
    <n v="2"/>
    <n v="300"/>
    <n v="150"/>
    <n v="150"/>
    <n v="22050"/>
    <n v="11025"/>
    <n v="11025"/>
  </r>
  <r>
    <s v="RI"/>
    <x v="2"/>
    <n v="1"/>
    <n v="500"/>
    <n v="367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6750"/>
    <n v="500"/>
    <s v="RI"/>
    <s v=" Rhode Island"/>
    <n v="1"/>
    <n v="1"/>
    <n v="250"/>
    <n v="125"/>
    <n v="125"/>
    <n v="18375"/>
    <n v="9187.5"/>
    <n v="9187.5"/>
  </r>
  <r>
    <s v="TX"/>
    <x v="8"/>
    <n v="0"/>
    <n v="0"/>
    <n v="0"/>
    <n v="1"/>
    <n v="100"/>
    <n v="7350"/>
    <n v="2"/>
    <n v="10200"/>
    <n v="749700"/>
    <n v="0"/>
    <n v="0"/>
    <n v="0"/>
    <n v="0"/>
    <n v="0"/>
    <n v="0"/>
    <n v="0"/>
    <n v="0"/>
    <n v="0"/>
    <n v="0"/>
    <n v="0"/>
    <n v="0"/>
    <n v="0"/>
    <n v="0"/>
    <n v="0"/>
    <n v="2"/>
    <n v="10000"/>
    <n v="735000"/>
    <n v="1492050"/>
    <n v="20300"/>
    <s v="TX"/>
    <s v=" Texas"/>
    <n v="6"/>
    <n v="5"/>
    <n v="10150"/>
    <n v="5075"/>
    <n v="5075"/>
    <n v="746025"/>
    <n v="373012.5"/>
    <n v="373012.5"/>
  </r>
  <r>
    <s v="UT"/>
    <x v="1"/>
    <n v="0"/>
    <n v="0"/>
    <n v="0"/>
    <n v="3"/>
    <n v="300"/>
    <n v="220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2050"/>
    <n v="300"/>
    <s v="UT"/>
    <s v="Utah"/>
    <n v="8"/>
    <n v="3"/>
    <n v="150"/>
    <n v="75"/>
    <n v="75"/>
    <n v="11025"/>
    <n v="5512.5"/>
    <n v="5512.5"/>
  </r>
  <r>
    <s v="VA"/>
    <x v="3"/>
    <n v="1"/>
    <n v="500"/>
    <n v="36750"/>
    <n v="1"/>
    <n v="100"/>
    <n v="73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44100"/>
    <n v="600"/>
    <s v="VA"/>
    <s v=" Virginia"/>
    <n v="3"/>
    <n v="2"/>
    <n v="300"/>
    <n v="150"/>
    <n v="150"/>
    <n v="22050"/>
    <n v="11025"/>
    <n v="11025"/>
  </r>
  <r>
    <s v="VT"/>
    <x v="2"/>
    <n v="1"/>
    <n v="500"/>
    <n v="3675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6750"/>
    <n v="500"/>
    <s v="VT"/>
    <s v="Vermont"/>
    <n v="1"/>
    <n v="1"/>
    <n v="250"/>
    <n v="125"/>
    <n v="125"/>
    <n v="18375"/>
    <n v="9187.5"/>
    <n v="9187.5"/>
  </r>
  <r>
    <s v="WI"/>
    <x v="5"/>
    <n v="0"/>
    <n v="0"/>
    <n v="0"/>
    <n v="3"/>
    <n v="300"/>
    <n v="22050"/>
    <n v="2"/>
    <n v="10200"/>
    <n v="749700"/>
    <n v="0"/>
    <n v="0"/>
    <n v="0"/>
    <n v="0"/>
    <n v="0"/>
    <n v="0"/>
    <n v="0"/>
    <n v="0"/>
    <n v="0"/>
    <n v="0"/>
    <n v="0"/>
    <n v="0"/>
    <n v="0"/>
    <n v="0"/>
    <n v="0"/>
    <n v="3"/>
    <n v="15000"/>
    <n v="1102500"/>
    <n v="1874250"/>
    <n v="25500"/>
    <s v="WI"/>
    <s v=" Wisconsin"/>
    <n v="5"/>
    <n v="8"/>
    <n v="12750"/>
    <n v="6375"/>
    <n v="6375"/>
    <n v="937125"/>
    <n v="468562.5"/>
    <n v="468562.5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">
  <r>
    <x v="0"/>
    <s v="Nonattainment"/>
    <x v="0"/>
    <s v="72"/>
    <s v="No"/>
    <s v="5"/>
    <s v="74"/>
    <s v="71"/>
    <s v="72"/>
    <s v="68"/>
    <s v="70"/>
  </r>
  <r>
    <x v="1"/>
    <s v="Nonattainment"/>
    <x v="0"/>
    <s v="72"/>
    <s v="No"/>
    <s v="3"/>
    <s v="74"/>
    <s v="77"/>
    <s v="67"/>
    <s v="62"/>
    <s v="69"/>
  </r>
  <r>
    <x v="2"/>
    <s v="Nonattainment"/>
    <x v="0"/>
    <s v="72"/>
    <s v="No"/>
    <s v="7"/>
    <s v="73"/>
    <s v="66"/>
    <s v="78"/>
    <s v="74"/>
    <s v="69"/>
  </r>
  <r>
    <x v="3"/>
    <s v="Nonattainment"/>
    <x v="0"/>
    <s v="76"/>
    <s v="No"/>
    <s v="18"/>
    <s v="83"/>
    <s v="69"/>
    <s v="78"/>
    <s v="61"/>
    <s v="66"/>
  </r>
  <r>
    <x v="4"/>
    <s v="Nonattainment"/>
    <x v="0"/>
    <s v="74"/>
    <s v="No"/>
    <s v="4"/>
    <s v="80"/>
    <s v="72"/>
    <s v="70"/>
    <s v="61"/>
    <s v="71"/>
  </r>
  <r>
    <x v="5"/>
    <s v="Nonattainment"/>
    <x v="0"/>
    <s v="73"/>
    <s v="No"/>
    <s v="8"/>
    <s v="76"/>
    <s v="71"/>
    <s v="73"/>
    <s v="66"/>
    <s v="69"/>
  </r>
  <r>
    <x v="6"/>
    <s v="Nonattainment"/>
    <x v="0"/>
    <s v="74"/>
    <s v="No"/>
    <s v="12"/>
    <s v="75"/>
    <s v="75"/>
    <s v="73"/>
    <s v="63"/>
    <s v="65"/>
  </r>
  <r>
    <x v="7"/>
    <s v="Nonattainment"/>
    <x v="0"/>
    <s v="77"/>
    <s v="No"/>
    <s v="14"/>
    <s v="80"/>
    <s v="75"/>
    <s v="78"/>
    <s v="58"/>
    <s v="60"/>
  </r>
  <r>
    <x v="8"/>
    <s v="Nonattainment"/>
    <x v="0"/>
    <s v="71"/>
    <s v="No"/>
    <s v="11"/>
    <s v="76"/>
    <s v="63"/>
    <s v="74"/>
    <s v="74"/>
    <s v="76"/>
  </r>
  <r>
    <x v="9"/>
    <s v="Nonattainment"/>
    <x v="0"/>
    <s v="77"/>
    <s v="No"/>
    <s v="9"/>
    <s v="81"/>
    <s v="77"/>
    <s v="75"/>
    <s v="55"/>
    <s v="61"/>
  </r>
  <r>
    <x v="10"/>
    <s v="Nonattainment"/>
    <x v="0"/>
    <s v="73"/>
    <s v="No"/>
    <s v="4"/>
    <s v="74"/>
    <s v="75"/>
    <s v="71"/>
    <s v="64"/>
    <s v="67"/>
  </r>
  <r>
    <x v="11"/>
    <s v="Nonattainment"/>
    <x v="0"/>
    <s v="78"/>
    <s v="No"/>
    <s v="12"/>
    <s v="88"/>
    <s v="81"/>
    <s v="66"/>
    <s v="44"/>
    <s v="66"/>
  </r>
  <r>
    <x v="12"/>
    <s v="Nonattainment"/>
    <x v="0"/>
    <s v="77"/>
    <s v="No"/>
    <s v="8"/>
    <s v="76"/>
    <s v="80"/>
    <s v="76"/>
    <s v="57"/>
    <s v="57"/>
  </r>
  <r>
    <x v="13"/>
    <s v="Nonattainment"/>
    <x v="0"/>
    <s v="73"/>
    <s v="No"/>
    <s v="9"/>
    <s v="75"/>
    <s v="69"/>
    <s v="76"/>
    <s v="69"/>
    <s v="68"/>
  </r>
  <r>
    <x v="14"/>
    <s v="Nonattainment"/>
    <x v="0"/>
    <s v="72"/>
    <s v="No"/>
    <s v="4"/>
    <s v="77"/>
    <s v="68"/>
    <s v="71"/>
    <s v="68"/>
    <s v="74"/>
  </r>
  <r>
    <x v="15"/>
    <s v="Nonattainment"/>
    <x v="0"/>
    <s v="73"/>
    <s v="No"/>
    <s v="1"/>
    <s v="85"/>
    <s v="68"/>
    <s v="67"/>
    <s v="60"/>
    <s v="78"/>
  </r>
  <r>
    <x v="16"/>
    <s v="Nonattainment"/>
    <x v="0"/>
    <s v="74"/>
    <s v="No"/>
    <s v="4"/>
    <s v="80"/>
    <s v="68"/>
    <s v="76"/>
    <s v="65"/>
    <s v="69"/>
  </r>
  <r>
    <x v="17"/>
    <s v="Nonattainment"/>
    <x v="0"/>
    <s v="71"/>
    <s v="No"/>
    <s v="5"/>
    <s v="73"/>
    <s v="68"/>
    <s v="73"/>
    <s v="72"/>
    <s v="72"/>
  </r>
  <r>
    <x v="18"/>
    <s v="Nonattainment"/>
    <x v="0"/>
    <s v="76"/>
    <s v="No"/>
    <s v="10"/>
    <s v="80"/>
    <s v="71"/>
    <s v="78"/>
    <s v="62"/>
    <s v="64"/>
  </r>
  <r>
    <x v="19"/>
    <s v="Nonattainment"/>
    <x v="0"/>
    <s v="76"/>
    <s v="No"/>
    <s v="8"/>
    <s v="77"/>
    <s v="74"/>
    <s v="79"/>
    <s v="62"/>
    <s v="60"/>
  </r>
  <r>
    <x v="20"/>
    <s v="Nonattainment"/>
    <x v="0"/>
    <s v="73"/>
    <s v="No"/>
    <s v="5"/>
    <s v="84"/>
    <s v="67"/>
    <s v="70"/>
    <s v="62"/>
    <s v="76"/>
  </r>
  <r>
    <x v="21"/>
    <s v="Nonattainment"/>
    <x v="0"/>
    <s v="76"/>
    <s v="No"/>
    <s v="22"/>
    <s v="76"/>
    <s v="75"/>
    <s v="78"/>
    <s v="62"/>
    <s v="60"/>
  </r>
  <r>
    <x v="22"/>
    <s v="Nonattainment"/>
    <x v="0"/>
    <s v="75"/>
    <s v="No"/>
    <s v="4"/>
    <s v="83"/>
    <s v="68"/>
    <s v="75"/>
    <s v="62"/>
    <s v="70"/>
  </r>
  <r>
    <x v="23"/>
    <s v="Nonattainment"/>
    <x v="0"/>
    <s v="71"/>
    <s v="No"/>
    <s v="7"/>
    <s v="70"/>
    <s v="69"/>
    <s v="74"/>
    <s v="74"/>
    <s v="70"/>
  </r>
  <r>
    <x v="24"/>
    <s v="Nonattainment"/>
    <x v="0"/>
    <s v="71"/>
    <s v="No"/>
    <s v="0"/>
    <s v="84"/>
    <s v="69"/>
    <s v="61"/>
    <s v="60"/>
    <s v="83"/>
  </r>
  <r>
    <x v="25"/>
    <s v="Nonattainment"/>
    <x v="0"/>
    <s v="75"/>
    <s v="No"/>
    <s v="0"/>
    <s v="67"/>
    <s v="98"/>
    <s v="62"/>
    <s v="48"/>
    <s v="53"/>
  </r>
  <r>
    <x v="26"/>
    <s v="Nonattainment"/>
    <x v="0"/>
    <s v="71"/>
    <s v="No"/>
    <s v="2"/>
    <s v="73"/>
    <s v="75"/>
    <s v="65"/>
    <s v="65"/>
    <s v="73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">
  <r>
    <x v="0"/>
    <x v="0"/>
  </r>
  <r>
    <x v="0"/>
    <x v="1"/>
  </r>
  <r>
    <x v="0"/>
    <x v="2"/>
  </r>
  <r>
    <x v="1"/>
    <x v="3"/>
  </r>
  <r>
    <x v="2"/>
    <x v="4"/>
  </r>
  <r>
    <x v="3"/>
    <x v="5"/>
  </r>
  <r>
    <x v="4"/>
    <x v="5"/>
  </r>
  <r>
    <x v="5"/>
    <x v="6"/>
  </r>
  <r>
    <x v="5"/>
    <x v="7"/>
  </r>
  <r>
    <x v="5"/>
    <x v="8"/>
  </r>
  <r>
    <x v="6"/>
    <x v="5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">
  <r>
    <x v="0"/>
    <x v="0"/>
    <s v="Marginal"/>
    <s v="72"/>
    <s v="No"/>
  </r>
  <r>
    <x v="1"/>
    <x v="0"/>
    <s v="Marginal"/>
    <s v="72"/>
    <s v="No"/>
  </r>
  <r>
    <x v="2"/>
    <x v="0"/>
    <s v="Marginal"/>
    <s v="72"/>
    <s v="No"/>
  </r>
  <r>
    <x v="3"/>
    <x v="0"/>
    <s v="Marginal"/>
    <s v="76"/>
    <s v="No"/>
  </r>
  <r>
    <x v="4"/>
    <x v="0"/>
    <s v="Marginal"/>
    <s v="74"/>
    <s v="No"/>
  </r>
  <r>
    <x v="5"/>
    <x v="0"/>
    <s v="Marginal"/>
    <s v="73"/>
    <s v="No"/>
  </r>
  <r>
    <x v="6"/>
    <x v="0"/>
    <s v="Marginal"/>
    <n v="76"/>
    <s v="No"/>
  </r>
  <r>
    <x v="7"/>
    <x v="0"/>
    <s v="Marginal"/>
    <s v="77"/>
    <s v="No"/>
  </r>
  <r>
    <x v="8"/>
    <x v="0"/>
    <s v="Marginal"/>
    <s v="71"/>
    <s v="No"/>
  </r>
  <r>
    <x v="9"/>
    <x v="0"/>
    <s v="Marginal"/>
    <s v="77"/>
    <s v="No"/>
  </r>
  <r>
    <x v="10"/>
    <x v="0"/>
    <s v="Marginal"/>
    <s v="73"/>
    <s v="No"/>
  </r>
  <r>
    <x v="11"/>
    <x v="0"/>
    <s v="Marginal"/>
    <s v="78"/>
    <s v="No"/>
  </r>
  <r>
    <x v="12"/>
    <x v="0"/>
    <s v="Marginal"/>
    <s v="77"/>
    <s v="No"/>
  </r>
  <r>
    <x v="13"/>
    <x v="0"/>
    <s v="Marginal"/>
    <s v="73"/>
    <s v="No"/>
  </r>
  <r>
    <x v="14"/>
    <x v="0"/>
    <s v="Marginal"/>
    <s v="72"/>
    <s v="No"/>
  </r>
  <r>
    <x v="15"/>
    <x v="0"/>
    <s v="Marginal"/>
    <s v="73"/>
    <s v="No"/>
  </r>
  <r>
    <x v="16"/>
    <x v="0"/>
    <s v="Marginal"/>
    <s v="74"/>
    <s v="No"/>
  </r>
  <r>
    <x v="17"/>
    <x v="0"/>
    <s v="Marginal"/>
    <s v="71"/>
    <s v="No"/>
  </r>
  <r>
    <x v="18"/>
    <x v="0"/>
    <s v="Marginal"/>
    <s v="76"/>
    <s v="No"/>
  </r>
  <r>
    <x v="19"/>
    <x v="0"/>
    <s v="Marginal"/>
    <s v="76"/>
    <s v="No"/>
  </r>
  <r>
    <x v="20"/>
    <x v="0"/>
    <s v="Marginal"/>
    <s v="73"/>
    <s v="No"/>
  </r>
  <r>
    <x v="21"/>
    <x v="0"/>
    <s v="Marginal"/>
    <s v="76"/>
    <s v="No"/>
  </r>
  <r>
    <x v="22"/>
    <x v="0"/>
    <s v="Marginal"/>
    <s v="75"/>
    <s v="No"/>
  </r>
  <r>
    <x v="23"/>
    <x v="0"/>
    <s v="Marginal"/>
    <s v="71"/>
    <s v="No"/>
  </r>
  <r>
    <x v="24"/>
    <x v="0"/>
    <s v="Marginal"/>
    <s v="71"/>
    <s v="No"/>
  </r>
  <r>
    <x v="25"/>
    <x v="0"/>
    <s v="Marginal"/>
    <s v="75"/>
    <s v="No"/>
  </r>
  <r>
    <x v="26"/>
    <x v="0"/>
    <s v="Marginal"/>
    <s v="71"/>
    <s v="N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5" indent="0" outline="1" outlineData="1" multipleFieldFilters="0">
  <location ref="A3:B56" firstHeaderRow="1" firstDataRow="1" firstDataCol="1"/>
  <pivotFields count="7">
    <pivotField axis="axisRow" showAll="0">
      <items count="53">
        <item x="34"/>
        <item x="2"/>
        <item x="28"/>
        <item x="33"/>
        <item x="35"/>
        <item x="3"/>
        <item x="4"/>
        <item x="29"/>
        <item x="32"/>
        <item x="40"/>
        <item x="41"/>
        <item x="42"/>
        <item x="23"/>
        <item x="36"/>
        <item x="38"/>
        <item x="48"/>
        <item x="24"/>
        <item x="43"/>
        <item x="5"/>
        <item x="6"/>
        <item x="39"/>
        <item x="7"/>
        <item x="8"/>
        <item x="31"/>
        <item x="49"/>
        <item x="9"/>
        <item x="10"/>
        <item x="37"/>
        <item x="11"/>
        <item x="25"/>
        <item x="50"/>
        <item x="45"/>
        <item x="12"/>
        <item x="27"/>
        <item x="0"/>
        <item x="13"/>
        <item x="14"/>
        <item x="44"/>
        <item x="15"/>
        <item x="16"/>
        <item x="17"/>
        <item x="18"/>
        <item x="51"/>
        <item x="46"/>
        <item x="30"/>
        <item x="19"/>
        <item x="20"/>
        <item x="21"/>
        <item x="47"/>
        <item x="22"/>
        <item x="26"/>
        <item x="1"/>
        <item t="default"/>
      </items>
    </pivotField>
    <pivotField showAll="0"/>
    <pivotField dataField="1" showAll="0"/>
    <pivotField showAll="0"/>
    <pivotField showAll="0"/>
    <pivotField showAll="0"/>
    <pivotField showAll="0"/>
  </pivotFields>
  <rowFields count="1">
    <field x="0"/>
  </rowFields>
  <rowItems count="5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 t="grand">
      <x/>
    </i>
  </rowItems>
  <colItems count="1">
    <i/>
  </colItems>
  <dataFields count="1">
    <dataField name="Count of State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B0AB39E-1573-4173-8E29-E1945642C904}" name="PivotTable1" cacheId="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C32" firstHeaderRow="1" firstDataRow="2" firstDataCol="1"/>
  <pivotFields count="11">
    <pivotField axis="axisRow" showAll="0">
      <items count="2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t="default"/>
      </items>
    </pivotField>
    <pivotField showAll="0"/>
    <pivotField axis="axisCol" dataField="1"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2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 t="grand">
      <x/>
    </i>
  </rowItems>
  <colFields count="1">
    <field x="2"/>
  </colFields>
  <colItems count="2">
    <i>
      <x/>
    </i>
    <i t="grand">
      <x/>
    </i>
  </colItems>
  <dataFields count="1">
    <dataField name="Count of Classification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6870D56-FD9D-4A74-8F10-5D78FEB0B290}" name="PivotTable1" cacheId="4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C32" firstHeaderRow="1" firstDataRow="2" firstDataCol="1"/>
  <pivotFields count="5">
    <pivotField axis="axisRow" showAll="0">
      <items count="2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t="default"/>
      </items>
    </pivotField>
    <pivotField axis="axisCol" dataField="1" showAll="0">
      <items count="2">
        <item x="0"/>
        <item t="default"/>
      </items>
    </pivotField>
    <pivotField showAll="0"/>
    <pivotField showAll="0"/>
    <pivotField showAll="0"/>
  </pivotFields>
  <rowFields count="1">
    <field x="0"/>
  </rowFields>
  <rowItems count="2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 t="grand">
      <x/>
    </i>
  </rowItems>
  <colFields count="1">
    <field x="1"/>
  </colFields>
  <colItems count="2">
    <i>
      <x/>
    </i>
    <i t="grand">
      <x/>
    </i>
  </colItems>
  <dataFields count="1">
    <dataField name="Count of Status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8F08E6E-E3E2-4A53-AAB9-24A21303E49C}" name="PivotTable2" cacheId="3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K12" firstHeaderRow="1" firstDataRow="2" firstDataCol="1"/>
  <pivotFields count="2">
    <pivotField axis="axisRow" showAll="0">
      <items count="13">
        <item x="0"/>
        <item m="1" x="8"/>
        <item x="1"/>
        <item m="1" x="11"/>
        <item x="2"/>
        <item m="1" x="9"/>
        <item x="3"/>
        <item x="4"/>
        <item x="5"/>
        <item x="6"/>
        <item m="1" x="7"/>
        <item m="1" x="10"/>
        <item t="default"/>
      </items>
    </pivotField>
    <pivotField axis="axisCol" dataField="1" showAll="0">
      <items count="10">
        <item x="5"/>
        <item x="3"/>
        <item x="6"/>
        <item x="0"/>
        <item x="1"/>
        <item x="7"/>
        <item x="8"/>
        <item x="4"/>
        <item x="2"/>
        <item t="default"/>
      </items>
    </pivotField>
  </pivotFields>
  <rowFields count="1">
    <field x="0"/>
  </rowFields>
  <rowItems count="8">
    <i>
      <x/>
    </i>
    <i>
      <x v="2"/>
    </i>
    <i>
      <x v="4"/>
    </i>
    <i>
      <x v="6"/>
    </i>
    <i>
      <x v="7"/>
    </i>
    <i>
      <x v="8"/>
    </i>
    <i>
      <x v="9"/>
    </i>
    <i t="grand">
      <x/>
    </i>
  </rowItems>
  <colFields count="1">
    <field x="1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colItems>
  <dataFields count="1">
    <dataField name="Count of State" fld="1" subtotal="count" baseField="0" baseItem="0"/>
  </dataFields>
  <formats count="2">
    <format dxfId="1">
      <pivotArea collapsedLevelsAreSubtotals="1" fieldPosition="0">
        <references count="2">
          <reference field="0" count="0"/>
          <reference field="1" count="0" selected="0"/>
        </references>
      </pivotArea>
    </format>
    <format dxfId="0">
      <pivotArea dataOnly="0" labelOnly="1" fieldPosition="0">
        <references count="1">
          <reference field="0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0000000}" name="PivotTable1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5" indent="0" outline="1" outlineData="1" multipleFieldFilters="0">
  <location ref="A3:B13" firstHeaderRow="1" firstDataRow="1" firstDataCol="1"/>
  <pivotFields count="41">
    <pivotField showAll="0"/>
    <pivotField axis="axisRow" showAll="0">
      <items count="10">
        <item x="2"/>
        <item x="7"/>
        <item x="3"/>
        <item x="4"/>
        <item x="5"/>
        <item x="8"/>
        <item x="6"/>
        <item x="1"/>
        <item x="0"/>
        <item t="default"/>
      </items>
    </pivotField>
    <pivotField showAll="0"/>
    <pivotField showAll="0"/>
    <pivotField numFmtId="164" showAll="0"/>
    <pivotField showAll="0"/>
    <pivotField showAll="0"/>
    <pivotField numFmtId="164" showAll="0"/>
    <pivotField showAll="0"/>
    <pivotField showAll="0"/>
    <pivotField numFmtId="164" showAll="0"/>
    <pivotField showAll="0"/>
    <pivotField showAll="0"/>
    <pivotField numFmtId="164" showAll="0"/>
    <pivotField showAll="0"/>
    <pivotField showAll="0"/>
    <pivotField numFmtId="164" showAll="0"/>
    <pivotField showAll="0"/>
    <pivotField showAll="0"/>
    <pivotField numFmtId="164" showAll="0"/>
    <pivotField showAll="0"/>
    <pivotField showAll="0"/>
    <pivotField numFmtId="164" showAll="0"/>
    <pivotField showAll="0"/>
    <pivotField showAll="0"/>
    <pivotField numFmtId="164" showAll="0"/>
    <pivotField showAll="0"/>
    <pivotField showAll="0"/>
    <pivotField numFmtId="164" showAll="0"/>
    <pivotField numFmtId="164" showAll="0"/>
    <pivotField dataField="1" numFmtId="3" showAll="0"/>
    <pivotField showAll="0"/>
    <pivotField showAll="0"/>
    <pivotField numFmtId="3" showAll="0"/>
    <pivotField numFmtId="3" showAll="0"/>
    <pivotField numFmtId="3" showAll="0"/>
    <pivotField showAll="0"/>
    <pivotField showAll="0"/>
    <pivotField numFmtId="164" showAll="0"/>
    <pivotField numFmtId="164" showAll="0"/>
    <pivotField numFmtId="42" showAll="0"/>
  </pivotFields>
  <rowFields count="1">
    <field x="1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Sum of STATE TOTAL HOURS" fld="30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ivotTable" Target="../pivotTables/pivotTable5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4:G13"/>
  <sheetViews>
    <sheetView tabSelected="1" workbookViewId="0">
      <selection activeCell="E6" sqref="E6"/>
    </sheetView>
  </sheetViews>
  <sheetFormatPr defaultRowHeight="12.5" x14ac:dyDescent="0.25"/>
  <cols>
    <col min="3" max="3" width="11.08984375" bestFit="1" customWidth="1"/>
    <col min="6" max="6" width="18" bestFit="1" customWidth="1"/>
  </cols>
  <sheetData>
    <row r="4" spans="1:7" x14ac:dyDescent="0.25">
      <c r="A4" s="29" t="s">
        <v>488</v>
      </c>
    </row>
    <row r="6" spans="1:7" ht="13" thickBot="1" x14ac:dyDescent="0.3"/>
    <row r="7" spans="1:7" x14ac:dyDescent="0.25">
      <c r="A7" t="s">
        <v>182</v>
      </c>
      <c r="C7" s="86">
        <f>'Present Value Costs'!B19</f>
        <v>119133.33333333333</v>
      </c>
      <c r="F7" s="100">
        <f>$C$7</f>
        <v>119133.33333333333</v>
      </c>
      <c r="G7" s="29" t="s">
        <v>497</v>
      </c>
    </row>
    <row r="8" spans="1:7" x14ac:dyDescent="0.25">
      <c r="A8" t="s">
        <v>183</v>
      </c>
      <c r="C8" s="87">
        <f>'Present Value Costs'!F25</f>
        <v>8420379.9400481209</v>
      </c>
    </row>
    <row r="9" spans="1:7" x14ac:dyDescent="0.25">
      <c r="A9" t="s">
        <v>184</v>
      </c>
      <c r="C9" s="87">
        <f>C8/C10</f>
        <v>271625.159356391</v>
      </c>
      <c r="F9" s="100">
        <f>C7-34000</f>
        <v>85133.333333333328</v>
      </c>
      <c r="G9" s="29" t="s">
        <v>489</v>
      </c>
    </row>
    <row r="10" spans="1:7" x14ac:dyDescent="0.25">
      <c r="A10" t="s">
        <v>185</v>
      </c>
      <c r="C10" s="88">
        <f>'Final State Summary'!B63</f>
        <v>31</v>
      </c>
    </row>
    <row r="11" spans="1:7" x14ac:dyDescent="0.25">
      <c r="A11" t="s">
        <v>186</v>
      </c>
      <c r="C11" s="88">
        <f>C7/C13</f>
        <v>1240.9722222222222</v>
      </c>
    </row>
    <row r="12" spans="1:7" x14ac:dyDescent="0.25">
      <c r="A12" t="s">
        <v>187</v>
      </c>
      <c r="C12" s="165">
        <f>C13/C10</f>
        <v>3.096774193548387</v>
      </c>
    </row>
    <row r="13" spans="1:7" ht="13" thickBot="1" x14ac:dyDescent="0.3">
      <c r="A13" t="s">
        <v>188</v>
      </c>
      <c r="C13" s="198">
        <f>'Final State Summary'!AL60</f>
        <v>96</v>
      </c>
    </row>
  </sheetData>
  <pageMargins left="0.45" right="0.45" top="0.5" bottom="0.5" header="0.3" footer="0.3"/>
  <pageSetup scale="7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73B70-4DDE-49AD-A96D-AF7864827D34}">
  <dimension ref="A1:K19"/>
  <sheetViews>
    <sheetView workbookViewId="0">
      <selection activeCell="A40" sqref="A40"/>
    </sheetView>
  </sheetViews>
  <sheetFormatPr defaultRowHeight="12.5" x14ac:dyDescent="0.25"/>
  <cols>
    <col min="1" max="1" width="41.6328125" bestFit="1" customWidth="1"/>
    <col min="2" max="2" width="16.1796875" bestFit="1" customWidth="1"/>
    <col min="3" max="3" width="3.81640625" bestFit="1" customWidth="1"/>
    <col min="4" max="4" width="3.453125" bestFit="1" customWidth="1"/>
    <col min="5" max="5" width="2.54296875" bestFit="1" customWidth="1"/>
    <col min="6" max="6" width="2.81640625" bestFit="1" customWidth="1"/>
    <col min="7" max="7" width="3.36328125" bestFit="1" customWidth="1"/>
    <col min="8" max="8" width="3.453125" bestFit="1" customWidth="1"/>
    <col min="9" max="10" width="3.36328125" bestFit="1" customWidth="1"/>
    <col min="11" max="11" width="11.36328125" bestFit="1" customWidth="1"/>
  </cols>
  <sheetData>
    <row r="1" spans="1:11" x14ac:dyDescent="0.25">
      <c r="A1" s="237" t="s">
        <v>493</v>
      </c>
    </row>
    <row r="3" spans="1:11" x14ac:dyDescent="0.25">
      <c r="A3" s="146" t="s">
        <v>191</v>
      </c>
      <c r="B3" s="146" t="s">
        <v>436</v>
      </c>
    </row>
    <row r="4" spans="1:11" x14ac:dyDescent="0.25">
      <c r="A4" s="146" t="s">
        <v>230</v>
      </c>
      <c r="B4" s="233" t="s">
        <v>31</v>
      </c>
      <c r="C4" s="233" t="s">
        <v>32</v>
      </c>
      <c r="D4" s="233" t="s">
        <v>33</v>
      </c>
      <c r="E4" s="233" t="s">
        <v>40</v>
      </c>
      <c r="F4" s="233" t="s">
        <v>41</v>
      </c>
      <c r="G4" s="233" t="s">
        <v>54</v>
      </c>
      <c r="H4" s="233" t="s">
        <v>57</v>
      </c>
      <c r="I4" s="233" t="s">
        <v>64</v>
      </c>
      <c r="J4" s="233" t="s">
        <v>69</v>
      </c>
      <c r="K4" s="233" t="s">
        <v>190</v>
      </c>
    </row>
    <row r="5" spans="1:11" x14ac:dyDescent="0.25">
      <c r="A5" s="214" t="s">
        <v>424</v>
      </c>
      <c r="B5" s="149"/>
      <c r="C5" s="149"/>
      <c r="D5" s="149"/>
      <c r="E5" s="149">
        <v>1</v>
      </c>
      <c r="F5" s="149">
        <v>1</v>
      </c>
      <c r="G5" s="149"/>
      <c r="H5" s="149"/>
      <c r="I5" s="149"/>
      <c r="J5" s="149">
        <v>1</v>
      </c>
      <c r="K5" s="148">
        <v>3</v>
      </c>
    </row>
    <row r="6" spans="1:11" x14ac:dyDescent="0.25">
      <c r="A6" s="214" t="s">
        <v>425</v>
      </c>
      <c r="B6" s="149"/>
      <c r="C6" s="149">
        <v>1</v>
      </c>
      <c r="D6" s="149"/>
      <c r="E6" s="149"/>
      <c r="F6" s="149"/>
      <c r="G6" s="149"/>
      <c r="H6" s="149"/>
      <c r="I6" s="149"/>
      <c r="J6" s="149"/>
      <c r="K6" s="148">
        <v>1</v>
      </c>
    </row>
    <row r="7" spans="1:11" x14ac:dyDescent="0.25">
      <c r="A7" s="214" t="s">
        <v>281</v>
      </c>
      <c r="B7" s="149"/>
      <c r="C7" s="149"/>
      <c r="D7" s="149"/>
      <c r="E7" s="149"/>
      <c r="F7" s="149"/>
      <c r="G7" s="149"/>
      <c r="H7" s="149"/>
      <c r="I7" s="149">
        <v>1</v>
      </c>
      <c r="J7" s="149"/>
      <c r="K7" s="148">
        <v>1</v>
      </c>
    </row>
    <row r="8" spans="1:11" x14ac:dyDescent="0.25">
      <c r="A8" s="214" t="s">
        <v>243</v>
      </c>
      <c r="B8" s="149">
        <v>1</v>
      </c>
      <c r="C8" s="149"/>
      <c r="D8" s="149"/>
      <c r="E8" s="149"/>
      <c r="F8" s="149"/>
      <c r="G8" s="149"/>
      <c r="H8" s="149"/>
      <c r="I8" s="149"/>
      <c r="J8" s="149"/>
      <c r="K8" s="148">
        <v>1</v>
      </c>
    </row>
    <row r="9" spans="1:11" x14ac:dyDescent="0.25">
      <c r="A9" s="214" t="s">
        <v>248</v>
      </c>
      <c r="B9" s="149">
        <v>1</v>
      </c>
      <c r="C9" s="149"/>
      <c r="D9" s="149"/>
      <c r="E9" s="149"/>
      <c r="F9" s="149"/>
      <c r="G9" s="149"/>
      <c r="H9" s="149"/>
      <c r="I9" s="149"/>
      <c r="J9" s="149"/>
      <c r="K9" s="148">
        <v>1</v>
      </c>
    </row>
    <row r="10" spans="1:11" x14ac:dyDescent="0.25">
      <c r="A10" s="214" t="s">
        <v>426</v>
      </c>
      <c r="B10" s="149"/>
      <c r="C10" s="149"/>
      <c r="D10" s="149">
        <v>1</v>
      </c>
      <c r="E10" s="149"/>
      <c r="F10" s="149"/>
      <c r="G10" s="149">
        <v>1</v>
      </c>
      <c r="H10" s="149">
        <v>1</v>
      </c>
      <c r="I10" s="149"/>
      <c r="J10" s="149"/>
      <c r="K10" s="148">
        <v>3</v>
      </c>
    </row>
    <row r="11" spans="1:11" x14ac:dyDescent="0.25">
      <c r="A11" s="214" t="s">
        <v>252</v>
      </c>
      <c r="B11" s="149">
        <v>1</v>
      </c>
      <c r="C11" s="149"/>
      <c r="D11" s="149"/>
      <c r="E11" s="149"/>
      <c r="F11" s="149"/>
      <c r="G11" s="149"/>
      <c r="H11" s="149"/>
      <c r="I11" s="149"/>
      <c r="J11" s="149"/>
      <c r="K11" s="148">
        <v>1</v>
      </c>
    </row>
    <row r="12" spans="1:11" x14ac:dyDescent="0.25">
      <c r="A12" s="147" t="s">
        <v>190</v>
      </c>
      <c r="B12" s="148">
        <v>3</v>
      </c>
      <c r="C12" s="148">
        <v>1</v>
      </c>
      <c r="D12" s="148">
        <v>1</v>
      </c>
      <c r="E12" s="148">
        <v>1</v>
      </c>
      <c r="F12" s="148">
        <v>1</v>
      </c>
      <c r="G12" s="148">
        <v>1</v>
      </c>
      <c r="H12" s="148">
        <v>1</v>
      </c>
      <c r="I12" s="148">
        <v>1</v>
      </c>
      <c r="J12" s="148">
        <v>1</v>
      </c>
      <c r="K12" s="148">
        <v>11</v>
      </c>
    </row>
    <row r="15" spans="1:11" x14ac:dyDescent="0.25">
      <c r="C15">
        <f>COUNT(K5:K12)</f>
        <v>8</v>
      </c>
      <c r="D15" t="s">
        <v>435</v>
      </c>
    </row>
    <row r="19" spans="1:1" x14ac:dyDescent="0.25">
      <c r="A19" s="14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C6923-911D-4402-AF74-42F3C36BF7A9}">
  <dimension ref="A3:I21"/>
  <sheetViews>
    <sheetView workbookViewId="0">
      <selection activeCell="A20" sqref="A20:XFD21"/>
    </sheetView>
  </sheetViews>
  <sheetFormatPr defaultRowHeight="12.5" x14ac:dyDescent="0.25"/>
  <cols>
    <col min="1" max="1" width="51.36328125" customWidth="1"/>
    <col min="2" max="3" width="17.36328125" style="200" customWidth="1"/>
    <col min="4" max="4" width="14.6328125" customWidth="1"/>
  </cols>
  <sheetData>
    <row r="3" spans="1:9" x14ac:dyDescent="0.25">
      <c r="A3" s="29" t="s">
        <v>485</v>
      </c>
    </row>
    <row r="4" spans="1:9" x14ac:dyDescent="0.25">
      <c r="A4" s="29"/>
    </row>
    <row r="5" spans="1:9" ht="13" thickBot="1" x14ac:dyDescent="0.3"/>
    <row r="6" spans="1:9" ht="38" thickBot="1" x14ac:dyDescent="0.3">
      <c r="A6" s="201" t="s">
        <v>423</v>
      </c>
      <c r="B6" s="202" t="s">
        <v>97</v>
      </c>
      <c r="C6" s="202" t="s">
        <v>486</v>
      </c>
      <c r="D6" s="202"/>
      <c r="E6" s="202"/>
      <c r="F6" s="202"/>
      <c r="G6" s="202"/>
      <c r="H6" s="202"/>
      <c r="I6" s="202"/>
    </row>
    <row r="7" spans="1:9" x14ac:dyDescent="0.25">
      <c r="A7" s="204" t="s">
        <v>424</v>
      </c>
      <c r="B7" s="207" t="s">
        <v>40</v>
      </c>
      <c r="C7" s="156" t="s">
        <v>7</v>
      </c>
      <c r="D7" s="203"/>
      <c r="E7" s="203"/>
      <c r="F7" s="203"/>
      <c r="G7" s="203"/>
      <c r="H7" s="203"/>
      <c r="I7" s="203"/>
    </row>
    <row r="8" spans="1:9" x14ac:dyDescent="0.25">
      <c r="A8" s="204" t="s">
        <v>424</v>
      </c>
      <c r="B8" s="207" t="s">
        <v>41</v>
      </c>
      <c r="C8" s="156" t="s">
        <v>7</v>
      </c>
      <c r="D8" s="203"/>
      <c r="E8" s="203"/>
      <c r="F8" s="203"/>
      <c r="G8" s="203"/>
      <c r="H8" s="203"/>
      <c r="I8" s="203"/>
    </row>
    <row r="9" spans="1:9" s="200" customFormat="1" x14ac:dyDescent="0.25">
      <c r="A9" s="204" t="s">
        <v>424</v>
      </c>
      <c r="B9" s="207" t="s">
        <v>69</v>
      </c>
      <c r="C9" s="156" t="s">
        <v>7</v>
      </c>
      <c r="D9" s="203"/>
      <c r="E9" s="203"/>
      <c r="F9" s="203"/>
      <c r="G9" s="210"/>
      <c r="H9" s="211"/>
      <c r="I9" s="211"/>
    </row>
    <row r="10" spans="1:9" x14ac:dyDescent="0.25">
      <c r="A10" s="204" t="s">
        <v>425</v>
      </c>
      <c r="B10" s="207" t="s">
        <v>32</v>
      </c>
      <c r="C10" s="156" t="s">
        <v>7</v>
      </c>
      <c r="D10" s="203"/>
      <c r="E10" s="203"/>
      <c r="F10" s="203"/>
      <c r="G10" s="210"/>
      <c r="H10" s="210"/>
      <c r="I10" s="210"/>
    </row>
    <row r="11" spans="1:9" x14ac:dyDescent="0.25">
      <c r="A11" s="204" t="s">
        <v>281</v>
      </c>
      <c r="B11" s="207" t="s">
        <v>64</v>
      </c>
      <c r="C11" s="156" t="s">
        <v>7</v>
      </c>
      <c r="D11" s="203"/>
      <c r="E11" s="203"/>
      <c r="F11" s="203"/>
      <c r="G11" s="210"/>
      <c r="H11" s="210"/>
      <c r="I11" s="210"/>
    </row>
    <row r="12" spans="1:9" s="252" customFormat="1" x14ac:dyDescent="0.25">
      <c r="A12" s="204" t="s">
        <v>280</v>
      </c>
      <c r="B12" s="207" t="s">
        <v>64</v>
      </c>
      <c r="C12" s="159" t="s">
        <v>7</v>
      </c>
      <c r="D12" s="203"/>
      <c r="E12" s="203"/>
      <c r="F12" s="203"/>
      <c r="G12" s="210"/>
      <c r="H12" s="210"/>
      <c r="I12" s="210"/>
    </row>
    <row r="13" spans="1:9" x14ac:dyDescent="0.25">
      <c r="A13" s="204" t="s">
        <v>243</v>
      </c>
      <c r="B13" s="207" t="s">
        <v>31</v>
      </c>
      <c r="C13" s="156" t="s">
        <v>7</v>
      </c>
      <c r="D13" s="203"/>
      <c r="E13" s="203"/>
      <c r="F13" s="203"/>
      <c r="G13" s="210"/>
      <c r="H13" s="211"/>
      <c r="I13" s="211"/>
    </row>
    <row r="14" spans="1:9" x14ac:dyDescent="0.25">
      <c r="A14" s="204" t="s">
        <v>248</v>
      </c>
      <c r="B14" s="207" t="s">
        <v>31</v>
      </c>
      <c r="C14" s="156" t="s">
        <v>7</v>
      </c>
      <c r="D14" s="203"/>
      <c r="E14" s="203"/>
      <c r="F14" s="203"/>
      <c r="G14" s="210"/>
      <c r="H14" s="211"/>
      <c r="I14" s="211"/>
    </row>
    <row r="15" spans="1:9" x14ac:dyDescent="0.25">
      <c r="A15" s="204" t="s">
        <v>426</v>
      </c>
      <c r="B15" s="207" t="s">
        <v>33</v>
      </c>
      <c r="C15" s="156" t="s">
        <v>7</v>
      </c>
      <c r="D15" s="203"/>
      <c r="E15" s="203"/>
      <c r="F15" s="203"/>
      <c r="G15" s="210"/>
      <c r="H15" s="210"/>
      <c r="I15" s="210"/>
    </row>
    <row r="16" spans="1:9" x14ac:dyDescent="0.25">
      <c r="A16" s="204" t="s">
        <v>426</v>
      </c>
      <c r="B16" s="207" t="s">
        <v>54</v>
      </c>
      <c r="C16" s="156" t="s">
        <v>7</v>
      </c>
      <c r="D16" s="203"/>
      <c r="E16" s="203"/>
      <c r="F16" s="203"/>
      <c r="G16" s="210"/>
      <c r="H16" s="210"/>
      <c r="I16" s="210"/>
    </row>
    <row r="17" spans="1:9" x14ac:dyDescent="0.25">
      <c r="A17" s="204" t="s">
        <v>426</v>
      </c>
      <c r="B17" s="207" t="s">
        <v>57</v>
      </c>
      <c r="C17" s="156" t="s">
        <v>7</v>
      </c>
      <c r="D17" s="203"/>
      <c r="E17" s="203"/>
      <c r="F17" s="203"/>
      <c r="G17" s="210"/>
      <c r="H17" s="210"/>
      <c r="I17" s="210"/>
    </row>
    <row r="18" spans="1:9" s="200" customFormat="1" x14ac:dyDescent="0.25">
      <c r="A18" s="204" t="s">
        <v>252</v>
      </c>
      <c r="B18" s="207" t="s">
        <v>31</v>
      </c>
      <c r="C18" s="156" t="s">
        <v>7</v>
      </c>
      <c r="D18" s="203"/>
      <c r="E18" s="203"/>
      <c r="F18" s="203"/>
      <c r="G18" s="210"/>
      <c r="H18" s="211"/>
      <c r="I18" s="211"/>
    </row>
    <row r="21" spans="1:9" x14ac:dyDescent="0.25">
      <c r="A21" s="204"/>
      <c r="B21" s="207"/>
      <c r="C21" s="156"/>
      <c r="D21" s="203"/>
      <c r="E21" s="203"/>
      <c r="F21" s="203"/>
      <c r="G21" s="203"/>
      <c r="H21" s="203"/>
      <c r="I21" s="203"/>
    </row>
  </sheetData>
  <sortState xmlns:xlrd2="http://schemas.microsoft.com/office/spreadsheetml/2017/richdata2" ref="A7:C18">
    <sortCondition ref="A7:A18"/>
    <sortCondition ref="B7:B18"/>
  </sortState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A5198-BBBF-42FB-BA4B-C45F01C0288B}">
  <dimension ref="A3:H23"/>
  <sheetViews>
    <sheetView workbookViewId="0">
      <selection activeCell="C26" sqref="C26"/>
    </sheetView>
  </sheetViews>
  <sheetFormatPr defaultColWidth="8.90625" defaultRowHeight="12.5" x14ac:dyDescent="0.25"/>
  <cols>
    <col min="1" max="1" width="35.54296875" style="213" bestFit="1" customWidth="1"/>
    <col min="2" max="2" width="7" style="213" customWidth="1"/>
    <col min="3" max="3" width="35.54296875" style="213" bestFit="1" customWidth="1"/>
    <col min="4" max="4" width="23.6328125" style="213" customWidth="1"/>
    <col min="5" max="5" width="12.54296875" style="213" customWidth="1"/>
    <col min="6" max="6" width="20.90625" style="213" customWidth="1"/>
    <col min="7" max="16384" width="8.90625" style="213"/>
  </cols>
  <sheetData>
    <row r="3" spans="1:8" ht="15.5" x14ac:dyDescent="0.35">
      <c r="A3" s="270" t="s">
        <v>461</v>
      </c>
      <c r="B3" s="270"/>
      <c r="C3" s="270"/>
      <c r="D3" s="270"/>
      <c r="E3" s="270"/>
    </row>
    <row r="4" spans="1:8" x14ac:dyDescent="0.25">
      <c r="A4" s="29"/>
    </row>
    <row r="5" spans="1:8" ht="45" customHeight="1" x14ac:dyDescent="0.25">
      <c r="A5" s="241" t="s">
        <v>290</v>
      </c>
      <c r="B5" s="241" t="s">
        <v>97</v>
      </c>
      <c r="C5" s="241" t="s">
        <v>444</v>
      </c>
      <c r="D5" s="241" t="s">
        <v>471</v>
      </c>
      <c r="E5" s="242" t="s">
        <v>470</v>
      </c>
      <c r="F5" s="157" t="s">
        <v>445</v>
      </c>
    </row>
    <row r="6" spans="1:8" ht="15.5" x14ac:dyDescent="0.35">
      <c r="A6" s="243" t="s">
        <v>456</v>
      </c>
      <c r="B6" s="243" t="s">
        <v>52</v>
      </c>
      <c r="C6" s="243" t="s">
        <v>457</v>
      </c>
      <c r="D6" s="244">
        <v>42243</v>
      </c>
      <c r="E6" s="245">
        <f t="shared" ref="E6:E8" si="0">DATE(YEAR(D6)+8,MONTH(D6),DAY(D6))</f>
        <v>45165</v>
      </c>
      <c r="F6" s="258" t="s">
        <v>458</v>
      </c>
    </row>
    <row r="7" spans="1:8" ht="15.5" x14ac:dyDescent="0.35">
      <c r="A7" s="243" t="s">
        <v>456</v>
      </c>
      <c r="B7" s="243" t="s">
        <v>62</v>
      </c>
      <c r="C7" s="243" t="s">
        <v>457</v>
      </c>
      <c r="D7" s="244">
        <v>42380</v>
      </c>
      <c r="E7" s="245">
        <f t="shared" si="0"/>
        <v>45302</v>
      </c>
      <c r="F7" s="258" t="s">
        <v>458</v>
      </c>
    </row>
    <row r="8" spans="1:8" ht="15.5" x14ac:dyDescent="0.35">
      <c r="A8" s="243" t="s">
        <v>459</v>
      </c>
      <c r="B8" s="243" t="s">
        <v>63</v>
      </c>
      <c r="C8" s="243" t="s">
        <v>460</v>
      </c>
      <c r="D8" s="244">
        <v>42228</v>
      </c>
      <c r="E8" s="245">
        <f t="shared" si="0"/>
        <v>45150</v>
      </c>
      <c r="F8" s="258" t="s">
        <v>458</v>
      </c>
    </row>
    <row r="9" spans="1:8" x14ac:dyDescent="0.25">
      <c r="A9" s="204"/>
      <c r="B9" s="207"/>
      <c r="C9" s="240"/>
      <c r="D9" s="203"/>
      <c r="E9" s="203"/>
      <c r="F9" s="210"/>
      <c r="G9" s="211"/>
      <c r="H9" s="211"/>
    </row>
    <row r="11" spans="1:8" ht="36" customHeight="1" x14ac:dyDescent="0.35">
      <c r="A11" s="270" t="s">
        <v>494</v>
      </c>
      <c r="B11" s="270"/>
      <c r="C11" s="270"/>
      <c r="D11" s="270"/>
      <c r="E11" s="270"/>
    </row>
    <row r="12" spans="1:8" ht="14.5" x14ac:dyDescent="0.35">
      <c r="A12" s="271"/>
      <c r="B12" s="271"/>
      <c r="C12" s="271"/>
      <c r="D12" s="271"/>
      <c r="E12" s="271"/>
    </row>
    <row r="13" spans="1:8" ht="14.5" x14ac:dyDescent="0.35">
      <c r="A13" s="271"/>
      <c r="B13" s="271"/>
      <c r="C13" s="271"/>
      <c r="D13" s="271"/>
      <c r="E13" s="271"/>
    </row>
    <row r="14" spans="1:8" ht="14.5" hidden="1" x14ac:dyDescent="0.35">
      <c r="A14" s="272">
        <v>44050</v>
      </c>
      <c r="B14" s="272"/>
      <c r="C14" s="272"/>
      <c r="D14" s="272"/>
      <c r="E14" s="272"/>
    </row>
    <row r="15" spans="1:8" ht="36.65" customHeight="1" x14ac:dyDescent="0.25">
      <c r="A15" s="241" t="s">
        <v>290</v>
      </c>
      <c r="B15" s="241" t="s">
        <v>97</v>
      </c>
      <c r="C15" s="241" t="s">
        <v>444</v>
      </c>
      <c r="D15" s="241" t="s">
        <v>471</v>
      </c>
      <c r="E15" s="242" t="s">
        <v>470</v>
      </c>
      <c r="F15" s="157" t="s">
        <v>445</v>
      </c>
    </row>
    <row r="16" spans="1:8" ht="15.5" x14ac:dyDescent="0.25">
      <c r="A16" s="243" t="s">
        <v>446</v>
      </c>
      <c r="B16" s="243" t="s">
        <v>37</v>
      </c>
      <c r="C16" s="243" t="s">
        <v>447</v>
      </c>
      <c r="D16" s="259">
        <v>41641</v>
      </c>
      <c r="E16" s="260">
        <f>DATE(YEAR(D16)+8,MONTH(D16),DAY(D16))</f>
        <v>44563</v>
      </c>
      <c r="F16" s="261" t="s">
        <v>448</v>
      </c>
    </row>
    <row r="17" spans="1:6" ht="31" x14ac:dyDescent="0.25">
      <c r="A17" s="243" t="s">
        <v>449</v>
      </c>
      <c r="B17" s="243" t="s">
        <v>53</v>
      </c>
      <c r="C17" s="243" t="s">
        <v>450</v>
      </c>
      <c r="D17" s="259">
        <v>41337</v>
      </c>
      <c r="E17" s="260">
        <f t="shared" ref="E17:E23" si="1">DATE(YEAR(D17)+8,MONTH(D17),DAY(D17))</f>
        <v>44259</v>
      </c>
      <c r="F17" s="261" t="s">
        <v>448</v>
      </c>
    </row>
    <row r="18" spans="1:6" ht="31" x14ac:dyDescent="0.25">
      <c r="A18" s="243" t="s">
        <v>451</v>
      </c>
      <c r="B18" s="243" t="s">
        <v>52</v>
      </c>
      <c r="C18" s="243" t="s">
        <v>452</v>
      </c>
      <c r="D18" s="259">
        <v>41641</v>
      </c>
      <c r="E18" s="260">
        <f t="shared" si="1"/>
        <v>44563</v>
      </c>
      <c r="F18" s="261" t="s">
        <v>448</v>
      </c>
    </row>
    <row r="19" spans="1:6" ht="15.5" x14ac:dyDescent="0.25">
      <c r="A19" s="243" t="s">
        <v>373</v>
      </c>
      <c r="B19" s="243" t="s">
        <v>56</v>
      </c>
      <c r="C19" s="243" t="s">
        <v>277</v>
      </c>
      <c r="D19" s="259">
        <v>41312</v>
      </c>
      <c r="E19" s="260">
        <f t="shared" si="1"/>
        <v>44234</v>
      </c>
      <c r="F19" s="261" t="s">
        <v>448</v>
      </c>
    </row>
    <row r="20" spans="1:6" ht="46.5" x14ac:dyDescent="0.25">
      <c r="A20" s="243" t="s">
        <v>496</v>
      </c>
      <c r="B20" s="243" t="s">
        <v>192</v>
      </c>
      <c r="C20" s="243" t="s">
        <v>495</v>
      </c>
      <c r="D20" s="259">
        <v>42097</v>
      </c>
      <c r="E20" s="260">
        <f t="shared" si="1"/>
        <v>45019</v>
      </c>
      <c r="F20" s="261" t="s">
        <v>448</v>
      </c>
    </row>
    <row r="21" spans="1:6" ht="15.5" x14ac:dyDescent="0.25">
      <c r="A21" s="243" t="s">
        <v>181</v>
      </c>
      <c r="B21" s="243" t="s">
        <v>30</v>
      </c>
      <c r="C21" s="243" t="s">
        <v>237</v>
      </c>
      <c r="D21" s="259">
        <v>41929</v>
      </c>
      <c r="E21" s="260">
        <f t="shared" si="1"/>
        <v>44851</v>
      </c>
      <c r="F21" s="261" t="s">
        <v>448</v>
      </c>
    </row>
    <row r="22" spans="1:6" ht="15.5" x14ac:dyDescent="0.25">
      <c r="A22" s="243" t="s">
        <v>8</v>
      </c>
      <c r="B22" s="243" t="s">
        <v>31</v>
      </c>
      <c r="C22" s="243" t="s">
        <v>453</v>
      </c>
      <c r="D22" s="259">
        <v>41460</v>
      </c>
      <c r="E22" s="260">
        <f t="shared" si="1"/>
        <v>44382</v>
      </c>
      <c r="F22" s="261" t="s">
        <v>448</v>
      </c>
    </row>
    <row r="23" spans="1:6" ht="15.5" x14ac:dyDescent="0.25">
      <c r="A23" s="243" t="s">
        <v>454</v>
      </c>
      <c r="B23" s="243" t="s">
        <v>50</v>
      </c>
      <c r="C23" s="243" t="s">
        <v>455</v>
      </c>
      <c r="D23" s="259">
        <v>42055</v>
      </c>
      <c r="E23" s="260">
        <f t="shared" si="1"/>
        <v>44977</v>
      </c>
      <c r="F23" s="261" t="s">
        <v>448</v>
      </c>
    </row>
  </sheetData>
  <mergeCells count="5">
    <mergeCell ref="A11:E11"/>
    <mergeCell ref="A12:E12"/>
    <mergeCell ref="A13:E13"/>
    <mergeCell ref="A14:E14"/>
    <mergeCell ref="A3:E3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L28"/>
  <sheetViews>
    <sheetView topLeftCell="C1" workbookViewId="0">
      <selection activeCell="E3" sqref="E3:I14"/>
    </sheetView>
  </sheetViews>
  <sheetFormatPr defaultRowHeight="12.5" x14ac:dyDescent="0.25"/>
  <cols>
    <col min="1" max="1" width="13.453125" bestFit="1" customWidth="1"/>
    <col min="2" max="2" width="27.81640625" bestFit="1" customWidth="1"/>
    <col min="5" max="5" width="17.453125" customWidth="1"/>
    <col min="6" max="6" width="13" customWidth="1"/>
    <col min="7" max="7" width="12.6328125" customWidth="1"/>
    <col min="8" max="8" width="13.453125" customWidth="1"/>
    <col min="9" max="9" width="13.6328125" customWidth="1"/>
  </cols>
  <sheetData>
    <row r="3" spans="1:12" ht="50" x14ac:dyDescent="0.25">
      <c r="A3" s="146" t="s">
        <v>230</v>
      </c>
      <c r="B3" t="s">
        <v>198</v>
      </c>
      <c r="E3" s="35" t="s">
        <v>199</v>
      </c>
      <c r="F3" s="35" t="s">
        <v>418</v>
      </c>
      <c r="G3" s="35" t="s">
        <v>200</v>
      </c>
      <c r="H3" s="35" t="s">
        <v>201</v>
      </c>
      <c r="I3" s="35" t="s">
        <v>202</v>
      </c>
    </row>
    <row r="4" spans="1:12" ht="14.5" x14ac:dyDescent="0.35">
      <c r="A4" s="147">
        <v>1</v>
      </c>
      <c r="B4" s="148">
        <v>18700</v>
      </c>
      <c r="E4" s="147">
        <v>1</v>
      </c>
      <c r="F4" s="215">
        <f>'Present Value Costs'!B3</f>
        <v>23800</v>
      </c>
      <c r="G4" s="216">
        <f>$F4*0.1*0.5</f>
        <v>1190</v>
      </c>
      <c r="H4" s="216">
        <f>$F4*0.1*0.25</f>
        <v>595</v>
      </c>
      <c r="I4" s="216">
        <f>$F4*0.1*0.25</f>
        <v>595</v>
      </c>
    </row>
    <row r="5" spans="1:12" ht="14.5" x14ac:dyDescent="0.35">
      <c r="A5" s="147">
        <v>2</v>
      </c>
      <c r="B5" s="148">
        <v>21100</v>
      </c>
      <c r="E5" s="147">
        <v>2</v>
      </c>
      <c r="F5" s="215">
        <f>'Present Value Costs'!B4</f>
        <v>26100</v>
      </c>
      <c r="G5" s="216">
        <f t="shared" ref="G5:G12" si="0">$F5*0.1*0.5</f>
        <v>1305</v>
      </c>
      <c r="H5" s="216">
        <f t="shared" ref="H5:I12" si="1">$F5*0.1*0.25</f>
        <v>652.5</v>
      </c>
      <c r="I5" s="216">
        <f t="shared" si="1"/>
        <v>652.5</v>
      </c>
    </row>
    <row r="6" spans="1:12" ht="14.5" x14ac:dyDescent="0.35">
      <c r="A6" s="147">
        <v>3</v>
      </c>
      <c r="B6" s="148">
        <v>7600</v>
      </c>
      <c r="E6" s="147">
        <v>3</v>
      </c>
      <c r="F6" s="215">
        <f>'Present Value Costs'!B5</f>
        <v>32600</v>
      </c>
      <c r="G6" s="216">
        <f t="shared" si="0"/>
        <v>1630</v>
      </c>
      <c r="H6" s="216">
        <f t="shared" si="1"/>
        <v>815</v>
      </c>
      <c r="I6" s="216">
        <f t="shared" si="1"/>
        <v>815</v>
      </c>
    </row>
    <row r="7" spans="1:12" ht="14.5" x14ac:dyDescent="0.35">
      <c r="A7" s="147">
        <v>4</v>
      </c>
      <c r="B7" s="148">
        <v>300</v>
      </c>
      <c r="E7" s="147">
        <v>4</v>
      </c>
      <c r="F7" s="215">
        <f>'Present Value Costs'!B6</f>
        <v>10800</v>
      </c>
      <c r="G7" s="216">
        <f t="shared" si="0"/>
        <v>540</v>
      </c>
      <c r="H7" s="216">
        <f t="shared" si="1"/>
        <v>270</v>
      </c>
      <c r="I7" s="216">
        <f t="shared" si="1"/>
        <v>270</v>
      </c>
    </row>
    <row r="8" spans="1:12" ht="14.5" x14ac:dyDescent="0.35">
      <c r="A8" s="147">
        <v>5</v>
      </c>
      <c r="B8" s="148">
        <v>46600</v>
      </c>
      <c r="E8" s="147">
        <v>5</v>
      </c>
      <c r="F8" s="215">
        <f>'Present Value Costs'!B7</f>
        <v>81500</v>
      </c>
      <c r="G8" s="216">
        <f t="shared" si="0"/>
        <v>4075</v>
      </c>
      <c r="H8" s="216">
        <f t="shared" si="1"/>
        <v>2037.5</v>
      </c>
      <c r="I8" s="216">
        <f t="shared" si="1"/>
        <v>2037.5</v>
      </c>
    </row>
    <row r="9" spans="1:12" ht="14.5" x14ac:dyDescent="0.35">
      <c r="A9" s="147">
        <v>6</v>
      </c>
      <c r="B9" s="148">
        <v>20400</v>
      </c>
      <c r="E9" s="147">
        <v>6</v>
      </c>
      <c r="F9" s="215">
        <f>'Present Value Costs'!B8</f>
        <v>25400</v>
      </c>
      <c r="G9" s="216">
        <f t="shared" si="0"/>
        <v>1270</v>
      </c>
      <c r="H9" s="216">
        <f t="shared" si="1"/>
        <v>635</v>
      </c>
      <c r="I9" s="216">
        <f t="shared" si="1"/>
        <v>635</v>
      </c>
    </row>
    <row r="10" spans="1:12" ht="14.5" x14ac:dyDescent="0.35">
      <c r="A10" s="147">
        <v>7</v>
      </c>
      <c r="B10" s="148">
        <v>100</v>
      </c>
      <c r="E10" s="147">
        <v>7</v>
      </c>
      <c r="F10" s="215">
        <f>'Present Value Costs'!B9</f>
        <v>5200</v>
      </c>
      <c r="G10" s="216">
        <f t="shared" si="0"/>
        <v>260</v>
      </c>
      <c r="H10" s="216">
        <f t="shared" si="1"/>
        <v>130</v>
      </c>
      <c r="I10" s="216">
        <f t="shared" si="1"/>
        <v>130</v>
      </c>
    </row>
    <row r="11" spans="1:12" ht="14.5" x14ac:dyDescent="0.35">
      <c r="A11" s="147">
        <v>8</v>
      </c>
      <c r="B11" s="148">
        <v>10400</v>
      </c>
      <c r="E11" s="147">
        <v>8</v>
      </c>
      <c r="F11" s="215">
        <f>'Present Value Costs'!B10</f>
        <v>20400</v>
      </c>
      <c r="G11" s="216">
        <f t="shared" si="0"/>
        <v>1020</v>
      </c>
      <c r="H11" s="216">
        <f t="shared" si="1"/>
        <v>510</v>
      </c>
      <c r="I11" s="216">
        <f t="shared" si="1"/>
        <v>510</v>
      </c>
    </row>
    <row r="12" spans="1:12" ht="14.5" x14ac:dyDescent="0.35">
      <c r="A12" s="147">
        <v>9</v>
      </c>
      <c r="B12" s="148">
        <v>116300</v>
      </c>
      <c r="E12" s="147">
        <v>9</v>
      </c>
      <c r="F12" s="215">
        <f>'Present Value Costs'!B11</f>
        <v>131600</v>
      </c>
      <c r="G12" s="216">
        <f t="shared" si="0"/>
        <v>6580</v>
      </c>
      <c r="H12" s="216">
        <f t="shared" si="1"/>
        <v>3290</v>
      </c>
      <c r="I12" s="216">
        <f t="shared" si="1"/>
        <v>3290</v>
      </c>
    </row>
    <row r="13" spans="1:12" x14ac:dyDescent="0.25">
      <c r="A13" s="147" t="s">
        <v>190</v>
      </c>
      <c r="B13" s="148">
        <v>241500</v>
      </c>
      <c r="E13" t="s">
        <v>235</v>
      </c>
      <c r="F13" s="217"/>
      <c r="G13" s="216">
        <f>$K13*0.5</f>
        <v>12600</v>
      </c>
      <c r="H13" s="216">
        <f>$K13*0.25</f>
        <v>6300</v>
      </c>
      <c r="I13" s="216">
        <f>$K13*0.25</f>
        <v>6300</v>
      </c>
      <c r="K13" s="168">
        <f>'Final State Summary'!AK67</f>
        <v>25200</v>
      </c>
      <c r="L13" s="29" t="s">
        <v>432</v>
      </c>
    </row>
    <row r="14" spans="1:12" x14ac:dyDescent="0.25">
      <c r="E14" t="s">
        <v>190</v>
      </c>
      <c r="F14" s="216">
        <f>SUM(F4:F13)</f>
        <v>357400</v>
      </c>
      <c r="G14" s="216">
        <f>SUM(G4:G13)</f>
        <v>30470</v>
      </c>
      <c r="H14" s="216">
        <f>SUM(H4:H13)</f>
        <v>15235</v>
      </c>
      <c r="I14" s="216">
        <f>SUM(I4:I13)</f>
        <v>15235</v>
      </c>
      <c r="K14" s="106">
        <f>SUM(G14:I14)</f>
        <v>60940</v>
      </c>
      <c r="L14" s="29" t="s">
        <v>434</v>
      </c>
    </row>
    <row r="18" spans="5:11" x14ac:dyDescent="0.25">
      <c r="F18" s="169" t="s">
        <v>469</v>
      </c>
      <c r="G18" s="155"/>
      <c r="H18" s="155"/>
      <c r="I18" s="155"/>
      <c r="J18" s="155"/>
    </row>
    <row r="19" spans="5:11" s="208" customFormat="1" x14ac:dyDescent="0.25">
      <c r="F19" s="169"/>
      <c r="G19" s="155"/>
      <c r="H19" s="155"/>
      <c r="I19" s="155"/>
      <c r="J19" s="155"/>
    </row>
    <row r="20" spans="5:11" ht="61.25" customHeight="1" x14ac:dyDescent="0.25">
      <c r="E20" s="61" t="s">
        <v>433</v>
      </c>
      <c r="F20" s="106">
        <f>F14*0.1</f>
        <v>35740</v>
      </c>
    </row>
    <row r="21" spans="5:11" ht="13.75" customHeight="1" x14ac:dyDescent="0.25">
      <c r="E21" t="s">
        <v>429</v>
      </c>
    </row>
    <row r="22" spans="5:11" x14ac:dyDescent="0.25">
      <c r="G22" s="106">
        <f>($F$20*0.375) + ($K$13*0.375)</f>
        <v>22852.5</v>
      </c>
      <c r="H22" s="106">
        <f t="shared" ref="H22" si="2">($F$20*0.375) + ($K$13*0.375)</f>
        <v>22852.5</v>
      </c>
      <c r="I22" s="106">
        <f>($F$20*0.25) + ($K$13*0.25)</f>
        <v>15235</v>
      </c>
      <c r="K22" s="106">
        <f>SUM(G22:J22)</f>
        <v>60940</v>
      </c>
    </row>
    <row r="23" spans="5:11" s="208" customFormat="1" x14ac:dyDescent="0.25">
      <c r="G23" s="106"/>
      <c r="H23" s="106"/>
      <c r="I23" s="106"/>
      <c r="K23" s="106"/>
    </row>
    <row r="24" spans="5:11" ht="37.5" x14ac:dyDescent="0.25">
      <c r="E24" s="61" t="s">
        <v>430</v>
      </c>
      <c r="F24" s="106">
        <f>F20*0.1</f>
        <v>3574</v>
      </c>
    </row>
    <row r="25" spans="5:11" x14ac:dyDescent="0.25">
      <c r="E25" s="208" t="s">
        <v>431</v>
      </c>
    </row>
    <row r="26" spans="5:11" x14ac:dyDescent="0.25">
      <c r="G26" s="106">
        <f>G14*0.1</f>
        <v>3047</v>
      </c>
      <c r="H26" s="106">
        <f t="shared" ref="H26:I26" si="3">H14*0.1</f>
        <v>1523.5</v>
      </c>
      <c r="I26" s="106">
        <f t="shared" si="3"/>
        <v>1523.5</v>
      </c>
      <c r="K26" s="106">
        <f>SUM(G26:J26)</f>
        <v>6094</v>
      </c>
    </row>
    <row r="28" spans="5:11" x14ac:dyDescent="0.25">
      <c r="K28" s="106">
        <f>SUM(K22:K26)</f>
        <v>67034</v>
      </c>
    </row>
  </sheetData>
  <pageMargins left="0.7" right="0.7" top="0.75" bottom="0.75" header="0.3" footer="0.3"/>
  <pageSetup orientation="portrait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52"/>
  <sheetViews>
    <sheetView topLeftCell="A14" zoomScaleNormal="100" workbookViewId="0">
      <selection sqref="A1:C52"/>
    </sheetView>
  </sheetViews>
  <sheetFormatPr defaultRowHeight="12.5" x14ac:dyDescent="0.25"/>
  <cols>
    <col min="2" max="2" width="18" bestFit="1" customWidth="1"/>
    <col min="3" max="3" width="14.90625" customWidth="1"/>
  </cols>
  <sheetData>
    <row r="1" spans="1:3" x14ac:dyDescent="0.25">
      <c r="A1" s="29" t="s">
        <v>157</v>
      </c>
      <c r="B1" s="29" t="s">
        <v>97</v>
      </c>
      <c r="C1" s="29" t="s">
        <v>158</v>
      </c>
    </row>
    <row r="2" spans="1:3" x14ac:dyDescent="0.25">
      <c r="A2" t="s">
        <v>100</v>
      </c>
      <c r="B2" s="29" t="s">
        <v>106</v>
      </c>
      <c r="C2">
        <v>10</v>
      </c>
    </row>
    <row r="3" spans="1:3" x14ac:dyDescent="0.25">
      <c r="A3" t="s">
        <v>28</v>
      </c>
      <c r="B3" s="29" t="s">
        <v>107</v>
      </c>
      <c r="C3">
        <v>4</v>
      </c>
    </row>
    <row r="4" spans="1:3" x14ac:dyDescent="0.25">
      <c r="A4" t="s">
        <v>29</v>
      </c>
      <c r="B4" s="29" t="s">
        <v>108</v>
      </c>
      <c r="C4">
        <v>6</v>
      </c>
    </row>
    <row r="5" spans="1:3" x14ac:dyDescent="0.25">
      <c r="A5" t="s">
        <v>30</v>
      </c>
      <c r="B5" s="29" t="s">
        <v>117</v>
      </c>
      <c r="C5">
        <v>9</v>
      </c>
    </row>
    <row r="6" spans="1:3" x14ac:dyDescent="0.25">
      <c r="A6" t="s">
        <v>31</v>
      </c>
      <c r="B6" s="29" t="s">
        <v>116</v>
      </c>
      <c r="C6">
        <v>9</v>
      </c>
    </row>
    <row r="7" spans="1:3" x14ac:dyDescent="0.25">
      <c r="A7" t="s">
        <v>32</v>
      </c>
      <c r="B7" s="29" t="s">
        <v>115</v>
      </c>
      <c r="C7">
        <v>8</v>
      </c>
    </row>
    <row r="8" spans="1:3" x14ac:dyDescent="0.25">
      <c r="A8" t="s">
        <v>33</v>
      </c>
      <c r="B8" s="29" t="s">
        <v>114</v>
      </c>
      <c r="C8">
        <v>1</v>
      </c>
    </row>
    <row r="9" spans="1:3" x14ac:dyDescent="0.25">
      <c r="A9" t="s">
        <v>34</v>
      </c>
      <c r="B9" s="29" t="s">
        <v>113</v>
      </c>
      <c r="C9">
        <v>3</v>
      </c>
    </row>
    <row r="10" spans="1:3" x14ac:dyDescent="0.25">
      <c r="A10" t="s">
        <v>35</v>
      </c>
      <c r="B10" s="29" t="s">
        <v>112</v>
      </c>
      <c r="C10">
        <v>3</v>
      </c>
    </row>
    <row r="11" spans="1:3" x14ac:dyDescent="0.25">
      <c r="A11" t="s">
        <v>36</v>
      </c>
      <c r="B11" s="29" t="s">
        <v>111</v>
      </c>
      <c r="C11">
        <v>4</v>
      </c>
    </row>
    <row r="12" spans="1:3" x14ac:dyDescent="0.25">
      <c r="A12" t="s">
        <v>37</v>
      </c>
      <c r="B12" s="29" t="s">
        <v>110</v>
      </c>
      <c r="C12">
        <v>4</v>
      </c>
    </row>
    <row r="13" spans="1:3" x14ac:dyDescent="0.25">
      <c r="A13" t="s">
        <v>101</v>
      </c>
      <c r="B13" s="29" t="s">
        <v>109</v>
      </c>
      <c r="C13">
        <v>9</v>
      </c>
    </row>
    <row r="14" spans="1:3" x14ac:dyDescent="0.25">
      <c r="A14" t="s">
        <v>38</v>
      </c>
      <c r="B14" s="29" t="s">
        <v>118</v>
      </c>
      <c r="C14">
        <v>7</v>
      </c>
    </row>
    <row r="15" spans="1:3" x14ac:dyDescent="0.25">
      <c r="A15" t="s">
        <v>39</v>
      </c>
      <c r="B15" s="29" t="s">
        <v>119</v>
      </c>
      <c r="C15">
        <v>10</v>
      </c>
    </row>
    <row r="16" spans="1:3" x14ac:dyDescent="0.25">
      <c r="A16" t="s">
        <v>40</v>
      </c>
      <c r="B16" s="29" t="s">
        <v>120</v>
      </c>
      <c r="C16">
        <v>5</v>
      </c>
    </row>
    <row r="17" spans="1:3" x14ac:dyDescent="0.25">
      <c r="A17" t="s">
        <v>41</v>
      </c>
      <c r="B17" s="29" t="s">
        <v>121</v>
      </c>
      <c r="C17">
        <v>5</v>
      </c>
    </row>
    <row r="18" spans="1:3" x14ac:dyDescent="0.25">
      <c r="A18" t="s">
        <v>42</v>
      </c>
      <c r="B18" s="29" t="s">
        <v>122</v>
      </c>
      <c r="C18">
        <v>7</v>
      </c>
    </row>
    <row r="19" spans="1:3" x14ac:dyDescent="0.25">
      <c r="A19" t="s">
        <v>43</v>
      </c>
      <c r="B19" s="29" t="s">
        <v>123</v>
      </c>
      <c r="C19">
        <v>4</v>
      </c>
    </row>
    <row r="20" spans="1:3" x14ac:dyDescent="0.25">
      <c r="A20" t="s">
        <v>44</v>
      </c>
      <c r="B20" s="29" t="s">
        <v>124</v>
      </c>
      <c r="C20">
        <v>6</v>
      </c>
    </row>
    <row r="21" spans="1:3" x14ac:dyDescent="0.25">
      <c r="A21" t="s">
        <v>45</v>
      </c>
      <c r="B21" s="29" t="s">
        <v>125</v>
      </c>
      <c r="C21">
        <v>1</v>
      </c>
    </row>
    <row r="22" spans="1:3" x14ac:dyDescent="0.25">
      <c r="A22" t="s">
        <v>47</v>
      </c>
      <c r="B22" s="29" t="s">
        <v>126</v>
      </c>
      <c r="C22">
        <v>1</v>
      </c>
    </row>
    <row r="23" spans="1:3" x14ac:dyDescent="0.25">
      <c r="A23" t="s">
        <v>46</v>
      </c>
      <c r="B23" s="29" t="s">
        <v>127</v>
      </c>
      <c r="C23">
        <v>3</v>
      </c>
    </row>
    <row r="24" spans="1:3" x14ac:dyDescent="0.25">
      <c r="A24" t="s">
        <v>48</v>
      </c>
      <c r="B24" s="29" t="s">
        <v>128</v>
      </c>
      <c r="C24">
        <v>5</v>
      </c>
    </row>
    <row r="25" spans="1:3" x14ac:dyDescent="0.25">
      <c r="A25" t="s">
        <v>49</v>
      </c>
      <c r="B25" s="29" t="s">
        <v>129</v>
      </c>
      <c r="C25">
        <v>5</v>
      </c>
    </row>
    <row r="26" spans="1:3" x14ac:dyDescent="0.25">
      <c r="A26" t="s">
        <v>50</v>
      </c>
      <c r="B26" s="29" t="s">
        <v>130</v>
      </c>
      <c r="C26">
        <v>7</v>
      </c>
    </row>
    <row r="27" spans="1:3" x14ac:dyDescent="0.25">
      <c r="A27" t="s">
        <v>51</v>
      </c>
      <c r="B27" s="29" t="s">
        <v>131</v>
      </c>
      <c r="C27">
        <v>4</v>
      </c>
    </row>
    <row r="28" spans="1:3" x14ac:dyDescent="0.25">
      <c r="A28" t="s">
        <v>102</v>
      </c>
      <c r="B28" s="29" t="s">
        <v>132</v>
      </c>
      <c r="C28">
        <v>8</v>
      </c>
    </row>
    <row r="29" spans="1:3" x14ac:dyDescent="0.25">
      <c r="A29" t="s">
        <v>52</v>
      </c>
      <c r="B29" s="29" t="s">
        <v>133</v>
      </c>
      <c r="C29">
        <v>4</v>
      </c>
    </row>
    <row r="30" spans="1:3" x14ac:dyDescent="0.25">
      <c r="A30" t="s">
        <v>103</v>
      </c>
      <c r="B30" s="29" t="s">
        <v>134</v>
      </c>
      <c r="C30">
        <v>8</v>
      </c>
    </row>
    <row r="31" spans="1:3" x14ac:dyDescent="0.25">
      <c r="A31" t="s">
        <v>104</v>
      </c>
      <c r="B31" s="29" t="s">
        <v>135</v>
      </c>
      <c r="C31">
        <v>7</v>
      </c>
    </row>
    <row r="32" spans="1:3" x14ac:dyDescent="0.25">
      <c r="A32" t="s">
        <v>53</v>
      </c>
      <c r="B32" s="29" t="s">
        <v>136</v>
      </c>
      <c r="C32">
        <v>1</v>
      </c>
    </row>
    <row r="33" spans="1:3" x14ac:dyDescent="0.25">
      <c r="A33" t="s">
        <v>54</v>
      </c>
      <c r="B33" s="29" t="s">
        <v>137</v>
      </c>
      <c r="C33">
        <v>2</v>
      </c>
    </row>
    <row r="34" spans="1:3" x14ac:dyDescent="0.25">
      <c r="A34" t="s">
        <v>55</v>
      </c>
      <c r="B34" s="29" t="s">
        <v>138</v>
      </c>
      <c r="C34">
        <v>6</v>
      </c>
    </row>
    <row r="35" spans="1:3" x14ac:dyDescent="0.25">
      <c r="A35" t="s">
        <v>56</v>
      </c>
      <c r="B35" s="29" t="s">
        <v>139</v>
      </c>
      <c r="C35">
        <v>9</v>
      </c>
    </row>
    <row r="36" spans="1:3" x14ac:dyDescent="0.25">
      <c r="A36" t="s">
        <v>57</v>
      </c>
      <c r="B36" s="29" t="s">
        <v>140</v>
      </c>
      <c r="C36">
        <v>2</v>
      </c>
    </row>
    <row r="37" spans="1:3" x14ac:dyDescent="0.25">
      <c r="A37" t="s">
        <v>58</v>
      </c>
      <c r="B37" s="29" t="s">
        <v>141</v>
      </c>
      <c r="C37">
        <v>5</v>
      </c>
    </row>
    <row r="38" spans="1:3" x14ac:dyDescent="0.25">
      <c r="A38" t="s">
        <v>59</v>
      </c>
      <c r="B38" s="29" t="s">
        <v>142</v>
      </c>
      <c r="C38">
        <v>6</v>
      </c>
    </row>
    <row r="39" spans="1:3" x14ac:dyDescent="0.25">
      <c r="A39" t="s">
        <v>60</v>
      </c>
      <c r="B39" s="29" t="s">
        <v>143</v>
      </c>
      <c r="C39">
        <v>10</v>
      </c>
    </row>
    <row r="40" spans="1:3" x14ac:dyDescent="0.25">
      <c r="A40" t="s">
        <v>61</v>
      </c>
      <c r="B40" s="29" t="s">
        <v>144</v>
      </c>
      <c r="C40">
        <v>3</v>
      </c>
    </row>
    <row r="41" spans="1:3" x14ac:dyDescent="0.25">
      <c r="A41" t="s">
        <v>98</v>
      </c>
      <c r="B41" s="29" t="s">
        <v>145</v>
      </c>
      <c r="C41">
        <v>1</v>
      </c>
    </row>
    <row r="42" spans="1:3" x14ac:dyDescent="0.25">
      <c r="A42" t="s">
        <v>62</v>
      </c>
      <c r="B42" s="29" t="s">
        <v>146</v>
      </c>
      <c r="C42">
        <v>4</v>
      </c>
    </row>
    <row r="43" spans="1:3" x14ac:dyDescent="0.25">
      <c r="A43" t="s">
        <v>105</v>
      </c>
      <c r="B43" s="29" t="s">
        <v>147</v>
      </c>
      <c r="C43">
        <v>8</v>
      </c>
    </row>
    <row r="44" spans="1:3" x14ac:dyDescent="0.25">
      <c r="A44" t="s">
        <v>63</v>
      </c>
      <c r="B44" s="29" t="s">
        <v>148</v>
      </c>
      <c r="C44">
        <v>4</v>
      </c>
    </row>
    <row r="45" spans="1:3" x14ac:dyDescent="0.25">
      <c r="A45" t="s">
        <v>64</v>
      </c>
      <c r="B45" s="29" t="s">
        <v>149</v>
      </c>
      <c r="C45">
        <v>6</v>
      </c>
    </row>
    <row r="46" spans="1:3" x14ac:dyDescent="0.25">
      <c r="A46" t="s">
        <v>65</v>
      </c>
      <c r="B46" s="29" t="s">
        <v>150</v>
      </c>
      <c r="C46">
        <v>8</v>
      </c>
    </row>
    <row r="47" spans="1:3" x14ac:dyDescent="0.25">
      <c r="A47" t="s">
        <v>67</v>
      </c>
      <c r="B47" s="29" t="s">
        <v>151</v>
      </c>
      <c r="C47">
        <v>1</v>
      </c>
    </row>
    <row r="48" spans="1:3" x14ac:dyDescent="0.25">
      <c r="A48" t="s">
        <v>66</v>
      </c>
      <c r="B48" s="29" t="s">
        <v>152</v>
      </c>
      <c r="C48">
        <v>3</v>
      </c>
    </row>
    <row r="49" spans="1:3" x14ac:dyDescent="0.25">
      <c r="A49" t="s">
        <v>68</v>
      </c>
      <c r="B49" s="29" t="s">
        <v>153</v>
      </c>
      <c r="C49">
        <v>10</v>
      </c>
    </row>
    <row r="50" spans="1:3" x14ac:dyDescent="0.25">
      <c r="A50" t="s">
        <v>69</v>
      </c>
      <c r="B50" s="29" t="s">
        <v>154</v>
      </c>
      <c r="C50">
        <v>5</v>
      </c>
    </row>
    <row r="51" spans="1:3" x14ac:dyDescent="0.25">
      <c r="A51" t="s">
        <v>70</v>
      </c>
      <c r="B51" s="29" t="s">
        <v>155</v>
      </c>
      <c r="C51">
        <v>3</v>
      </c>
    </row>
    <row r="52" spans="1:3" x14ac:dyDescent="0.25">
      <c r="A52" t="s">
        <v>71</v>
      </c>
      <c r="B52" s="29" t="s">
        <v>156</v>
      </c>
      <c r="C52">
        <v>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3:N50"/>
  <sheetViews>
    <sheetView topLeftCell="A35" workbookViewId="0">
      <selection activeCell="M49" sqref="M49"/>
    </sheetView>
  </sheetViews>
  <sheetFormatPr defaultRowHeight="12.5" x14ac:dyDescent="0.25"/>
  <cols>
    <col min="1" max="1" width="41.6328125" customWidth="1"/>
    <col min="4" max="4" width="11.36328125" customWidth="1"/>
    <col min="7" max="7" width="14" customWidth="1"/>
    <col min="8" max="8" width="1.453125" customWidth="1"/>
    <col min="9" max="9" width="15.90625" customWidth="1"/>
    <col min="10" max="10" width="14.6328125" customWidth="1"/>
    <col min="12" max="12" width="2" customWidth="1"/>
    <col min="13" max="13" width="18.08984375" customWidth="1"/>
  </cols>
  <sheetData>
    <row r="3" spans="1:14" ht="12.75" customHeight="1" x14ac:dyDescent="0.25">
      <c r="B3" s="273" t="s">
        <v>211</v>
      </c>
      <c r="C3" s="273"/>
      <c r="D3" s="273"/>
      <c r="E3" s="273"/>
      <c r="F3" s="273"/>
      <c r="G3" s="273"/>
      <c r="I3" s="273" t="s">
        <v>212</v>
      </c>
      <c r="J3" s="273"/>
      <c r="K3" s="273"/>
      <c r="L3" s="113"/>
      <c r="M3" s="277" t="s">
        <v>217</v>
      </c>
      <c r="N3" s="112"/>
    </row>
    <row r="4" spans="1:14" ht="57.75" customHeight="1" x14ac:dyDescent="0.3">
      <c r="A4" s="114" t="s">
        <v>204</v>
      </c>
      <c r="B4" s="109" t="s">
        <v>221</v>
      </c>
      <c r="C4" s="109" t="s">
        <v>222</v>
      </c>
      <c r="D4" s="109" t="s">
        <v>207</v>
      </c>
      <c r="E4" s="109" t="s">
        <v>223</v>
      </c>
      <c r="F4" s="109" t="s">
        <v>208</v>
      </c>
      <c r="G4" s="110" t="s">
        <v>210</v>
      </c>
      <c r="H4" s="108"/>
      <c r="I4" s="109" t="s">
        <v>213</v>
      </c>
      <c r="J4" s="109" t="s">
        <v>214</v>
      </c>
      <c r="K4" s="109" t="s">
        <v>215</v>
      </c>
      <c r="M4" s="276"/>
    </row>
    <row r="5" spans="1:14" x14ac:dyDescent="0.25">
      <c r="A5" s="30"/>
      <c r="B5" s="30"/>
      <c r="C5" s="30"/>
      <c r="D5" s="30"/>
      <c r="E5" s="30"/>
      <c r="F5" s="30"/>
      <c r="G5" s="30"/>
      <c r="I5" s="30"/>
      <c r="J5" s="30"/>
      <c r="K5" s="30"/>
      <c r="M5" s="30"/>
    </row>
    <row r="6" spans="1:14" x14ac:dyDescent="0.25">
      <c r="A6" s="30" t="s">
        <v>203</v>
      </c>
      <c r="B6" s="30"/>
      <c r="C6" s="30"/>
      <c r="D6" s="30"/>
      <c r="E6" s="30"/>
      <c r="F6" s="30"/>
      <c r="G6" s="30"/>
      <c r="I6" s="30"/>
      <c r="J6" s="30"/>
      <c r="K6" s="30"/>
      <c r="M6" s="30"/>
    </row>
    <row r="7" spans="1:14" x14ac:dyDescent="0.25">
      <c r="A7" s="30"/>
      <c r="B7" s="30"/>
      <c r="C7" s="30"/>
      <c r="D7" s="30"/>
      <c r="E7" s="30"/>
      <c r="F7" s="30"/>
      <c r="G7" s="30"/>
      <c r="I7" s="30"/>
      <c r="J7" s="30"/>
      <c r="K7" s="30"/>
      <c r="M7" s="30"/>
    </row>
    <row r="8" spans="1:14" ht="25" x14ac:dyDescent="0.25">
      <c r="A8" s="115" t="s">
        <v>205</v>
      </c>
      <c r="B8" s="30"/>
      <c r="C8" s="30"/>
      <c r="D8" s="30"/>
      <c r="E8" s="30"/>
      <c r="F8" s="30"/>
      <c r="G8" s="30"/>
      <c r="I8" s="30"/>
      <c r="J8" s="30"/>
      <c r="K8" s="30"/>
      <c r="M8" s="30"/>
    </row>
    <row r="9" spans="1:14" x14ac:dyDescent="0.25">
      <c r="A9" s="30"/>
      <c r="B9" s="30"/>
      <c r="C9" s="30"/>
      <c r="D9" s="30"/>
      <c r="E9" s="30"/>
      <c r="F9" s="30"/>
      <c r="G9" s="30"/>
      <c r="I9" s="30"/>
      <c r="J9" s="30"/>
      <c r="K9" s="30"/>
      <c r="M9" s="30"/>
    </row>
    <row r="10" spans="1:14" x14ac:dyDescent="0.25">
      <c r="A10" s="116" t="s">
        <v>206</v>
      </c>
      <c r="B10" s="111">
        <v>33.340000000000003</v>
      </c>
      <c r="C10" s="111">
        <v>47.51</v>
      </c>
      <c r="D10" s="111"/>
      <c r="E10" s="111">
        <v>22.17</v>
      </c>
      <c r="F10" s="30"/>
      <c r="G10" s="30"/>
      <c r="I10" s="30"/>
      <c r="J10" s="30"/>
      <c r="K10" s="30"/>
      <c r="M10" s="30"/>
    </row>
    <row r="11" spans="1:14" x14ac:dyDescent="0.25">
      <c r="A11" s="30"/>
      <c r="B11" s="30"/>
      <c r="C11" s="30"/>
      <c r="D11" s="30"/>
      <c r="E11" s="30"/>
      <c r="F11" s="30"/>
      <c r="G11" s="30"/>
      <c r="I11" s="30"/>
      <c r="J11" s="30"/>
      <c r="K11" s="30"/>
      <c r="M11" s="30"/>
    </row>
    <row r="12" spans="1:14" x14ac:dyDescent="0.25">
      <c r="A12" s="116" t="s">
        <v>209</v>
      </c>
      <c r="B12" s="111">
        <f>B10</f>
        <v>33.340000000000003</v>
      </c>
      <c r="C12" s="30"/>
      <c r="D12" s="111">
        <f>C10/11</f>
        <v>4.3190909090909093</v>
      </c>
      <c r="E12" s="30"/>
      <c r="F12" s="111">
        <f>E10/8</f>
        <v>2.7712500000000002</v>
      </c>
      <c r="G12" s="30"/>
      <c r="I12" s="30"/>
      <c r="J12" s="30"/>
      <c r="K12" s="30"/>
      <c r="M12" s="30"/>
    </row>
    <row r="13" spans="1:14" x14ac:dyDescent="0.25">
      <c r="A13" s="30"/>
      <c r="B13" s="30"/>
      <c r="C13" s="30"/>
      <c r="D13" s="30"/>
      <c r="E13" s="30"/>
      <c r="F13" s="30"/>
      <c r="G13" s="30"/>
      <c r="I13" s="30"/>
      <c r="J13" s="30"/>
      <c r="K13" s="30"/>
      <c r="M13" s="30"/>
    </row>
    <row r="14" spans="1:14" x14ac:dyDescent="0.25">
      <c r="A14" s="116" t="s">
        <v>210</v>
      </c>
      <c r="B14" s="30"/>
      <c r="C14" s="30"/>
      <c r="D14" s="30"/>
      <c r="E14" s="30"/>
      <c r="F14" s="30"/>
      <c r="G14" s="111">
        <f>B12+D12+F12</f>
        <v>40.430340909090916</v>
      </c>
      <c r="I14" s="111">
        <f>G14*0.16</f>
        <v>6.4688545454545467</v>
      </c>
      <c r="J14" s="111">
        <f>G14*0.1</f>
        <v>4.0430340909090914</v>
      </c>
      <c r="K14" s="111">
        <f>G14*0.32</f>
        <v>12.937709090909093</v>
      </c>
      <c r="M14" s="117">
        <f>G14+I14+J14+K14</f>
        <v>63.879938636363647</v>
      </c>
    </row>
    <row r="15" spans="1:14" x14ac:dyDescent="0.25">
      <c r="J15" t="s">
        <v>96</v>
      </c>
      <c r="K15" s="107">
        <f>I14+J14+K14</f>
        <v>23.449597727272732</v>
      </c>
      <c r="M15" s="120"/>
    </row>
    <row r="16" spans="1:14" x14ac:dyDescent="0.25">
      <c r="D16" s="122" t="s">
        <v>216</v>
      </c>
      <c r="M16" s="120"/>
    </row>
    <row r="17" spans="1:13" x14ac:dyDescent="0.25">
      <c r="G17" s="117">
        <v>41.2</v>
      </c>
      <c r="I17" s="117">
        <f>G17*0.16</f>
        <v>6.5920000000000005</v>
      </c>
      <c r="J17" s="117">
        <f>G17*0.1</f>
        <v>4.12</v>
      </c>
      <c r="K17" s="117">
        <f>G17*0.32</f>
        <v>13.184000000000001</v>
      </c>
      <c r="M17" s="121">
        <f>G17+I17+J17+K17</f>
        <v>65.096000000000004</v>
      </c>
    </row>
    <row r="18" spans="1:13" x14ac:dyDescent="0.25">
      <c r="G18" s="119"/>
      <c r="H18" s="120"/>
      <c r="I18" s="119"/>
      <c r="J18" t="s">
        <v>96</v>
      </c>
      <c r="K18" s="107">
        <f>I17+J17+K17</f>
        <v>23.896000000000001</v>
      </c>
      <c r="L18" s="120"/>
      <c r="M18" s="119"/>
    </row>
    <row r="19" spans="1:13" x14ac:dyDescent="0.25">
      <c r="G19" s="119"/>
      <c r="H19" s="120"/>
      <c r="I19" s="119"/>
      <c r="J19" s="119"/>
      <c r="K19" s="119"/>
      <c r="L19" s="120"/>
      <c r="M19" s="119"/>
    </row>
    <row r="20" spans="1:13" x14ac:dyDescent="0.25">
      <c r="G20" s="119"/>
      <c r="H20" s="120"/>
      <c r="I20" s="119"/>
      <c r="J20" s="119"/>
      <c r="K20" s="119"/>
      <c r="L20" s="120"/>
      <c r="M20" s="119"/>
    </row>
    <row r="21" spans="1:13" x14ac:dyDescent="0.25">
      <c r="G21" s="119"/>
      <c r="H21" s="120"/>
      <c r="I21" s="119"/>
      <c r="J21" s="119"/>
      <c r="K21" s="119"/>
      <c r="L21" s="120"/>
      <c r="M21" s="119"/>
    </row>
    <row r="22" spans="1:13" ht="13" x14ac:dyDescent="0.25">
      <c r="B22" s="273" t="s">
        <v>218</v>
      </c>
      <c r="C22" s="273"/>
      <c r="D22" s="273"/>
      <c r="E22" s="273"/>
      <c r="F22" s="273"/>
      <c r="G22" s="274"/>
      <c r="I22" s="274" t="s">
        <v>219</v>
      </c>
      <c r="J22" s="274"/>
      <c r="K22" s="274"/>
      <c r="L22" s="118"/>
      <c r="M22" s="275" t="s">
        <v>220</v>
      </c>
    </row>
    <row r="23" spans="1:13" ht="50" x14ac:dyDescent="0.3">
      <c r="A23" s="114" t="s">
        <v>204</v>
      </c>
      <c r="B23" s="109" t="s">
        <v>221</v>
      </c>
      <c r="C23" s="109" t="s">
        <v>222</v>
      </c>
      <c r="D23" s="109" t="s">
        <v>207</v>
      </c>
      <c r="E23" s="109" t="s">
        <v>223</v>
      </c>
      <c r="F23" s="109" t="s">
        <v>208</v>
      </c>
      <c r="G23" s="110" t="s">
        <v>210</v>
      </c>
      <c r="H23" s="108"/>
      <c r="I23" s="109" t="s">
        <v>213</v>
      </c>
      <c r="J23" s="109" t="s">
        <v>214</v>
      </c>
      <c r="K23" s="109" t="s">
        <v>215</v>
      </c>
      <c r="M23" s="276"/>
    </row>
    <row r="24" spans="1:13" x14ac:dyDescent="0.25">
      <c r="A24" s="30"/>
      <c r="B24" s="30"/>
      <c r="C24" s="30"/>
      <c r="D24" s="30"/>
      <c r="E24" s="30"/>
      <c r="F24" s="30"/>
      <c r="G24" s="30"/>
      <c r="I24" s="30"/>
      <c r="J24" s="30"/>
      <c r="K24" s="30"/>
      <c r="M24" s="30"/>
    </row>
    <row r="25" spans="1:13" x14ac:dyDescent="0.25">
      <c r="A25" s="30" t="s">
        <v>203</v>
      </c>
      <c r="B25" s="111">
        <v>34.74</v>
      </c>
      <c r="C25" s="111">
        <v>49.51</v>
      </c>
      <c r="D25" s="111"/>
      <c r="E25" s="111">
        <v>23.1</v>
      </c>
      <c r="F25" s="30"/>
      <c r="G25" s="30"/>
      <c r="I25" s="30"/>
      <c r="J25" s="30"/>
      <c r="K25" s="30"/>
      <c r="M25" s="30"/>
    </row>
    <row r="26" spans="1:13" x14ac:dyDescent="0.25">
      <c r="A26" s="30"/>
      <c r="B26" s="111"/>
      <c r="C26" s="111"/>
      <c r="D26" s="111"/>
      <c r="E26" s="111"/>
      <c r="F26" s="30"/>
      <c r="G26" s="30"/>
      <c r="I26" s="30"/>
      <c r="J26" s="30"/>
      <c r="K26" s="30"/>
      <c r="M26" s="30"/>
    </row>
    <row r="27" spans="1:13" ht="25" x14ac:dyDescent="0.25">
      <c r="A27" s="115" t="s">
        <v>205</v>
      </c>
      <c r="B27" s="111">
        <v>31.93</v>
      </c>
      <c r="C27" s="111">
        <v>45.51</v>
      </c>
      <c r="D27" s="111"/>
      <c r="E27" s="111">
        <v>21.23</v>
      </c>
      <c r="F27" s="30"/>
      <c r="G27" s="30"/>
      <c r="I27" s="30"/>
      <c r="J27" s="30"/>
      <c r="K27" s="30"/>
      <c r="M27" s="30"/>
    </row>
    <row r="28" spans="1:13" x14ac:dyDescent="0.25">
      <c r="A28" s="30"/>
      <c r="B28" s="30"/>
      <c r="C28" s="30"/>
      <c r="D28" s="30"/>
      <c r="E28" s="30"/>
      <c r="F28" s="30"/>
      <c r="G28" s="30"/>
      <c r="I28" s="30"/>
      <c r="J28" s="30"/>
      <c r="K28" s="30"/>
      <c r="M28" s="30"/>
    </row>
    <row r="29" spans="1:13" x14ac:dyDescent="0.25">
      <c r="A29" s="116" t="s">
        <v>206</v>
      </c>
      <c r="B29" s="111">
        <f>(B25+B27)/2</f>
        <v>33.335000000000001</v>
      </c>
      <c r="C29" s="111">
        <f>(C25+C27)/2</f>
        <v>47.51</v>
      </c>
      <c r="D29" s="111"/>
      <c r="E29" s="111">
        <f>(E25+E27)/2</f>
        <v>22.164999999999999</v>
      </c>
      <c r="F29" s="30"/>
      <c r="G29" s="30"/>
      <c r="I29" s="30"/>
      <c r="J29" s="30"/>
      <c r="K29" s="30"/>
      <c r="M29" s="30"/>
    </row>
    <row r="30" spans="1:13" x14ac:dyDescent="0.25">
      <c r="A30" s="30"/>
      <c r="B30" s="30"/>
      <c r="C30" s="30"/>
      <c r="D30" s="30"/>
      <c r="E30" s="30"/>
      <c r="F30" s="30"/>
      <c r="G30" s="30"/>
      <c r="I30" s="30"/>
      <c r="J30" s="30"/>
      <c r="K30" s="30"/>
      <c r="M30" s="30"/>
    </row>
    <row r="31" spans="1:13" x14ac:dyDescent="0.25">
      <c r="A31" s="116" t="s">
        <v>209</v>
      </c>
      <c r="B31" s="111">
        <f>B29</f>
        <v>33.335000000000001</v>
      </c>
      <c r="C31" s="30"/>
      <c r="D31" s="111">
        <f>C29/11</f>
        <v>4.3190909090909093</v>
      </c>
      <c r="E31" s="30"/>
      <c r="F31" s="111">
        <f>E29/8</f>
        <v>2.7706249999999999</v>
      </c>
      <c r="G31" s="30"/>
      <c r="I31" s="30"/>
      <c r="J31" s="30"/>
      <c r="K31" s="30"/>
      <c r="M31" s="30"/>
    </row>
    <row r="32" spans="1:13" x14ac:dyDescent="0.25">
      <c r="A32" s="30"/>
      <c r="B32" s="30"/>
      <c r="C32" s="30"/>
      <c r="D32" s="30"/>
      <c r="E32" s="30"/>
      <c r="F32" s="30"/>
      <c r="G32" s="30"/>
      <c r="I32" s="30"/>
      <c r="J32" s="30"/>
      <c r="K32" s="30"/>
      <c r="M32" s="30"/>
    </row>
    <row r="33" spans="1:13" x14ac:dyDescent="0.25">
      <c r="A33" s="116" t="s">
        <v>210</v>
      </c>
      <c r="B33" s="30"/>
      <c r="C33" s="30"/>
      <c r="D33" s="30"/>
      <c r="E33" s="30"/>
      <c r="F33" s="30"/>
      <c r="G33" s="111">
        <f>B31+D31+F31</f>
        <v>40.424715909090914</v>
      </c>
      <c r="I33" s="111">
        <f>G33*0.16</f>
        <v>6.4679545454545462</v>
      </c>
      <c r="J33" s="111">
        <f>G33*0.1</f>
        <v>4.0424715909090914</v>
      </c>
      <c r="K33" s="111">
        <f>G33*0.32</f>
        <v>12.935909090909092</v>
      </c>
      <c r="M33" s="111">
        <f>G33+I33+J33+K33</f>
        <v>63.871051136363647</v>
      </c>
    </row>
    <row r="34" spans="1:13" x14ac:dyDescent="0.25">
      <c r="J34" t="s">
        <v>96</v>
      </c>
      <c r="K34" s="107">
        <f>I33+J33+K33</f>
        <v>23.44633522727273</v>
      </c>
    </row>
    <row r="37" spans="1:13" x14ac:dyDescent="0.25">
      <c r="G37" s="119"/>
      <c r="H37" s="120"/>
      <c r="I37" s="119"/>
      <c r="J37" s="119"/>
      <c r="K37" s="119"/>
      <c r="L37" s="120"/>
      <c r="M37" s="119"/>
    </row>
    <row r="38" spans="1:13" ht="13" x14ac:dyDescent="0.25">
      <c r="B38" s="273" t="s">
        <v>402</v>
      </c>
      <c r="C38" s="273"/>
      <c r="D38" s="273"/>
      <c r="E38" s="273"/>
      <c r="F38" s="273"/>
      <c r="G38" s="274"/>
      <c r="I38" s="274" t="s">
        <v>403</v>
      </c>
      <c r="J38" s="274"/>
      <c r="K38" s="274"/>
      <c r="L38" s="118"/>
      <c r="M38" s="275" t="s">
        <v>404</v>
      </c>
    </row>
    <row r="39" spans="1:13" ht="50" x14ac:dyDescent="0.3">
      <c r="A39" s="114" t="s">
        <v>204</v>
      </c>
      <c r="B39" s="109" t="s">
        <v>221</v>
      </c>
      <c r="C39" s="109" t="s">
        <v>222</v>
      </c>
      <c r="D39" s="109" t="s">
        <v>207</v>
      </c>
      <c r="E39" s="109" t="s">
        <v>223</v>
      </c>
      <c r="F39" s="109" t="s">
        <v>208</v>
      </c>
      <c r="G39" s="110" t="s">
        <v>210</v>
      </c>
      <c r="H39" s="108"/>
      <c r="I39" s="109" t="s">
        <v>213</v>
      </c>
      <c r="J39" s="109" t="s">
        <v>214</v>
      </c>
      <c r="K39" s="109" t="s">
        <v>215</v>
      </c>
      <c r="M39" s="276"/>
    </row>
    <row r="40" spans="1:13" x14ac:dyDescent="0.25">
      <c r="A40" s="30"/>
      <c r="B40" s="30"/>
      <c r="C40" s="30"/>
      <c r="D40" s="30"/>
      <c r="E40" s="30"/>
      <c r="F40" s="30"/>
      <c r="G40" s="30"/>
      <c r="I40" s="30"/>
      <c r="J40" s="30"/>
      <c r="K40" s="30"/>
      <c r="M40" s="30"/>
    </row>
    <row r="41" spans="1:13" x14ac:dyDescent="0.25">
      <c r="A41" s="30" t="s">
        <v>203</v>
      </c>
      <c r="B41" s="111">
        <v>39.909999999999997</v>
      </c>
      <c r="C41" s="111">
        <v>56.88</v>
      </c>
      <c r="D41" s="111"/>
      <c r="E41" s="111">
        <v>26.54</v>
      </c>
      <c r="F41" s="30"/>
      <c r="G41" s="30"/>
      <c r="I41" s="30"/>
      <c r="J41" s="30"/>
      <c r="K41" s="30"/>
      <c r="M41" s="30"/>
    </row>
    <row r="42" spans="1:13" x14ac:dyDescent="0.25">
      <c r="A42" s="30"/>
      <c r="B42" s="111"/>
      <c r="C42" s="111"/>
      <c r="D42" s="111"/>
      <c r="E42" s="111"/>
      <c r="F42" s="30"/>
      <c r="G42" s="30"/>
      <c r="I42" s="30"/>
      <c r="J42" s="30"/>
      <c r="K42" s="30"/>
      <c r="M42" s="30"/>
    </row>
    <row r="43" spans="1:13" ht="25" x14ac:dyDescent="0.25">
      <c r="A43" s="115" t="s">
        <v>205</v>
      </c>
      <c r="B43" s="111">
        <v>36.81</v>
      </c>
      <c r="C43" s="111">
        <v>52.47</v>
      </c>
      <c r="D43" s="111"/>
      <c r="E43" s="111">
        <v>24.48</v>
      </c>
      <c r="F43" s="30"/>
      <c r="G43" s="30"/>
      <c r="I43" s="30"/>
      <c r="J43" s="30"/>
      <c r="K43" s="30"/>
      <c r="M43" s="30"/>
    </row>
    <row r="44" spans="1:13" x14ac:dyDescent="0.25">
      <c r="A44" s="30"/>
      <c r="B44" s="30"/>
      <c r="C44" s="30"/>
      <c r="D44" s="30"/>
      <c r="E44" s="30"/>
      <c r="F44" s="30"/>
      <c r="G44" s="30"/>
      <c r="I44" s="30"/>
      <c r="J44" s="30"/>
      <c r="K44" s="30"/>
      <c r="M44" s="30"/>
    </row>
    <row r="45" spans="1:13" x14ac:dyDescent="0.25">
      <c r="A45" s="116" t="s">
        <v>206</v>
      </c>
      <c r="B45" s="111">
        <f>(B41+B43)/2</f>
        <v>38.36</v>
      </c>
      <c r="C45" s="111">
        <f>(C41+C43)/2</f>
        <v>54.674999999999997</v>
      </c>
      <c r="D45" s="111"/>
      <c r="E45" s="111">
        <f>(E41+E43)/2</f>
        <v>25.509999999999998</v>
      </c>
      <c r="F45" s="30"/>
      <c r="G45" s="30"/>
      <c r="I45" s="30"/>
      <c r="J45" s="30"/>
      <c r="K45" s="30"/>
      <c r="M45" s="30"/>
    </row>
    <row r="46" spans="1:13" x14ac:dyDescent="0.25">
      <c r="A46" s="30"/>
      <c r="B46" s="30"/>
      <c r="C46" s="30"/>
      <c r="D46" s="30"/>
      <c r="E46" s="30"/>
      <c r="F46" s="30"/>
      <c r="G46" s="30"/>
      <c r="I46" s="30"/>
      <c r="J46" s="30"/>
      <c r="K46" s="30"/>
      <c r="M46" s="30"/>
    </row>
    <row r="47" spans="1:13" x14ac:dyDescent="0.25">
      <c r="A47" s="116" t="s">
        <v>209</v>
      </c>
      <c r="B47" s="111">
        <f>B45</f>
        <v>38.36</v>
      </c>
      <c r="C47" s="30"/>
      <c r="D47" s="111">
        <f>C45/11</f>
        <v>4.9704545454545448</v>
      </c>
      <c r="E47" s="30"/>
      <c r="F47" s="111">
        <f>E45/8</f>
        <v>3.1887499999999998</v>
      </c>
      <c r="G47" s="30"/>
      <c r="I47" s="30"/>
      <c r="J47" s="30"/>
      <c r="K47" s="30"/>
      <c r="M47" s="30"/>
    </row>
    <row r="48" spans="1:13" x14ac:dyDescent="0.25">
      <c r="A48" s="30"/>
      <c r="B48" s="30"/>
      <c r="C48" s="30"/>
      <c r="D48" s="30"/>
      <c r="E48" s="30"/>
      <c r="F48" s="30"/>
      <c r="G48" s="30"/>
      <c r="I48" s="30"/>
      <c r="J48" s="30"/>
      <c r="K48" s="30"/>
      <c r="M48" s="30"/>
    </row>
    <row r="49" spans="1:13" x14ac:dyDescent="0.25">
      <c r="A49" s="116" t="s">
        <v>210</v>
      </c>
      <c r="B49" s="30"/>
      <c r="C49" s="30"/>
      <c r="D49" s="30"/>
      <c r="E49" s="30"/>
      <c r="F49" s="30"/>
      <c r="G49" s="111">
        <f>B47+D47+F47</f>
        <v>46.519204545454542</v>
      </c>
      <c r="I49" s="111">
        <f>G49*0.16</f>
        <v>7.4430727272727273</v>
      </c>
      <c r="J49" s="111">
        <f>G49*0.1</f>
        <v>4.6519204545454542</v>
      </c>
      <c r="K49" s="111">
        <f>G49*0.32</f>
        <v>14.886145454545455</v>
      </c>
      <c r="M49" s="111">
        <f>G49+I49+J49+K49</f>
        <v>73.500343181818181</v>
      </c>
    </row>
    <row r="50" spans="1:13" x14ac:dyDescent="0.25">
      <c r="J50" t="s">
        <v>96</v>
      </c>
      <c r="K50" s="107">
        <f>I49+J49+K49</f>
        <v>26.981138636363639</v>
      </c>
    </row>
  </sheetData>
  <mergeCells count="9">
    <mergeCell ref="B38:G38"/>
    <mergeCell ref="I38:K38"/>
    <mergeCell ref="M38:M39"/>
    <mergeCell ref="B3:G3"/>
    <mergeCell ref="I3:K3"/>
    <mergeCell ref="M3:M4"/>
    <mergeCell ref="B22:G22"/>
    <mergeCell ref="I22:K22"/>
    <mergeCell ref="M22:M23"/>
  </mergeCells>
  <pageMargins left="0.7" right="0.7" top="0.75" bottom="0.75" header="0.3" footer="0.3"/>
  <pageSetup scale="74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V161"/>
  <sheetViews>
    <sheetView zoomScaleNormal="100" workbookViewId="0">
      <pane xSplit="2" ySplit="3" topLeftCell="Y4" activePane="bottomRight" state="frozen"/>
      <selection activeCell="D33" sqref="D33"/>
      <selection pane="topRight" activeCell="D33" sqref="D33"/>
      <selection pane="bottomLeft" activeCell="D33" sqref="D33"/>
      <selection pane="bottomRight" activeCell="AB43" sqref="AB43"/>
    </sheetView>
  </sheetViews>
  <sheetFormatPr defaultColWidth="9.08984375" defaultRowHeight="14.5" x14ac:dyDescent="0.35"/>
  <cols>
    <col min="1" max="1" width="4.08984375" style="8" bestFit="1" customWidth="1"/>
    <col min="2" max="2" width="14.1796875" style="4" customWidth="1"/>
    <col min="3" max="5" width="11.08984375" style="4" customWidth="1"/>
    <col min="6" max="6" width="5.36328125" style="8" customWidth="1"/>
    <col min="7" max="7" width="7.54296875" style="8" customWidth="1"/>
    <col min="8" max="8" width="12.54296875" style="9" customWidth="1"/>
    <col min="9" max="9" width="9.6328125" style="78" customWidth="1"/>
    <col min="10" max="10" width="10.08984375" style="78" customWidth="1"/>
    <col min="11" max="11" width="12.54296875" style="78" customWidth="1"/>
    <col min="12" max="12" width="5.54296875" style="8" customWidth="1"/>
    <col min="13" max="13" width="9.08984375" style="8" customWidth="1"/>
    <col min="14" max="14" width="13.6328125" style="9" customWidth="1"/>
    <col min="15" max="15" width="4.90625" style="8" customWidth="1"/>
    <col min="16" max="16" width="7.54296875" style="8" customWidth="1"/>
    <col min="17" max="17" width="12.54296875" style="9" customWidth="1"/>
    <col min="18" max="18" width="6.36328125" style="8" customWidth="1"/>
    <col min="19" max="19" width="7.54296875" style="8" customWidth="1"/>
    <col min="20" max="20" width="12.54296875" style="9" customWidth="1"/>
    <col min="21" max="21" width="6.36328125" style="8" customWidth="1"/>
    <col min="22" max="22" width="7.54296875" style="8" customWidth="1"/>
    <col min="23" max="23" width="12.54296875" style="9" customWidth="1"/>
    <col min="24" max="24" width="3.08984375" style="8" customWidth="1"/>
    <col min="25" max="25" width="6.54296875" style="8" customWidth="1"/>
    <col min="26" max="26" width="11.54296875" style="13" customWidth="1"/>
    <col min="27" max="27" width="13" style="13" customWidth="1"/>
    <col min="28" max="35" width="11.54296875" style="13" customWidth="1"/>
    <col min="36" max="36" width="16.36328125" style="8" bestFit="1" customWidth="1"/>
    <col min="37" max="37" width="13.36328125" style="8" bestFit="1" customWidth="1"/>
    <col min="38" max="38" width="13.36328125" style="8" customWidth="1"/>
    <col min="39" max="39" width="23.08984375" style="8" customWidth="1"/>
    <col min="40" max="41" width="13.36328125" style="8" customWidth="1"/>
    <col min="42" max="42" width="12.36328125" style="8" customWidth="1"/>
    <col min="43" max="44" width="10.54296875" style="8" bestFit="1" customWidth="1"/>
    <col min="45" max="45" width="13.6328125" style="8" bestFit="1" customWidth="1"/>
    <col min="46" max="46" width="12.54296875" style="8" bestFit="1" customWidth="1"/>
    <col min="47" max="47" width="15.36328125" style="8" bestFit="1" customWidth="1"/>
    <col min="48" max="48" width="12.54296875" style="8" bestFit="1" customWidth="1"/>
    <col min="49" max="16384" width="9.08984375" style="8"/>
  </cols>
  <sheetData>
    <row r="1" spans="1:48" ht="15" thickBot="1" x14ac:dyDescent="0.4">
      <c r="H1" s="180">
        <v>73.5</v>
      </c>
      <c r="I1" s="78" t="s">
        <v>404</v>
      </c>
      <c r="AM1" s="191" t="s">
        <v>487</v>
      </c>
    </row>
    <row r="2" spans="1:48" x14ac:dyDescent="0.35">
      <c r="E2" s="218" t="s">
        <v>440</v>
      </c>
      <c r="H2" s="218" t="s">
        <v>440</v>
      </c>
      <c r="K2" s="218" t="s">
        <v>440</v>
      </c>
      <c r="N2" s="218" t="s">
        <v>440</v>
      </c>
      <c r="Q2" s="218" t="s">
        <v>440</v>
      </c>
      <c r="T2" s="218" t="s">
        <v>440</v>
      </c>
      <c r="W2" s="218" t="s">
        <v>440</v>
      </c>
      <c r="Z2" s="218" t="s">
        <v>440</v>
      </c>
      <c r="AC2" s="218" t="s">
        <v>441</v>
      </c>
      <c r="AD2" s="220"/>
      <c r="AE2" s="221"/>
      <c r="AF2" s="222" t="s">
        <v>441</v>
      </c>
      <c r="AG2" s="229"/>
      <c r="AH2" s="230"/>
      <c r="AI2" s="222" t="s">
        <v>443</v>
      </c>
    </row>
    <row r="3" spans="1:48" s="4" customFormat="1" ht="43.5" x14ac:dyDescent="0.35">
      <c r="A3" s="3" t="s">
        <v>10</v>
      </c>
      <c r="B3" s="3" t="s">
        <v>11</v>
      </c>
      <c r="C3" s="3" t="s">
        <v>465</v>
      </c>
      <c r="D3" s="4" t="s">
        <v>13</v>
      </c>
      <c r="E3" s="5" t="s">
        <v>14</v>
      </c>
      <c r="F3" s="79" t="s">
        <v>12</v>
      </c>
      <c r="G3" s="4" t="s">
        <v>13</v>
      </c>
      <c r="H3" s="5" t="s">
        <v>14</v>
      </c>
      <c r="I3" s="80" t="s">
        <v>161</v>
      </c>
      <c r="J3" s="4" t="s">
        <v>13</v>
      </c>
      <c r="K3" s="5" t="s">
        <v>14</v>
      </c>
      <c r="L3" s="79" t="s">
        <v>15</v>
      </c>
      <c r="M3" s="4" t="s">
        <v>13</v>
      </c>
      <c r="N3" s="5" t="s">
        <v>14</v>
      </c>
      <c r="O3" s="79" t="s">
        <v>16</v>
      </c>
      <c r="P3" s="4" t="s">
        <v>13</v>
      </c>
      <c r="Q3" s="5" t="s">
        <v>14</v>
      </c>
      <c r="R3" s="79" t="s">
        <v>17</v>
      </c>
      <c r="S3" s="4" t="s">
        <v>13</v>
      </c>
      <c r="T3" s="5" t="s">
        <v>14</v>
      </c>
      <c r="U3" s="79" t="s">
        <v>18</v>
      </c>
      <c r="V3" s="4" t="s">
        <v>13</v>
      </c>
      <c r="W3" s="5" t="s">
        <v>14</v>
      </c>
      <c r="X3" s="79" t="s">
        <v>19</v>
      </c>
      <c r="Y3" s="4" t="s">
        <v>13</v>
      </c>
      <c r="Z3" s="5" t="s">
        <v>14</v>
      </c>
      <c r="AA3" s="79" t="s">
        <v>427</v>
      </c>
      <c r="AB3" s="4" t="s">
        <v>13</v>
      </c>
      <c r="AC3" s="219" t="s">
        <v>14</v>
      </c>
      <c r="AD3" s="223" t="s">
        <v>442</v>
      </c>
      <c r="AE3" s="224" t="s">
        <v>13</v>
      </c>
      <c r="AF3" s="225" t="s">
        <v>14</v>
      </c>
      <c r="AG3" s="223" t="s">
        <v>442</v>
      </c>
      <c r="AH3" s="224" t="s">
        <v>13</v>
      </c>
      <c r="AI3" s="225" t="s">
        <v>14</v>
      </c>
      <c r="AJ3" s="3" t="s">
        <v>20</v>
      </c>
      <c r="AK3" s="3" t="s">
        <v>21</v>
      </c>
      <c r="AL3" s="3" t="s">
        <v>195</v>
      </c>
      <c r="AM3" s="3" t="s">
        <v>97</v>
      </c>
      <c r="AN3" s="3" t="s">
        <v>158</v>
      </c>
      <c r="AO3" s="3" t="s">
        <v>416</v>
      </c>
      <c r="AP3" s="3" t="s">
        <v>22</v>
      </c>
      <c r="AQ3" s="7" t="s">
        <v>23</v>
      </c>
      <c r="AR3" s="7" t="s">
        <v>24</v>
      </c>
      <c r="AS3" s="7" t="s">
        <v>25</v>
      </c>
      <c r="AT3" s="7" t="s">
        <v>26</v>
      </c>
      <c r="AU3" s="7" t="s">
        <v>27</v>
      </c>
    </row>
    <row r="4" spans="1:48" s="64" customFormat="1" x14ac:dyDescent="0.35">
      <c r="A4" s="62" t="s">
        <v>30</v>
      </c>
      <c r="B4" s="62">
        <v>9</v>
      </c>
      <c r="C4" s="62">
        <v>0</v>
      </c>
      <c r="D4" s="64">
        <v>0</v>
      </c>
      <c r="E4" s="65">
        <f t="shared" ref="E4:E31" si="0">D4*$H$1</f>
        <v>0</v>
      </c>
      <c r="F4" s="64">
        <f>COUNTIFS('NAAs by State'!$C$4:$C$67,A4,'NAAs by State'!$F$4:$F$67,"Marginal")-I4</f>
        <v>1</v>
      </c>
      <c r="G4" s="64">
        <f t="shared" ref="G4:G31" si="1">F4*100</f>
        <v>100</v>
      </c>
      <c r="H4" s="65">
        <f t="shared" ref="H4:H31" si="2">G4*$H$1</f>
        <v>7350</v>
      </c>
      <c r="I4" s="64">
        <f>COUNTIFS('NAAs by State'!$C$4:$C$67,A4,'NAAs by State'!$F$4:$F$67,"Marginal",'NAAs by State'!$H$4:$H$67,"Moderate")</f>
        <v>1</v>
      </c>
      <c r="J4" s="64">
        <f t="shared" ref="J4:J31" si="3">I4*5100</f>
        <v>5100</v>
      </c>
      <c r="K4" s="65">
        <f t="shared" ref="K4:K13" si="4">J4*$H$1</f>
        <v>374850</v>
      </c>
      <c r="L4" s="64">
        <f>COUNTIFS('NAAs by State'!$C$4:$C$67,A4,'NAAs by State'!$F$4:$F$67,"Moderate")</f>
        <v>0</v>
      </c>
      <c r="M4" s="64">
        <f t="shared" ref="M4:M31" si="5">L4*5000</f>
        <v>0</v>
      </c>
      <c r="N4" s="65">
        <f t="shared" ref="N4:N13" si="6">M4*$H$1</f>
        <v>0</v>
      </c>
      <c r="O4" s="64">
        <f>COUNTIFS('NAAs by State'!$C$4:$C$67,A4,'NAAs by State'!$F$4:$F$67,"Serious")</f>
        <v>0</v>
      </c>
      <c r="P4" s="64">
        <f>O4*5000</f>
        <v>0</v>
      </c>
      <c r="Q4" s="65">
        <f t="shared" ref="Q4:Q13" si="7">P4*$H$1</f>
        <v>0</v>
      </c>
      <c r="R4" s="64">
        <f>COUNTIFS('NAAs by State'!$C$4:$C$67,A4,'NAAs by State'!$F$4:$F$67,"Severe-15")</f>
        <v>0</v>
      </c>
      <c r="S4" s="64">
        <f t="shared" ref="S4:S31" si="8">R4*5000</f>
        <v>0</v>
      </c>
      <c r="T4" s="65">
        <f t="shared" ref="T4:T13" si="9">S4*$H$1</f>
        <v>0</v>
      </c>
      <c r="U4" s="64">
        <f>COUNTIFS('NAAs by State'!$C$4:$C$67,A4,'NAAs by State'!$F$4:$F$67,"Severe 17")</f>
        <v>0</v>
      </c>
      <c r="V4" s="64">
        <f t="shared" ref="V4:V31" si="10">U4*5000</f>
        <v>0</v>
      </c>
      <c r="W4" s="65">
        <f t="shared" ref="W4:W13" si="11">V4*$H$1</f>
        <v>0</v>
      </c>
      <c r="X4" s="64">
        <f>COUNTIFS('NAAs by State'!$C$4:$C$67,A4,'NAAs by State'!$F$4:$F$67,"Extreme")</f>
        <v>0</v>
      </c>
      <c r="Y4" s="64">
        <f>X4*5000</f>
        <v>0</v>
      </c>
      <c r="Z4" s="65">
        <f t="shared" ref="Z4:Z13" si="12">Y4*$H$1</f>
        <v>0</v>
      </c>
      <c r="AA4" s="64">
        <f>COUNTIF('2008serious'!$A$6:$B$18,A4)</f>
        <v>0</v>
      </c>
      <c r="AB4" s="64">
        <f t="shared" ref="AB4" si="13">AA4*5000</f>
        <v>0</v>
      </c>
      <c r="AC4" s="205">
        <f t="shared" ref="AC4" si="14">AB4*$H$1</f>
        <v>0</v>
      </c>
      <c r="AD4" s="231">
        <f>COUNTIF('Table 6 and 7'!$A$5:$E$8,A4)</f>
        <v>0</v>
      </c>
      <c r="AE4" s="64">
        <f>AD4*100</f>
        <v>0</v>
      </c>
      <c r="AF4" s="205">
        <f t="shared" ref="AF4" si="15">AE4*$H$1</f>
        <v>0</v>
      </c>
      <c r="AG4" s="231">
        <f>COUNTIF('Table 6 and 7'!$A$16:$E$23,A4)</f>
        <v>1</v>
      </c>
      <c r="AH4" s="64">
        <f>AG4*100</f>
        <v>100</v>
      </c>
      <c r="AI4" s="205">
        <f t="shared" ref="AI4" si="16">AH4*$H$1</f>
        <v>7350</v>
      </c>
      <c r="AJ4" s="66">
        <f>SUM(E4,H4,K4,N4,Q4,T4,W4,Z4,AC4, AF4,AI4)</f>
        <v>389550</v>
      </c>
      <c r="AK4" s="67">
        <f>SUM(D4,G4,J4,M4,P4,S4,V4,Y4,AB4,AE4,AH4)</f>
        <v>5300</v>
      </c>
      <c r="AL4" s="67" t="str">
        <f t="shared" ref="AL4:AL31" si="17">A4</f>
        <v>AZ</v>
      </c>
      <c r="AM4" s="67" t="str">
        <f>VLOOKUP(AL4,State_abrv,2,FALSE)</f>
        <v xml:space="preserve"> Arizona</v>
      </c>
      <c r="AN4" s="67">
        <f t="shared" ref="AN4:AN31" si="18">B4</f>
        <v>9</v>
      </c>
      <c r="AO4" s="67">
        <f>F4+I4+L4+O4+R4+U4+X4+C4+AA4+AD4+AG4</f>
        <v>3</v>
      </c>
      <c r="AP4" s="67">
        <f t="shared" ref="AP4:AP31" si="19">AK4/2</f>
        <v>2650</v>
      </c>
      <c r="AQ4" s="67">
        <f t="shared" ref="AQ4:AQ31" si="20">AP4/2</f>
        <v>1325</v>
      </c>
      <c r="AR4" s="67">
        <f t="shared" ref="AR4:AR31" si="21">AP4/2</f>
        <v>1325</v>
      </c>
      <c r="AS4" s="66">
        <f t="shared" ref="AS4:AS31" si="22">AJ4/2</f>
        <v>194775</v>
      </c>
      <c r="AT4" s="66">
        <f t="shared" ref="AT4:AT31" si="23">AS4/2</f>
        <v>97387.5</v>
      </c>
      <c r="AU4" s="153">
        <f t="shared" ref="AU4:AU31" si="24">AS4/2</f>
        <v>97387.5</v>
      </c>
    </row>
    <row r="5" spans="1:48" s="64" customFormat="1" x14ac:dyDescent="0.35">
      <c r="A5" s="62" t="s">
        <v>31</v>
      </c>
      <c r="B5" s="62">
        <v>9</v>
      </c>
      <c r="C5" s="62">
        <v>0</v>
      </c>
      <c r="D5" s="64">
        <v>0</v>
      </c>
      <c r="E5" s="65">
        <f t="shared" si="0"/>
        <v>0</v>
      </c>
      <c r="F5" s="64">
        <f>COUNTIFS('NAAs by State'!$C$4:$C$67,A5,'NAAs by State'!$F$4:$F$67,"Marginal")-I5</f>
        <v>7</v>
      </c>
      <c r="G5" s="64">
        <f t="shared" si="1"/>
        <v>700</v>
      </c>
      <c r="H5" s="65">
        <f t="shared" si="2"/>
        <v>51450</v>
      </c>
      <c r="I5" s="64">
        <f>COUNTIFS('NAAs by State'!$C$4:$C$67,A5,'NAAs by State'!$F$4:$F$67,"Marginal",'NAAs by State'!$H$4:$H$67,"Moderate")</f>
        <v>3</v>
      </c>
      <c r="J5" s="64">
        <f t="shared" si="3"/>
        <v>15300</v>
      </c>
      <c r="K5" s="65">
        <f t="shared" si="4"/>
        <v>1124550</v>
      </c>
      <c r="L5" s="64">
        <f>COUNTIFS('NAAs by State'!$C$4:$C$67,A5,'NAAs by State'!$F$4:$F$67,"Moderate")</f>
        <v>4</v>
      </c>
      <c r="M5" s="64">
        <f t="shared" si="5"/>
        <v>20000</v>
      </c>
      <c r="N5" s="65">
        <f t="shared" si="6"/>
        <v>1470000</v>
      </c>
      <c r="O5" s="64">
        <f>COUNTIFS('NAAs by State'!$C$4:$C$67,A5,'NAAs by State'!$F$4:$F$67,"Serious")</f>
        <v>1</v>
      </c>
      <c r="P5" s="64">
        <v>20000</v>
      </c>
      <c r="Q5" s="65">
        <f t="shared" si="7"/>
        <v>1470000</v>
      </c>
      <c r="R5" s="64">
        <f>COUNTIFS('NAAs by State'!$C$4:$C$67,A5,'NAAs by State'!$F$4:$F$67,"Severe-15")</f>
        <v>2</v>
      </c>
      <c r="S5" s="64">
        <f t="shared" si="8"/>
        <v>10000</v>
      </c>
      <c r="T5" s="65">
        <f t="shared" si="9"/>
        <v>735000</v>
      </c>
      <c r="U5" s="64">
        <f>COUNTIFS('NAAs by State'!$C$4:$C$67,A5,'NAAs by State'!$F$4:$F$67,"Severe 17")</f>
        <v>0</v>
      </c>
      <c r="V5" s="64">
        <f t="shared" si="10"/>
        <v>0</v>
      </c>
      <c r="W5" s="65">
        <f t="shared" si="11"/>
        <v>0</v>
      </c>
      <c r="X5" s="64">
        <f>COUNTIFS('NAAs by State'!$C$4:$C$67,A5,'NAAs by State'!$F$4:$F$67,"Extreme")</f>
        <v>2</v>
      </c>
      <c r="Y5" s="64">
        <f>X5*20000</f>
        <v>40000</v>
      </c>
      <c r="Z5" s="65">
        <f t="shared" si="12"/>
        <v>2940000</v>
      </c>
      <c r="AA5" s="64">
        <f>COUNTIF('2008serious'!$A$6:$B$18,A5)</f>
        <v>3</v>
      </c>
      <c r="AB5" s="64">
        <f t="shared" ref="AB5:AB31" si="25">AA5*5000</f>
        <v>15000</v>
      </c>
      <c r="AC5" s="205">
        <f t="shared" ref="AC5:AC31" si="26">AB5*$H$1</f>
        <v>1102500</v>
      </c>
      <c r="AD5" s="231">
        <f>COUNTIF('Table 6 and 7'!$A$5:$E$8,A5)</f>
        <v>0</v>
      </c>
      <c r="AE5" s="64">
        <f t="shared" ref="AE5:AE31" si="27">AD5*100</f>
        <v>0</v>
      </c>
      <c r="AF5" s="205">
        <f t="shared" ref="AF5:AF31" si="28">AE5*$H$1</f>
        <v>0</v>
      </c>
      <c r="AG5" s="231">
        <f>COUNTIF('Table 6 and 7'!$A$16:$E$23,A5)</f>
        <v>1</v>
      </c>
      <c r="AH5" s="64">
        <f t="shared" ref="AH5:AH31" si="29">AG5*100</f>
        <v>100</v>
      </c>
      <c r="AI5" s="205">
        <f t="shared" ref="AI5:AI31" si="30">AH5*$H$1</f>
        <v>7350</v>
      </c>
      <c r="AJ5" s="66">
        <f t="shared" ref="AJ5:AJ31" si="31">SUM(E5,H5,K5,N5,Q5,T5,W5,Z5,AC5, AF5,AI5)</f>
        <v>8900850</v>
      </c>
      <c r="AK5" s="67">
        <f t="shared" ref="AK5:AK31" si="32">SUM(D5,G5,J5,M5,P5,S5,V5,Y5,AB5,AE5,AH5)</f>
        <v>121100</v>
      </c>
      <c r="AL5" s="67" t="str">
        <f t="shared" si="17"/>
        <v>CA</v>
      </c>
      <c r="AM5" s="67" t="str">
        <f>VLOOKUP(AL5,State_abrv,2,FALSE)</f>
        <v xml:space="preserve"> California</v>
      </c>
      <c r="AN5" s="67">
        <f t="shared" si="18"/>
        <v>9</v>
      </c>
      <c r="AO5" s="67">
        <f t="shared" ref="AO5:AO31" si="33">F5+I5+L5+O5+R5+U5+X5+C5+AA5+AD5+AG5</f>
        <v>23</v>
      </c>
      <c r="AP5" s="67">
        <f t="shared" si="19"/>
        <v>60550</v>
      </c>
      <c r="AQ5" s="67">
        <f t="shared" si="20"/>
        <v>30275</v>
      </c>
      <c r="AR5" s="67">
        <f t="shared" si="21"/>
        <v>30275</v>
      </c>
      <c r="AS5" s="66">
        <f t="shared" si="22"/>
        <v>4450425</v>
      </c>
      <c r="AT5" s="66">
        <f t="shared" si="23"/>
        <v>2225212.5</v>
      </c>
      <c r="AU5" s="153">
        <f t="shared" si="24"/>
        <v>2225212.5</v>
      </c>
    </row>
    <row r="6" spans="1:48" s="64" customFormat="1" x14ac:dyDescent="0.35">
      <c r="A6" s="62" t="s">
        <v>32</v>
      </c>
      <c r="B6" s="62">
        <v>8</v>
      </c>
      <c r="C6" s="62">
        <v>0</v>
      </c>
      <c r="D6" s="64">
        <v>0</v>
      </c>
      <c r="E6" s="65">
        <f t="shared" si="0"/>
        <v>0</v>
      </c>
      <c r="F6" s="64">
        <f>COUNTIFS('NAAs by State'!$C$4:$C$67,A6,'NAAs by State'!$F$4:$F$67,"Marginal")-I6</f>
        <v>0</v>
      </c>
      <c r="G6" s="64">
        <f t="shared" si="1"/>
        <v>0</v>
      </c>
      <c r="H6" s="65">
        <f t="shared" si="2"/>
        <v>0</v>
      </c>
      <c r="I6" s="64">
        <f>COUNTIFS('NAAs by State'!$C$4:$C$67,A6,'NAAs by State'!$F$4:$F$67,"Marginal",'NAAs by State'!$H$4:$H$67,"Moderate")</f>
        <v>1</v>
      </c>
      <c r="J6" s="64">
        <f t="shared" si="3"/>
        <v>5100</v>
      </c>
      <c r="K6" s="65">
        <f t="shared" si="4"/>
        <v>374850</v>
      </c>
      <c r="L6" s="64">
        <f>COUNTIFS('NAAs by State'!$C$4:$C$67,A6,'NAAs by State'!$F$4:$F$67,"Moderate")</f>
        <v>0</v>
      </c>
      <c r="M6" s="64">
        <f t="shared" si="5"/>
        <v>0</v>
      </c>
      <c r="N6" s="65">
        <f t="shared" si="6"/>
        <v>0</v>
      </c>
      <c r="O6" s="64">
        <f>COUNTIFS('NAAs by State'!$C$4:$C$67,A6,'NAAs by State'!$F$4:$F$67,"Serious")</f>
        <v>0</v>
      </c>
      <c r="P6" s="64">
        <f t="shared" ref="P6:P31" si="34">O6*5000</f>
        <v>0</v>
      </c>
      <c r="Q6" s="65">
        <f t="shared" si="7"/>
        <v>0</v>
      </c>
      <c r="R6" s="64">
        <f>COUNTIFS('NAAs by State'!$C$4:$C$67,A6,'NAAs by State'!$F$4:$F$67,"Severe-15")</f>
        <v>0</v>
      </c>
      <c r="S6" s="64">
        <f t="shared" si="8"/>
        <v>0</v>
      </c>
      <c r="T6" s="65">
        <f t="shared" si="9"/>
        <v>0</v>
      </c>
      <c r="U6" s="64">
        <f>COUNTIFS('NAAs by State'!$C$4:$C$67,A6,'NAAs by State'!$F$4:$F$67,"Severe 17")</f>
        <v>0</v>
      </c>
      <c r="V6" s="64">
        <f t="shared" si="10"/>
        <v>0</v>
      </c>
      <c r="W6" s="65">
        <f t="shared" si="11"/>
        <v>0</v>
      </c>
      <c r="X6" s="64">
        <f>COUNTIFS('NAAs by State'!$C$4:$C$67,A6,'NAAs by State'!$F$4:$F$67,"Extreme")</f>
        <v>0</v>
      </c>
      <c r="Y6" s="64">
        <f t="shared" ref="Y6:Y31" si="35">X6*5000</f>
        <v>0</v>
      </c>
      <c r="Z6" s="65">
        <f t="shared" si="12"/>
        <v>0</v>
      </c>
      <c r="AA6" s="64">
        <f>COUNTIF('2008serious'!$A$6:$B$18,A6)</f>
        <v>1</v>
      </c>
      <c r="AB6" s="64">
        <f t="shared" si="25"/>
        <v>5000</v>
      </c>
      <c r="AC6" s="205">
        <f t="shared" si="26"/>
        <v>367500</v>
      </c>
      <c r="AD6" s="231">
        <f>COUNTIF('Table 6 and 7'!$A$5:$E$8,A6)</f>
        <v>0</v>
      </c>
      <c r="AE6" s="64">
        <f t="shared" si="27"/>
        <v>0</v>
      </c>
      <c r="AF6" s="205">
        <f t="shared" si="28"/>
        <v>0</v>
      </c>
      <c r="AG6" s="231">
        <f>COUNTIF('Table 6 and 7'!$A$16:$E$23,A6)</f>
        <v>0</v>
      </c>
      <c r="AH6" s="64">
        <f t="shared" si="29"/>
        <v>0</v>
      </c>
      <c r="AI6" s="205">
        <f t="shared" si="30"/>
        <v>0</v>
      </c>
      <c r="AJ6" s="66">
        <f t="shared" si="31"/>
        <v>742350</v>
      </c>
      <c r="AK6" s="67">
        <f t="shared" si="32"/>
        <v>10100</v>
      </c>
      <c r="AL6" s="67" t="str">
        <f t="shared" si="17"/>
        <v>CO</v>
      </c>
      <c r="AM6" s="67" t="str">
        <f>VLOOKUP(AL6,State_abrv,2,FALSE)</f>
        <v xml:space="preserve"> Colorado</v>
      </c>
      <c r="AN6" s="67">
        <f t="shared" si="18"/>
        <v>8</v>
      </c>
      <c r="AO6" s="67">
        <f t="shared" si="33"/>
        <v>2</v>
      </c>
      <c r="AP6" s="67">
        <f t="shared" si="19"/>
        <v>5050</v>
      </c>
      <c r="AQ6" s="67">
        <f t="shared" si="20"/>
        <v>2525</v>
      </c>
      <c r="AR6" s="67">
        <f t="shared" si="21"/>
        <v>2525</v>
      </c>
      <c r="AS6" s="66">
        <f t="shared" si="22"/>
        <v>371175</v>
      </c>
      <c r="AT6" s="66">
        <f t="shared" si="23"/>
        <v>185587.5</v>
      </c>
      <c r="AU6" s="153">
        <f t="shared" si="24"/>
        <v>185587.5</v>
      </c>
    </row>
    <row r="7" spans="1:48" s="160" customFormat="1" x14ac:dyDescent="0.35">
      <c r="A7" s="155" t="s">
        <v>33</v>
      </c>
      <c r="B7" s="155">
        <v>1</v>
      </c>
      <c r="C7" s="155">
        <v>1</v>
      </c>
      <c r="D7" s="64">
        <v>500</v>
      </c>
      <c r="E7" s="65">
        <f t="shared" si="0"/>
        <v>36750</v>
      </c>
      <c r="F7" s="64">
        <f>COUNTIFS('NAAs by State'!$C$4:$C$67,A7,'NAAs by State'!$F$4:$F$67,"Marginal")-I7</f>
        <v>0</v>
      </c>
      <c r="G7" s="64">
        <f t="shared" si="1"/>
        <v>0</v>
      </c>
      <c r="H7" s="65">
        <f t="shared" si="2"/>
        <v>0</v>
      </c>
      <c r="I7" s="64">
        <f>COUNTIFS('NAAs by State'!$C$4:$C$67,A7,'NAAs by State'!$F$4:$F$67,"Marginal",'NAAs by State'!$H$4:$H$67,"Moderate")</f>
        <v>1</v>
      </c>
      <c r="J7" s="64">
        <f t="shared" si="3"/>
        <v>5100</v>
      </c>
      <c r="K7" s="65">
        <f t="shared" si="4"/>
        <v>374850</v>
      </c>
      <c r="L7" s="64">
        <f>COUNTIFS('NAAs by State'!$C$4:$C$67,A7,'NAAs by State'!$F$4:$F$67,"Moderate")</f>
        <v>1</v>
      </c>
      <c r="M7" s="64">
        <f t="shared" si="5"/>
        <v>5000</v>
      </c>
      <c r="N7" s="65">
        <f t="shared" si="6"/>
        <v>367500</v>
      </c>
      <c r="O7" s="64">
        <f>COUNTIFS('NAAs by State'!$C$4:$C$67,A7,'NAAs by State'!$F$4:$F$67,"Serious")</f>
        <v>0</v>
      </c>
      <c r="P7" s="64">
        <f t="shared" si="34"/>
        <v>0</v>
      </c>
      <c r="Q7" s="65">
        <f t="shared" si="7"/>
        <v>0</v>
      </c>
      <c r="R7" s="64">
        <f>COUNTIFS('NAAs by State'!$C$4:$C$67,A7,'NAAs by State'!$F$4:$F$67,"Severe-15")</f>
        <v>0</v>
      </c>
      <c r="S7" s="64">
        <f t="shared" si="8"/>
        <v>0</v>
      </c>
      <c r="T7" s="65">
        <f t="shared" si="9"/>
        <v>0</v>
      </c>
      <c r="U7" s="64">
        <f>COUNTIFS('NAAs by State'!$C$4:$C$67,A7,'NAAs by State'!$F$4:$F$67,"Severe 17")</f>
        <v>0</v>
      </c>
      <c r="V7" s="64">
        <f t="shared" si="10"/>
        <v>0</v>
      </c>
      <c r="W7" s="65">
        <f t="shared" si="11"/>
        <v>0</v>
      </c>
      <c r="X7" s="64">
        <f>COUNTIFS('NAAs by State'!$C$4:$C$67,A7,'NAAs by State'!$F$4:$F$67,"Extreme")</f>
        <v>0</v>
      </c>
      <c r="Y7" s="64">
        <f t="shared" si="35"/>
        <v>0</v>
      </c>
      <c r="Z7" s="65">
        <f t="shared" si="12"/>
        <v>0</v>
      </c>
      <c r="AA7" s="64">
        <f>COUNTIF('2008serious'!$A$6:$B$18,A7)</f>
        <v>1</v>
      </c>
      <c r="AB7" s="64">
        <f t="shared" si="25"/>
        <v>5000</v>
      </c>
      <c r="AC7" s="205">
        <f t="shared" si="26"/>
        <v>367500</v>
      </c>
      <c r="AD7" s="231">
        <f>COUNTIF('Table 6 and 7'!$A$5:$E$8,A7)</f>
        <v>0</v>
      </c>
      <c r="AE7" s="64">
        <f t="shared" si="27"/>
        <v>0</v>
      </c>
      <c r="AF7" s="205">
        <f t="shared" si="28"/>
        <v>0</v>
      </c>
      <c r="AG7" s="231">
        <f>COUNTIF('Table 6 and 7'!$A$16:$E$23,A7)</f>
        <v>0</v>
      </c>
      <c r="AH7" s="64">
        <f t="shared" si="29"/>
        <v>0</v>
      </c>
      <c r="AI7" s="205">
        <f t="shared" si="30"/>
        <v>0</v>
      </c>
      <c r="AJ7" s="66">
        <f t="shared" si="31"/>
        <v>1146600</v>
      </c>
      <c r="AK7" s="67">
        <f t="shared" si="32"/>
        <v>15600</v>
      </c>
      <c r="AL7" s="67" t="str">
        <f t="shared" si="17"/>
        <v>CT</v>
      </c>
      <c r="AM7" s="67" t="str">
        <f>VLOOKUP(AL7,State_abrv,2,FALSE)</f>
        <v xml:space="preserve"> Connecticut </v>
      </c>
      <c r="AN7" s="67">
        <f t="shared" si="18"/>
        <v>1</v>
      </c>
      <c r="AO7" s="67">
        <f t="shared" si="33"/>
        <v>4</v>
      </c>
      <c r="AP7" s="67">
        <f t="shared" si="19"/>
        <v>7800</v>
      </c>
      <c r="AQ7" s="67">
        <f t="shared" si="20"/>
        <v>3900</v>
      </c>
      <c r="AR7" s="67">
        <f t="shared" si="21"/>
        <v>3900</v>
      </c>
      <c r="AS7" s="66">
        <f t="shared" si="22"/>
        <v>573300</v>
      </c>
      <c r="AT7" s="66">
        <f t="shared" si="23"/>
        <v>286650</v>
      </c>
      <c r="AU7" s="153">
        <f t="shared" si="24"/>
        <v>286650</v>
      </c>
      <c r="AV7" s="64"/>
    </row>
    <row r="8" spans="1:48" s="64" customFormat="1" x14ac:dyDescent="0.35">
      <c r="A8" s="155" t="s">
        <v>34</v>
      </c>
      <c r="B8" s="155">
        <v>1</v>
      </c>
      <c r="C8" s="155">
        <v>1</v>
      </c>
      <c r="D8" s="64">
        <v>500</v>
      </c>
      <c r="E8" s="65">
        <f t="shared" si="0"/>
        <v>36750</v>
      </c>
      <c r="F8" s="64">
        <f>COUNTIFS('NAAs by State'!$C$4:$C$67,A8,'NAAs by State'!$F$4:$F$67,"Marginal")-I8</f>
        <v>0</v>
      </c>
      <c r="G8" s="64">
        <f t="shared" si="1"/>
        <v>0</v>
      </c>
      <c r="H8" s="65">
        <f t="shared" si="2"/>
        <v>0</v>
      </c>
      <c r="I8" s="64">
        <f>COUNTIFS('NAAs by State'!$C$4:$C$67,A8,'NAAs by State'!$F$4:$F$67,"Marginal",'NAAs by State'!$H$4:$H$67,"Moderate")</f>
        <v>1</v>
      </c>
      <c r="J8" s="64">
        <f t="shared" si="3"/>
        <v>5100</v>
      </c>
      <c r="K8" s="65">
        <f t="shared" si="4"/>
        <v>374850</v>
      </c>
      <c r="L8" s="64">
        <f>COUNTIFS('NAAs by State'!$C$4:$C$67,A8,'NAAs by State'!$F$4:$F$67,"Moderate")</f>
        <v>0</v>
      </c>
      <c r="M8" s="64">
        <f t="shared" si="5"/>
        <v>0</v>
      </c>
      <c r="N8" s="65">
        <f t="shared" si="6"/>
        <v>0</v>
      </c>
      <c r="O8" s="64">
        <f>COUNTIFS('NAAs by State'!$C$4:$C$67,A8,'NAAs by State'!$F$4:$F$67,"Serious")</f>
        <v>0</v>
      </c>
      <c r="P8" s="64">
        <f t="shared" si="34"/>
        <v>0</v>
      </c>
      <c r="Q8" s="65">
        <f t="shared" si="7"/>
        <v>0</v>
      </c>
      <c r="R8" s="64">
        <f>COUNTIFS('NAAs by State'!$C$4:$C$67,A8,'NAAs by State'!$F$4:$F$67,"Severe-15")</f>
        <v>0</v>
      </c>
      <c r="S8" s="64">
        <f t="shared" si="8"/>
        <v>0</v>
      </c>
      <c r="T8" s="65">
        <f t="shared" si="9"/>
        <v>0</v>
      </c>
      <c r="U8" s="64">
        <f>COUNTIFS('NAAs by State'!$C$4:$C$67,A8,'NAAs by State'!$F$4:$F$67,"Severe 17")</f>
        <v>0</v>
      </c>
      <c r="V8" s="64">
        <f t="shared" si="10"/>
        <v>0</v>
      </c>
      <c r="W8" s="65">
        <f t="shared" si="11"/>
        <v>0</v>
      </c>
      <c r="X8" s="64">
        <f>COUNTIFS('NAAs by State'!$C$4:$C$67,A8,'NAAs by State'!$F$4:$F$67,"Extreme")</f>
        <v>0</v>
      </c>
      <c r="Y8" s="64">
        <f t="shared" si="35"/>
        <v>0</v>
      </c>
      <c r="Z8" s="65">
        <f t="shared" si="12"/>
        <v>0</v>
      </c>
      <c r="AA8" s="64">
        <f>COUNTIF('2008serious'!$A$6:$B$18,A8)</f>
        <v>0</v>
      </c>
      <c r="AB8" s="64">
        <f t="shared" si="25"/>
        <v>0</v>
      </c>
      <c r="AC8" s="205">
        <f t="shared" si="26"/>
        <v>0</v>
      </c>
      <c r="AD8" s="231">
        <f>COUNTIF('Table 6 and 7'!$A$5:$E$8,A8)</f>
        <v>0</v>
      </c>
      <c r="AE8" s="64">
        <f t="shared" si="27"/>
        <v>0</v>
      </c>
      <c r="AF8" s="205">
        <f t="shared" si="28"/>
        <v>0</v>
      </c>
      <c r="AG8" s="231">
        <f>COUNTIF('Table 6 and 7'!$A$16:$E$23,A8)</f>
        <v>0</v>
      </c>
      <c r="AH8" s="64">
        <f t="shared" si="29"/>
        <v>0</v>
      </c>
      <c r="AI8" s="205">
        <f t="shared" si="30"/>
        <v>0</v>
      </c>
      <c r="AJ8" s="66">
        <f t="shared" si="31"/>
        <v>411600</v>
      </c>
      <c r="AK8" s="67">
        <f t="shared" si="32"/>
        <v>5600</v>
      </c>
      <c r="AL8" s="67" t="str">
        <f t="shared" si="17"/>
        <v>DC</v>
      </c>
      <c r="AM8" s="167" t="s">
        <v>409</v>
      </c>
      <c r="AN8" s="67">
        <f t="shared" si="18"/>
        <v>1</v>
      </c>
      <c r="AO8" s="67">
        <f t="shared" si="33"/>
        <v>2</v>
      </c>
      <c r="AP8" s="67">
        <f t="shared" si="19"/>
        <v>2800</v>
      </c>
      <c r="AQ8" s="67">
        <f t="shared" si="20"/>
        <v>1400</v>
      </c>
      <c r="AR8" s="67">
        <f t="shared" si="21"/>
        <v>1400</v>
      </c>
      <c r="AS8" s="66">
        <f t="shared" si="22"/>
        <v>205800</v>
      </c>
      <c r="AT8" s="66">
        <f t="shared" si="23"/>
        <v>102900</v>
      </c>
      <c r="AU8" s="153">
        <f t="shared" si="24"/>
        <v>102900</v>
      </c>
    </row>
    <row r="9" spans="1:48" s="64" customFormat="1" x14ac:dyDescent="0.35">
      <c r="A9" s="155" t="s">
        <v>35</v>
      </c>
      <c r="B9" s="155">
        <v>3</v>
      </c>
      <c r="C9" s="155">
        <v>1</v>
      </c>
      <c r="D9" s="64">
        <v>500</v>
      </c>
      <c r="E9" s="65">
        <f t="shared" si="0"/>
        <v>36750</v>
      </c>
      <c r="F9" s="64">
        <f>COUNTIFS('NAAs by State'!$C$4:$C$67,A9,'NAAs by State'!$F$4:$F$67,"Marginal")-I9</f>
        <v>0</v>
      </c>
      <c r="G9" s="64">
        <f t="shared" si="1"/>
        <v>0</v>
      </c>
      <c r="H9" s="65">
        <f t="shared" si="2"/>
        <v>0</v>
      </c>
      <c r="I9" s="64">
        <f>COUNTIFS('NAAs by State'!$C$4:$C$67,A9,'NAAs by State'!$F$4:$F$67,"Marginal",'NAAs by State'!$H$4:$H$67,"Moderate")</f>
        <v>1</v>
      </c>
      <c r="J9" s="64">
        <f t="shared" si="3"/>
        <v>5100</v>
      </c>
      <c r="K9" s="65">
        <f t="shared" si="4"/>
        <v>374850</v>
      </c>
      <c r="L9" s="64">
        <f>COUNTIFS('NAAs by State'!$C$4:$C$67,A9,'NAAs by State'!$F$4:$F$67,"Moderate")</f>
        <v>0</v>
      </c>
      <c r="M9" s="64">
        <f t="shared" si="5"/>
        <v>0</v>
      </c>
      <c r="N9" s="65">
        <f t="shared" si="6"/>
        <v>0</v>
      </c>
      <c r="O9" s="64">
        <f>COUNTIFS('NAAs by State'!$C$4:$C$67,A9,'NAAs by State'!$F$4:$F$67,"Serious")</f>
        <v>0</v>
      </c>
      <c r="P9" s="64">
        <f t="shared" si="34"/>
        <v>0</v>
      </c>
      <c r="Q9" s="65">
        <f t="shared" si="7"/>
        <v>0</v>
      </c>
      <c r="R9" s="64">
        <f>COUNTIFS('NAAs by State'!$C$4:$C$67,A9,'NAAs by State'!$F$4:$F$67,"Severe-15")</f>
        <v>0</v>
      </c>
      <c r="S9" s="64">
        <f t="shared" si="8"/>
        <v>0</v>
      </c>
      <c r="T9" s="65">
        <f t="shared" si="9"/>
        <v>0</v>
      </c>
      <c r="U9" s="64">
        <f>COUNTIFS('NAAs by State'!$C$4:$C$67,A9,'NAAs by State'!$F$4:$F$67,"Severe 17")</f>
        <v>0</v>
      </c>
      <c r="V9" s="64">
        <f t="shared" si="10"/>
        <v>0</v>
      </c>
      <c r="W9" s="65">
        <f t="shared" si="11"/>
        <v>0</v>
      </c>
      <c r="X9" s="64">
        <f>COUNTIFS('NAAs by State'!$C$4:$C$67,A9,'NAAs by State'!$F$4:$F$67,"Extreme")</f>
        <v>0</v>
      </c>
      <c r="Y9" s="64">
        <f t="shared" si="35"/>
        <v>0</v>
      </c>
      <c r="Z9" s="65">
        <f t="shared" si="12"/>
        <v>0</v>
      </c>
      <c r="AA9" s="64">
        <f>COUNTIF('2008serious'!$A$6:$B$18,A9)</f>
        <v>0</v>
      </c>
      <c r="AB9" s="64">
        <f t="shared" si="25"/>
        <v>0</v>
      </c>
      <c r="AC9" s="205">
        <f t="shared" si="26"/>
        <v>0</v>
      </c>
      <c r="AD9" s="231">
        <f>COUNTIF('Table 6 and 7'!$A$5:$E$8,A9)</f>
        <v>0</v>
      </c>
      <c r="AE9" s="64">
        <f t="shared" si="27"/>
        <v>0</v>
      </c>
      <c r="AF9" s="205">
        <f t="shared" si="28"/>
        <v>0</v>
      </c>
      <c r="AG9" s="231">
        <f>COUNTIF('Table 6 and 7'!$A$16:$E$23,A9)</f>
        <v>0</v>
      </c>
      <c r="AH9" s="64">
        <f t="shared" si="29"/>
        <v>0</v>
      </c>
      <c r="AI9" s="205">
        <f t="shared" si="30"/>
        <v>0</v>
      </c>
      <c r="AJ9" s="66">
        <f t="shared" si="31"/>
        <v>411600</v>
      </c>
      <c r="AK9" s="67">
        <f t="shared" si="32"/>
        <v>5600</v>
      </c>
      <c r="AL9" s="67" t="str">
        <f t="shared" si="17"/>
        <v>DE</v>
      </c>
      <c r="AM9" s="67" t="str">
        <f t="shared" ref="AM9:AM15" si="36">VLOOKUP(AL9,State_abrv,2,FALSE)</f>
        <v xml:space="preserve"> Delaware</v>
      </c>
      <c r="AN9" s="67">
        <f t="shared" si="18"/>
        <v>3</v>
      </c>
      <c r="AO9" s="67">
        <f t="shared" si="33"/>
        <v>2</v>
      </c>
      <c r="AP9" s="67">
        <f t="shared" si="19"/>
        <v>2800</v>
      </c>
      <c r="AQ9" s="67">
        <f t="shared" si="20"/>
        <v>1400</v>
      </c>
      <c r="AR9" s="67">
        <f t="shared" si="21"/>
        <v>1400</v>
      </c>
      <c r="AS9" s="66">
        <f t="shared" si="22"/>
        <v>205800</v>
      </c>
      <c r="AT9" s="66">
        <f t="shared" si="23"/>
        <v>102900</v>
      </c>
      <c r="AU9" s="153">
        <f t="shared" si="24"/>
        <v>102900</v>
      </c>
    </row>
    <row r="10" spans="1:48" s="64" customFormat="1" x14ac:dyDescent="0.35">
      <c r="A10" s="62" t="s">
        <v>37</v>
      </c>
      <c r="B10" s="62">
        <v>4</v>
      </c>
      <c r="C10" s="62">
        <v>0</v>
      </c>
      <c r="D10" s="64">
        <v>0</v>
      </c>
      <c r="E10" s="65">
        <f t="shared" si="0"/>
        <v>0</v>
      </c>
      <c r="F10" s="64">
        <f>COUNTIFS('NAAs by State'!$C$4:$C$67,A10,'NAAs by State'!$F$4:$F$67,"Marginal")-I10</f>
        <v>1</v>
      </c>
      <c r="G10" s="64">
        <f t="shared" si="1"/>
        <v>100</v>
      </c>
      <c r="H10" s="65">
        <f t="shared" si="2"/>
        <v>7350</v>
      </c>
      <c r="I10" s="64">
        <f>COUNTIFS('NAAs by State'!$C$4:$C$67,A10,'NAAs by State'!$F$4:$F$67,"Marginal",'NAAs by State'!$H$4:$H$67,"Moderate")</f>
        <v>0</v>
      </c>
      <c r="J10" s="64">
        <f t="shared" si="3"/>
        <v>0</v>
      </c>
      <c r="K10" s="65">
        <f t="shared" si="4"/>
        <v>0</v>
      </c>
      <c r="L10" s="64">
        <f>COUNTIFS('NAAs by State'!$C$4:$C$67,A10,'NAAs by State'!$F$4:$F$67,"Moderate")</f>
        <v>0</v>
      </c>
      <c r="M10" s="64">
        <f t="shared" si="5"/>
        <v>0</v>
      </c>
      <c r="N10" s="65">
        <f t="shared" si="6"/>
        <v>0</v>
      </c>
      <c r="O10" s="64">
        <f>COUNTIFS('NAAs by State'!$C$4:$C$67,A10,'NAAs by State'!$F$4:$F$67,"Serious")</f>
        <v>0</v>
      </c>
      <c r="P10" s="64">
        <f t="shared" si="34"/>
        <v>0</v>
      </c>
      <c r="Q10" s="65">
        <f t="shared" si="7"/>
        <v>0</v>
      </c>
      <c r="R10" s="64">
        <f>COUNTIFS('NAAs by State'!$C$4:$C$67,A10,'NAAs by State'!$F$4:$F$67,"Severe-15")</f>
        <v>0</v>
      </c>
      <c r="S10" s="64">
        <f t="shared" si="8"/>
        <v>0</v>
      </c>
      <c r="T10" s="65">
        <f t="shared" si="9"/>
        <v>0</v>
      </c>
      <c r="U10" s="64">
        <f>COUNTIFS('NAAs by State'!$C$4:$C$67,A10,'NAAs by State'!$F$4:$F$67,"Severe 17")</f>
        <v>0</v>
      </c>
      <c r="V10" s="64">
        <f t="shared" si="10"/>
        <v>0</v>
      </c>
      <c r="W10" s="65">
        <f t="shared" si="11"/>
        <v>0</v>
      </c>
      <c r="X10" s="64">
        <f>COUNTIFS('NAAs by State'!$C$4:$C$67,A10,'NAAs by State'!$F$4:$F$67,"Extreme")</f>
        <v>0</v>
      </c>
      <c r="Y10" s="64">
        <f t="shared" si="35"/>
        <v>0</v>
      </c>
      <c r="Z10" s="65">
        <f t="shared" si="12"/>
        <v>0</v>
      </c>
      <c r="AA10" s="64">
        <f>COUNTIF('2008serious'!$A$6:$B$18,A10)</f>
        <v>0</v>
      </c>
      <c r="AB10" s="64">
        <f t="shared" si="25"/>
        <v>0</v>
      </c>
      <c r="AC10" s="205">
        <f t="shared" si="26"/>
        <v>0</v>
      </c>
      <c r="AD10" s="231">
        <f>COUNTIF('Table 6 and 7'!$A$5:$E$8,A10)</f>
        <v>0</v>
      </c>
      <c r="AE10" s="64">
        <f t="shared" si="27"/>
        <v>0</v>
      </c>
      <c r="AF10" s="205">
        <f t="shared" si="28"/>
        <v>0</v>
      </c>
      <c r="AG10" s="231">
        <f>COUNTIF('Table 6 and 7'!$A$16:$E$23,A10)</f>
        <v>1</v>
      </c>
      <c r="AH10" s="64">
        <f t="shared" si="29"/>
        <v>100</v>
      </c>
      <c r="AI10" s="205">
        <f t="shared" si="30"/>
        <v>7350</v>
      </c>
      <c r="AJ10" s="66">
        <f t="shared" si="31"/>
        <v>14700</v>
      </c>
      <c r="AK10" s="67">
        <f t="shared" si="32"/>
        <v>200</v>
      </c>
      <c r="AL10" s="67" t="str">
        <f t="shared" si="17"/>
        <v>GA</v>
      </c>
      <c r="AM10" s="67" t="str">
        <f t="shared" si="36"/>
        <v xml:space="preserve"> Georgia</v>
      </c>
      <c r="AN10" s="67">
        <f t="shared" si="18"/>
        <v>4</v>
      </c>
      <c r="AO10" s="67">
        <f t="shared" si="33"/>
        <v>2</v>
      </c>
      <c r="AP10" s="67">
        <f t="shared" si="19"/>
        <v>100</v>
      </c>
      <c r="AQ10" s="67">
        <f t="shared" si="20"/>
        <v>50</v>
      </c>
      <c r="AR10" s="67">
        <f t="shared" si="21"/>
        <v>50</v>
      </c>
      <c r="AS10" s="66">
        <f t="shared" si="22"/>
        <v>7350</v>
      </c>
      <c r="AT10" s="66">
        <f t="shared" si="23"/>
        <v>3675</v>
      </c>
      <c r="AU10" s="153">
        <f t="shared" si="24"/>
        <v>3675</v>
      </c>
    </row>
    <row r="11" spans="1:48" s="64" customFormat="1" x14ac:dyDescent="0.35">
      <c r="A11" s="62" t="s">
        <v>40</v>
      </c>
      <c r="B11" s="62">
        <v>5</v>
      </c>
      <c r="C11" s="62">
        <v>0</v>
      </c>
      <c r="D11" s="64">
        <v>0</v>
      </c>
      <c r="E11" s="65">
        <f t="shared" si="0"/>
        <v>0</v>
      </c>
      <c r="F11" s="64">
        <f>COUNTIFS('NAAs by State'!$C$4:$C$67,A11,'NAAs by State'!$F$4:$F$67,"Marginal")-I11</f>
        <v>0</v>
      </c>
      <c r="G11" s="64">
        <f t="shared" si="1"/>
        <v>0</v>
      </c>
      <c r="H11" s="65">
        <f t="shared" si="2"/>
        <v>0</v>
      </c>
      <c r="I11" s="64">
        <f>COUNTIFS('NAAs by State'!$C$4:$C$67,A11,'NAAs by State'!$F$4:$F$67,"Marginal",'NAAs by State'!$H$4:$H$67,"Moderate")</f>
        <v>2</v>
      </c>
      <c r="J11" s="64">
        <f t="shared" si="3"/>
        <v>10200</v>
      </c>
      <c r="K11" s="65">
        <f t="shared" si="4"/>
        <v>749700</v>
      </c>
      <c r="L11" s="64">
        <f>COUNTIFS('NAAs by State'!$C$4:$C$67,A11,'NAAs by State'!$F$4:$F$67,"Moderate")</f>
        <v>0</v>
      </c>
      <c r="M11" s="64">
        <f t="shared" si="5"/>
        <v>0</v>
      </c>
      <c r="N11" s="65">
        <f t="shared" si="6"/>
        <v>0</v>
      </c>
      <c r="O11" s="64">
        <f>COUNTIFS('NAAs by State'!$C$4:$C$67,A11,'NAAs by State'!$F$4:$F$67,"Serious")</f>
        <v>0</v>
      </c>
      <c r="P11" s="64">
        <f t="shared" si="34"/>
        <v>0</v>
      </c>
      <c r="Q11" s="65">
        <f t="shared" si="7"/>
        <v>0</v>
      </c>
      <c r="R11" s="64">
        <f>COUNTIFS('NAAs by State'!$C$4:$C$67,A11,'NAAs by State'!$F$4:$F$67,"Severe-15")</f>
        <v>0</v>
      </c>
      <c r="S11" s="64">
        <f t="shared" si="8"/>
        <v>0</v>
      </c>
      <c r="T11" s="65">
        <f t="shared" si="9"/>
        <v>0</v>
      </c>
      <c r="U11" s="64">
        <f>COUNTIFS('NAAs by State'!$C$4:$C$67,A11,'NAAs by State'!$F$4:$F$67,"Severe 17")</f>
        <v>0</v>
      </c>
      <c r="V11" s="64">
        <f t="shared" si="10"/>
        <v>0</v>
      </c>
      <c r="W11" s="65">
        <f t="shared" si="11"/>
        <v>0</v>
      </c>
      <c r="X11" s="64">
        <f>COUNTIFS('NAAs by State'!$C$4:$C$67,A11,'NAAs by State'!$F$4:$F$67,"Extreme")</f>
        <v>0</v>
      </c>
      <c r="Y11" s="64">
        <f t="shared" si="35"/>
        <v>0</v>
      </c>
      <c r="Z11" s="65">
        <f t="shared" si="12"/>
        <v>0</v>
      </c>
      <c r="AA11" s="64">
        <f>COUNTIF('2008serious'!$A$6:$B$18,A11)</f>
        <v>1</v>
      </c>
      <c r="AB11" s="64">
        <f t="shared" si="25"/>
        <v>5000</v>
      </c>
      <c r="AC11" s="205">
        <f t="shared" si="26"/>
        <v>367500</v>
      </c>
      <c r="AD11" s="231">
        <f>COUNTIF('Table 6 and 7'!$A$5:$E$8,A11)</f>
        <v>0</v>
      </c>
      <c r="AE11" s="64">
        <f t="shared" si="27"/>
        <v>0</v>
      </c>
      <c r="AF11" s="205">
        <f t="shared" si="28"/>
        <v>0</v>
      </c>
      <c r="AG11" s="231">
        <f>COUNTIF('Table 6 and 7'!$A$16:$E$23,A11)</f>
        <v>0</v>
      </c>
      <c r="AH11" s="64">
        <f t="shared" si="29"/>
        <v>0</v>
      </c>
      <c r="AI11" s="205">
        <f t="shared" si="30"/>
        <v>0</v>
      </c>
      <c r="AJ11" s="66">
        <f t="shared" si="31"/>
        <v>1117200</v>
      </c>
      <c r="AK11" s="67">
        <f t="shared" si="32"/>
        <v>15200</v>
      </c>
      <c r="AL11" s="67" t="str">
        <f t="shared" si="17"/>
        <v>IL</v>
      </c>
      <c r="AM11" s="67" t="str">
        <f t="shared" si="36"/>
        <v xml:space="preserve"> Illinois</v>
      </c>
      <c r="AN11" s="67">
        <f t="shared" si="18"/>
        <v>5</v>
      </c>
      <c r="AO11" s="67">
        <f t="shared" si="33"/>
        <v>3</v>
      </c>
      <c r="AP11" s="67">
        <f t="shared" si="19"/>
        <v>7600</v>
      </c>
      <c r="AQ11" s="67">
        <f t="shared" si="20"/>
        <v>3800</v>
      </c>
      <c r="AR11" s="67">
        <f t="shared" si="21"/>
        <v>3800</v>
      </c>
      <c r="AS11" s="66">
        <f t="shared" si="22"/>
        <v>558600</v>
      </c>
      <c r="AT11" s="66">
        <f t="shared" si="23"/>
        <v>279300</v>
      </c>
      <c r="AU11" s="153">
        <f t="shared" si="24"/>
        <v>279300</v>
      </c>
    </row>
    <row r="12" spans="1:48" s="64" customFormat="1" x14ac:dyDescent="0.35">
      <c r="A12" s="62" t="s">
        <v>41</v>
      </c>
      <c r="B12" s="62">
        <v>5</v>
      </c>
      <c r="C12" s="62">
        <v>0</v>
      </c>
      <c r="D12" s="64">
        <v>0</v>
      </c>
      <c r="E12" s="65">
        <f t="shared" si="0"/>
        <v>0</v>
      </c>
      <c r="F12" s="64">
        <f>COUNTIFS('NAAs by State'!$C$4:$C$67,A12,'NAAs by State'!$F$4:$F$67,"Marginal")-I12</f>
        <v>0</v>
      </c>
      <c r="G12" s="64">
        <f t="shared" si="1"/>
        <v>0</v>
      </c>
      <c r="H12" s="65">
        <f t="shared" si="2"/>
        <v>0</v>
      </c>
      <c r="I12" s="64">
        <f>COUNTIFS('NAAs by State'!$C$4:$C$67,A12,'NAAs by State'!$F$4:$F$67,"Marginal",'NAAs by State'!$H$4:$H$67,"Moderate")</f>
        <v>2</v>
      </c>
      <c r="J12" s="64">
        <f t="shared" si="3"/>
        <v>10200</v>
      </c>
      <c r="K12" s="65">
        <f t="shared" si="4"/>
        <v>749700</v>
      </c>
      <c r="L12" s="64">
        <f>COUNTIFS('NAAs by State'!$C$4:$C$67,A12,'NAAs by State'!$F$4:$F$67,"Moderate")</f>
        <v>0</v>
      </c>
      <c r="M12" s="64">
        <f t="shared" si="5"/>
        <v>0</v>
      </c>
      <c r="N12" s="65">
        <f t="shared" si="6"/>
        <v>0</v>
      </c>
      <c r="O12" s="64">
        <f>COUNTIFS('NAAs by State'!$C$4:$C$67,A12,'NAAs by State'!$F$4:$F$67,"Serious")</f>
        <v>0</v>
      </c>
      <c r="P12" s="64">
        <f t="shared" si="34"/>
        <v>0</v>
      </c>
      <c r="Q12" s="65">
        <f t="shared" si="7"/>
        <v>0</v>
      </c>
      <c r="R12" s="64">
        <f>COUNTIFS('NAAs by State'!$C$4:$C$67,A12,'NAAs by State'!$F$4:$F$67,"Severe-15")</f>
        <v>0</v>
      </c>
      <c r="S12" s="64">
        <f t="shared" si="8"/>
        <v>0</v>
      </c>
      <c r="T12" s="65">
        <f t="shared" si="9"/>
        <v>0</v>
      </c>
      <c r="U12" s="64">
        <f>COUNTIFS('NAAs by State'!$C$4:$C$67,A12,'NAAs by State'!$F$4:$F$67,"Severe 17")</f>
        <v>0</v>
      </c>
      <c r="V12" s="64">
        <f t="shared" si="10"/>
        <v>0</v>
      </c>
      <c r="W12" s="65">
        <f t="shared" si="11"/>
        <v>0</v>
      </c>
      <c r="X12" s="64">
        <f>COUNTIFS('NAAs by State'!$C$4:$C$67,A12,'NAAs by State'!$F$4:$F$67,"Extreme")</f>
        <v>0</v>
      </c>
      <c r="Y12" s="64">
        <f t="shared" si="35"/>
        <v>0</v>
      </c>
      <c r="Z12" s="65">
        <f t="shared" si="12"/>
        <v>0</v>
      </c>
      <c r="AA12" s="64">
        <f>COUNTIF('2008serious'!$A$6:$B$18,A12)</f>
        <v>1</v>
      </c>
      <c r="AB12" s="64">
        <f t="shared" si="25"/>
        <v>5000</v>
      </c>
      <c r="AC12" s="205">
        <f t="shared" si="26"/>
        <v>367500</v>
      </c>
      <c r="AD12" s="231">
        <f>COUNTIF('Table 6 and 7'!$A$5:$E$8,A12)</f>
        <v>0</v>
      </c>
      <c r="AE12" s="64">
        <f t="shared" si="27"/>
        <v>0</v>
      </c>
      <c r="AF12" s="205">
        <f t="shared" si="28"/>
        <v>0</v>
      </c>
      <c r="AG12" s="231">
        <f>COUNTIF('Table 6 and 7'!$A$16:$E$23,A12)</f>
        <v>0</v>
      </c>
      <c r="AH12" s="64">
        <f t="shared" si="29"/>
        <v>0</v>
      </c>
      <c r="AI12" s="205">
        <f t="shared" si="30"/>
        <v>0</v>
      </c>
      <c r="AJ12" s="66">
        <f t="shared" si="31"/>
        <v>1117200</v>
      </c>
      <c r="AK12" s="67">
        <f t="shared" si="32"/>
        <v>15200</v>
      </c>
      <c r="AL12" s="67" t="str">
        <f t="shared" si="17"/>
        <v>IN</v>
      </c>
      <c r="AM12" s="67" t="str">
        <f t="shared" si="36"/>
        <v xml:space="preserve"> Indiana</v>
      </c>
      <c r="AN12" s="67">
        <f t="shared" si="18"/>
        <v>5</v>
      </c>
      <c r="AO12" s="67">
        <f t="shared" si="33"/>
        <v>3</v>
      </c>
      <c r="AP12" s="67">
        <f t="shared" si="19"/>
        <v>7600</v>
      </c>
      <c r="AQ12" s="67">
        <f t="shared" si="20"/>
        <v>3800</v>
      </c>
      <c r="AR12" s="67">
        <f t="shared" si="21"/>
        <v>3800</v>
      </c>
      <c r="AS12" s="66">
        <f t="shared" si="22"/>
        <v>558600</v>
      </c>
      <c r="AT12" s="66">
        <f t="shared" si="23"/>
        <v>279300</v>
      </c>
      <c r="AU12" s="153">
        <f t="shared" si="24"/>
        <v>279300</v>
      </c>
    </row>
    <row r="13" spans="1:48" s="64" customFormat="1" x14ac:dyDescent="0.35">
      <c r="A13" s="62" t="s">
        <v>43</v>
      </c>
      <c r="B13" s="62">
        <v>4</v>
      </c>
      <c r="C13" s="62">
        <v>0</v>
      </c>
      <c r="D13" s="64">
        <v>0</v>
      </c>
      <c r="E13" s="65">
        <f t="shared" si="0"/>
        <v>0</v>
      </c>
      <c r="F13" s="64">
        <f>COUNTIFS('NAAs by State'!$C$4:$C$67,A13,'NAAs by State'!$F$4:$F$67,"Marginal")-I13</f>
        <v>0</v>
      </c>
      <c r="G13" s="64">
        <f t="shared" si="1"/>
        <v>0</v>
      </c>
      <c r="H13" s="65">
        <f t="shared" si="2"/>
        <v>0</v>
      </c>
      <c r="I13" s="64">
        <f>COUNTIFS('NAAs by State'!$C$4:$C$67,A13,'NAAs by State'!$F$4:$F$67,"Marginal",'NAAs by State'!$H$4:$H$67,"Moderate")</f>
        <v>2</v>
      </c>
      <c r="J13" s="64">
        <f t="shared" si="3"/>
        <v>10200</v>
      </c>
      <c r="K13" s="65">
        <f t="shared" si="4"/>
        <v>749700</v>
      </c>
      <c r="L13" s="64">
        <f>COUNTIFS('NAAs by State'!$C$4:$C$67,A13,'NAAs by State'!$F$4:$F$67,"Moderate")</f>
        <v>0</v>
      </c>
      <c r="M13" s="64">
        <f t="shared" si="5"/>
        <v>0</v>
      </c>
      <c r="N13" s="65">
        <f t="shared" si="6"/>
        <v>0</v>
      </c>
      <c r="O13" s="64">
        <f>COUNTIFS('NAAs by State'!$C$4:$C$67,A13,'NAAs by State'!$F$4:$F$67,"Serious")</f>
        <v>0</v>
      </c>
      <c r="P13" s="64">
        <f t="shared" si="34"/>
        <v>0</v>
      </c>
      <c r="Q13" s="65">
        <f t="shared" si="7"/>
        <v>0</v>
      </c>
      <c r="R13" s="64">
        <f>COUNTIFS('NAAs by State'!$C$4:$C$67,A13,'NAAs by State'!$F$4:$F$67,"Severe-15")</f>
        <v>0</v>
      </c>
      <c r="S13" s="64">
        <f t="shared" si="8"/>
        <v>0</v>
      </c>
      <c r="T13" s="65">
        <f t="shared" si="9"/>
        <v>0</v>
      </c>
      <c r="U13" s="64">
        <f>COUNTIFS('NAAs by State'!$C$4:$C$67,A13,'NAAs by State'!$F$4:$F$67,"Severe 17")</f>
        <v>0</v>
      </c>
      <c r="V13" s="64">
        <f t="shared" si="10"/>
        <v>0</v>
      </c>
      <c r="W13" s="65">
        <f t="shared" si="11"/>
        <v>0</v>
      </c>
      <c r="X13" s="64">
        <f>COUNTIFS('NAAs by State'!$C$4:$C$67,A13,'NAAs by State'!$F$4:$F$67,"Extreme")</f>
        <v>0</v>
      </c>
      <c r="Y13" s="64">
        <f t="shared" si="35"/>
        <v>0</v>
      </c>
      <c r="Z13" s="65">
        <f t="shared" si="12"/>
        <v>0</v>
      </c>
      <c r="AA13" s="64">
        <f>COUNTIF('2008serious'!$A$6:$B$18,A13)</f>
        <v>0</v>
      </c>
      <c r="AB13" s="64">
        <f t="shared" si="25"/>
        <v>0</v>
      </c>
      <c r="AC13" s="205">
        <f t="shared" si="26"/>
        <v>0</v>
      </c>
      <c r="AD13" s="231">
        <f>COUNTIF('Table 6 and 7'!$A$5:$E$8,A13)</f>
        <v>0</v>
      </c>
      <c r="AE13" s="64">
        <f t="shared" si="27"/>
        <v>0</v>
      </c>
      <c r="AF13" s="205">
        <f t="shared" si="28"/>
        <v>0</v>
      </c>
      <c r="AG13" s="231">
        <f>COUNTIF('Table 6 and 7'!$A$16:$E$23,A13)</f>
        <v>0</v>
      </c>
      <c r="AH13" s="64">
        <f t="shared" si="29"/>
        <v>0</v>
      </c>
      <c r="AI13" s="205">
        <f t="shared" si="30"/>
        <v>0</v>
      </c>
      <c r="AJ13" s="66">
        <f t="shared" si="31"/>
        <v>749700</v>
      </c>
      <c r="AK13" s="67">
        <f t="shared" si="32"/>
        <v>10200</v>
      </c>
      <c r="AL13" s="67" t="str">
        <f t="shared" si="17"/>
        <v>KY</v>
      </c>
      <c r="AM13" s="67" t="str">
        <f t="shared" si="36"/>
        <v xml:space="preserve"> Kentucky</v>
      </c>
      <c r="AN13" s="67">
        <f t="shared" si="18"/>
        <v>4</v>
      </c>
      <c r="AO13" s="67">
        <f t="shared" si="33"/>
        <v>2</v>
      </c>
      <c r="AP13" s="67">
        <f t="shared" si="19"/>
        <v>5100</v>
      </c>
      <c r="AQ13" s="67">
        <f t="shared" si="20"/>
        <v>2550</v>
      </c>
      <c r="AR13" s="67">
        <f t="shared" si="21"/>
        <v>2550</v>
      </c>
      <c r="AS13" s="66">
        <f t="shared" si="22"/>
        <v>374850</v>
      </c>
      <c r="AT13" s="66">
        <f t="shared" si="23"/>
        <v>187425</v>
      </c>
      <c r="AU13" s="153">
        <f t="shared" si="24"/>
        <v>187425</v>
      </c>
    </row>
    <row r="14" spans="1:48" s="64" customFormat="1" x14ac:dyDescent="0.35">
      <c r="A14" s="155" t="s">
        <v>45</v>
      </c>
      <c r="B14" s="155">
        <v>1</v>
      </c>
      <c r="C14" s="155">
        <v>1</v>
      </c>
      <c r="D14" s="64">
        <v>500</v>
      </c>
      <c r="E14" s="65">
        <f t="shared" si="0"/>
        <v>36750</v>
      </c>
      <c r="F14" s="64">
        <f>COUNTIFS('NAAs by State'!$C$4:$C$67,A14,'NAAs by State'!$F$4:$F$67,"Marginal")-I14</f>
        <v>0</v>
      </c>
      <c r="G14" s="64">
        <f t="shared" si="1"/>
        <v>0</v>
      </c>
      <c r="H14" s="65">
        <f t="shared" si="2"/>
        <v>0</v>
      </c>
      <c r="I14" s="64">
        <f>COUNTIFS('NAAs by State'!$C$4:$C$67,A14,'NAAs by State'!$F$4:$F$67,"Marginal",'NAAs by State'!$H$4:$H$67,"Moderate")</f>
        <v>0</v>
      </c>
      <c r="J14" s="64">
        <f t="shared" si="3"/>
        <v>0</v>
      </c>
      <c r="K14" s="65">
        <f>J14*63.87</f>
        <v>0</v>
      </c>
      <c r="L14" s="64">
        <f>COUNTIFS('NAAs by State'!$C$4:$C$67,A14,'NAAs by State'!$F$4:$F$67,"Moderate")</f>
        <v>0</v>
      </c>
      <c r="M14" s="64">
        <f t="shared" si="5"/>
        <v>0</v>
      </c>
      <c r="N14" s="65">
        <f>M14*63.87</f>
        <v>0</v>
      </c>
      <c r="O14" s="64">
        <f>COUNTIFS('NAAs by State'!$C$4:$C$67,A14,'NAAs by State'!$F$4:$F$67,"Serious")</f>
        <v>0</v>
      </c>
      <c r="P14" s="64">
        <f t="shared" si="34"/>
        <v>0</v>
      </c>
      <c r="Q14" s="65">
        <f>P14*63.87</f>
        <v>0</v>
      </c>
      <c r="R14" s="64">
        <f>COUNTIFS('NAAs by State'!$C$4:$C$67,A14,'NAAs by State'!$F$4:$F$67,"Severe 15")</f>
        <v>0</v>
      </c>
      <c r="S14" s="64">
        <f t="shared" si="8"/>
        <v>0</v>
      </c>
      <c r="T14" s="65">
        <f>S14*63.87</f>
        <v>0</v>
      </c>
      <c r="U14" s="64">
        <f>COUNTIFS('NAAs by State'!$C$4:$C$67,A14,'NAAs by State'!$F$4:$F$67,"Severe 17")</f>
        <v>0</v>
      </c>
      <c r="V14" s="64">
        <f t="shared" si="10"/>
        <v>0</v>
      </c>
      <c r="W14" s="65">
        <f>V14*63.87</f>
        <v>0</v>
      </c>
      <c r="X14" s="64">
        <f>COUNTIFS('NAAs by State'!$C$4:$C$67,A14,'NAAs by State'!$F$4:$F$67,"Extreme")</f>
        <v>0</v>
      </c>
      <c r="Y14" s="64">
        <f t="shared" si="35"/>
        <v>0</v>
      </c>
      <c r="Z14" s="65">
        <f>Y14*63.87</f>
        <v>0</v>
      </c>
      <c r="AA14" s="64">
        <f>COUNTIF('2008serious'!$A$6:$B$18,A14)</f>
        <v>0</v>
      </c>
      <c r="AB14" s="64">
        <f t="shared" si="25"/>
        <v>0</v>
      </c>
      <c r="AC14" s="205">
        <f t="shared" si="26"/>
        <v>0</v>
      </c>
      <c r="AD14" s="231">
        <f>COUNTIF('Table 6 and 7'!$A$5:$E$8,A14)</f>
        <v>0</v>
      </c>
      <c r="AE14" s="64">
        <f t="shared" si="27"/>
        <v>0</v>
      </c>
      <c r="AF14" s="205">
        <f t="shared" si="28"/>
        <v>0</v>
      </c>
      <c r="AG14" s="231">
        <f>COUNTIF('Table 6 and 7'!$A$16:$E$23,A14)</f>
        <v>0</v>
      </c>
      <c r="AH14" s="64">
        <f t="shared" si="29"/>
        <v>0</v>
      </c>
      <c r="AI14" s="205">
        <f t="shared" si="30"/>
        <v>0</v>
      </c>
      <c r="AJ14" s="66">
        <f t="shared" si="31"/>
        <v>36750</v>
      </c>
      <c r="AK14" s="67">
        <f t="shared" si="32"/>
        <v>500</v>
      </c>
      <c r="AL14" s="67" t="str">
        <f t="shared" si="17"/>
        <v>MA</v>
      </c>
      <c r="AM14" s="67" t="str">
        <f t="shared" si="36"/>
        <v xml:space="preserve"> Massachusetts</v>
      </c>
      <c r="AN14" s="67">
        <f t="shared" si="18"/>
        <v>1</v>
      </c>
      <c r="AO14" s="67">
        <f t="shared" si="33"/>
        <v>1</v>
      </c>
      <c r="AP14" s="67">
        <f t="shared" si="19"/>
        <v>250</v>
      </c>
      <c r="AQ14" s="64">
        <f t="shared" si="20"/>
        <v>125</v>
      </c>
      <c r="AR14" s="64">
        <f t="shared" si="21"/>
        <v>125</v>
      </c>
      <c r="AS14" s="66">
        <f t="shared" si="22"/>
        <v>18375</v>
      </c>
      <c r="AT14" s="66">
        <f t="shared" si="23"/>
        <v>9187.5</v>
      </c>
      <c r="AU14" s="68">
        <f t="shared" si="24"/>
        <v>9187.5</v>
      </c>
    </row>
    <row r="15" spans="1:48" s="64" customFormat="1" x14ac:dyDescent="0.35">
      <c r="A15" s="155" t="s">
        <v>46</v>
      </c>
      <c r="B15" s="155">
        <v>3</v>
      </c>
      <c r="C15" s="155">
        <v>1</v>
      </c>
      <c r="D15" s="64">
        <v>500</v>
      </c>
      <c r="E15" s="65">
        <f t="shared" si="0"/>
        <v>36750</v>
      </c>
      <c r="F15" s="64">
        <f>COUNTIFS('NAAs by State'!$C$4:$C$67,A15,'NAAs by State'!$F$4:$F$67,"Marginal")-I15</f>
        <v>0</v>
      </c>
      <c r="G15" s="64">
        <f t="shared" si="1"/>
        <v>0</v>
      </c>
      <c r="H15" s="65">
        <f t="shared" si="2"/>
        <v>0</v>
      </c>
      <c r="I15" s="64">
        <f>COUNTIFS('NAAs by State'!$C$4:$C$67,A15,'NAAs by State'!$F$4:$F$67,"Marginal",'NAAs by State'!$H$4:$H$67,"Moderate")</f>
        <v>3</v>
      </c>
      <c r="J15" s="64">
        <f t="shared" si="3"/>
        <v>15300</v>
      </c>
      <c r="K15" s="65">
        <f>J15*$H$1</f>
        <v>1124550</v>
      </c>
      <c r="L15" s="64">
        <f>COUNTIFS('NAAs by State'!$C$4:$C$67,A15,'NAAs by State'!$F$4:$F$67,"Moderate")</f>
        <v>0</v>
      </c>
      <c r="M15" s="64">
        <f t="shared" si="5"/>
        <v>0</v>
      </c>
      <c r="N15" s="65">
        <f>M15*$H$1</f>
        <v>0</v>
      </c>
      <c r="O15" s="64">
        <f>COUNTIFS('NAAs by State'!$C$4:$C$67,A15,'NAAs by State'!$F$4:$F$67,"Serious")</f>
        <v>0</v>
      </c>
      <c r="P15" s="64">
        <f t="shared" si="34"/>
        <v>0</v>
      </c>
      <c r="Q15" s="65">
        <f>P15*$H$1</f>
        <v>0</v>
      </c>
      <c r="R15" s="64">
        <f>COUNTIFS('NAAs by State'!$C$4:$C$67,A15,'NAAs by State'!$F$4:$F$67,"Severe-15")</f>
        <v>0</v>
      </c>
      <c r="S15" s="64">
        <f t="shared" si="8"/>
        <v>0</v>
      </c>
      <c r="T15" s="65">
        <f>S15*$H$1</f>
        <v>0</v>
      </c>
      <c r="U15" s="64">
        <f>COUNTIFS('NAAs by State'!$C$4:$C$67,A15,'NAAs by State'!$F$4:$F$67,"Severe 17")</f>
        <v>0</v>
      </c>
      <c r="V15" s="64">
        <f t="shared" si="10"/>
        <v>0</v>
      </c>
      <c r="W15" s="65">
        <f>V15*$H$1</f>
        <v>0</v>
      </c>
      <c r="X15" s="64">
        <f>COUNTIFS('NAAs by State'!$C$4:$C$67,A15,'NAAs by State'!$F$4:$F$67,"Extreme")</f>
        <v>0</v>
      </c>
      <c r="Y15" s="64">
        <f t="shared" si="35"/>
        <v>0</v>
      </c>
      <c r="Z15" s="65">
        <f>Y15*$H$1</f>
        <v>0</v>
      </c>
      <c r="AA15" s="64">
        <f>COUNTIF('2008serious'!$A$6:$B$18,A15)</f>
        <v>0</v>
      </c>
      <c r="AB15" s="64">
        <f t="shared" si="25"/>
        <v>0</v>
      </c>
      <c r="AC15" s="205">
        <f t="shared" si="26"/>
        <v>0</v>
      </c>
      <c r="AD15" s="231">
        <f>COUNTIF('Table 6 and 7'!$A$5:$E$8,A15)</f>
        <v>0</v>
      </c>
      <c r="AE15" s="64">
        <f t="shared" si="27"/>
        <v>0</v>
      </c>
      <c r="AF15" s="205">
        <f t="shared" si="28"/>
        <v>0</v>
      </c>
      <c r="AG15" s="231">
        <f>COUNTIF('Table 6 and 7'!$A$16:$E$23,A15)</f>
        <v>0</v>
      </c>
      <c r="AH15" s="64">
        <f t="shared" si="29"/>
        <v>0</v>
      </c>
      <c r="AI15" s="205">
        <f t="shared" si="30"/>
        <v>0</v>
      </c>
      <c r="AJ15" s="66">
        <f t="shared" si="31"/>
        <v>1161300</v>
      </c>
      <c r="AK15" s="67">
        <f t="shared" si="32"/>
        <v>15800</v>
      </c>
      <c r="AL15" s="67" t="str">
        <f t="shared" si="17"/>
        <v>MD</v>
      </c>
      <c r="AM15" s="67" t="str">
        <f t="shared" si="36"/>
        <v xml:space="preserve"> Maryland</v>
      </c>
      <c r="AN15" s="67">
        <f t="shared" si="18"/>
        <v>3</v>
      </c>
      <c r="AO15" s="67">
        <f t="shared" si="33"/>
        <v>4</v>
      </c>
      <c r="AP15" s="67">
        <f t="shared" si="19"/>
        <v>7900</v>
      </c>
      <c r="AQ15" s="67">
        <f t="shared" si="20"/>
        <v>3950</v>
      </c>
      <c r="AR15" s="67">
        <f t="shared" si="21"/>
        <v>3950</v>
      </c>
      <c r="AS15" s="66">
        <f t="shared" si="22"/>
        <v>580650</v>
      </c>
      <c r="AT15" s="66">
        <f t="shared" si="23"/>
        <v>290325</v>
      </c>
      <c r="AU15" s="153">
        <f t="shared" si="24"/>
        <v>290325</v>
      </c>
    </row>
    <row r="16" spans="1:48" s="64" customFormat="1" x14ac:dyDescent="0.35">
      <c r="A16" s="155" t="s">
        <v>47</v>
      </c>
      <c r="B16" s="155">
        <v>1</v>
      </c>
      <c r="C16" s="155">
        <v>1</v>
      </c>
      <c r="D16" s="64">
        <v>500</v>
      </c>
      <c r="E16" s="65">
        <f t="shared" si="0"/>
        <v>36750</v>
      </c>
      <c r="F16" s="64">
        <f>COUNTIFS('NAAs by State'!$C$4:$C$67,A16,'NAAs by State'!$F$4:$F$67,"Marginal")-I16</f>
        <v>0</v>
      </c>
      <c r="G16" s="64">
        <f t="shared" si="1"/>
        <v>0</v>
      </c>
      <c r="H16" s="65">
        <f t="shared" si="2"/>
        <v>0</v>
      </c>
      <c r="I16" s="64">
        <f>COUNTIFS('NAAs by State'!$C$4:$C$67,A16,'NAAs by State'!$F$4:$F$67,"Marginal",'NAAs by State'!$H$4:$H$67,"Moderate")</f>
        <v>0</v>
      </c>
      <c r="J16" s="64">
        <f t="shared" si="3"/>
        <v>0</v>
      </c>
      <c r="K16" s="65">
        <f>J16*63.87</f>
        <v>0</v>
      </c>
      <c r="L16" s="64">
        <f>COUNTIFS('NAAs by State'!$C$4:$C$67,A16,'NAAs by State'!$F$4:$F$67,"Moderate")</f>
        <v>0</v>
      </c>
      <c r="M16" s="64">
        <f t="shared" si="5"/>
        <v>0</v>
      </c>
      <c r="N16" s="65">
        <f>M16*63.87</f>
        <v>0</v>
      </c>
      <c r="O16" s="64">
        <f>COUNTIFS('NAAs by State'!$C$4:$C$67,A16,'NAAs by State'!$F$4:$F$67,"Serious")</f>
        <v>0</v>
      </c>
      <c r="P16" s="64">
        <f t="shared" si="34"/>
        <v>0</v>
      </c>
      <c r="Q16" s="65">
        <f>P16*63.87</f>
        <v>0</v>
      </c>
      <c r="R16" s="64">
        <f>COUNTIFS('NAAs by State'!$C$4:$C$67,A16,'NAAs by State'!$F$4:$F$67,"Severe 15")</f>
        <v>0</v>
      </c>
      <c r="S16" s="64">
        <f t="shared" si="8"/>
        <v>0</v>
      </c>
      <c r="T16" s="65">
        <f>S16*63.87</f>
        <v>0</v>
      </c>
      <c r="U16" s="64">
        <f>COUNTIFS('NAAs by State'!$C$4:$C$67,A16,'NAAs by State'!$F$4:$F$67,"Severe 17")</f>
        <v>0</v>
      </c>
      <c r="V16" s="64">
        <f t="shared" si="10"/>
        <v>0</v>
      </c>
      <c r="W16" s="65">
        <f>V16*63.87</f>
        <v>0</v>
      </c>
      <c r="X16" s="64">
        <f>COUNTIFS('NAAs by State'!$C$4:$C$67,A16,'NAAs by State'!$F$4:$F$67,"Extreme")</f>
        <v>0</v>
      </c>
      <c r="Y16" s="64">
        <f t="shared" si="35"/>
        <v>0</v>
      </c>
      <c r="Z16" s="65">
        <f>Y16*63.87</f>
        <v>0</v>
      </c>
      <c r="AA16" s="64">
        <f>COUNTIF('2008serious'!$A$6:$B$18,A16)</f>
        <v>0</v>
      </c>
      <c r="AB16" s="64">
        <f t="shared" si="25"/>
        <v>0</v>
      </c>
      <c r="AC16" s="205">
        <f t="shared" si="26"/>
        <v>0</v>
      </c>
      <c r="AD16" s="231">
        <f>COUNTIF('Table 6 and 7'!$A$5:$E$8,A16)</f>
        <v>0</v>
      </c>
      <c r="AE16" s="64">
        <f t="shared" si="27"/>
        <v>0</v>
      </c>
      <c r="AF16" s="205">
        <f t="shared" si="28"/>
        <v>0</v>
      </c>
      <c r="AG16" s="231">
        <f>COUNTIF('Table 6 and 7'!$A$16:$E$23,A16)</f>
        <v>0</v>
      </c>
      <c r="AH16" s="64">
        <f t="shared" si="29"/>
        <v>0</v>
      </c>
      <c r="AI16" s="205">
        <f t="shared" si="30"/>
        <v>0</v>
      </c>
      <c r="AJ16" s="66">
        <f t="shared" si="31"/>
        <v>36750</v>
      </c>
      <c r="AK16" s="67">
        <f t="shared" si="32"/>
        <v>500</v>
      </c>
      <c r="AL16" s="67" t="str">
        <f t="shared" si="17"/>
        <v>ME</v>
      </c>
      <c r="AM16" s="199" t="s">
        <v>420</v>
      </c>
      <c r="AN16" s="67">
        <f t="shared" si="18"/>
        <v>1</v>
      </c>
      <c r="AO16" s="67">
        <f t="shared" si="33"/>
        <v>1</v>
      </c>
      <c r="AP16" s="67">
        <f t="shared" si="19"/>
        <v>250</v>
      </c>
      <c r="AQ16" s="64">
        <f t="shared" si="20"/>
        <v>125</v>
      </c>
      <c r="AR16" s="64">
        <f t="shared" si="21"/>
        <v>125</v>
      </c>
      <c r="AS16" s="66">
        <f t="shared" si="22"/>
        <v>18375</v>
      </c>
      <c r="AT16" s="66">
        <f t="shared" si="23"/>
        <v>9187.5</v>
      </c>
      <c r="AU16" s="68">
        <f t="shared" si="24"/>
        <v>9187.5</v>
      </c>
    </row>
    <row r="17" spans="1:47" s="64" customFormat="1" x14ac:dyDescent="0.35">
      <c r="A17" s="62" t="s">
        <v>48</v>
      </c>
      <c r="B17" s="62">
        <v>5</v>
      </c>
      <c r="C17" s="62">
        <v>0</v>
      </c>
      <c r="D17" s="64">
        <v>0</v>
      </c>
      <c r="E17" s="65">
        <f t="shared" si="0"/>
        <v>0</v>
      </c>
      <c r="F17" s="64">
        <f>COUNTIFS('NAAs by State'!$C$4:$C$67,A17,'NAAs by State'!$F$4:$F$67,"Marginal")-I17</f>
        <v>0</v>
      </c>
      <c r="G17" s="64">
        <f t="shared" si="1"/>
        <v>0</v>
      </c>
      <c r="H17" s="65">
        <f t="shared" si="2"/>
        <v>0</v>
      </c>
      <c r="I17" s="64">
        <f>COUNTIFS('NAAs by State'!$C$4:$C$67,A17,'NAAs by State'!$F$4:$F$67,"Marginal",'NAAs by State'!$H$4:$H$67,"Moderate")</f>
        <v>4</v>
      </c>
      <c r="J17" s="64">
        <f t="shared" si="3"/>
        <v>20400</v>
      </c>
      <c r="K17" s="65">
        <f>J17*$H$1</f>
        <v>1499400</v>
      </c>
      <c r="L17" s="64">
        <f>COUNTIFS('NAAs by State'!$C$4:$C$67,A17,'NAAs by State'!$F$4:$F$67,"Moderate")</f>
        <v>0</v>
      </c>
      <c r="M17" s="64">
        <f t="shared" si="5"/>
        <v>0</v>
      </c>
      <c r="N17" s="65">
        <f>M17*$H$1</f>
        <v>0</v>
      </c>
      <c r="O17" s="64">
        <f>COUNTIFS('NAAs by State'!$C$4:$C$67,A17,'NAAs by State'!$F$4:$F$67,"Serious")</f>
        <v>0</v>
      </c>
      <c r="P17" s="64">
        <f t="shared" si="34"/>
        <v>0</v>
      </c>
      <c r="Q17" s="65">
        <f>P17*$H$1</f>
        <v>0</v>
      </c>
      <c r="R17" s="64">
        <f>COUNTIFS('NAAs by State'!$C$4:$C$67,A17,'NAAs by State'!$F$4:$F$67,"Severe-15")</f>
        <v>0</v>
      </c>
      <c r="S17" s="64">
        <f t="shared" si="8"/>
        <v>0</v>
      </c>
      <c r="T17" s="65">
        <f>S17*$H$1</f>
        <v>0</v>
      </c>
      <c r="U17" s="64">
        <f>COUNTIFS('NAAs by State'!$C$4:$C$67,A17,'NAAs by State'!$F$4:$F$67,"Severe 17")</f>
        <v>0</v>
      </c>
      <c r="V17" s="64">
        <f t="shared" si="10"/>
        <v>0</v>
      </c>
      <c r="W17" s="65">
        <f>V17*$H$1</f>
        <v>0</v>
      </c>
      <c r="X17" s="64">
        <f>COUNTIFS('NAAs by State'!$C$4:$C$67,A17,'NAAs by State'!$F$4:$F$67,"Extreme")</f>
        <v>0</v>
      </c>
      <c r="Y17" s="64">
        <f t="shared" si="35"/>
        <v>0</v>
      </c>
      <c r="Z17" s="65">
        <f>Y17*$H$1</f>
        <v>0</v>
      </c>
      <c r="AA17" s="64">
        <f>COUNTIF('2008serious'!$A$6:$B$18,A17)</f>
        <v>0</v>
      </c>
      <c r="AB17" s="64">
        <f t="shared" si="25"/>
        <v>0</v>
      </c>
      <c r="AC17" s="205">
        <f t="shared" si="26"/>
        <v>0</v>
      </c>
      <c r="AD17" s="231">
        <f>COUNTIF('Table 6 and 7'!$A$5:$E$8,A17)</f>
        <v>0</v>
      </c>
      <c r="AE17" s="64">
        <f t="shared" si="27"/>
        <v>0</v>
      </c>
      <c r="AF17" s="205">
        <f t="shared" si="28"/>
        <v>0</v>
      </c>
      <c r="AG17" s="231">
        <f>COUNTIF('Table 6 and 7'!$A$16:$E$23,A17)</f>
        <v>0</v>
      </c>
      <c r="AH17" s="64">
        <f t="shared" si="29"/>
        <v>0</v>
      </c>
      <c r="AI17" s="205">
        <f t="shared" si="30"/>
        <v>0</v>
      </c>
      <c r="AJ17" s="66">
        <f t="shared" si="31"/>
        <v>1499400</v>
      </c>
      <c r="AK17" s="67">
        <f t="shared" si="32"/>
        <v>20400</v>
      </c>
      <c r="AL17" s="67" t="str">
        <f t="shared" si="17"/>
        <v>MI</v>
      </c>
      <c r="AM17" s="167" t="s">
        <v>405</v>
      </c>
      <c r="AN17" s="67">
        <f t="shared" si="18"/>
        <v>5</v>
      </c>
      <c r="AO17" s="67">
        <f t="shared" si="33"/>
        <v>4</v>
      </c>
      <c r="AP17" s="67">
        <f t="shared" si="19"/>
        <v>10200</v>
      </c>
      <c r="AQ17" s="67">
        <f t="shared" si="20"/>
        <v>5100</v>
      </c>
      <c r="AR17" s="67">
        <f t="shared" si="21"/>
        <v>5100</v>
      </c>
      <c r="AS17" s="66">
        <f t="shared" si="22"/>
        <v>749700</v>
      </c>
      <c r="AT17" s="66">
        <f t="shared" si="23"/>
        <v>374850</v>
      </c>
      <c r="AU17" s="153">
        <f t="shared" si="24"/>
        <v>374850</v>
      </c>
    </row>
    <row r="18" spans="1:47" s="64" customFormat="1" x14ac:dyDescent="0.35">
      <c r="A18" s="62" t="s">
        <v>50</v>
      </c>
      <c r="B18" s="62">
        <v>7</v>
      </c>
      <c r="C18" s="62">
        <v>0</v>
      </c>
      <c r="D18" s="64">
        <v>0</v>
      </c>
      <c r="E18" s="65">
        <f t="shared" si="0"/>
        <v>0</v>
      </c>
      <c r="F18" s="64">
        <f>COUNTIFS('NAAs by State'!$C$4:$C$67,A18,'NAAs by State'!$F$4:$F$67,"Marginal")-I18</f>
        <v>0</v>
      </c>
      <c r="G18" s="64">
        <f t="shared" si="1"/>
        <v>0</v>
      </c>
      <c r="H18" s="65">
        <f t="shared" si="2"/>
        <v>0</v>
      </c>
      <c r="I18" s="64">
        <f>COUNTIFS('NAAs by State'!$C$4:$C$67,A18,'NAAs by State'!$F$4:$F$67,"Marginal",'NAAs by State'!$H$4:$H$67,"Moderate")</f>
        <v>1</v>
      </c>
      <c r="J18" s="64">
        <f t="shared" si="3"/>
        <v>5100</v>
      </c>
      <c r="K18" s="65">
        <f>J18*$H$1</f>
        <v>374850</v>
      </c>
      <c r="L18" s="64">
        <f>COUNTIFS('NAAs by State'!$C$4:$C$67,A18,'NAAs by State'!$F$4:$F$67,"Moderate")</f>
        <v>0</v>
      </c>
      <c r="M18" s="64">
        <f t="shared" si="5"/>
        <v>0</v>
      </c>
      <c r="N18" s="65">
        <f>M18*$H$1</f>
        <v>0</v>
      </c>
      <c r="O18" s="64">
        <f>COUNTIFS('NAAs by State'!$C$4:$C$67,A18,'NAAs by State'!$F$4:$F$67,"Serious")</f>
        <v>0</v>
      </c>
      <c r="P18" s="64">
        <f t="shared" si="34"/>
        <v>0</v>
      </c>
      <c r="Q18" s="65">
        <f>P18*$H$1</f>
        <v>0</v>
      </c>
      <c r="R18" s="64">
        <f>COUNTIFS('NAAs by State'!$C$4:$C$67,A18,'NAAs by State'!$F$4:$F$67,"Severe-15")</f>
        <v>0</v>
      </c>
      <c r="S18" s="64">
        <f t="shared" si="8"/>
        <v>0</v>
      </c>
      <c r="T18" s="65">
        <f>S18*$H$1</f>
        <v>0</v>
      </c>
      <c r="U18" s="64">
        <f>COUNTIFS('NAAs by State'!$C$4:$C$67,A18,'NAAs by State'!$F$4:$F$67,"Severe 17")</f>
        <v>0</v>
      </c>
      <c r="V18" s="64">
        <f t="shared" si="10"/>
        <v>0</v>
      </c>
      <c r="W18" s="65">
        <f>V18*$H$1</f>
        <v>0</v>
      </c>
      <c r="X18" s="64">
        <f>COUNTIFS('NAAs by State'!$C$4:$C$67,A18,'NAAs by State'!$F$4:$F$67,"Extreme")</f>
        <v>0</v>
      </c>
      <c r="Y18" s="64">
        <f t="shared" si="35"/>
        <v>0</v>
      </c>
      <c r="Z18" s="65">
        <f>Y18*$H$1</f>
        <v>0</v>
      </c>
      <c r="AA18" s="64">
        <f>COUNTIF('2008serious'!$A$6:$B$18,A18)</f>
        <v>0</v>
      </c>
      <c r="AB18" s="64">
        <f t="shared" si="25"/>
        <v>0</v>
      </c>
      <c r="AC18" s="205">
        <f t="shared" si="26"/>
        <v>0</v>
      </c>
      <c r="AD18" s="231">
        <f>COUNTIF('Table 6 and 7'!$A$5:$E$8,A18)</f>
        <v>0</v>
      </c>
      <c r="AE18" s="64">
        <f t="shared" si="27"/>
        <v>0</v>
      </c>
      <c r="AF18" s="205">
        <f t="shared" si="28"/>
        <v>0</v>
      </c>
      <c r="AG18" s="231">
        <f>COUNTIF('Table 6 and 7'!$A$16:$E$23,A18)</f>
        <v>1</v>
      </c>
      <c r="AH18" s="64">
        <f t="shared" si="29"/>
        <v>100</v>
      </c>
      <c r="AI18" s="205">
        <f t="shared" si="30"/>
        <v>7350</v>
      </c>
      <c r="AJ18" s="66">
        <f t="shared" si="31"/>
        <v>382200</v>
      </c>
      <c r="AK18" s="67">
        <f t="shared" si="32"/>
        <v>5200</v>
      </c>
      <c r="AL18" s="67" t="str">
        <f t="shared" si="17"/>
        <v>MO</v>
      </c>
      <c r="AM18" s="67" t="str">
        <f>VLOOKUP(AL18,State_abrv,2,FALSE)</f>
        <v xml:space="preserve"> Missouri</v>
      </c>
      <c r="AN18" s="67">
        <f t="shared" si="18"/>
        <v>7</v>
      </c>
      <c r="AO18" s="67">
        <f t="shared" si="33"/>
        <v>2</v>
      </c>
      <c r="AP18" s="67">
        <f t="shared" si="19"/>
        <v>2600</v>
      </c>
      <c r="AQ18" s="67">
        <f t="shared" si="20"/>
        <v>1300</v>
      </c>
      <c r="AR18" s="67">
        <f t="shared" si="21"/>
        <v>1300</v>
      </c>
      <c r="AS18" s="66">
        <f t="shared" si="22"/>
        <v>191100</v>
      </c>
      <c r="AT18" s="66">
        <f t="shared" si="23"/>
        <v>95550</v>
      </c>
      <c r="AU18" s="153">
        <f t="shared" si="24"/>
        <v>95550</v>
      </c>
    </row>
    <row r="19" spans="1:47" s="64" customFormat="1" x14ac:dyDescent="0.35">
      <c r="A19" s="155" t="s">
        <v>53</v>
      </c>
      <c r="B19" s="155">
        <v>1</v>
      </c>
      <c r="C19" s="155">
        <v>1</v>
      </c>
      <c r="D19" s="64">
        <v>500</v>
      </c>
      <c r="E19" s="65">
        <f t="shared" si="0"/>
        <v>36750</v>
      </c>
      <c r="F19" s="64">
        <f>COUNTIFS('NAAs by State'!$C$4:$C$67,A19,'NAAs by State'!$F$4:$F$67,"Marginal")-I19</f>
        <v>0</v>
      </c>
      <c r="G19" s="64">
        <f t="shared" si="1"/>
        <v>0</v>
      </c>
      <c r="H19" s="65">
        <f t="shared" si="2"/>
        <v>0</v>
      </c>
      <c r="I19" s="64">
        <f>COUNTIFS('NAAs by State'!$C$4:$C$67,A19,'NAAs by State'!$F$4:$F$67,"Marginal",'NAAs by State'!$H$4:$H$67,"Moderate")</f>
        <v>0</v>
      </c>
      <c r="J19" s="64">
        <f t="shared" si="3"/>
        <v>0</v>
      </c>
      <c r="K19" s="65">
        <f>J19*63.87</f>
        <v>0</v>
      </c>
      <c r="L19" s="64">
        <f>COUNTIFS('NAAs by State'!$C$4:$C$67,A19,'NAAs by State'!$F$4:$F$67,"Moderate")</f>
        <v>0</v>
      </c>
      <c r="M19" s="64">
        <f t="shared" si="5"/>
        <v>0</v>
      </c>
      <c r="N19" s="65">
        <f>M19*63.87</f>
        <v>0</v>
      </c>
      <c r="O19" s="64">
        <f>COUNTIFS('NAAs by State'!$C$4:$C$67,A19,'NAAs by State'!$F$4:$F$67,"Serious")</f>
        <v>0</v>
      </c>
      <c r="P19" s="64">
        <f t="shared" si="34"/>
        <v>0</v>
      </c>
      <c r="Q19" s="65">
        <f>P19*63.87</f>
        <v>0</v>
      </c>
      <c r="R19" s="64">
        <f>COUNTIFS('NAAs by State'!$C$4:$C$67,A19,'NAAs by State'!$F$4:$F$67,"Severe 15")</f>
        <v>0</v>
      </c>
      <c r="S19" s="64">
        <f t="shared" si="8"/>
        <v>0</v>
      </c>
      <c r="T19" s="65">
        <f>S19*63.87</f>
        <v>0</v>
      </c>
      <c r="U19" s="64">
        <f>COUNTIFS('NAAs by State'!$C$4:$C$67,A19,'NAAs by State'!$F$4:$F$67,"Severe 17")</f>
        <v>0</v>
      </c>
      <c r="V19" s="64">
        <f t="shared" si="10"/>
        <v>0</v>
      </c>
      <c r="W19" s="65">
        <f>V19*63.87</f>
        <v>0</v>
      </c>
      <c r="X19" s="64">
        <f>COUNTIFS('NAAs by State'!$C$4:$C$67,A19,'NAAs by State'!$F$4:$F$67,"Extreme")</f>
        <v>0</v>
      </c>
      <c r="Y19" s="64">
        <f t="shared" si="35"/>
        <v>0</v>
      </c>
      <c r="Z19" s="65">
        <f>Y19*63.87</f>
        <v>0</v>
      </c>
      <c r="AA19" s="64">
        <f>COUNTIF('2008serious'!$A$6:$B$18,A19)</f>
        <v>0</v>
      </c>
      <c r="AB19" s="64">
        <f t="shared" si="25"/>
        <v>0</v>
      </c>
      <c r="AC19" s="205">
        <f t="shared" si="26"/>
        <v>0</v>
      </c>
      <c r="AD19" s="231">
        <f>COUNTIF('Table 6 and 7'!$A$5:$E$8,A19)</f>
        <v>0</v>
      </c>
      <c r="AE19" s="64">
        <f t="shared" si="27"/>
        <v>0</v>
      </c>
      <c r="AF19" s="205">
        <f t="shared" si="28"/>
        <v>0</v>
      </c>
      <c r="AG19" s="231">
        <f>COUNTIF('Table 6 and 7'!$A$16:$E$23,A19)</f>
        <v>1</v>
      </c>
      <c r="AH19" s="64">
        <f t="shared" si="29"/>
        <v>100</v>
      </c>
      <c r="AI19" s="205">
        <f t="shared" si="30"/>
        <v>7350</v>
      </c>
      <c r="AJ19" s="66">
        <f t="shared" si="31"/>
        <v>44100</v>
      </c>
      <c r="AK19" s="67">
        <f t="shared" si="32"/>
        <v>600</v>
      </c>
      <c r="AL19" s="67" t="str">
        <f t="shared" si="17"/>
        <v>NH</v>
      </c>
      <c r="AM19" s="199" t="s">
        <v>421</v>
      </c>
      <c r="AN19" s="67">
        <f t="shared" si="18"/>
        <v>1</v>
      </c>
      <c r="AO19" s="67">
        <f t="shared" si="33"/>
        <v>2</v>
      </c>
      <c r="AP19" s="67">
        <f t="shared" si="19"/>
        <v>300</v>
      </c>
      <c r="AQ19" s="64">
        <f t="shared" si="20"/>
        <v>150</v>
      </c>
      <c r="AR19" s="64">
        <f t="shared" si="21"/>
        <v>150</v>
      </c>
      <c r="AS19" s="66">
        <f t="shared" si="22"/>
        <v>22050</v>
      </c>
      <c r="AT19" s="66">
        <f t="shared" si="23"/>
        <v>11025</v>
      </c>
      <c r="AU19" s="68">
        <f t="shared" si="24"/>
        <v>11025</v>
      </c>
    </row>
    <row r="20" spans="1:47" s="64" customFormat="1" x14ac:dyDescent="0.35">
      <c r="A20" s="155" t="s">
        <v>54</v>
      </c>
      <c r="B20" s="155">
        <v>2</v>
      </c>
      <c r="C20" s="155">
        <v>1</v>
      </c>
      <c r="D20" s="64">
        <v>500</v>
      </c>
      <c r="E20" s="65">
        <f t="shared" si="0"/>
        <v>36750</v>
      </c>
      <c r="F20" s="64">
        <f>COUNTIFS('NAAs by State'!$C$4:$C$67,A20,'NAAs by State'!$F$4:$F$67,"Marginal")-I20</f>
        <v>0</v>
      </c>
      <c r="G20" s="64">
        <f t="shared" si="1"/>
        <v>0</v>
      </c>
      <c r="H20" s="65">
        <f t="shared" si="2"/>
        <v>0</v>
      </c>
      <c r="I20" s="64">
        <f>COUNTIFS('NAAs by State'!$C$4:$C$67,A20,'NAAs by State'!$F$4:$F$67,"Marginal",'NAAs by State'!$H$4:$H$67,"Moderate")</f>
        <v>1</v>
      </c>
      <c r="J20" s="64">
        <f t="shared" si="3"/>
        <v>5100</v>
      </c>
      <c r="K20" s="65">
        <f t="shared" ref="K20:K25" si="37">J20*$H$1</f>
        <v>374850</v>
      </c>
      <c r="L20" s="64">
        <f>COUNTIFS('NAAs by State'!$C$4:$C$67,A20,'NAAs by State'!$F$4:$F$67,"Moderate")</f>
        <v>1</v>
      </c>
      <c r="M20" s="64">
        <f t="shared" si="5"/>
        <v>5000</v>
      </c>
      <c r="N20" s="65">
        <f t="shared" ref="N20:N25" si="38">M20*$H$1</f>
        <v>367500</v>
      </c>
      <c r="O20" s="64">
        <f>COUNTIFS('NAAs by State'!$C$4:$C$67,A20,'NAAs by State'!$F$4:$F$67,"Serious")</f>
        <v>0</v>
      </c>
      <c r="P20" s="64">
        <f t="shared" si="34"/>
        <v>0</v>
      </c>
      <c r="Q20" s="65">
        <f t="shared" ref="Q20:Q25" si="39">P20*$H$1</f>
        <v>0</v>
      </c>
      <c r="R20" s="64">
        <f>COUNTIFS('NAAs by State'!$C$4:$C$67,A20,'NAAs by State'!$F$4:$F$67,"Severe-15")</f>
        <v>0</v>
      </c>
      <c r="S20" s="64">
        <f t="shared" si="8"/>
        <v>0</v>
      </c>
      <c r="T20" s="65">
        <f t="shared" ref="T20:T25" si="40">S20*$H$1</f>
        <v>0</v>
      </c>
      <c r="U20" s="64">
        <f>COUNTIFS('NAAs by State'!$C$4:$C$67,A20,'NAAs by State'!$F$4:$F$67,"Severe 17")</f>
        <v>0</v>
      </c>
      <c r="V20" s="64">
        <f t="shared" si="10"/>
        <v>0</v>
      </c>
      <c r="W20" s="65">
        <f t="shared" ref="W20:W25" si="41">V20*$H$1</f>
        <v>0</v>
      </c>
      <c r="X20" s="64">
        <f>COUNTIFS('NAAs by State'!$C$4:$C$67,A20,'NAAs by State'!$F$4:$F$67,"Extreme")</f>
        <v>0</v>
      </c>
      <c r="Y20" s="64">
        <f t="shared" si="35"/>
        <v>0</v>
      </c>
      <c r="Z20" s="65">
        <f t="shared" ref="Z20:Z25" si="42">Y20*$H$1</f>
        <v>0</v>
      </c>
      <c r="AA20" s="64">
        <f>COUNTIF('2008serious'!$A$6:$B$18,A20)</f>
        <v>1</v>
      </c>
      <c r="AB20" s="64">
        <f t="shared" si="25"/>
        <v>5000</v>
      </c>
      <c r="AC20" s="205">
        <f t="shared" si="26"/>
        <v>367500</v>
      </c>
      <c r="AD20" s="231">
        <f>COUNTIF('Table 6 and 7'!$A$5:$E$8,A20)</f>
        <v>0</v>
      </c>
      <c r="AE20" s="64">
        <f t="shared" si="27"/>
        <v>0</v>
      </c>
      <c r="AF20" s="205">
        <f t="shared" si="28"/>
        <v>0</v>
      </c>
      <c r="AG20" s="231">
        <f>COUNTIF('Table 6 and 7'!$A$16:$E$23,A20)</f>
        <v>0</v>
      </c>
      <c r="AH20" s="64">
        <f t="shared" si="29"/>
        <v>0</v>
      </c>
      <c r="AI20" s="205">
        <f t="shared" si="30"/>
        <v>0</v>
      </c>
      <c r="AJ20" s="66">
        <f t="shared" si="31"/>
        <v>1146600</v>
      </c>
      <c r="AK20" s="67">
        <f t="shared" si="32"/>
        <v>15600</v>
      </c>
      <c r="AL20" s="67" t="str">
        <f t="shared" si="17"/>
        <v>NJ</v>
      </c>
      <c r="AM20" s="67" t="str">
        <f>VLOOKUP(AL20,State_abrv,2,FALSE)</f>
        <v xml:space="preserve"> New Jersey</v>
      </c>
      <c r="AN20" s="67">
        <f t="shared" si="18"/>
        <v>2</v>
      </c>
      <c r="AO20" s="67">
        <f t="shared" si="33"/>
        <v>4</v>
      </c>
      <c r="AP20" s="67">
        <f t="shared" si="19"/>
        <v>7800</v>
      </c>
      <c r="AQ20" s="67">
        <f t="shared" si="20"/>
        <v>3900</v>
      </c>
      <c r="AR20" s="67">
        <f t="shared" si="21"/>
        <v>3900</v>
      </c>
      <c r="AS20" s="66">
        <f t="shared" si="22"/>
        <v>573300</v>
      </c>
      <c r="AT20" s="66">
        <f t="shared" si="23"/>
        <v>286650</v>
      </c>
      <c r="AU20" s="153">
        <f t="shared" si="24"/>
        <v>286650</v>
      </c>
    </row>
    <row r="21" spans="1:47" s="64" customFormat="1" x14ac:dyDescent="0.35">
      <c r="A21" s="62" t="s">
        <v>55</v>
      </c>
      <c r="B21" s="62">
        <v>6</v>
      </c>
      <c r="C21" s="62">
        <v>0</v>
      </c>
      <c r="D21" s="64">
        <v>0</v>
      </c>
      <c r="E21" s="65">
        <f t="shared" si="0"/>
        <v>0</v>
      </c>
      <c r="F21" s="64">
        <f>COUNTIFS('NAAs by State'!$C$4:$C$67,A21,'NAAs by State'!$F$4:$F$67,"Marginal")-I21</f>
        <v>0</v>
      </c>
      <c r="G21" s="64">
        <f t="shared" si="1"/>
        <v>0</v>
      </c>
      <c r="H21" s="65">
        <f t="shared" si="2"/>
        <v>0</v>
      </c>
      <c r="I21" s="64">
        <f>COUNTIFS('NAAs by State'!$C$4:$C$67,A21,'NAAs by State'!$F$4:$F$67,"Marginal",'NAAs by State'!$H$4:$H$67,"Moderate")</f>
        <v>1</v>
      </c>
      <c r="J21" s="64">
        <f t="shared" si="3"/>
        <v>5100</v>
      </c>
      <c r="K21" s="65">
        <f t="shared" si="37"/>
        <v>374850</v>
      </c>
      <c r="L21" s="64">
        <f>COUNTIFS('NAAs by State'!$C$4:$C$67,A21,'NAAs by State'!$F$4:$F$67,"Moderate")</f>
        <v>0</v>
      </c>
      <c r="M21" s="64">
        <f t="shared" si="5"/>
        <v>0</v>
      </c>
      <c r="N21" s="65">
        <f t="shared" si="38"/>
        <v>0</v>
      </c>
      <c r="O21" s="64">
        <f>COUNTIFS('NAAs by State'!$C$4:$C$67,A21,'NAAs by State'!$F$4:$F$67,"Serious")</f>
        <v>0</v>
      </c>
      <c r="P21" s="64">
        <f t="shared" si="34"/>
        <v>0</v>
      </c>
      <c r="Q21" s="65">
        <f t="shared" si="39"/>
        <v>0</v>
      </c>
      <c r="R21" s="64">
        <f>COUNTIFS('NAAs by State'!$C$4:$C$67,A21,'NAAs by State'!$F$4:$F$67,"Severe-15")</f>
        <v>0</v>
      </c>
      <c r="S21" s="64">
        <f t="shared" si="8"/>
        <v>0</v>
      </c>
      <c r="T21" s="65">
        <f t="shared" si="40"/>
        <v>0</v>
      </c>
      <c r="U21" s="64">
        <f>COUNTIFS('NAAs by State'!$C$4:$C$67,A21,'NAAs by State'!$F$4:$F$67,"Severe 17")</f>
        <v>0</v>
      </c>
      <c r="V21" s="64">
        <f t="shared" si="10"/>
        <v>0</v>
      </c>
      <c r="W21" s="65">
        <f t="shared" si="41"/>
        <v>0</v>
      </c>
      <c r="X21" s="64">
        <f>COUNTIFS('NAAs by State'!$C$4:$C$67,A21,'NAAs by State'!$F$4:$F$67,"Extreme")</f>
        <v>0</v>
      </c>
      <c r="Y21" s="64">
        <f t="shared" si="35"/>
        <v>0</v>
      </c>
      <c r="Z21" s="65">
        <f t="shared" si="42"/>
        <v>0</v>
      </c>
      <c r="AA21" s="64">
        <f>COUNTIF('2008serious'!$A$6:$B$18,A21)</f>
        <v>0</v>
      </c>
      <c r="AB21" s="64">
        <f t="shared" si="25"/>
        <v>0</v>
      </c>
      <c r="AC21" s="205">
        <f t="shared" si="26"/>
        <v>0</v>
      </c>
      <c r="AD21" s="231">
        <f>COUNTIF('Table 6 and 7'!$A$5:$E$8,A21)</f>
        <v>0</v>
      </c>
      <c r="AE21" s="64">
        <f t="shared" si="27"/>
        <v>0</v>
      </c>
      <c r="AF21" s="205">
        <f t="shared" si="28"/>
        <v>0</v>
      </c>
      <c r="AG21" s="231">
        <f>COUNTIF('Table 6 and 7'!$A$16:$E$23,A21)</f>
        <v>0</v>
      </c>
      <c r="AH21" s="64">
        <f t="shared" si="29"/>
        <v>0</v>
      </c>
      <c r="AI21" s="205">
        <f t="shared" si="30"/>
        <v>0</v>
      </c>
      <c r="AJ21" s="66">
        <f t="shared" si="31"/>
        <v>374850</v>
      </c>
      <c r="AK21" s="67">
        <f t="shared" si="32"/>
        <v>5100</v>
      </c>
      <c r="AL21" s="67" t="str">
        <f t="shared" si="17"/>
        <v>NM</v>
      </c>
      <c r="AM21" s="167" t="s">
        <v>406</v>
      </c>
      <c r="AN21" s="67">
        <f t="shared" si="18"/>
        <v>6</v>
      </c>
      <c r="AO21" s="67">
        <f t="shared" si="33"/>
        <v>1</v>
      </c>
      <c r="AP21" s="67">
        <f t="shared" si="19"/>
        <v>2550</v>
      </c>
      <c r="AQ21" s="67">
        <f t="shared" si="20"/>
        <v>1275</v>
      </c>
      <c r="AR21" s="67">
        <f t="shared" si="21"/>
        <v>1275</v>
      </c>
      <c r="AS21" s="66">
        <f t="shared" si="22"/>
        <v>187425</v>
      </c>
      <c r="AT21" s="66">
        <f t="shared" si="23"/>
        <v>93712.5</v>
      </c>
      <c r="AU21" s="153">
        <f t="shared" si="24"/>
        <v>93712.5</v>
      </c>
    </row>
    <row r="22" spans="1:47" s="64" customFormat="1" x14ac:dyDescent="0.35">
      <c r="A22" s="62" t="s">
        <v>56</v>
      </c>
      <c r="B22" s="62">
        <v>9</v>
      </c>
      <c r="C22" s="62">
        <v>0</v>
      </c>
      <c r="D22" s="64">
        <v>0</v>
      </c>
      <c r="E22" s="65">
        <f t="shared" si="0"/>
        <v>0</v>
      </c>
      <c r="F22" s="64">
        <f>COUNTIFS('NAAs by State'!$C$4:$C$67,A22,'NAAs by State'!$F$4:$F$67,"Marginal")-I22</f>
        <v>0</v>
      </c>
      <c r="G22" s="64">
        <f t="shared" si="1"/>
        <v>0</v>
      </c>
      <c r="H22" s="65">
        <f t="shared" si="2"/>
        <v>0</v>
      </c>
      <c r="I22" s="64">
        <f>COUNTIFS('NAAs by State'!$C$4:$C$67,A22,'NAAs by State'!$F$4:$F$67,"Marginal",'NAAs by State'!$H$4:$H$67,"Moderate")</f>
        <v>1</v>
      </c>
      <c r="J22" s="64">
        <f t="shared" si="3"/>
        <v>5100</v>
      </c>
      <c r="K22" s="65">
        <f t="shared" si="37"/>
        <v>374850</v>
      </c>
      <c r="L22" s="64">
        <f>COUNTIFS('NAAs by State'!$C$4:$C$67,A22,'NAAs by State'!$F$4:$F$67,"Moderate")</f>
        <v>0</v>
      </c>
      <c r="M22" s="64">
        <f t="shared" si="5"/>
        <v>0</v>
      </c>
      <c r="N22" s="65">
        <f t="shared" si="38"/>
        <v>0</v>
      </c>
      <c r="O22" s="64">
        <f>COUNTIFS('NAAs by State'!$C$4:$C$67,A22,'NAAs by State'!$F$4:$F$67,"Serious")</f>
        <v>0</v>
      </c>
      <c r="P22" s="64">
        <f t="shared" si="34"/>
        <v>0</v>
      </c>
      <c r="Q22" s="65">
        <f t="shared" si="39"/>
        <v>0</v>
      </c>
      <c r="R22" s="64">
        <f>COUNTIFS('NAAs by State'!$C$4:$C$67,A22,'NAAs by State'!$F$4:$F$67,"Severe-15")</f>
        <v>0</v>
      </c>
      <c r="S22" s="64">
        <f t="shared" si="8"/>
        <v>0</v>
      </c>
      <c r="T22" s="65">
        <f t="shared" si="40"/>
        <v>0</v>
      </c>
      <c r="U22" s="64">
        <f>COUNTIFS('NAAs by State'!$C$4:$C$67,A22,'NAAs by State'!$F$4:$F$67,"Severe 17")</f>
        <v>0</v>
      </c>
      <c r="V22" s="64">
        <f t="shared" si="10"/>
        <v>0</v>
      </c>
      <c r="W22" s="65">
        <f t="shared" si="41"/>
        <v>0</v>
      </c>
      <c r="X22" s="64">
        <f>COUNTIFS('NAAs by State'!$C$4:$C$67,A22,'NAAs by State'!$F$4:$F$67,"Extreme")</f>
        <v>0</v>
      </c>
      <c r="Y22" s="64">
        <f t="shared" si="35"/>
        <v>0</v>
      </c>
      <c r="Z22" s="65">
        <f t="shared" si="42"/>
        <v>0</v>
      </c>
      <c r="AA22" s="64">
        <f>COUNTIF('2008serious'!$A$6:$B$18,A22)</f>
        <v>0</v>
      </c>
      <c r="AB22" s="64">
        <f t="shared" si="25"/>
        <v>0</v>
      </c>
      <c r="AC22" s="205">
        <f t="shared" si="26"/>
        <v>0</v>
      </c>
      <c r="AD22" s="231">
        <f>COUNTIF('Table 6 and 7'!$A$5:$E$8,A22)</f>
        <v>0</v>
      </c>
      <c r="AE22" s="64">
        <f t="shared" si="27"/>
        <v>0</v>
      </c>
      <c r="AF22" s="205">
        <f t="shared" si="28"/>
        <v>0</v>
      </c>
      <c r="AG22" s="231">
        <f>COUNTIF('Table 6 and 7'!$A$16:$E$23,A22)</f>
        <v>1</v>
      </c>
      <c r="AH22" s="64">
        <f t="shared" si="29"/>
        <v>100</v>
      </c>
      <c r="AI22" s="205">
        <f t="shared" si="30"/>
        <v>7350</v>
      </c>
      <c r="AJ22" s="66">
        <f t="shared" si="31"/>
        <v>382200</v>
      </c>
      <c r="AK22" s="67">
        <f t="shared" si="32"/>
        <v>5200</v>
      </c>
      <c r="AL22" s="67" t="str">
        <f t="shared" si="17"/>
        <v>NV</v>
      </c>
      <c r="AM22" s="167" t="s">
        <v>407</v>
      </c>
      <c r="AN22" s="67">
        <f t="shared" si="18"/>
        <v>9</v>
      </c>
      <c r="AO22" s="67">
        <f t="shared" si="33"/>
        <v>2</v>
      </c>
      <c r="AP22" s="67">
        <f t="shared" si="19"/>
        <v>2600</v>
      </c>
      <c r="AQ22" s="67">
        <f t="shared" si="20"/>
        <v>1300</v>
      </c>
      <c r="AR22" s="67">
        <f t="shared" si="21"/>
        <v>1300</v>
      </c>
      <c r="AS22" s="66">
        <f t="shared" si="22"/>
        <v>191100</v>
      </c>
      <c r="AT22" s="66">
        <f t="shared" si="23"/>
        <v>95550</v>
      </c>
      <c r="AU22" s="153">
        <f t="shared" si="24"/>
        <v>95550</v>
      </c>
    </row>
    <row r="23" spans="1:47" s="64" customFormat="1" x14ac:dyDescent="0.35">
      <c r="A23" s="155" t="s">
        <v>57</v>
      </c>
      <c r="B23" s="155">
        <v>2</v>
      </c>
      <c r="C23" s="155">
        <v>1</v>
      </c>
      <c r="D23" s="64">
        <v>500</v>
      </c>
      <c r="E23" s="65">
        <f t="shared" si="0"/>
        <v>36750</v>
      </c>
      <c r="F23" s="64">
        <f>COUNTIFS('NAAs by State'!$C$4:$C$67,A23,'NAAs by State'!$F$4:$F$67,"Marginal")-I23</f>
        <v>0</v>
      </c>
      <c r="G23" s="64">
        <f t="shared" si="1"/>
        <v>0</v>
      </c>
      <c r="H23" s="65">
        <f t="shared" si="2"/>
        <v>0</v>
      </c>
      <c r="I23" s="64">
        <f>COUNTIFS('NAAs by State'!$C$4:$C$67,A23,'NAAs by State'!$F$4:$F$67,"Marginal",'NAAs by State'!$H$4:$H$67,"Moderate")</f>
        <v>0</v>
      </c>
      <c r="J23" s="64">
        <f t="shared" si="3"/>
        <v>0</v>
      </c>
      <c r="K23" s="65">
        <f t="shared" si="37"/>
        <v>0</v>
      </c>
      <c r="L23" s="64">
        <f>COUNTIFS('NAAs by State'!$C$4:$C$67,A23,'NAAs by State'!$F$4:$F$67,"Moderate")</f>
        <v>1</v>
      </c>
      <c r="M23" s="64">
        <f t="shared" si="5"/>
        <v>5000</v>
      </c>
      <c r="N23" s="65">
        <f t="shared" si="38"/>
        <v>367500</v>
      </c>
      <c r="O23" s="64">
        <f>COUNTIFS('NAAs by State'!$C$4:$C$67,A23,'NAAs by State'!$F$4:$F$67,"Serious")</f>
        <v>0</v>
      </c>
      <c r="P23" s="64">
        <f t="shared" si="34"/>
        <v>0</v>
      </c>
      <c r="Q23" s="65">
        <f t="shared" si="39"/>
        <v>0</v>
      </c>
      <c r="R23" s="64">
        <f>COUNTIFS('NAAs by State'!$C$4:$C$67,A23,'NAAs by State'!$F$4:$F$67,"Severe-15")</f>
        <v>0</v>
      </c>
      <c r="S23" s="64">
        <f t="shared" si="8"/>
        <v>0</v>
      </c>
      <c r="T23" s="65">
        <f t="shared" si="40"/>
        <v>0</v>
      </c>
      <c r="U23" s="64">
        <f>COUNTIFS('NAAs by State'!$C$4:$C$67,A23,'NAAs by State'!$F$4:$F$67,"Severe 17")</f>
        <v>0</v>
      </c>
      <c r="V23" s="64">
        <f t="shared" si="10"/>
        <v>0</v>
      </c>
      <c r="W23" s="65">
        <f t="shared" si="41"/>
        <v>0</v>
      </c>
      <c r="X23" s="64">
        <f>COUNTIFS('NAAs by State'!$C$4:$C$67,A23,'NAAs by State'!$F$4:$F$67,"Extreme")</f>
        <v>0</v>
      </c>
      <c r="Y23" s="64">
        <f t="shared" si="35"/>
        <v>0</v>
      </c>
      <c r="Z23" s="65">
        <f t="shared" si="42"/>
        <v>0</v>
      </c>
      <c r="AA23" s="64">
        <f>COUNTIF('2008serious'!$A$6:$B$18,A23)</f>
        <v>1</v>
      </c>
      <c r="AB23" s="64">
        <f t="shared" si="25"/>
        <v>5000</v>
      </c>
      <c r="AC23" s="205">
        <f t="shared" si="26"/>
        <v>367500</v>
      </c>
      <c r="AD23" s="231">
        <f>COUNTIF('Table 6 and 7'!$A$5:$E$8,A23)</f>
        <v>0</v>
      </c>
      <c r="AE23" s="64">
        <f t="shared" si="27"/>
        <v>0</v>
      </c>
      <c r="AF23" s="205">
        <f t="shared" si="28"/>
        <v>0</v>
      </c>
      <c r="AG23" s="231">
        <f>COUNTIF('Table 6 and 7'!$A$16:$E$23,A23)</f>
        <v>0</v>
      </c>
      <c r="AH23" s="64">
        <f t="shared" si="29"/>
        <v>0</v>
      </c>
      <c r="AI23" s="205">
        <f t="shared" si="30"/>
        <v>0</v>
      </c>
      <c r="AJ23" s="66">
        <f t="shared" si="31"/>
        <v>771750</v>
      </c>
      <c r="AK23" s="67">
        <f t="shared" si="32"/>
        <v>10500</v>
      </c>
      <c r="AL23" s="67" t="str">
        <f t="shared" si="17"/>
        <v>NY</v>
      </c>
      <c r="AM23" s="67" t="str">
        <f>VLOOKUP(AL23,State_abrv,2,FALSE)</f>
        <v xml:space="preserve"> New York</v>
      </c>
      <c r="AN23" s="67">
        <f t="shared" si="18"/>
        <v>2</v>
      </c>
      <c r="AO23" s="67">
        <f t="shared" si="33"/>
        <v>3</v>
      </c>
      <c r="AP23" s="67">
        <f t="shared" si="19"/>
        <v>5250</v>
      </c>
      <c r="AQ23" s="67">
        <f t="shared" si="20"/>
        <v>2625</v>
      </c>
      <c r="AR23" s="67">
        <f t="shared" si="21"/>
        <v>2625</v>
      </c>
      <c r="AS23" s="66">
        <f t="shared" si="22"/>
        <v>385875</v>
      </c>
      <c r="AT23" s="66">
        <f t="shared" si="23"/>
        <v>192937.5</v>
      </c>
      <c r="AU23" s="153">
        <f t="shared" si="24"/>
        <v>192937.5</v>
      </c>
    </row>
    <row r="24" spans="1:47" s="64" customFormat="1" x14ac:dyDescent="0.35">
      <c r="A24" s="62" t="s">
        <v>58</v>
      </c>
      <c r="B24" s="62">
        <v>5</v>
      </c>
      <c r="C24" s="62">
        <v>0</v>
      </c>
      <c r="D24" s="64">
        <v>0</v>
      </c>
      <c r="E24" s="65">
        <f t="shared" si="0"/>
        <v>0</v>
      </c>
      <c r="F24" s="64">
        <f>COUNTIFS('NAAs by State'!$C$4:$C$67,A24,'NAAs by State'!$F$4:$F$67,"Marginal")-I24</f>
        <v>1</v>
      </c>
      <c r="G24" s="64">
        <f t="shared" si="1"/>
        <v>100</v>
      </c>
      <c r="H24" s="65">
        <f t="shared" si="2"/>
        <v>7350</v>
      </c>
      <c r="I24" s="64">
        <f>COUNTIFS('NAAs by State'!$C$4:$C$67,A24,'NAAs by State'!$F$4:$F$67,"Marginal",'NAAs by State'!$H$4:$H$67,"Moderate")</f>
        <v>2</v>
      </c>
      <c r="J24" s="64">
        <f t="shared" si="3"/>
        <v>10200</v>
      </c>
      <c r="K24" s="65">
        <f t="shared" si="37"/>
        <v>749700</v>
      </c>
      <c r="L24" s="64">
        <f>COUNTIFS('NAAs by State'!$C$4:$C$67,A24,'NAAs by State'!$F$4:$F$67,"Moderate")</f>
        <v>0</v>
      </c>
      <c r="M24" s="64">
        <f t="shared" si="5"/>
        <v>0</v>
      </c>
      <c r="N24" s="65">
        <f t="shared" si="38"/>
        <v>0</v>
      </c>
      <c r="O24" s="64">
        <f>COUNTIFS('NAAs by State'!$C$4:$C$67,A24,'NAAs by State'!$F$4:$F$67,"Serious")</f>
        <v>0</v>
      </c>
      <c r="P24" s="64">
        <f t="shared" si="34"/>
        <v>0</v>
      </c>
      <c r="Q24" s="65">
        <f t="shared" si="39"/>
        <v>0</v>
      </c>
      <c r="R24" s="64">
        <f>COUNTIFS('NAAs by State'!$C$4:$C$67,A24,'NAAs by State'!$F$4:$F$67,"Severe-15")</f>
        <v>0</v>
      </c>
      <c r="S24" s="64">
        <f t="shared" si="8"/>
        <v>0</v>
      </c>
      <c r="T24" s="65">
        <f t="shared" si="40"/>
        <v>0</v>
      </c>
      <c r="U24" s="64">
        <f>COUNTIFS('NAAs by State'!$C$4:$C$67,A24,'NAAs by State'!$F$4:$F$67,"Severe 17")</f>
        <v>0</v>
      </c>
      <c r="V24" s="64">
        <f t="shared" si="10"/>
        <v>0</v>
      </c>
      <c r="W24" s="65">
        <f t="shared" si="41"/>
        <v>0</v>
      </c>
      <c r="X24" s="64">
        <f>COUNTIFS('NAAs by State'!$C$4:$C$67,A24,'NAAs by State'!$F$4:$F$67,"Extreme")</f>
        <v>0</v>
      </c>
      <c r="Y24" s="64">
        <f t="shared" si="35"/>
        <v>0</v>
      </c>
      <c r="Z24" s="65">
        <f t="shared" si="42"/>
        <v>0</v>
      </c>
      <c r="AA24" s="64">
        <f>COUNTIF('2008serious'!$A$6:$B$18,A24)</f>
        <v>0</v>
      </c>
      <c r="AB24" s="64">
        <f t="shared" si="25"/>
        <v>0</v>
      </c>
      <c r="AC24" s="205">
        <f t="shared" si="26"/>
        <v>0</v>
      </c>
      <c r="AD24" s="231">
        <f>COUNTIF('Table 6 and 7'!$A$5:$E$8,A24)</f>
        <v>0</v>
      </c>
      <c r="AE24" s="64">
        <f t="shared" si="27"/>
        <v>0</v>
      </c>
      <c r="AF24" s="205">
        <f t="shared" si="28"/>
        <v>0</v>
      </c>
      <c r="AG24" s="231">
        <f>COUNTIF('Table 6 and 7'!$A$16:$E$23,A24)</f>
        <v>0</v>
      </c>
      <c r="AH24" s="64">
        <f t="shared" si="29"/>
        <v>0</v>
      </c>
      <c r="AI24" s="205">
        <f t="shared" si="30"/>
        <v>0</v>
      </c>
      <c r="AJ24" s="66">
        <f t="shared" si="31"/>
        <v>757050</v>
      </c>
      <c r="AK24" s="67">
        <f t="shared" si="32"/>
        <v>10300</v>
      </c>
      <c r="AL24" s="67" t="str">
        <f t="shared" si="17"/>
        <v>OH</v>
      </c>
      <c r="AM24" s="67" t="str">
        <f>VLOOKUP(AL24,State_abrv,2,FALSE)</f>
        <v xml:space="preserve"> Ohio</v>
      </c>
      <c r="AN24" s="67">
        <f t="shared" si="18"/>
        <v>5</v>
      </c>
      <c r="AO24" s="67">
        <f t="shared" si="33"/>
        <v>3</v>
      </c>
      <c r="AP24" s="67">
        <f t="shared" si="19"/>
        <v>5150</v>
      </c>
      <c r="AQ24" s="67">
        <f t="shared" si="20"/>
        <v>2575</v>
      </c>
      <c r="AR24" s="67">
        <f t="shared" si="21"/>
        <v>2575</v>
      </c>
      <c r="AS24" s="66">
        <f t="shared" si="22"/>
        <v>378525</v>
      </c>
      <c r="AT24" s="66">
        <f t="shared" si="23"/>
        <v>189262.5</v>
      </c>
      <c r="AU24" s="153">
        <f t="shared" si="24"/>
        <v>189262.5</v>
      </c>
    </row>
    <row r="25" spans="1:47" s="64" customFormat="1" x14ac:dyDescent="0.35">
      <c r="A25" s="155" t="s">
        <v>61</v>
      </c>
      <c r="B25" s="155">
        <v>3</v>
      </c>
      <c r="C25" s="155">
        <v>1</v>
      </c>
      <c r="D25" s="64">
        <v>500</v>
      </c>
      <c r="E25" s="65">
        <f t="shared" si="0"/>
        <v>36750</v>
      </c>
      <c r="F25" s="64">
        <f>COUNTIFS('NAAs by State'!$C$4:$C$67,A25,'NAAs by State'!$F$4:$F$67,"Marginal")-I25</f>
        <v>0</v>
      </c>
      <c r="G25" s="64">
        <f t="shared" si="1"/>
        <v>0</v>
      </c>
      <c r="H25" s="65">
        <f t="shared" si="2"/>
        <v>0</v>
      </c>
      <c r="I25" s="64">
        <f>COUNTIFS('NAAs by State'!$C$4:$C$67,A25,'NAAs by State'!$F$4:$F$67,"Marginal",'NAAs by State'!$H$4:$H$67,"Moderate")</f>
        <v>1</v>
      </c>
      <c r="J25" s="64">
        <f t="shared" si="3"/>
        <v>5100</v>
      </c>
      <c r="K25" s="65">
        <f t="shared" si="37"/>
        <v>374850</v>
      </c>
      <c r="L25" s="64">
        <f>COUNTIFS('NAAs by State'!$C$4:$C$67,A25,'NAAs by State'!$F$4:$F$67,"Moderate")</f>
        <v>0</v>
      </c>
      <c r="M25" s="64">
        <f t="shared" si="5"/>
        <v>0</v>
      </c>
      <c r="N25" s="65">
        <f t="shared" si="38"/>
        <v>0</v>
      </c>
      <c r="O25" s="64">
        <f>COUNTIFS('NAAs by State'!$C$4:$C$67,A25,'NAAs by State'!$F$4:$F$67,"Serious")</f>
        <v>0</v>
      </c>
      <c r="P25" s="64">
        <f t="shared" si="34"/>
        <v>0</v>
      </c>
      <c r="Q25" s="65">
        <f t="shared" si="39"/>
        <v>0</v>
      </c>
      <c r="R25" s="64">
        <f>COUNTIFS('NAAs by State'!$C$4:$C$67,A25,'NAAs by State'!$F$4:$F$67,"Severe-15")</f>
        <v>0</v>
      </c>
      <c r="S25" s="64">
        <f t="shared" si="8"/>
        <v>0</v>
      </c>
      <c r="T25" s="65">
        <f t="shared" si="40"/>
        <v>0</v>
      </c>
      <c r="U25" s="64">
        <f>COUNTIFS('NAAs by State'!$C$4:$C$67,A25,'NAAs by State'!$F$4:$F$67,"Severe 17")</f>
        <v>0</v>
      </c>
      <c r="V25" s="64">
        <f t="shared" si="10"/>
        <v>0</v>
      </c>
      <c r="W25" s="65">
        <f t="shared" si="41"/>
        <v>0</v>
      </c>
      <c r="X25" s="64">
        <f>COUNTIFS('NAAs by State'!$C$4:$C$67,A25,'NAAs by State'!$F$4:$F$67,"Extreme")</f>
        <v>0</v>
      </c>
      <c r="Y25" s="64">
        <f t="shared" si="35"/>
        <v>0</v>
      </c>
      <c r="Z25" s="65">
        <f t="shared" si="42"/>
        <v>0</v>
      </c>
      <c r="AA25" s="64">
        <f>COUNTIF('2008serious'!$A$6:$B$18,A25)</f>
        <v>0</v>
      </c>
      <c r="AB25" s="64">
        <f t="shared" si="25"/>
        <v>0</v>
      </c>
      <c r="AC25" s="205">
        <f t="shared" si="26"/>
        <v>0</v>
      </c>
      <c r="AD25" s="231">
        <f>COUNTIF('Table 6 and 7'!$A$5:$E$8,A25)</f>
        <v>0</v>
      </c>
      <c r="AE25" s="64">
        <f t="shared" si="27"/>
        <v>0</v>
      </c>
      <c r="AF25" s="205">
        <f t="shared" si="28"/>
        <v>0</v>
      </c>
      <c r="AG25" s="231">
        <f>COUNTIF('Table 6 and 7'!$A$16:$E$23,A25)</f>
        <v>0</v>
      </c>
      <c r="AH25" s="64">
        <f t="shared" si="29"/>
        <v>0</v>
      </c>
      <c r="AI25" s="205">
        <f t="shared" si="30"/>
        <v>0</v>
      </c>
      <c r="AJ25" s="66">
        <f t="shared" si="31"/>
        <v>411600</v>
      </c>
      <c r="AK25" s="67">
        <f t="shared" si="32"/>
        <v>5600</v>
      </c>
      <c r="AL25" s="67" t="str">
        <f t="shared" si="17"/>
        <v>PA</v>
      </c>
      <c r="AM25" s="67" t="str">
        <f>VLOOKUP(AL25,State_abrv,2,FALSE)</f>
        <v xml:space="preserve"> Pennsylvania</v>
      </c>
      <c r="AN25" s="67">
        <f t="shared" si="18"/>
        <v>3</v>
      </c>
      <c r="AO25" s="67">
        <f t="shared" si="33"/>
        <v>2</v>
      </c>
      <c r="AP25" s="67">
        <f t="shared" si="19"/>
        <v>2800</v>
      </c>
      <c r="AQ25" s="67">
        <f t="shared" si="20"/>
        <v>1400</v>
      </c>
      <c r="AR25" s="67">
        <f t="shared" si="21"/>
        <v>1400</v>
      </c>
      <c r="AS25" s="66">
        <f t="shared" si="22"/>
        <v>205800</v>
      </c>
      <c r="AT25" s="66">
        <f t="shared" si="23"/>
        <v>102900</v>
      </c>
      <c r="AU25" s="153">
        <f t="shared" si="24"/>
        <v>102900</v>
      </c>
    </row>
    <row r="26" spans="1:47" s="64" customFormat="1" x14ac:dyDescent="0.35">
      <c r="A26" s="155" t="s">
        <v>98</v>
      </c>
      <c r="B26" s="155">
        <v>1</v>
      </c>
      <c r="C26" s="155">
        <v>1</v>
      </c>
      <c r="D26" s="64">
        <v>500</v>
      </c>
      <c r="E26" s="65">
        <f t="shared" si="0"/>
        <v>36750</v>
      </c>
      <c r="F26" s="64">
        <f>COUNTIFS('NAAs by State'!$C$4:$C$67,A26,'NAAs by State'!$F$4:$F$67,"Marginal")-I26</f>
        <v>0</v>
      </c>
      <c r="G26" s="64">
        <f t="shared" si="1"/>
        <v>0</v>
      </c>
      <c r="H26" s="65">
        <f t="shared" si="2"/>
        <v>0</v>
      </c>
      <c r="I26" s="64">
        <f>COUNTIFS('NAAs by State'!$C$4:$C$67,A26,'NAAs by State'!$F$4:$F$67,"Marginal",'NAAs by State'!$H$4:$H$67,"Moderate")</f>
        <v>0</v>
      </c>
      <c r="J26" s="64">
        <f t="shared" si="3"/>
        <v>0</v>
      </c>
      <c r="K26" s="65">
        <f>J26*63.87</f>
        <v>0</v>
      </c>
      <c r="L26" s="64">
        <f>COUNTIFS('NAAs by State'!$C$4:$C$67,A26,'NAAs by State'!$F$4:$F$67,"Moderate")</f>
        <v>0</v>
      </c>
      <c r="M26" s="64">
        <f t="shared" si="5"/>
        <v>0</v>
      </c>
      <c r="N26" s="65">
        <f>M26*63.87</f>
        <v>0</v>
      </c>
      <c r="O26" s="64">
        <f>COUNTIFS('NAAs by State'!$C$4:$C$67,A26,'NAAs by State'!$F$4:$F$67,"Serious")</f>
        <v>0</v>
      </c>
      <c r="P26" s="64">
        <f t="shared" si="34"/>
        <v>0</v>
      </c>
      <c r="Q26" s="65">
        <f>P26*63.87</f>
        <v>0</v>
      </c>
      <c r="R26" s="64">
        <f>COUNTIFS('NAAs by State'!$C$4:$C$67,A26,'NAAs by State'!$F$4:$F$67,"Severe 15")</f>
        <v>0</v>
      </c>
      <c r="S26" s="64">
        <f t="shared" si="8"/>
        <v>0</v>
      </c>
      <c r="T26" s="65">
        <f>S26*63.87</f>
        <v>0</v>
      </c>
      <c r="U26" s="64">
        <f>COUNTIFS('NAAs by State'!$C$4:$C$67,A26,'NAAs by State'!$F$4:$F$67,"Severe 17")</f>
        <v>0</v>
      </c>
      <c r="V26" s="64">
        <f t="shared" si="10"/>
        <v>0</v>
      </c>
      <c r="W26" s="65">
        <f>V26*63.87</f>
        <v>0</v>
      </c>
      <c r="X26" s="64">
        <f>COUNTIFS('NAAs by State'!$C$4:$C$67,A26,'NAAs by State'!$F$4:$F$67,"Extreme")</f>
        <v>0</v>
      </c>
      <c r="Y26" s="64">
        <f t="shared" si="35"/>
        <v>0</v>
      </c>
      <c r="Z26" s="65">
        <f>Y26*63.87</f>
        <v>0</v>
      </c>
      <c r="AA26" s="64">
        <f>COUNTIF('2008serious'!$A$6:$B$18,A26)</f>
        <v>0</v>
      </c>
      <c r="AB26" s="64">
        <f t="shared" si="25"/>
        <v>0</v>
      </c>
      <c r="AC26" s="205">
        <f t="shared" si="26"/>
        <v>0</v>
      </c>
      <c r="AD26" s="231">
        <f>COUNTIF('Table 6 and 7'!$A$5:$E$8,A26)</f>
        <v>0</v>
      </c>
      <c r="AE26" s="64">
        <f t="shared" si="27"/>
        <v>0</v>
      </c>
      <c r="AF26" s="205">
        <f t="shared" si="28"/>
        <v>0</v>
      </c>
      <c r="AG26" s="231">
        <f>COUNTIF('Table 6 and 7'!$A$16:$E$23,A26)</f>
        <v>0</v>
      </c>
      <c r="AH26" s="64">
        <f t="shared" si="29"/>
        <v>0</v>
      </c>
      <c r="AI26" s="205">
        <f t="shared" si="30"/>
        <v>0</v>
      </c>
      <c r="AJ26" s="66">
        <f t="shared" si="31"/>
        <v>36750</v>
      </c>
      <c r="AK26" s="67">
        <f t="shared" si="32"/>
        <v>500</v>
      </c>
      <c r="AL26" s="67" t="str">
        <f t="shared" si="17"/>
        <v>RI</v>
      </c>
      <c r="AM26" s="67" t="str">
        <f>VLOOKUP(AL26,State_abrv,2,FALSE)</f>
        <v xml:space="preserve"> Rhode Island</v>
      </c>
      <c r="AN26" s="67">
        <f t="shared" si="18"/>
        <v>1</v>
      </c>
      <c r="AO26" s="67">
        <f t="shared" si="33"/>
        <v>1</v>
      </c>
      <c r="AP26" s="67">
        <f t="shared" si="19"/>
        <v>250</v>
      </c>
      <c r="AQ26" s="64">
        <f t="shared" si="20"/>
        <v>125</v>
      </c>
      <c r="AR26" s="64">
        <f t="shared" si="21"/>
        <v>125</v>
      </c>
      <c r="AS26" s="66">
        <f t="shared" si="22"/>
        <v>18375</v>
      </c>
      <c r="AT26" s="66">
        <f t="shared" si="23"/>
        <v>9187.5</v>
      </c>
      <c r="AU26" s="68">
        <f t="shared" si="24"/>
        <v>9187.5</v>
      </c>
    </row>
    <row r="27" spans="1:47" s="64" customFormat="1" x14ac:dyDescent="0.35">
      <c r="A27" s="62" t="s">
        <v>64</v>
      </c>
      <c r="B27" s="62">
        <v>6</v>
      </c>
      <c r="C27" s="62">
        <v>0</v>
      </c>
      <c r="D27" s="64">
        <v>0</v>
      </c>
      <c r="E27" s="65">
        <f t="shared" si="0"/>
        <v>0</v>
      </c>
      <c r="F27" s="64">
        <f>COUNTIFS('NAAs by State'!$C$4:$C$67,A27,'NAAs by State'!$F$4:$F$67,"Marginal")-I27</f>
        <v>1</v>
      </c>
      <c r="G27" s="64">
        <f t="shared" si="1"/>
        <v>100</v>
      </c>
      <c r="H27" s="65">
        <f t="shared" si="2"/>
        <v>7350</v>
      </c>
      <c r="I27" s="64">
        <f>COUNTIFS('NAAs by State'!$C$4:$C$67,A27,'NAAs by State'!$F$4:$F$67,"Marginal",'NAAs by State'!$H$4:$H$67,"Moderate")</f>
        <v>2</v>
      </c>
      <c r="J27" s="64">
        <f t="shared" si="3"/>
        <v>10200</v>
      </c>
      <c r="K27" s="65">
        <f>J27*$H$1</f>
        <v>749700</v>
      </c>
      <c r="L27" s="64">
        <f>COUNTIFS('NAAs by State'!$C$4:$C$67,A27,'NAAs by State'!$F$4:$F$67,"Moderate")</f>
        <v>0</v>
      </c>
      <c r="M27" s="64">
        <f t="shared" si="5"/>
        <v>0</v>
      </c>
      <c r="N27" s="65">
        <f>M27*$H$1</f>
        <v>0</v>
      </c>
      <c r="O27" s="64">
        <f>COUNTIFS('NAAs by State'!$C$4:$C$67,A27,'NAAs by State'!$F$4:$F$67,"Serious")</f>
        <v>0</v>
      </c>
      <c r="P27" s="64">
        <f t="shared" si="34"/>
        <v>0</v>
      </c>
      <c r="Q27" s="65">
        <f>P27*$H$1</f>
        <v>0</v>
      </c>
      <c r="R27" s="64">
        <f>COUNTIFS('NAAs by State'!$C$4:$C$67,A27,'NAAs by State'!$F$4:$F$67,"Severe-15")</f>
        <v>0</v>
      </c>
      <c r="S27" s="64">
        <f t="shared" si="8"/>
        <v>0</v>
      </c>
      <c r="T27" s="65">
        <f>S27*$H$1</f>
        <v>0</v>
      </c>
      <c r="U27" s="64">
        <f>COUNTIFS('NAAs by State'!$C$4:$C$67,A27,'NAAs by State'!$F$4:$F$67,"Severe 17")</f>
        <v>0</v>
      </c>
      <c r="V27" s="64">
        <f t="shared" si="10"/>
        <v>0</v>
      </c>
      <c r="W27" s="65">
        <f>V27*$H$1</f>
        <v>0</v>
      </c>
      <c r="X27" s="64">
        <f>COUNTIFS('NAAs by State'!$C$4:$C$67,A27,'NAAs by State'!$F$4:$F$67,"Extreme")</f>
        <v>0</v>
      </c>
      <c r="Y27" s="64">
        <f t="shared" si="35"/>
        <v>0</v>
      </c>
      <c r="Z27" s="65">
        <f>Y27*$H$1</f>
        <v>0</v>
      </c>
      <c r="AA27" s="64">
        <f>COUNTIF('2008serious'!$A$6:$B$18,A27)</f>
        <v>2</v>
      </c>
      <c r="AB27" s="64">
        <f t="shared" si="25"/>
        <v>10000</v>
      </c>
      <c r="AC27" s="205">
        <f t="shared" si="26"/>
        <v>735000</v>
      </c>
      <c r="AD27" s="231">
        <f>COUNTIF('Table 6 and 7'!$A$5:$E$8,A27)</f>
        <v>0</v>
      </c>
      <c r="AE27" s="64">
        <f t="shared" si="27"/>
        <v>0</v>
      </c>
      <c r="AF27" s="205">
        <f t="shared" si="28"/>
        <v>0</v>
      </c>
      <c r="AG27" s="231">
        <f>COUNTIF('Table 6 and 7'!$A$16:$E$23,A27)</f>
        <v>0</v>
      </c>
      <c r="AH27" s="64">
        <f t="shared" si="29"/>
        <v>0</v>
      </c>
      <c r="AI27" s="205">
        <f t="shared" si="30"/>
        <v>0</v>
      </c>
      <c r="AJ27" s="66">
        <f t="shared" si="31"/>
        <v>1492050</v>
      </c>
      <c r="AK27" s="67">
        <f>SUM(D27,G27,J27,M27,P27,S27,V27,Y27,AB27,AE27,AH27)</f>
        <v>20300</v>
      </c>
      <c r="AL27" s="67" t="str">
        <f t="shared" si="17"/>
        <v>TX</v>
      </c>
      <c r="AM27" s="67" t="str">
        <f>VLOOKUP(AL27,State_abrv,2,FALSE)</f>
        <v xml:space="preserve"> Texas</v>
      </c>
      <c r="AN27" s="67">
        <f t="shared" si="18"/>
        <v>6</v>
      </c>
      <c r="AO27" s="67">
        <f t="shared" si="33"/>
        <v>5</v>
      </c>
      <c r="AP27" s="67">
        <f t="shared" si="19"/>
        <v>10150</v>
      </c>
      <c r="AQ27" s="67">
        <f t="shared" si="20"/>
        <v>5075</v>
      </c>
      <c r="AR27" s="67">
        <f t="shared" si="21"/>
        <v>5075</v>
      </c>
      <c r="AS27" s="66">
        <f t="shared" si="22"/>
        <v>746025</v>
      </c>
      <c r="AT27" s="66">
        <f t="shared" si="23"/>
        <v>373012.5</v>
      </c>
      <c r="AU27" s="153">
        <f t="shared" si="24"/>
        <v>373012.5</v>
      </c>
    </row>
    <row r="28" spans="1:47" s="64" customFormat="1" x14ac:dyDescent="0.35">
      <c r="A28" s="62" t="s">
        <v>65</v>
      </c>
      <c r="B28" s="62">
        <v>8</v>
      </c>
      <c r="C28" s="62">
        <v>0</v>
      </c>
      <c r="D28" s="64">
        <v>0</v>
      </c>
      <c r="E28" s="65">
        <f t="shared" si="0"/>
        <v>0</v>
      </c>
      <c r="F28" s="64">
        <f>COUNTIFS('NAAs by State'!$C$4:$C$67,A28,'NAAs by State'!$F$4:$F$67,"Marginal")-I28</f>
        <v>1</v>
      </c>
      <c r="G28" s="64">
        <f t="shared" si="1"/>
        <v>100</v>
      </c>
      <c r="H28" s="65">
        <f t="shared" si="2"/>
        <v>7350</v>
      </c>
      <c r="I28" s="64">
        <f>COUNTIFS('NAAs by State'!$C$4:$C$67,A28,'NAAs by State'!$F$4:$F$67,"Marginal",'NAAs by State'!$H$4:$H$67,"Moderate")</f>
        <v>2</v>
      </c>
      <c r="J28" s="64">
        <f t="shared" si="3"/>
        <v>10200</v>
      </c>
      <c r="K28" s="65">
        <f>J28*$H$1</f>
        <v>749700</v>
      </c>
      <c r="L28" s="64">
        <f>COUNTIFS('NAAs by State'!$C$4:$C$67,A28,'NAAs by State'!$F$4:$F$67,"Moderate")</f>
        <v>0</v>
      </c>
      <c r="M28" s="64">
        <f t="shared" si="5"/>
        <v>0</v>
      </c>
      <c r="N28" s="65">
        <f>M28*$H$1</f>
        <v>0</v>
      </c>
      <c r="O28" s="64">
        <f>COUNTIFS('NAAs by State'!$C$4:$C$67,A28,'NAAs by State'!$F$4:$F$67,"Serious")</f>
        <v>0</v>
      </c>
      <c r="P28" s="64">
        <f t="shared" si="34"/>
        <v>0</v>
      </c>
      <c r="Q28" s="65">
        <f>P28*$H$1</f>
        <v>0</v>
      </c>
      <c r="R28" s="64">
        <f>COUNTIFS('NAAs by State'!$C$4:$C$67,A28,'NAAs by State'!$F$4:$F$67,"Severe-15")</f>
        <v>0</v>
      </c>
      <c r="S28" s="64">
        <f t="shared" si="8"/>
        <v>0</v>
      </c>
      <c r="T28" s="65">
        <f>S28*$H$1</f>
        <v>0</v>
      </c>
      <c r="U28" s="64">
        <f>COUNTIFS('NAAs by State'!$C$4:$C$67,A28,'NAAs by State'!$F$4:$F$67,"Severe 17")</f>
        <v>0</v>
      </c>
      <c r="V28" s="64">
        <f t="shared" si="10"/>
        <v>0</v>
      </c>
      <c r="W28" s="65">
        <f>V28*$H$1</f>
        <v>0</v>
      </c>
      <c r="X28" s="64">
        <f>COUNTIFS('NAAs by State'!$C$4:$C$67,A28,'NAAs by State'!$F$4:$F$67,"Extreme")</f>
        <v>0</v>
      </c>
      <c r="Y28" s="64">
        <f t="shared" si="35"/>
        <v>0</v>
      </c>
      <c r="Z28" s="65">
        <f>Y28*$H$1</f>
        <v>0</v>
      </c>
      <c r="AA28" s="64">
        <f>COUNTIF('2008serious'!$A$6:$B$18,A28)</f>
        <v>0</v>
      </c>
      <c r="AB28" s="64">
        <f t="shared" si="25"/>
        <v>0</v>
      </c>
      <c r="AC28" s="205">
        <f t="shared" si="26"/>
        <v>0</v>
      </c>
      <c r="AD28" s="231">
        <f>COUNTIF('Table 6 and 7'!$A$5:$E$8,A28)</f>
        <v>0</v>
      </c>
      <c r="AE28" s="64">
        <f t="shared" si="27"/>
        <v>0</v>
      </c>
      <c r="AF28" s="205">
        <f t="shared" si="28"/>
        <v>0</v>
      </c>
      <c r="AG28" s="231">
        <f>COUNTIF('Table 6 and 7'!$A$16:$E$23,A28)</f>
        <v>0</v>
      </c>
      <c r="AH28" s="64">
        <f t="shared" si="29"/>
        <v>0</v>
      </c>
      <c r="AI28" s="205">
        <f t="shared" si="30"/>
        <v>0</v>
      </c>
      <c r="AJ28" s="66">
        <f t="shared" si="31"/>
        <v>757050</v>
      </c>
      <c r="AK28" s="67">
        <f t="shared" si="32"/>
        <v>10300</v>
      </c>
      <c r="AL28" s="67" t="str">
        <f t="shared" si="17"/>
        <v>UT</v>
      </c>
      <c r="AM28" s="167" t="s">
        <v>408</v>
      </c>
      <c r="AN28" s="67">
        <f t="shared" si="18"/>
        <v>8</v>
      </c>
      <c r="AO28" s="67">
        <f t="shared" si="33"/>
        <v>3</v>
      </c>
      <c r="AP28" s="67">
        <f t="shared" si="19"/>
        <v>5150</v>
      </c>
      <c r="AQ28" s="67">
        <f t="shared" si="20"/>
        <v>2575</v>
      </c>
      <c r="AR28" s="67">
        <f t="shared" si="21"/>
        <v>2575</v>
      </c>
      <c r="AS28" s="66">
        <f t="shared" si="22"/>
        <v>378525</v>
      </c>
      <c r="AT28" s="66">
        <f t="shared" si="23"/>
        <v>189262.5</v>
      </c>
      <c r="AU28" s="153">
        <f t="shared" si="24"/>
        <v>189262.5</v>
      </c>
    </row>
    <row r="29" spans="1:47" s="64" customFormat="1" x14ac:dyDescent="0.35">
      <c r="A29" s="155" t="s">
        <v>66</v>
      </c>
      <c r="B29" s="155">
        <v>3</v>
      </c>
      <c r="C29" s="155">
        <v>1</v>
      </c>
      <c r="D29" s="64">
        <v>500</v>
      </c>
      <c r="E29" s="65">
        <f t="shared" si="0"/>
        <v>36750</v>
      </c>
      <c r="F29" s="64">
        <f>COUNTIFS('NAAs by State'!$C$4:$C$67,A29,'NAAs by State'!$F$4:$F$67,"Marginal")-I29</f>
        <v>0</v>
      </c>
      <c r="G29" s="64">
        <f t="shared" si="1"/>
        <v>0</v>
      </c>
      <c r="H29" s="65">
        <f t="shared" si="2"/>
        <v>0</v>
      </c>
      <c r="I29" s="64">
        <f>COUNTIFS('NAAs by State'!$C$4:$C$67,A29,'NAAs by State'!$F$4:$F$67,"Marginal",'NAAs by State'!$H$4:$H$67,"Moderate")</f>
        <v>1</v>
      </c>
      <c r="J29" s="64">
        <f t="shared" si="3"/>
        <v>5100</v>
      </c>
      <c r="K29" s="65">
        <f>J29*$H$1</f>
        <v>374850</v>
      </c>
      <c r="L29" s="64">
        <f>COUNTIFS('NAAs by State'!$C$4:$C$67,A29,'NAAs by State'!$F$4:$F$67,"Moderate")</f>
        <v>0</v>
      </c>
      <c r="M29" s="64">
        <f t="shared" si="5"/>
        <v>0</v>
      </c>
      <c r="N29" s="65">
        <f>M29*$H$1</f>
        <v>0</v>
      </c>
      <c r="O29" s="64">
        <f>COUNTIFS('NAAs by State'!$C$4:$C$67,A29,'NAAs by State'!$F$4:$F$67,"Serious")</f>
        <v>0</v>
      </c>
      <c r="P29" s="64">
        <f t="shared" si="34"/>
        <v>0</v>
      </c>
      <c r="Q29" s="65">
        <f>P29*$H$1</f>
        <v>0</v>
      </c>
      <c r="R29" s="64">
        <f>COUNTIFS('NAAs by State'!$C$4:$C$67,A29,'NAAs by State'!$F$4:$F$67,"Severe-15")</f>
        <v>0</v>
      </c>
      <c r="S29" s="64">
        <f t="shared" si="8"/>
        <v>0</v>
      </c>
      <c r="T29" s="65">
        <f>S29*$H$1</f>
        <v>0</v>
      </c>
      <c r="U29" s="64">
        <f>COUNTIFS('NAAs by State'!$C$4:$C$67,A29,'NAAs by State'!$F$4:$F$67,"Severe 17")</f>
        <v>0</v>
      </c>
      <c r="V29" s="64">
        <f t="shared" si="10"/>
        <v>0</v>
      </c>
      <c r="W29" s="65">
        <f>V29*$H$1</f>
        <v>0</v>
      </c>
      <c r="X29" s="64">
        <f>COUNTIFS('NAAs by State'!$C$4:$C$67,A29,'NAAs by State'!$F$4:$F$67,"Extreme")</f>
        <v>0</v>
      </c>
      <c r="Y29" s="64">
        <f t="shared" si="35"/>
        <v>0</v>
      </c>
      <c r="Z29" s="65">
        <f>Y29*$H$1</f>
        <v>0</v>
      </c>
      <c r="AA29" s="64">
        <f>COUNTIF('2008serious'!$A$6:$B$18,A29)</f>
        <v>0</v>
      </c>
      <c r="AB29" s="64">
        <f t="shared" si="25"/>
        <v>0</v>
      </c>
      <c r="AC29" s="205">
        <f t="shared" si="26"/>
        <v>0</v>
      </c>
      <c r="AD29" s="231">
        <f>COUNTIF('Table 6 and 7'!$A$5:$E$8,A29)</f>
        <v>0</v>
      </c>
      <c r="AE29" s="64">
        <f t="shared" si="27"/>
        <v>0</v>
      </c>
      <c r="AF29" s="205">
        <f t="shared" si="28"/>
        <v>0</v>
      </c>
      <c r="AG29" s="231">
        <f>COUNTIF('Table 6 and 7'!$A$16:$E$23,A29)</f>
        <v>0</v>
      </c>
      <c r="AH29" s="64">
        <f t="shared" si="29"/>
        <v>0</v>
      </c>
      <c r="AI29" s="205">
        <f t="shared" si="30"/>
        <v>0</v>
      </c>
      <c r="AJ29" s="66">
        <f t="shared" si="31"/>
        <v>411600</v>
      </c>
      <c r="AK29" s="67">
        <f>SUM(D29,G29,J29,M29,P29,S29,V29,Y29,AB29,AE29,AH29)</f>
        <v>5600</v>
      </c>
      <c r="AL29" s="67" t="str">
        <f t="shared" si="17"/>
        <v>VA</v>
      </c>
      <c r="AM29" s="67" t="str">
        <f>VLOOKUP(AL29,State_abrv,2,FALSE)</f>
        <v xml:space="preserve"> Virginia</v>
      </c>
      <c r="AN29" s="67">
        <f t="shared" si="18"/>
        <v>3</v>
      </c>
      <c r="AO29" s="67">
        <f t="shared" si="33"/>
        <v>2</v>
      </c>
      <c r="AP29" s="67">
        <f t="shared" si="19"/>
        <v>2800</v>
      </c>
      <c r="AQ29" s="67">
        <f t="shared" si="20"/>
        <v>1400</v>
      </c>
      <c r="AR29" s="67">
        <f t="shared" si="21"/>
        <v>1400</v>
      </c>
      <c r="AS29" s="66">
        <f t="shared" si="22"/>
        <v>205800</v>
      </c>
      <c r="AT29" s="66">
        <f t="shared" si="23"/>
        <v>102900</v>
      </c>
      <c r="AU29" s="153">
        <f t="shared" si="24"/>
        <v>102900</v>
      </c>
    </row>
    <row r="30" spans="1:47" s="64" customFormat="1" x14ac:dyDescent="0.35">
      <c r="A30" s="155" t="s">
        <v>67</v>
      </c>
      <c r="B30" s="155">
        <v>1</v>
      </c>
      <c r="C30" s="155">
        <v>1</v>
      </c>
      <c r="D30" s="64">
        <v>500</v>
      </c>
      <c r="E30" s="65">
        <f t="shared" si="0"/>
        <v>36750</v>
      </c>
      <c r="F30" s="64">
        <f>COUNTIFS('NAAs by State'!$C$4:$C$67,A30,'NAAs by State'!$F$4:$F$67,"Marginal")-I30</f>
        <v>0</v>
      </c>
      <c r="G30" s="64">
        <f t="shared" si="1"/>
        <v>0</v>
      </c>
      <c r="H30" s="65">
        <f t="shared" si="2"/>
        <v>0</v>
      </c>
      <c r="I30" s="64">
        <f>COUNTIFS('NAAs by State'!$C$4:$C$67,A30,'NAAs by State'!$F$4:$F$67,"Marginal",'NAAs by State'!$H$4:$H$67,"Moderate")</f>
        <v>0</v>
      </c>
      <c r="J30" s="64">
        <f t="shared" si="3"/>
        <v>0</v>
      </c>
      <c r="K30" s="65">
        <f>J30*63.87</f>
        <v>0</v>
      </c>
      <c r="L30" s="64">
        <f>COUNTIFS('NAAs by State'!$C$4:$C$67,A30,'NAAs by State'!$F$4:$F$67,"Moderate")</f>
        <v>0</v>
      </c>
      <c r="M30" s="64">
        <f t="shared" si="5"/>
        <v>0</v>
      </c>
      <c r="N30" s="65">
        <f>M30*63.87</f>
        <v>0</v>
      </c>
      <c r="O30" s="64">
        <f>COUNTIFS('NAAs by State'!$C$4:$C$67,A30,'NAAs by State'!$F$4:$F$67,"Serious")</f>
        <v>0</v>
      </c>
      <c r="P30" s="64">
        <f t="shared" si="34"/>
        <v>0</v>
      </c>
      <c r="Q30" s="65">
        <f>P30*63.87</f>
        <v>0</v>
      </c>
      <c r="R30" s="64">
        <f>COUNTIFS('NAAs by State'!$C$4:$C$67,A30,'NAAs by State'!$F$4:$F$67,"Severe 15")</f>
        <v>0</v>
      </c>
      <c r="S30" s="64">
        <f t="shared" si="8"/>
        <v>0</v>
      </c>
      <c r="T30" s="65">
        <f>S30*63.87</f>
        <v>0</v>
      </c>
      <c r="U30" s="64">
        <f>COUNTIFS('NAAs by State'!$C$4:$C$67,A30,'NAAs by State'!$F$4:$F$67,"Severe 17")</f>
        <v>0</v>
      </c>
      <c r="V30" s="64">
        <f t="shared" si="10"/>
        <v>0</v>
      </c>
      <c r="W30" s="65">
        <f>V30*63.87</f>
        <v>0</v>
      </c>
      <c r="X30" s="64">
        <f>COUNTIFS('NAAs by State'!$C$4:$C$67,A30,'NAAs by State'!$F$4:$F$67,"Extreme")</f>
        <v>0</v>
      </c>
      <c r="Y30" s="64">
        <f t="shared" si="35"/>
        <v>0</v>
      </c>
      <c r="Z30" s="65">
        <f>Y30*63.87</f>
        <v>0</v>
      </c>
      <c r="AA30" s="64">
        <f>COUNTIF('2008serious'!$A$6:$B$18,A30)</f>
        <v>0</v>
      </c>
      <c r="AB30" s="64">
        <f t="shared" si="25"/>
        <v>0</v>
      </c>
      <c r="AC30" s="205">
        <f t="shared" si="26"/>
        <v>0</v>
      </c>
      <c r="AD30" s="231">
        <f>COUNTIF('Table 6 and 7'!$A$5:$E$8,A30)</f>
        <v>0</v>
      </c>
      <c r="AE30" s="64">
        <f t="shared" si="27"/>
        <v>0</v>
      </c>
      <c r="AF30" s="205">
        <f t="shared" si="28"/>
        <v>0</v>
      </c>
      <c r="AG30" s="231">
        <f>COUNTIF('Table 6 and 7'!$A$16:$E$23,A30)</f>
        <v>0</v>
      </c>
      <c r="AH30" s="64">
        <f t="shared" si="29"/>
        <v>0</v>
      </c>
      <c r="AI30" s="205">
        <f t="shared" si="30"/>
        <v>0</v>
      </c>
      <c r="AJ30" s="66">
        <f t="shared" si="31"/>
        <v>36750</v>
      </c>
      <c r="AK30" s="67">
        <f t="shared" si="32"/>
        <v>500</v>
      </c>
      <c r="AL30" s="67" t="str">
        <f t="shared" si="17"/>
        <v>VT</v>
      </c>
      <c r="AM30" s="199" t="s">
        <v>422</v>
      </c>
      <c r="AN30" s="67">
        <f t="shared" si="18"/>
        <v>1</v>
      </c>
      <c r="AO30" s="67">
        <f t="shared" si="33"/>
        <v>1</v>
      </c>
      <c r="AP30" s="67">
        <f t="shared" si="19"/>
        <v>250</v>
      </c>
      <c r="AQ30" s="64">
        <f t="shared" si="20"/>
        <v>125</v>
      </c>
      <c r="AR30" s="64">
        <f t="shared" si="21"/>
        <v>125</v>
      </c>
      <c r="AS30" s="66">
        <f t="shared" si="22"/>
        <v>18375</v>
      </c>
      <c r="AT30" s="66">
        <f t="shared" si="23"/>
        <v>9187.5</v>
      </c>
      <c r="AU30" s="68">
        <f t="shared" si="24"/>
        <v>9187.5</v>
      </c>
    </row>
    <row r="31" spans="1:47" s="64" customFormat="1" x14ac:dyDescent="0.35">
      <c r="A31" s="62" t="s">
        <v>69</v>
      </c>
      <c r="B31" s="62">
        <v>5</v>
      </c>
      <c r="C31" s="62">
        <v>0</v>
      </c>
      <c r="D31" s="64">
        <v>0</v>
      </c>
      <c r="E31" s="65">
        <f t="shared" si="0"/>
        <v>0</v>
      </c>
      <c r="F31" s="64">
        <f>COUNTIFS('NAAs by State'!$C$4:$C$67,A31,'NAAs by State'!$F$4:$F$67,"Marginal")-I31</f>
        <v>1</v>
      </c>
      <c r="G31" s="64">
        <f t="shared" si="1"/>
        <v>100</v>
      </c>
      <c r="H31" s="65">
        <f t="shared" si="2"/>
        <v>7350</v>
      </c>
      <c r="I31" s="64">
        <f>COUNTIFS('NAAs by State'!$C$4:$C$67,A31,'NAAs by State'!$F$4:$F$67,"Marginal",'NAAs by State'!$H$4:$H$67,"Moderate")</f>
        <v>3</v>
      </c>
      <c r="J31" s="64">
        <f t="shared" si="3"/>
        <v>15300</v>
      </c>
      <c r="K31" s="65">
        <f>J31*$H$1</f>
        <v>1124550</v>
      </c>
      <c r="L31" s="64">
        <f>COUNTIFS('NAAs by State'!$C$4:$C$67,A31,'NAAs by State'!$F$4:$F$67,"Moderate")</f>
        <v>0</v>
      </c>
      <c r="M31" s="64">
        <f t="shared" si="5"/>
        <v>0</v>
      </c>
      <c r="N31" s="65">
        <f>M31*$H$1</f>
        <v>0</v>
      </c>
      <c r="O31" s="64">
        <f>COUNTIFS('NAAs by State'!$C$4:$C$67,A31,'NAAs by State'!$F$4:$F$67,"Serious")</f>
        <v>0</v>
      </c>
      <c r="P31" s="64">
        <f t="shared" si="34"/>
        <v>0</v>
      </c>
      <c r="Q31" s="65">
        <f>P31*$H$1</f>
        <v>0</v>
      </c>
      <c r="R31" s="64">
        <f>COUNTIFS('NAAs by State'!$C$4:$C$67,A31,'NAAs by State'!$F$4:$F$67,"Severe-15")</f>
        <v>0</v>
      </c>
      <c r="S31" s="64">
        <f t="shared" si="8"/>
        <v>0</v>
      </c>
      <c r="T31" s="65">
        <f>S31*$H$1</f>
        <v>0</v>
      </c>
      <c r="U31" s="64">
        <f>COUNTIFS('NAAs by State'!$C$4:$C$67,A31,'NAAs by State'!$F$4:$F$67,"Severe 17")</f>
        <v>0</v>
      </c>
      <c r="V31" s="64">
        <f t="shared" si="10"/>
        <v>0</v>
      </c>
      <c r="W31" s="65">
        <f>V31*$H$1</f>
        <v>0</v>
      </c>
      <c r="X31" s="64">
        <f>COUNTIFS('NAAs by State'!$C$4:$C$67,A31,'NAAs by State'!$F$4:$F$67,"Extreme")</f>
        <v>0</v>
      </c>
      <c r="Y31" s="64">
        <f t="shared" si="35"/>
        <v>0</v>
      </c>
      <c r="Z31" s="65">
        <f>Y31*$H$1</f>
        <v>0</v>
      </c>
      <c r="AA31" s="64">
        <f>COUNTIF('2008serious'!$A$6:$B$18,A31)</f>
        <v>1</v>
      </c>
      <c r="AB31" s="64">
        <f t="shared" si="25"/>
        <v>5000</v>
      </c>
      <c r="AC31" s="205">
        <f t="shared" si="26"/>
        <v>367500</v>
      </c>
      <c r="AD31" s="231">
        <f>COUNTIF('Table 6 and 7'!$A$5:$E$8,A31)</f>
        <v>0</v>
      </c>
      <c r="AE31" s="64">
        <f t="shared" si="27"/>
        <v>0</v>
      </c>
      <c r="AF31" s="205">
        <f t="shared" si="28"/>
        <v>0</v>
      </c>
      <c r="AG31" s="231">
        <f>COUNTIF('Table 6 and 7'!$A$16:$E$23,A31)</f>
        <v>0</v>
      </c>
      <c r="AH31" s="64">
        <f t="shared" si="29"/>
        <v>0</v>
      </c>
      <c r="AI31" s="205">
        <f t="shared" si="30"/>
        <v>0</v>
      </c>
      <c r="AJ31" s="66">
        <f t="shared" si="31"/>
        <v>1499400</v>
      </c>
      <c r="AK31" s="67">
        <f t="shared" si="32"/>
        <v>20400</v>
      </c>
      <c r="AL31" s="67" t="str">
        <f t="shared" si="17"/>
        <v>WI</v>
      </c>
      <c r="AM31" s="67" t="str">
        <f>VLOOKUP(AL31,State_abrv,2,FALSE)</f>
        <v xml:space="preserve"> Wisconsin</v>
      </c>
      <c r="AN31" s="67">
        <f t="shared" si="18"/>
        <v>5</v>
      </c>
      <c r="AO31" s="67">
        <f t="shared" si="33"/>
        <v>5</v>
      </c>
      <c r="AP31" s="67">
        <f t="shared" si="19"/>
        <v>10200</v>
      </c>
      <c r="AQ31" s="67">
        <f t="shared" si="20"/>
        <v>5100</v>
      </c>
      <c r="AR31" s="67">
        <f t="shared" si="21"/>
        <v>5100</v>
      </c>
      <c r="AS31" s="66">
        <f t="shared" si="22"/>
        <v>749700</v>
      </c>
      <c r="AT31" s="66">
        <f t="shared" si="23"/>
        <v>374850</v>
      </c>
      <c r="AU31" s="153">
        <f t="shared" si="24"/>
        <v>374850</v>
      </c>
    </row>
    <row r="32" spans="1:47" s="64" customFormat="1" ht="15" thickBot="1" x14ac:dyDescent="0.4">
      <c r="A32" s="62"/>
      <c r="B32" s="62"/>
      <c r="C32" s="62"/>
      <c r="D32" s="62"/>
      <c r="E32" s="62"/>
      <c r="H32" s="65"/>
      <c r="K32" s="65"/>
      <c r="N32" s="65"/>
      <c r="Q32" s="65"/>
      <c r="T32" s="65"/>
      <c r="W32" s="65"/>
      <c r="Z32" s="65"/>
      <c r="AA32" s="205">
        <f>SUM(AA4:AA31)</f>
        <v>12</v>
      </c>
      <c r="AB32" s="205"/>
      <c r="AC32" s="205"/>
      <c r="AD32" s="226"/>
      <c r="AE32" s="227"/>
      <c r="AF32" s="228"/>
      <c r="AG32" s="226"/>
      <c r="AH32" s="227"/>
      <c r="AI32" s="228"/>
      <c r="AJ32" s="184">
        <f>SUM(AJ4:AJ31)</f>
        <v>26239500</v>
      </c>
      <c r="AK32" s="67"/>
      <c r="AL32" s="67"/>
      <c r="AM32" s="67"/>
      <c r="AN32" s="67"/>
      <c r="AO32" s="67"/>
      <c r="AP32" s="67"/>
      <c r="AQ32" s="67"/>
      <c r="AR32" s="67"/>
      <c r="AS32" s="66"/>
      <c r="AT32" s="66"/>
      <c r="AU32" s="153"/>
    </row>
    <row r="33" spans="1:48" s="64" customFormat="1" x14ac:dyDescent="0.35">
      <c r="A33" s="237"/>
      <c r="B33" s="237">
        <f>COUNT(B4:B31)</f>
        <v>28</v>
      </c>
      <c r="C33" s="93">
        <f>SUM(C4:C31)</f>
        <v>13</v>
      </c>
      <c r="D33" s="93">
        <f t="shared" ref="D33:AI33" si="43">SUM(D4:D31)</f>
        <v>6500</v>
      </c>
      <c r="E33" s="184">
        <f t="shared" si="43"/>
        <v>477750</v>
      </c>
      <c r="F33" s="93">
        <f>SUM(F4:F31)</f>
        <v>13</v>
      </c>
      <c r="G33" s="93">
        <f t="shared" si="43"/>
        <v>1300</v>
      </c>
      <c r="H33" s="184">
        <f t="shared" si="43"/>
        <v>95550</v>
      </c>
      <c r="I33" s="93">
        <f>SUM(I4:I31)</f>
        <v>36</v>
      </c>
      <c r="J33" s="93">
        <f t="shared" si="43"/>
        <v>183600</v>
      </c>
      <c r="K33" s="184">
        <f t="shared" si="43"/>
        <v>13494600</v>
      </c>
      <c r="L33" s="93">
        <f>SUM(L4:L31)</f>
        <v>7</v>
      </c>
      <c r="M33" s="93">
        <f t="shared" si="43"/>
        <v>35000</v>
      </c>
      <c r="N33" s="184">
        <f t="shared" si="43"/>
        <v>2572500</v>
      </c>
      <c r="O33" s="93">
        <f>SUM(O4:O31)</f>
        <v>1</v>
      </c>
      <c r="P33" s="93">
        <f t="shared" si="43"/>
        <v>20000</v>
      </c>
      <c r="Q33" s="184">
        <f t="shared" si="43"/>
        <v>1470000</v>
      </c>
      <c r="R33" s="93">
        <f>SUM(R4:R31)</f>
        <v>2</v>
      </c>
      <c r="S33" s="93">
        <f t="shared" si="43"/>
        <v>10000</v>
      </c>
      <c r="T33" s="184">
        <f t="shared" si="43"/>
        <v>735000</v>
      </c>
      <c r="U33" s="93">
        <f>SUM(U4:U31)</f>
        <v>0</v>
      </c>
      <c r="V33" s="93">
        <f t="shared" si="43"/>
        <v>0</v>
      </c>
      <c r="W33" s="184">
        <f t="shared" si="43"/>
        <v>0</v>
      </c>
      <c r="X33" s="93">
        <f>SUM(X4:X31)</f>
        <v>2</v>
      </c>
      <c r="Y33" s="93">
        <f t="shared" si="43"/>
        <v>40000</v>
      </c>
      <c r="Z33" s="184">
        <f t="shared" si="43"/>
        <v>2940000</v>
      </c>
      <c r="AA33" s="93">
        <f>SUM(AA4:AA31)</f>
        <v>12</v>
      </c>
      <c r="AB33" s="93">
        <f t="shared" si="43"/>
        <v>60000</v>
      </c>
      <c r="AC33" s="184">
        <f t="shared" si="43"/>
        <v>4410000</v>
      </c>
      <c r="AD33" s="93">
        <f>SUM(AD4:AD31)</f>
        <v>0</v>
      </c>
      <c r="AE33" s="93">
        <f t="shared" si="43"/>
        <v>0</v>
      </c>
      <c r="AF33" s="184">
        <f t="shared" si="43"/>
        <v>0</v>
      </c>
      <c r="AG33" s="93">
        <f>SUM(AG4:AG31)</f>
        <v>6</v>
      </c>
      <c r="AH33" s="93">
        <f t="shared" si="43"/>
        <v>600</v>
      </c>
      <c r="AI33" s="184">
        <f t="shared" si="43"/>
        <v>44100</v>
      </c>
      <c r="AJ33" s="66">
        <f>SUM(H33,K33,N33,Q33,T33,W33,Z33,E33,AC33,AF33,AI33)</f>
        <v>26239500</v>
      </c>
      <c r="AK33" s="97">
        <f>SUM(AK4:AK31)</f>
        <v>357000</v>
      </c>
      <c r="AL33" s="197">
        <f>F33+I33+L33+O33+R33+U33+X33+C33+AA33+AD33+AG33</f>
        <v>92</v>
      </c>
      <c r="AM33" s="234" t="s">
        <v>463</v>
      </c>
      <c r="AN33" s="67"/>
      <c r="AO33" s="67">
        <f t="shared" ref="AO33:AU33" si="44">SUM(AO4:AO31)</f>
        <v>92</v>
      </c>
      <c r="AP33" s="67">
        <f t="shared" si="44"/>
        <v>178500</v>
      </c>
      <c r="AQ33" s="67">
        <f t="shared" si="44"/>
        <v>89250</v>
      </c>
      <c r="AR33" s="67">
        <f t="shared" si="44"/>
        <v>89250</v>
      </c>
      <c r="AS33" s="195">
        <f t="shared" si="44"/>
        <v>13119750</v>
      </c>
      <c r="AT33" s="195">
        <f t="shared" si="44"/>
        <v>6559875</v>
      </c>
      <c r="AU33" s="195">
        <f t="shared" si="44"/>
        <v>6559875</v>
      </c>
    </row>
    <row r="34" spans="1:48" s="64" customFormat="1" x14ac:dyDescent="0.35">
      <c r="A34" s="237" t="s">
        <v>467</v>
      </c>
      <c r="B34" s="237"/>
      <c r="C34" s="93"/>
      <c r="D34" s="93"/>
      <c r="E34" s="184"/>
      <c r="F34" s="93"/>
      <c r="G34" s="93"/>
      <c r="H34" s="184"/>
      <c r="I34" s="93"/>
      <c r="J34" s="93"/>
      <c r="K34" s="184"/>
      <c r="L34" s="93"/>
      <c r="M34" s="93"/>
      <c r="N34" s="184"/>
      <c r="O34" s="93"/>
      <c r="P34" s="93"/>
      <c r="Q34" s="184"/>
      <c r="R34" s="93"/>
      <c r="S34" s="93"/>
      <c r="T34" s="184"/>
      <c r="U34" s="93"/>
      <c r="V34" s="93"/>
      <c r="W34" s="184"/>
      <c r="X34" s="93"/>
      <c r="Y34" s="93"/>
      <c r="Z34" s="184"/>
      <c r="AA34" s="184"/>
      <c r="AB34" s="184"/>
      <c r="AC34" s="184"/>
      <c r="AD34" s="184"/>
      <c r="AE34" s="184"/>
      <c r="AF34" s="184"/>
      <c r="AG34" s="184"/>
      <c r="AH34" s="184"/>
      <c r="AI34" s="184"/>
      <c r="AJ34" s="66"/>
      <c r="AK34" s="97"/>
      <c r="AL34" s="67"/>
      <c r="AM34" s="194"/>
      <c r="AN34" s="67"/>
      <c r="AO34" s="67"/>
      <c r="AP34" s="67"/>
      <c r="AQ34" s="67"/>
      <c r="AR34" s="67"/>
      <c r="AS34" s="195"/>
      <c r="AT34" s="195"/>
      <c r="AU34" s="195"/>
    </row>
    <row r="35" spans="1:48" s="64" customFormat="1" x14ac:dyDescent="0.35">
      <c r="A35" s="123" t="s">
        <v>224</v>
      </c>
      <c r="B35" s="62"/>
      <c r="C35" s="62"/>
      <c r="D35" s="62"/>
      <c r="E35" s="62"/>
      <c r="H35" s="65"/>
      <c r="K35" s="65">
        <f t="shared" ref="K35" si="45">J35*63.87</f>
        <v>0</v>
      </c>
      <c r="N35" s="65">
        <f t="shared" ref="N35" si="46">M35*63.87</f>
        <v>0</v>
      </c>
      <c r="Q35" s="65">
        <f t="shared" ref="Q35" si="47">P35*63.87</f>
        <v>0</v>
      </c>
      <c r="T35" s="65">
        <f t="shared" ref="T35" si="48">S35*63.87</f>
        <v>0</v>
      </c>
      <c r="W35" s="65">
        <f t="shared" ref="W35" si="49">V35*63.87</f>
        <v>0</v>
      </c>
      <c r="Z35" s="65">
        <f t="shared" ref="Z35" si="50">Y35*63.87</f>
        <v>0</v>
      </c>
      <c r="AA35" s="205"/>
      <c r="AB35" s="205"/>
      <c r="AC35" s="205"/>
      <c r="AD35" s="205"/>
      <c r="AE35" s="205"/>
      <c r="AF35" s="205"/>
      <c r="AG35" s="205"/>
      <c r="AH35" s="205"/>
      <c r="AI35" s="205"/>
      <c r="AJ35" s="66"/>
      <c r="AK35" s="67">
        <f>COUNT(AK4:AK31)</f>
        <v>28</v>
      </c>
      <c r="AL35" s="194" t="s">
        <v>415</v>
      </c>
      <c r="AM35" s="67"/>
      <c r="AN35" s="67"/>
      <c r="AO35" s="67"/>
      <c r="AP35" s="67"/>
      <c r="AS35" s="66"/>
      <c r="AT35" s="66"/>
      <c r="AU35" s="68"/>
    </row>
    <row r="36" spans="1:48" s="64" customFormat="1" x14ac:dyDescent="0.35">
      <c r="A36" s="62" t="s">
        <v>70</v>
      </c>
      <c r="B36" s="62">
        <v>3</v>
      </c>
      <c r="C36" s="62"/>
      <c r="D36" s="62"/>
      <c r="E36" s="62"/>
      <c r="F36" s="64">
        <f>COUNTIFS('NAAs by State'!$C$4:$C$67,A36,'NAAs by State'!$F$4:$F$67,"Marginal")-I36</f>
        <v>0</v>
      </c>
      <c r="G36" s="64">
        <f t="shared" ref="G36:G58" si="51">F36*100</f>
        <v>0</v>
      </c>
      <c r="H36" s="65">
        <f t="shared" ref="H36:H58" si="52">G36*$H$1</f>
        <v>0</v>
      </c>
      <c r="I36" s="64">
        <f>COUNTIFS('NAAs by State'!$C$4:$C$67,A36,'NAAs by State'!$F$4:$F$67,"Marginal",'NAAs by State'!$H$4:$H$67,"Moderate")</f>
        <v>0</v>
      </c>
      <c r="J36" s="64">
        <f t="shared" ref="J36:J58" si="53">I36*5100</f>
        <v>0</v>
      </c>
      <c r="K36" s="65">
        <f t="shared" ref="K36:K54" si="54">J36*63.87</f>
        <v>0</v>
      </c>
      <c r="L36" s="64">
        <f>COUNTIFS('NAAs by State'!$C$4:$C$67,A36,'NAAs by State'!$F$4:$F$67,"Moderate")</f>
        <v>0</v>
      </c>
      <c r="M36" s="64">
        <f t="shared" ref="M36:M58" si="55">L36*5000</f>
        <v>0</v>
      </c>
      <c r="N36" s="65">
        <f t="shared" ref="N36:N54" si="56">M36*63.87</f>
        <v>0</v>
      </c>
      <c r="O36" s="64">
        <f>COUNTIFS('NAAs by State'!$C$4:$C$67,A36,'NAAs by State'!$F$4:$F$67,"Serious")</f>
        <v>0</v>
      </c>
      <c r="P36" s="64">
        <f t="shared" ref="P36:P58" si="57">O36*5000</f>
        <v>0</v>
      </c>
      <c r="Q36" s="65">
        <f t="shared" ref="Q36:Q54" si="58">P36*63.87</f>
        <v>0</v>
      </c>
      <c r="R36" s="64">
        <f>COUNTIFS('NAAs by State'!$C$4:$C$67,A36,'NAAs by State'!$F$4:$F$67,"Severe 15")</f>
        <v>0</v>
      </c>
      <c r="S36" s="64">
        <f t="shared" ref="S36:S58" si="59">R36*5000</f>
        <v>0</v>
      </c>
      <c r="T36" s="65">
        <f t="shared" ref="T36:T54" si="60">S36*63.87</f>
        <v>0</v>
      </c>
      <c r="U36" s="64">
        <f>COUNTIFS('NAAs by State'!$C$4:$C$67,A36,'NAAs by State'!$F$4:$F$67,"Severe 17")</f>
        <v>0</v>
      </c>
      <c r="V36" s="64">
        <f t="shared" ref="V36:V58" si="61">U36*5000</f>
        <v>0</v>
      </c>
      <c r="W36" s="65">
        <f t="shared" ref="W36:W54" si="62">V36*63.87</f>
        <v>0</v>
      </c>
      <c r="X36" s="64">
        <f>COUNTIFS('NAAs by State'!$C$4:$C$67,A36,'NAAs by State'!$F$4:$F$67,"Extreme")</f>
        <v>0</v>
      </c>
      <c r="Y36" s="64">
        <f t="shared" ref="Y36:Y58" si="63">X36*5000</f>
        <v>0</v>
      </c>
      <c r="Z36" s="65">
        <f t="shared" ref="Z36:Z54" si="64">Y36*63.87</f>
        <v>0</v>
      </c>
      <c r="AA36" s="205"/>
      <c r="AB36" s="205"/>
      <c r="AC36" s="205"/>
      <c r="AD36" s="231">
        <f>COUNTIF('Table 6 and 7'!$A$5:$E$8,A36)</f>
        <v>0</v>
      </c>
      <c r="AE36" s="64">
        <f t="shared" ref="AE36:AE58" si="65">AD36*100</f>
        <v>0</v>
      </c>
      <c r="AF36" s="205">
        <f t="shared" ref="AF36:AF58" si="66">AE36*$H$1</f>
        <v>0</v>
      </c>
      <c r="AG36" s="231">
        <f>COUNTIF('Table 6 and 7'!$A$16:$E$23,A36)</f>
        <v>0</v>
      </c>
      <c r="AH36" s="64">
        <f t="shared" ref="AH36:AH58" si="67">AG36*100</f>
        <v>0</v>
      </c>
      <c r="AI36" s="205">
        <f t="shared" ref="AI36:AI58" si="68">AH36*$H$1</f>
        <v>0</v>
      </c>
      <c r="AJ36" s="66">
        <f t="shared" ref="AJ36:AJ58" si="69">SUM(E36,H36,K36,N36,Q36,T36,W36,Z36,AC36, AF36,AI36)</f>
        <v>0</v>
      </c>
      <c r="AK36" s="232"/>
      <c r="AL36" s="67" t="str">
        <f t="shared" ref="AL36:AL58" si="70">A36</f>
        <v>WV</v>
      </c>
      <c r="AM36" s="67"/>
      <c r="AN36" s="67">
        <f t="shared" ref="AN36:AN58" si="71">B36</f>
        <v>3</v>
      </c>
      <c r="AO36" s="67">
        <f t="shared" ref="AO36:AO58" si="72">F36+I36+L36+O36+R36+U36+X36+C36+AA36+AD36+AG36</f>
        <v>0</v>
      </c>
      <c r="AP36" s="67">
        <f t="shared" ref="AP36:AP58" si="73">AK36/2</f>
        <v>0</v>
      </c>
      <c r="AQ36" s="64">
        <f t="shared" ref="AQ36:AQ58" si="74">AP36/2</f>
        <v>0</v>
      </c>
      <c r="AR36" s="64">
        <f t="shared" ref="AR36:AR58" si="75">AP36/2</f>
        <v>0</v>
      </c>
      <c r="AS36" s="66">
        <f t="shared" ref="AS36:AS58" si="76">AJ36/2</f>
        <v>0</v>
      </c>
      <c r="AT36" s="66">
        <f t="shared" ref="AT36:AT58" si="77">AS36/2</f>
        <v>0</v>
      </c>
      <c r="AU36" s="68">
        <f t="shared" ref="AU36:AU58" si="78">AS36/2</f>
        <v>0</v>
      </c>
    </row>
    <row r="37" spans="1:48" s="64" customFormat="1" x14ac:dyDescent="0.35">
      <c r="A37" s="62" t="s">
        <v>28</v>
      </c>
      <c r="B37" s="62">
        <v>4</v>
      </c>
      <c r="C37" s="62"/>
      <c r="D37" s="62"/>
      <c r="E37" s="62"/>
      <c r="F37" s="64">
        <f>COUNTIFS('NAAs by State'!$C$4:$C$67,A37,'NAAs by State'!$F$4:$F$67,"Marginal")-I37</f>
        <v>0</v>
      </c>
      <c r="G37" s="64">
        <f t="shared" si="51"/>
        <v>0</v>
      </c>
      <c r="H37" s="65">
        <f t="shared" si="52"/>
        <v>0</v>
      </c>
      <c r="I37" s="64">
        <f>COUNTIFS('NAAs by State'!$C$4:$C$67,A37,'NAAs by State'!$F$4:$F$67,"Marginal",'NAAs by State'!$H$4:$H$67,"Moderate")</f>
        <v>0</v>
      </c>
      <c r="J37" s="64">
        <f t="shared" si="53"/>
        <v>0</v>
      </c>
      <c r="K37" s="65">
        <f t="shared" si="54"/>
        <v>0</v>
      </c>
      <c r="L37" s="64">
        <f>COUNTIFS('NAAs by State'!$C$4:$C$67,A37,'NAAs by State'!$F$4:$F$67,"Moderate")</f>
        <v>0</v>
      </c>
      <c r="M37" s="64">
        <f t="shared" si="55"/>
        <v>0</v>
      </c>
      <c r="N37" s="65">
        <f t="shared" si="56"/>
        <v>0</v>
      </c>
      <c r="O37" s="64">
        <f>COUNTIFS('NAAs by State'!$C$4:$C$67,A37,'NAAs by State'!$F$4:$F$67,"Serious")</f>
        <v>0</v>
      </c>
      <c r="P37" s="64">
        <f t="shared" si="57"/>
        <v>0</v>
      </c>
      <c r="Q37" s="65">
        <f t="shared" si="58"/>
        <v>0</v>
      </c>
      <c r="R37" s="64">
        <f>COUNTIFS('NAAs by State'!$C$4:$C$67,A37,'NAAs by State'!$F$4:$F$67,"Severe 15")</f>
        <v>0</v>
      </c>
      <c r="S37" s="64">
        <f t="shared" si="59"/>
        <v>0</v>
      </c>
      <c r="T37" s="65">
        <f t="shared" si="60"/>
        <v>0</v>
      </c>
      <c r="U37" s="64">
        <f>COUNTIFS('NAAs by State'!$C$4:$C$67,A37,'NAAs by State'!$F$4:$F$67,"Severe 17")</f>
        <v>0</v>
      </c>
      <c r="V37" s="64">
        <f t="shared" si="61"/>
        <v>0</v>
      </c>
      <c r="W37" s="65">
        <f t="shared" si="62"/>
        <v>0</v>
      </c>
      <c r="X37" s="64">
        <f>COUNTIFS('NAAs by State'!$C$4:$C$67,A37,'NAAs by State'!$F$4:$F$67,"Extreme")</f>
        <v>0</v>
      </c>
      <c r="Y37" s="64">
        <f t="shared" si="63"/>
        <v>0</v>
      </c>
      <c r="Z37" s="65">
        <f t="shared" si="64"/>
        <v>0</v>
      </c>
      <c r="AA37" s="205"/>
      <c r="AB37" s="205"/>
      <c r="AC37" s="205"/>
      <c r="AD37" s="231">
        <f>COUNTIF('Table 6 and 7'!$A$5:$E$8,A37)</f>
        <v>0</v>
      </c>
      <c r="AE37" s="64">
        <f t="shared" si="65"/>
        <v>0</v>
      </c>
      <c r="AF37" s="205">
        <f t="shared" si="66"/>
        <v>0</v>
      </c>
      <c r="AG37" s="231">
        <f>COUNTIF('Table 6 and 7'!$A$16:$E$23,A37)</f>
        <v>0</v>
      </c>
      <c r="AH37" s="64">
        <f t="shared" si="67"/>
        <v>0</v>
      </c>
      <c r="AI37" s="205">
        <f t="shared" si="68"/>
        <v>0</v>
      </c>
      <c r="AJ37" s="66">
        <f t="shared" si="69"/>
        <v>0</v>
      </c>
      <c r="AK37" s="67"/>
      <c r="AL37" s="67" t="str">
        <f t="shared" si="70"/>
        <v>AL</v>
      </c>
      <c r="AM37" s="67"/>
      <c r="AN37" s="67">
        <f t="shared" si="71"/>
        <v>4</v>
      </c>
      <c r="AO37" s="67">
        <f t="shared" si="72"/>
        <v>0</v>
      </c>
      <c r="AP37" s="67">
        <f t="shared" si="73"/>
        <v>0</v>
      </c>
      <c r="AQ37" s="64">
        <f t="shared" si="74"/>
        <v>0</v>
      </c>
      <c r="AR37" s="64">
        <f t="shared" si="75"/>
        <v>0</v>
      </c>
      <c r="AS37" s="66">
        <f t="shared" si="76"/>
        <v>0</v>
      </c>
      <c r="AT37" s="66">
        <f t="shared" si="77"/>
        <v>0</v>
      </c>
      <c r="AU37" s="68">
        <f t="shared" si="78"/>
        <v>0</v>
      </c>
    </row>
    <row r="38" spans="1:48" s="64" customFormat="1" x14ac:dyDescent="0.35">
      <c r="A38" s="62" t="s">
        <v>36</v>
      </c>
      <c r="B38" s="62">
        <v>4</v>
      </c>
      <c r="C38" s="62"/>
      <c r="D38" s="62"/>
      <c r="E38" s="62"/>
      <c r="F38" s="64">
        <f>COUNTIFS('NAAs by State'!$C$4:$C$67,A38,'NAAs by State'!$F$4:$F$67,"Marginal")-I38</f>
        <v>0</v>
      </c>
      <c r="G38" s="64">
        <f t="shared" si="51"/>
        <v>0</v>
      </c>
      <c r="H38" s="65">
        <f t="shared" si="52"/>
        <v>0</v>
      </c>
      <c r="I38" s="64">
        <f>COUNTIFS('NAAs by State'!$C$4:$C$67,A38,'NAAs by State'!$F$4:$F$67,"Marginal",'NAAs by State'!$H$4:$H$67,"Moderate")</f>
        <v>0</v>
      </c>
      <c r="J38" s="64">
        <f t="shared" si="53"/>
        <v>0</v>
      </c>
      <c r="K38" s="65">
        <f t="shared" si="54"/>
        <v>0</v>
      </c>
      <c r="L38" s="64">
        <f>COUNTIFS('NAAs by State'!$C$4:$C$67,A38,'NAAs by State'!$F$4:$F$67,"Moderate")</f>
        <v>0</v>
      </c>
      <c r="M38" s="64">
        <f t="shared" si="55"/>
        <v>0</v>
      </c>
      <c r="N38" s="65">
        <f t="shared" si="56"/>
        <v>0</v>
      </c>
      <c r="O38" s="64">
        <f>COUNTIFS('NAAs by State'!$C$4:$C$67,A38,'NAAs by State'!$F$4:$F$67,"Serious")</f>
        <v>0</v>
      </c>
      <c r="P38" s="64">
        <f t="shared" si="57"/>
        <v>0</v>
      </c>
      <c r="Q38" s="65">
        <f t="shared" si="58"/>
        <v>0</v>
      </c>
      <c r="R38" s="64">
        <f>COUNTIFS('NAAs by State'!$C$4:$C$67,A38,'NAAs by State'!$F$4:$F$67,"Severe 15")</f>
        <v>0</v>
      </c>
      <c r="S38" s="64">
        <f t="shared" si="59"/>
        <v>0</v>
      </c>
      <c r="T38" s="65">
        <f t="shared" si="60"/>
        <v>0</v>
      </c>
      <c r="U38" s="64">
        <f>COUNTIFS('NAAs by State'!$C$4:$C$67,A38,'NAAs by State'!$F$4:$F$67,"Severe 17")</f>
        <v>0</v>
      </c>
      <c r="V38" s="64">
        <f t="shared" si="61"/>
        <v>0</v>
      </c>
      <c r="W38" s="65">
        <f t="shared" si="62"/>
        <v>0</v>
      </c>
      <c r="X38" s="64">
        <f>COUNTIFS('NAAs by State'!$C$4:$C$67,A38,'NAAs by State'!$F$4:$F$67,"Extreme")</f>
        <v>0</v>
      </c>
      <c r="Y38" s="64">
        <f t="shared" si="63"/>
        <v>0</v>
      </c>
      <c r="Z38" s="65">
        <f t="shared" si="64"/>
        <v>0</v>
      </c>
      <c r="AA38" s="205"/>
      <c r="AB38" s="205"/>
      <c r="AC38" s="205"/>
      <c r="AD38" s="231">
        <f>COUNTIF('Table 6 and 7'!$A$5:$E$8,A38)</f>
        <v>0</v>
      </c>
      <c r="AE38" s="64">
        <f t="shared" si="65"/>
        <v>0</v>
      </c>
      <c r="AF38" s="205">
        <f t="shared" si="66"/>
        <v>0</v>
      </c>
      <c r="AG38" s="231">
        <f>COUNTIF('Table 6 and 7'!$A$16:$E$23,A38)</f>
        <v>0</v>
      </c>
      <c r="AH38" s="64">
        <f t="shared" si="67"/>
        <v>0</v>
      </c>
      <c r="AI38" s="205">
        <f t="shared" si="68"/>
        <v>0</v>
      </c>
      <c r="AJ38" s="66">
        <f t="shared" si="69"/>
        <v>0</v>
      </c>
      <c r="AK38" s="67"/>
      <c r="AL38" s="67" t="str">
        <f t="shared" si="70"/>
        <v>FL</v>
      </c>
      <c r="AM38" s="67"/>
      <c r="AN38" s="67">
        <f t="shared" si="71"/>
        <v>4</v>
      </c>
      <c r="AO38" s="67">
        <f t="shared" si="72"/>
        <v>0</v>
      </c>
      <c r="AP38" s="67">
        <f t="shared" si="73"/>
        <v>0</v>
      </c>
      <c r="AQ38" s="64">
        <f t="shared" si="74"/>
        <v>0</v>
      </c>
      <c r="AR38" s="64">
        <f t="shared" si="75"/>
        <v>0</v>
      </c>
      <c r="AS38" s="66">
        <f t="shared" si="76"/>
        <v>0</v>
      </c>
      <c r="AT38" s="66">
        <f t="shared" si="77"/>
        <v>0</v>
      </c>
      <c r="AU38" s="68">
        <f t="shared" si="78"/>
        <v>0</v>
      </c>
    </row>
    <row r="39" spans="1:48" s="64" customFormat="1" x14ac:dyDescent="0.35">
      <c r="A39" s="69" t="s">
        <v>51</v>
      </c>
      <c r="B39" s="62">
        <v>4</v>
      </c>
      <c r="C39" s="62"/>
      <c r="D39" s="62"/>
      <c r="E39" s="62"/>
      <c r="F39" s="64">
        <f>COUNTIFS('NAAs by State'!$C$4:$C$67,A39,'NAAs by State'!$F$4:$F$67,"Marginal")-I39</f>
        <v>0</v>
      </c>
      <c r="G39" s="64">
        <f t="shared" si="51"/>
        <v>0</v>
      </c>
      <c r="H39" s="65">
        <f t="shared" si="52"/>
        <v>0</v>
      </c>
      <c r="I39" s="64">
        <f>COUNTIFS('NAAs by State'!$C$4:$C$67,A39,'NAAs by State'!$F$4:$F$67,"Marginal",'NAAs by State'!$H$4:$H$67,"Moderate")</f>
        <v>0</v>
      </c>
      <c r="J39" s="64">
        <f t="shared" si="53"/>
        <v>0</v>
      </c>
      <c r="K39" s="65">
        <f t="shared" si="54"/>
        <v>0</v>
      </c>
      <c r="L39" s="64">
        <f>COUNTIFS('NAAs by State'!$C$4:$C$67,A39,'NAAs by State'!$F$4:$F$67,"Moderate")</f>
        <v>0</v>
      </c>
      <c r="M39" s="64">
        <f t="shared" si="55"/>
        <v>0</v>
      </c>
      <c r="N39" s="65">
        <f t="shared" si="56"/>
        <v>0</v>
      </c>
      <c r="O39" s="64">
        <f>COUNTIFS('NAAs by State'!$C$4:$C$67,A39,'NAAs by State'!$F$4:$F$67,"Serious")</f>
        <v>0</v>
      </c>
      <c r="P39" s="64">
        <f t="shared" si="57"/>
        <v>0</v>
      </c>
      <c r="Q39" s="65">
        <f t="shared" si="58"/>
        <v>0</v>
      </c>
      <c r="R39" s="64">
        <f>COUNTIFS('NAAs by State'!$C$4:$C$67,A39,'NAAs by State'!$F$4:$F$67,"Severe 15")</f>
        <v>0</v>
      </c>
      <c r="S39" s="64">
        <f t="shared" si="59"/>
        <v>0</v>
      </c>
      <c r="T39" s="65">
        <f t="shared" si="60"/>
        <v>0</v>
      </c>
      <c r="U39" s="64">
        <f>COUNTIFS('NAAs by State'!$C$4:$C$67,A39,'NAAs by State'!$F$4:$F$67,"Severe 17")</f>
        <v>0</v>
      </c>
      <c r="V39" s="64">
        <f t="shared" si="61"/>
        <v>0</v>
      </c>
      <c r="W39" s="65">
        <f t="shared" si="62"/>
        <v>0</v>
      </c>
      <c r="X39" s="64">
        <f>COUNTIFS('NAAs by State'!$C$4:$C$67,A39,'NAAs by State'!$F$4:$F$67,"Extreme")</f>
        <v>0</v>
      </c>
      <c r="Y39" s="64">
        <f t="shared" si="63"/>
        <v>0</v>
      </c>
      <c r="Z39" s="65">
        <f t="shared" si="64"/>
        <v>0</v>
      </c>
      <c r="AA39" s="205"/>
      <c r="AB39" s="205"/>
      <c r="AC39" s="205"/>
      <c r="AD39" s="231">
        <f>COUNTIF('Table 6 and 7'!$A$5:$E$8,A39)</f>
        <v>0</v>
      </c>
      <c r="AE39" s="64">
        <f t="shared" si="65"/>
        <v>0</v>
      </c>
      <c r="AF39" s="205">
        <f t="shared" si="66"/>
        <v>0</v>
      </c>
      <c r="AG39" s="231">
        <f>COUNTIF('Table 6 and 7'!$A$16:$E$23,A39)</f>
        <v>0</v>
      </c>
      <c r="AH39" s="64">
        <f t="shared" si="67"/>
        <v>0</v>
      </c>
      <c r="AI39" s="205">
        <f t="shared" si="68"/>
        <v>0</v>
      </c>
      <c r="AJ39" s="66">
        <f t="shared" si="69"/>
        <v>0</v>
      </c>
      <c r="AK39" s="67"/>
      <c r="AL39" s="67" t="str">
        <f t="shared" si="70"/>
        <v>MS</v>
      </c>
      <c r="AM39" s="67"/>
      <c r="AN39" s="67">
        <f t="shared" si="71"/>
        <v>4</v>
      </c>
      <c r="AO39" s="67">
        <f t="shared" si="72"/>
        <v>0</v>
      </c>
      <c r="AP39" s="67">
        <f t="shared" si="73"/>
        <v>0</v>
      </c>
      <c r="AQ39" s="64">
        <f t="shared" si="74"/>
        <v>0</v>
      </c>
      <c r="AR39" s="64">
        <f t="shared" si="75"/>
        <v>0</v>
      </c>
      <c r="AS39" s="66">
        <f t="shared" si="76"/>
        <v>0</v>
      </c>
      <c r="AT39" s="66">
        <f t="shared" si="77"/>
        <v>0</v>
      </c>
      <c r="AU39" s="68">
        <f t="shared" si="78"/>
        <v>0</v>
      </c>
    </row>
    <row r="40" spans="1:48" s="64" customFormat="1" x14ac:dyDescent="0.35">
      <c r="A40" s="62" t="s">
        <v>52</v>
      </c>
      <c r="B40" s="62">
        <v>4</v>
      </c>
      <c r="C40" s="62"/>
      <c r="D40" s="62"/>
      <c r="E40" s="62"/>
      <c r="F40" s="64">
        <f>COUNTIFS('NAAs by State'!$C$4:$C$67,A40,'NAAs by State'!$F$4:$F$67,"Marginal")-I40</f>
        <v>0</v>
      </c>
      <c r="G40" s="64">
        <f t="shared" si="51"/>
        <v>0</v>
      </c>
      <c r="H40" s="65">
        <f t="shared" si="52"/>
        <v>0</v>
      </c>
      <c r="I40" s="64">
        <f>COUNTIFS('NAAs by State'!$C$4:$C$67,A40,'NAAs by State'!$F$4:$F$67,"Marginal",'NAAs by State'!$H$4:$H$67,"Moderate")</f>
        <v>0</v>
      </c>
      <c r="J40" s="64">
        <f t="shared" si="53"/>
        <v>0</v>
      </c>
      <c r="K40" s="65">
        <f t="shared" si="54"/>
        <v>0</v>
      </c>
      <c r="L40" s="64">
        <f>COUNTIFS('NAAs by State'!$C$4:$C$67,A40,'NAAs by State'!$F$4:$F$67,"Moderate")</f>
        <v>0</v>
      </c>
      <c r="M40" s="64">
        <f t="shared" si="55"/>
        <v>0</v>
      </c>
      <c r="N40" s="65">
        <f t="shared" si="56"/>
        <v>0</v>
      </c>
      <c r="O40" s="64">
        <f>COUNTIFS('NAAs by State'!$C$4:$C$67,A40,'NAAs by State'!$F$4:$F$67,"Serious")</f>
        <v>0</v>
      </c>
      <c r="P40" s="64">
        <f t="shared" si="57"/>
        <v>0</v>
      </c>
      <c r="Q40" s="65">
        <f t="shared" si="58"/>
        <v>0</v>
      </c>
      <c r="R40" s="64">
        <f>COUNTIFS('NAAs by State'!$C$4:$C$67,A40,'NAAs by State'!$F$4:$F$67,"Severe 15")</f>
        <v>0</v>
      </c>
      <c r="S40" s="64">
        <f t="shared" si="59"/>
        <v>0</v>
      </c>
      <c r="T40" s="65">
        <f t="shared" si="60"/>
        <v>0</v>
      </c>
      <c r="U40" s="64">
        <f>COUNTIFS('NAAs by State'!$C$4:$C$67,A40,'NAAs by State'!$F$4:$F$67,"Severe 17")</f>
        <v>0</v>
      </c>
      <c r="V40" s="64">
        <f t="shared" si="61"/>
        <v>0</v>
      </c>
      <c r="W40" s="65">
        <f t="shared" si="62"/>
        <v>0</v>
      </c>
      <c r="X40" s="64">
        <f>COUNTIFS('NAAs by State'!$C$4:$C$67,A40,'NAAs by State'!$F$4:$F$67,"Extreme")</f>
        <v>0</v>
      </c>
      <c r="Y40" s="64">
        <f t="shared" si="63"/>
        <v>0</v>
      </c>
      <c r="Z40" s="65">
        <f t="shared" si="64"/>
        <v>0</v>
      </c>
      <c r="AA40" s="205"/>
      <c r="AB40" s="205"/>
      <c r="AC40" s="205"/>
      <c r="AD40" s="231">
        <f>COUNTIF('Table 6 and 7'!$A$5:$E$8,A40)</f>
        <v>1</v>
      </c>
      <c r="AE40" s="64">
        <f t="shared" si="65"/>
        <v>100</v>
      </c>
      <c r="AF40" s="205">
        <f t="shared" si="66"/>
        <v>7350</v>
      </c>
      <c r="AG40" s="231">
        <f>COUNTIF('Table 6 and 7'!$A$16:$E$23,A40)</f>
        <v>1</v>
      </c>
      <c r="AH40" s="64">
        <f t="shared" si="67"/>
        <v>100</v>
      </c>
      <c r="AI40" s="205">
        <f t="shared" si="68"/>
        <v>7350</v>
      </c>
      <c r="AJ40" s="66">
        <f t="shared" si="69"/>
        <v>14700</v>
      </c>
      <c r="AK40" s="67">
        <f t="shared" ref="AK40:AK42" si="79">SUM(D40,G40,J40,M40,P40,S40,V40,Y40,AB40,AE40,AH40)</f>
        <v>200</v>
      </c>
      <c r="AL40" s="67" t="str">
        <f t="shared" si="70"/>
        <v>NC</v>
      </c>
      <c r="AM40" s="197" t="str">
        <f>VLOOKUP(AL40,State_abrv,2,FALSE)</f>
        <v xml:space="preserve"> North Carolina</v>
      </c>
      <c r="AN40" s="197">
        <f t="shared" si="71"/>
        <v>4</v>
      </c>
      <c r="AO40" s="197">
        <f t="shared" si="72"/>
        <v>2</v>
      </c>
      <c r="AP40" s="197">
        <f t="shared" si="73"/>
        <v>100</v>
      </c>
      <c r="AQ40" s="253">
        <f t="shared" si="74"/>
        <v>50</v>
      </c>
      <c r="AR40" s="253">
        <f t="shared" si="75"/>
        <v>50</v>
      </c>
      <c r="AS40" s="66">
        <f t="shared" si="76"/>
        <v>7350</v>
      </c>
      <c r="AT40" s="66">
        <f t="shared" si="77"/>
        <v>3675</v>
      </c>
      <c r="AU40" s="68">
        <f t="shared" si="78"/>
        <v>3675</v>
      </c>
    </row>
    <row r="41" spans="1:48" s="64" customFormat="1" x14ac:dyDescent="0.35">
      <c r="A41" s="62" t="s">
        <v>62</v>
      </c>
      <c r="B41" s="62">
        <v>4</v>
      </c>
      <c r="C41" s="62"/>
      <c r="D41" s="62"/>
      <c r="E41" s="62"/>
      <c r="F41" s="64">
        <f>COUNTIFS('NAAs by State'!$C$4:$C$67,A41,'NAAs by State'!$F$4:$F$67,"Marginal")-I41</f>
        <v>0</v>
      </c>
      <c r="G41" s="64">
        <f t="shared" si="51"/>
        <v>0</v>
      </c>
      <c r="H41" s="65">
        <f t="shared" si="52"/>
        <v>0</v>
      </c>
      <c r="I41" s="64">
        <f>COUNTIFS('NAAs by State'!$C$4:$C$67,A41,'NAAs by State'!$F$4:$F$67,"Marginal",'NAAs by State'!$H$4:$H$67,"Moderate")</f>
        <v>0</v>
      </c>
      <c r="J41" s="64">
        <f t="shared" si="53"/>
        <v>0</v>
      </c>
      <c r="K41" s="65">
        <f t="shared" si="54"/>
        <v>0</v>
      </c>
      <c r="L41" s="64">
        <f>COUNTIFS('NAAs by State'!$C$4:$C$67,A41,'NAAs by State'!$F$4:$F$67,"Moderate")</f>
        <v>0</v>
      </c>
      <c r="M41" s="64">
        <f t="shared" si="55"/>
        <v>0</v>
      </c>
      <c r="N41" s="65">
        <f t="shared" si="56"/>
        <v>0</v>
      </c>
      <c r="O41" s="64">
        <f>COUNTIFS('NAAs by State'!$C$4:$C$67,A41,'NAAs by State'!$F$4:$F$67,"Serious")</f>
        <v>0</v>
      </c>
      <c r="P41" s="64">
        <f t="shared" si="57"/>
        <v>0</v>
      </c>
      <c r="Q41" s="65">
        <f t="shared" si="58"/>
        <v>0</v>
      </c>
      <c r="R41" s="64">
        <f>COUNTIFS('NAAs by State'!$C$4:$C$67,A41,'NAAs by State'!$F$4:$F$67,"Severe 15")</f>
        <v>0</v>
      </c>
      <c r="S41" s="64">
        <f t="shared" si="59"/>
        <v>0</v>
      </c>
      <c r="T41" s="65">
        <f t="shared" si="60"/>
        <v>0</v>
      </c>
      <c r="U41" s="64">
        <f>COUNTIFS('NAAs by State'!$C$4:$C$67,A41,'NAAs by State'!$F$4:$F$67,"Severe 17")</f>
        <v>0</v>
      </c>
      <c r="V41" s="64">
        <f t="shared" si="61"/>
        <v>0</v>
      </c>
      <c r="W41" s="65">
        <f t="shared" si="62"/>
        <v>0</v>
      </c>
      <c r="X41" s="64">
        <f>COUNTIFS('NAAs by State'!$C$4:$C$67,A41,'NAAs by State'!$F$4:$F$67,"Extreme")</f>
        <v>0</v>
      </c>
      <c r="Y41" s="64">
        <f t="shared" si="63"/>
        <v>0</v>
      </c>
      <c r="Z41" s="65">
        <f t="shared" si="64"/>
        <v>0</v>
      </c>
      <c r="AA41" s="205"/>
      <c r="AB41" s="205"/>
      <c r="AC41" s="205"/>
      <c r="AD41" s="231">
        <f>COUNTIF('Table 6 and 7'!$A$5:$E$8,A41)</f>
        <v>1</v>
      </c>
      <c r="AE41" s="64">
        <f t="shared" si="65"/>
        <v>100</v>
      </c>
      <c r="AF41" s="205">
        <f t="shared" si="66"/>
        <v>7350</v>
      </c>
      <c r="AG41" s="231">
        <f>COUNTIF('Table 6 and 7'!$A$16:$E$23,A41)</f>
        <v>0</v>
      </c>
      <c r="AH41" s="64">
        <f t="shared" si="67"/>
        <v>0</v>
      </c>
      <c r="AI41" s="205">
        <f t="shared" si="68"/>
        <v>0</v>
      </c>
      <c r="AJ41" s="66">
        <f t="shared" si="69"/>
        <v>7350</v>
      </c>
      <c r="AK41" s="67">
        <f t="shared" si="79"/>
        <v>100</v>
      </c>
      <c r="AL41" s="67" t="str">
        <f t="shared" si="70"/>
        <v>SC</v>
      </c>
      <c r="AM41" s="197" t="str">
        <f>VLOOKUP(AL41,State_abrv,2,FALSE)</f>
        <v xml:space="preserve"> South Carolina</v>
      </c>
      <c r="AN41" s="197">
        <f t="shared" si="71"/>
        <v>4</v>
      </c>
      <c r="AO41" s="197">
        <f t="shared" si="72"/>
        <v>1</v>
      </c>
      <c r="AP41" s="197">
        <f t="shared" si="73"/>
        <v>50</v>
      </c>
      <c r="AQ41" s="253">
        <f t="shared" si="74"/>
        <v>25</v>
      </c>
      <c r="AR41" s="253">
        <f t="shared" si="75"/>
        <v>25</v>
      </c>
      <c r="AS41" s="66">
        <f t="shared" si="76"/>
        <v>3675</v>
      </c>
      <c r="AT41" s="66">
        <f t="shared" si="77"/>
        <v>1837.5</v>
      </c>
      <c r="AU41" s="68">
        <f t="shared" si="78"/>
        <v>1837.5</v>
      </c>
      <c r="AV41" s="93"/>
    </row>
    <row r="42" spans="1:48" s="93" customFormat="1" x14ac:dyDescent="0.35">
      <c r="A42" s="62" t="s">
        <v>63</v>
      </c>
      <c r="B42" s="62">
        <v>4</v>
      </c>
      <c r="C42" s="62"/>
      <c r="D42" s="62"/>
      <c r="E42" s="62"/>
      <c r="F42" s="64">
        <f>COUNTIFS('NAAs by State'!$C$4:$C$67,A42,'NAAs by State'!$F$4:$F$67,"Marginal")-I42</f>
        <v>0</v>
      </c>
      <c r="G42" s="64">
        <f t="shared" si="51"/>
        <v>0</v>
      </c>
      <c r="H42" s="65">
        <f t="shared" si="52"/>
        <v>0</v>
      </c>
      <c r="I42" s="64">
        <f>COUNTIFS('NAAs by State'!$C$4:$C$67,A42,'NAAs by State'!$F$4:$F$67,"Marginal",'NAAs by State'!$H$4:$H$67,"Moderate")</f>
        <v>0</v>
      </c>
      <c r="J42" s="64">
        <f t="shared" si="53"/>
        <v>0</v>
      </c>
      <c r="K42" s="65">
        <f t="shared" si="54"/>
        <v>0</v>
      </c>
      <c r="L42" s="64">
        <f>COUNTIFS('NAAs by State'!$C$4:$C$67,A42,'NAAs by State'!$F$4:$F$67,"Moderate")</f>
        <v>0</v>
      </c>
      <c r="M42" s="64">
        <f t="shared" si="55"/>
        <v>0</v>
      </c>
      <c r="N42" s="65">
        <f t="shared" si="56"/>
        <v>0</v>
      </c>
      <c r="O42" s="64">
        <f>COUNTIFS('NAAs by State'!$C$4:$C$67,A42,'NAAs by State'!$F$4:$F$67,"Serious")</f>
        <v>0</v>
      </c>
      <c r="P42" s="64">
        <f t="shared" si="57"/>
        <v>0</v>
      </c>
      <c r="Q42" s="65">
        <f t="shared" si="58"/>
        <v>0</v>
      </c>
      <c r="R42" s="64">
        <f>COUNTIFS('NAAs by State'!$C$4:$C$67,A42,'NAAs by State'!$F$4:$F$67,"Severe 15")</f>
        <v>0</v>
      </c>
      <c r="S42" s="64">
        <f t="shared" si="59"/>
        <v>0</v>
      </c>
      <c r="T42" s="65">
        <f t="shared" si="60"/>
        <v>0</v>
      </c>
      <c r="U42" s="64">
        <f>COUNTIFS('NAAs by State'!$C$4:$C$67,A42,'NAAs by State'!$F$4:$F$67,"Severe 17")</f>
        <v>0</v>
      </c>
      <c r="V42" s="64">
        <f t="shared" si="61"/>
        <v>0</v>
      </c>
      <c r="W42" s="65">
        <f t="shared" si="62"/>
        <v>0</v>
      </c>
      <c r="X42" s="64">
        <f>COUNTIFS('NAAs by State'!$C$4:$C$67,A42,'NAAs by State'!$F$4:$F$67,"Extreme")</f>
        <v>0</v>
      </c>
      <c r="Y42" s="64">
        <f t="shared" si="63"/>
        <v>0</v>
      </c>
      <c r="Z42" s="65">
        <f t="shared" si="64"/>
        <v>0</v>
      </c>
      <c r="AA42" s="205"/>
      <c r="AB42" s="205"/>
      <c r="AC42" s="205"/>
      <c r="AD42" s="231">
        <f>COUNTIF('Table 6 and 7'!$A$5:$E$8,A42)</f>
        <v>1</v>
      </c>
      <c r="AE42" s="64">
        <f t="shared" si="65"/>
        <v>100</v>
      </c>
      <c r="AF42" s="205">
        <f t="shared" si="66"/>
        <v>7350</v>
      </c>
      <c r="AG42" s="231">
        <f>COUNTIF('Table 6 and 7'!$A$16:$E$23,A42)</f>
        <v>0</v>
      </c>
      <c r="AH42" s="64">
        <f t="shared" si="67"/>
        <v>0</v>
      </c>
      <c r="AI42" s="205">
        <f t="shared" si="68"/>
        <v>0</v>
      </c>
      <c r="AJ42" s="66">
        <f t="shared" si="69"/>
        <v>7350</v>
      </c>
      <c r="AK42" s="67">
        <f t="shared" si="79"/>
        <v>100</v>
      </c>
      <c r="AL42" s="67" t="str">
        <f t="shared" si="70"/>
        <v>TN</v>
      </c>
      <c r="AM42" s="197" t="str">
        <f>VLOOKUP(AL42,State_abrv,2,FALSE)</f>
        <v xml:space="preserve"> Tennessee</v>
      </c>
      <c r="AN42" s="197">
        <f t="shared" si="71"/>
        <v>4</v>
      </c>
      <c r="AO42" s="197">
        <f t="shared" si="72"/>
        <v>1</v>
      </c>
      <c r="AP42" s="197">
        <f t="shared" si="73"/>
        <v>50</v>
      </c>
      <c r="AQ42" s="253">
        <f t="shared" si="74"/>
        <v>25</v>
      </c>
      <c r="AR42" s="253">
        <f t="shared" si="75"/>
        <v>25</v>
      </c>
      <c r="AS42" s="66">
        <f t="shared" si="76"/>
        <v>3675</v>
      </c>
      <c r="AT42" s="66">
        <f t="shared" si="77"/>
        <v>1837.5</v>
      </c>
      <c r="AU42" s="68">
        <f t="shared" si="78"/>
        <v>1837.5</v>
      </c>
      <c r="AV42" s="70"/>
    </row>
    <row r="43" spans="1:48" s="70" customFormat="1" x14ac:dyDescent="0.35">
      <c r="A43" s="62" t="s">
        <v>49</v>
      </c>
      <c r="B43" s="62">
        <v>5</v>
      </c>
      <c r="C43" s="62"/>
      <c r="D43" s="62"/>
      <c r="E43" s="62"/>
      <c r="F43" s="64">
        <f>COUNTIFS('NAAs by State'!$C$4:$C$67,A43,'NAAs by State'!$F$4:$F$67,"Marginal")-I43</f>
        <v>0</v>
      </c>
      <c r="G43" s="64">
        <f t="shared" si="51"/>
        <v>0</v>
      </c>
      <c r="H43" s="65">
        <f t="shared" si="52"/>
        <v>0</v>
      </c>
      <c r="I43" s="64">
        <f>COUNTIFS('NAAs by State'!$C$4:$C$67,A43,'NAAs by State'!$F$4:$F$67,"Marginal",'NAAs by State'!$H$4:$H$67,"Moderate")</f>
        <v>0</v>
      </c>
      <c r="J43" s="64">
        <f t="shared" si="53"/>
        <v>0</v>
      </c>
      <c r="K43" s="65">
        <f t="shared" si="54"/>
        <v>0</v>
      </c>
      <c r="L43" s="64">
        <f>COUNTIFS('NAAs by State'!$C$4:$C$67,A43,'NAAs by State'!$F$4:$F$67,"Moderate")</f>
        <v>0</v>
      </c>
      <c r="M43" s="64">
        <f t="shared" si="55"/>
        <v>0</v>
      </c>
      <c r="N43" s="65">
        <f t="shared" si="56"/>
        <v>0</v>
      </c>
      <c r="O43" s="64">
        <f>COUNTIFS('NAAs by State'!$C$4:$C$67,A43,'NAAs by State'!$F$4:$F$67,"Serious")</f>
        <v>0</v>
      </c>
      <c r="P43" s="64">
        <f t="shared" si="57"/>
        <v>0</v>
      </c>
      <c r="Q43" s="65">
        <f t="shared" si="58"/>
        <v>0</v>
      </c>
      <c r="R43" s="64">
        <f>COUNTIFS('NAAs by State'!$C$4:$C$67,A43,'NAAs by State'!$F$4:$F$67,"Severe 15")</f>
        <v>0</v>
      </c>
      <c r="S43" s="64">
        <f t="shared" si="59"/>
        <v>0</v>
      </c>
      <c r="T43" s="65">
        <f t="shared" si="60"/>
        <v>0</v>
      </c>
      <c r="U43" s="64">
        <f>COUNTIFS('NAAs by State'!$C$4:$C$67,A43,'NAAs by State'!$F$4:$F$67,"Severe 17")</f>
        <v>0</v>
      </c>
      <c r="V43" s="64">
        <f t="shared" si="61"/>
        <v>0</v>
      </c>
      <c r="W43" s="65">
        <f t="shared" si="62"/>
        <v>0</v>
      </c>
      <c r="X43" s="64">
        <f>COUNTIFS('NAAs by State'!$C$4:$C$67,A43,'NAAs by State'!$F$4:$F$67,"Extreme")</f>
        <v>0</v>
      </c>
      <c r="Y43" s="64">
        <f t="shared" si="63"/>
        <v>0</v>
      </c>
      <c r="Z43" s="65">
        <f t="shared" si="64"/>
        <v>0</v>
      </c>
      <c r="AA43" s="205"/>
      <c r="AB43" s="205"/>
      <c r="AC43" s="205"/>
      <c r="AD43" s="231">
        <f>COUNTIF('Table 6 and 7'!$A$5:$E$8,A43)</f>
        <v>0</v>
      </c>
      <c r="AE43" s="64">
        <f t="shared" si="65"/>
        <v>0</v>
      </c>
      <c r="AF43" s="205">
        <f t="shared" si="66"/>
        <v>0</v>
      </c>
      <c r="AG43" s="231">
        <f>COUNTIF('Table 6 and 7'!$A$16:$E$23,A43)</f>
        <v>0</v>
      </c>
      <c r="AH43" s="64">
        <f t="shared" si="67"/>
        <v>0</v>
      </c>
      <c r="AI43" s="205">
        <f t="shared" si="68"/>
        <v>0</v>
      </c>
      <c r="AJ43" s="66">
        <f t="shared" si="69"/>
        <v>0</v>
      </c>
      <c r="AK43" s="67"/>
      <c r="AL43" s="67" t="str">
        <f t="shared" si="70"/>
        <v>MN</v>
      </c>
      <c r="AM43" s="67"/>
      <c r="AN43" s="67">
        <f t="shared" si="71"/>
        <v>5</v>
      </c>
      <c r="AO43" s="67">
        <f t="shared" si="72"/>
        <v>0</v>
      </c>
      <c r="AP43" s="67">
        <f t="shared" si="73"/>
        <v>0</v>
      </c>
      <c r="AQ43" s="64">
        <f t="shared" si="74"/>
        <v>0</v>
      </c>
      <c r="AR43" s="64">
        <f t="shared" si="75"/>
        <v>0</v>
      </c>
      <c r="AS43" s="66">
        <f t="shared" si="76"/>
        <v>0</v>
      </c>
      <c r="AT43" s="66">
        <f t="shared" si="77"/>
        <v>0</v>
      </c>
      <c r="AU43" s="68">
        <f t="shared" si="78"/>
        <v>0</v>
      </c>
      <c r="AV43" s="64"/>
    </row>
    <row r="44" spans="1:48" s="64" customFormat="1" x14ac:dyDescent="0.35">
      <c r="A44" s="62" t="s">
        <v>29</v>
      </c>
      <c r="B44" s="62">
        <v>6</v>
      </c>
      <c r="C44" s="62"/>
      <c r="D44" s="62"/>
      <c r="E44" s="62"/>
      <c r="F44" s="64">
        <f>COUNTIFS('NAAs by State'!$C$4:$C$67,A44,'NAAs by State'!$F$4:$F$67,"Marginal")-I44</f>
        <v>0</v>
      </c>
      <c r="G44" s="64">
        <f t="shared" si="51"/>
        <v>0</v>
      </c>
      <c r="H44" s="65">
        <f t="shared" si="52"/>
        <v>0</v>
      </c>
      <c r="I44" s="64">
        <f>COUNTIFS('NAAs by State'!$C$4:$C$67,A44,'NAAs by State'!$F$4:$F$67,"Marginal",'NAAs by State'!$H$4:$H$67,"Moderate")</f>
        <v>0</v>
      </c>
      <c r="J44" s="64">
        <f t="shared" si="53"/>
        <v>0</v>
      </c>
      <c r="K44" s="65">
        <f t="shared" si="54"/>
        <v>0</v>
      </c>
      <c r="L44" s="64">
        <f>COUNTIFS('NAAs by State'!$C$4:$C$67,A44,'NAAs by State'!$F$4:$F$67,"Moderate")</f>
        <v>0</v>
      </c>
      <c r="M44" s="64">
        <f t="shared" si="55"/>
        <v>0</v>
      </c>
      <c r="N44" s="65">
        <f t="shared" si="56"/>
        <v>0</v>
      </c>
      <c r="O44" s="64">
        <f>COUNTIFS('NAAs by State'!$C$4:$C$67,A44,'NAAs by State'!$F$4:$F$67,"Serious")</f>
        <v>0</v>
      </c>
      <c r="P44" s="64">
        <f t="shared" si="57"/>
        <v>0</v>
      </c>
      <c r="Q44" s="65">
        <f t="shared" si="58"/>
        <v>0</v>
      </c>
      <c r="R44" s="64">
        <f>COUNTIFS('NAAs by State'!$C$4:$C$67,A44,'NAAs by State'!$F$4:$F$67,"Severe 15")</f>
        <v>0</v>
      </c>
      <c r="S44" s="64">
        <f t="shared" si="59"/>
        <v>0</v>
      </c>
      <c r="T44" s="65">
        <f t="shared" si="60"/>
        <v>0</v>
      </c>
      <c r="U44" s="64">
        <f>COUNTIFS('NAAs by State'!$C$4:$C$63,A44,'NAAs by State'!$F$4:$F$63,"Severe 17")</f>
        <v>0</v>
      </c>
      <c r="V44" s="64">
        <f t="shared" si="61"/>
        <v>0</v>
      </c>
      <c r="W44" s="65">
        <f t="shared" si="62"/>
        <v>0</v>
      </c>
      <c r="X44" s="64">
        <f>COUNTIFS('NAAs by State'!$C$4:$C$67,A44,'NAAs by State'!$F$4:$F$67,"Extreme")</f>
        <v>0</v>
      </c>
      <c r="Y44" s="64">
        <f t="shared" si="63"/>
        <v>0</v>
      </c>
      <c r="Z44" s="65">
        <f t="shared" si="64"/>
        <v>0</v>
      </c>
      <c r="AA44" s="205"/>
      <c r="AB44" s="205"/>
      <c r="AC44" s="205"/>
      <c r="AD44" s="231">
        <f>COUNTIF('Table 6 and 7'!$A$5:$E$8,A44)</f>
        <v>0</v>
      </c>
      <c r="AE44" s="64">
        <f t="shared" si="65"/>
        <v>0</v>
      </c>
      <c r="AF44" s="205">
        <f t="shared" si="66"/>
        <v>0</v>
      </c>
      <c r="AG44" s="231">
        <f>COUNTIF('Table 6 and 7'!$A$16:$E$23,A44)</f>
        <v>0</v>
      </c>
      <c r="AH44" s="64">
        <f t="shared" si="67"/>
        <v>0</v>
      </c>
      <c r="AI44" s="205">
        <f t="shared" si="68"/>
        <v>0</v>
      </c>
      <c r="AJ44" s="66">
        <f t="shared" si="69"/>
        <v>0</v>
      </c>
      <c r="AK44" s="67"/>
      <c r="AL44" s="67" t="str">
        <f t="shared" si="70"/>
        <v>AR</v>
      </c>
      <c r="AM44" s="67" t="str">
        <f>VLOOKUP(AL44,State_abrv,2,FALSE)</f>
        <v xml:space="preserve"> Arkansas</v>
      </c>
      <c r="AN44" s="67">
        <f t="shared" si="71"/>
        <v>6</v>
      </c>
      <c r="AO44" s="67">
        <f t="shared" si="72"/>
        <v>0</v>
      </c>
      <c r="AP44" s="67">
        <f t="shared" si="73"/>
        <v>0</v>
      </c>
      <c r="AQ44" s="64">
        <f t="shared" si="74"/>
        <v>0</v>
      </c>
      <c r="AR44" s="64">
        <f t="shared" si="75"/>
        <v>0</v>
      </c>
      <c r="AS44" s="66">
        <f t="shared" si="76"/>
        <v>0</v>
      </c>
      <c r="AT44" s="66">
        <f t="shared" si="77"/>
        <v>0</v>
      </c>
      <c r="AU44" s="68">
        <f t="shared" si="78"/>
        <v>0</v>
      </c>
    </row>
    <row r="45" spans="1:48" s="64" customFormat="1" x14ac:dyDescent="0.35">
      <c r="A45" s="155" t="s">
        <v>44</v>
      </c>
      <c r="B45" s="155">
        <v>6</v>
      </c>
      <c r="C45" s="155"/>
      <c r="D45" s="155"/>
      <c r="E45" s="155"/>
      <c r="F45" s="160">
        <f>COUNTIFS('NAAs by State'!$C$4:$C$67,A45,'NAAs by State'!$F$4:$F$67,"Marginal")-I45</f>
        <v>0</v>
      </c>
      <c r="G45" s="160">
        <f t="shared" si="51"/>
        <v>0</v>
      </c>
      <c r="H45" s="65">
        <f t="shared" si="52"/>
        <v>0</v>
      </c>
      <c r="I45" s="160">
        <f>COUNTIFS('NAAs by State'!$C$4:$C$67,A45,'NAAs by State'!$F$4:$F$67,"Marginal",'NAAs by State'!$H$4:$H$67,"Moderate")</f>
        <v>0</v>
      </c>
      <c r="J45" s="160">
        <f t="shared" si="53"/>
        <v>0</v>
      </c>
      <c r="K45" s="161">
        <f t="shared" si="54"/>
        <v>0</v>
      </c>
      <c r="L45" s="160">
        <f>COUNTIFS('NAAs by State'!$C$4:$C$67,A45,'NAAs by State'!$F$4:$F$67,"Moderate")</f>
        <v>0</v>
      </c>
      <c r="M45" s="160">
        <f t="shared" si="55"/>
        <v>0</v>
      </c>
      <c r="N45" s="161">
        <f t="shared" si="56"/>
        <v>0</v>
      </c>
      <c r="O45" s="160">
        <f>COUNTIFS('NAAs by State'!$C$4:$C$67,A45,'NAAs by State'!$F$4:$F$67,"Serious")</f>
        <v>0</v>
      </c>
      <c r="P45" s="160">
        <f t="shared" si="57"/>
        <v>0</v>
      </c>
      <c r="Q45" s="161">
        <f t="shared" si="58"/>
        <v>0</v>
      </c>
      <c r="R45" s="160">
        <f>COUNTIFS('NAAs by State'!$C$4:$C$67,A45,'NAAs by State'!$F$4:$F$67,"Severe 15")</f>
        <v>0</v>
      </c>
      <c r="S45" s="160">
        <f t="shared" si="59"/>
        <v>0</v>
      </c>
      <c r="T45" s="161">
        <f t="shared" si="60"/>
        <v>0</v>
      </c>
      <c r="U45" s="160">
        <f>COUNTIFS('NAAs by State'!$C$4:$C$67,A45,'NAAs by State'!$F$4:$F$67,"Severe 17")</f>
        <v>0</v>
      </c>
      <c r="V45" s="160">
        <f t="shared" si="61"/>
        <v>0</v>
      </c>
      <c r="W45" s="161">
        <f t="shared" si="62"/>
        <v>0</v>
      </c>
      <c r="X45" s="160">
        <f>COUNTIFS('NAAs by State'!$C$4:$C$67,A45,'NAAs by State'!$F$4:$F$67,"Extreme")</f>
        <v>0</v>
      </c>
      <c r="Y45" s="160">
        <f t="shared" si="63"/>
        <v>0</v>
      </c>
      <c r="Z45" s="161">
        <f t="shared" si="64"/>
        <v>0</v>
      </c>
      <c r="AA45" s="206"/>
      <c r="AB45" s="206"/>
      <c r="AC45" s="206"/>
      <c r="AD45" s="231">
        <f>COUNTIF('Table 6 and 7'!$A$5:$E$8,A45)</f>
        <v>0</v>
      </c>
      <c r="AE45" s="64">
        <f t="shared" si="65"/>
        <v>0</v>
      </c>
      <c r="AF45" s="205">
        <f t="shared" si="66"/>
        <v>0</v>
      </c>
      <c r="AG45" s="231">
        <f>COUNTIF('Table 6 and 7'!$A$16:$E$23,A45)</f>
        <v>0</v>
      </c>
      <c r="AH45" s="64">
        <f t="shared" si="67"/>
        <v>0</v>
      </c>
      <c r="AI45" s="205">
        <f t="shared" si="68"/>
        <v>0</v>
      </c>
      <c r="AJ45" s="66">
        <f t="shared" si="69"/>
        <v>0</v>
      </c>
      <c r="AK45" s="67"/>
      <c r="AL45" s="163" t="str">
        <f t="shared" si="70"/>
        <v>LA</v>
      </c>
      <c r="AM45" s="163" t="str">
        <f>VLOOKUP(AL45,State_abrv,2,FALSE)</f>
        <v xml:space="preserve"> Louisiana</v>
      </c>
      <c r="AN45" s="163">
        <f t="shared" si="71"/>
        <v>6</v>
      </c>
      <c r="AO45" s="67">
        <f t="shared" si="72"/>
        <v>0</v>
      </c>
      <c r="AP45" s="163">
        <f t="shared" si="73"/>
        <v>0</v>
      </c>
      <c r="AQ45" s="160">
        <f t="shared" si="74"/>
        <v>0</v>
      </c>
      <c r="AR45" s="160">
        <f t="shared" si="75"/>
        <v>0</v>
      </c>
      <c r="AS45" s="162">
        <f t="shared" si="76"/>
        <v>0</v>
      </c>
      <c r="AT45" s="162">
        <f t="shared" si="77"/>
        <v>0</v>
      </c>
      <c r="AU45" s="164">
        <f t="shared" si="78"/>
        <v>0</v>
      </c>
      <c r="AV45" s="160"/>
    </row>
    <row r="46" spans="1:48" s="64" customFormat="1" x14ac:dyDescent="0.35">
      <c r="A46" s="62" t="s">
        <v>59</v>
      </c>
      <c r="B46" s="62">
        <v>6</v>
      </c>
      <c r="C46" s="62"/>
      <c r="D46" s="62"/>
      <c r="E46" s="62"/>
      <c r="F46" s="64">
        <f>COUNTIFS('NAAs by State'!$C$4:$C$67,A46,'NAAs by State'!$F$4:$F$67,"Marginal")-I46</f>
        <v>0</v>
      </c>
      <c r="G46" s="64">
        <f t="shared" si="51"/>
        <v>0</v>
      </c>
      <c r="H46" s="65">
        <f t="shared" si="52"/>
        <v>0</v>
      </c>
      <c r="I46" s="64">
        <f>COUNTIFS('NAAs by State'!$C$4:$C$67,A46,'NAAs by State'!$F$4:$F$67,"Marginal",'NAAs by State'!$H$4:$H$67,"Moderate")</f>
        <v>0</v>
      </c>
      <c r="J46" s="64">
        <f t="shared" si="53"/>
        <v>0</v>
      </c>
      <c r="K46" s="65">
        <f t="shared" si="54"/>
        <v>0</v>
      </c>
      <c r="L46" s="64">
        <f>COUNTIFS('NAAs by State'!$C$4:$C$67,A46,'NAAs by State'!$F$4:$F$67,"Moderate")</f>
        <v>0</v>
      </c>
      <c r="M46" s="64">
        <f t="shared" si="55"/>
        <v>0</v>
      </c>
      <c r="N46" s="65">
        <f t="shared" si="56"/>
        <v>0</v>
      </c>
      <c r="O46" s="64">
        <f>COUNTIFS('NAAs by State'!$C$4:$C$67,A46,'NAAs by State'!$F$4:$F$67,"Serious")</f>
        <v>0</v>
      </c>
      <c r="P46" s="64">
        <f t="shared" si="57"/>
        <v>0</v>
      </c>
      <c r="Q46" s="65">
        <f t="shared" si="58"/>
        <v>0</v>
      </c>
      <c r="R46" s="64">
        <f>COUNTIFS('NAAs by State'!$C$4:$C$67,A46,'NAAs by State'!$F$4:$F$67,"Severe 15")</f>
        <v>0</v>
      </c>
      <c r="S46" s="64">
        <f t="shared" si="59"/>
        <v>0</v>
      </c>
      <c r="T46" s="65">
        <f t="shared" si="60"/>
        <v>0</v>
      </c>
      <c r="U46" s="64">
        <f>COUNTIFS('NAAs by State'!$C$4:$C$67,A46,'NAAs by State'!$F$4:$F$67,"Severe 17")</f>
        <v>0</v>
      </c>
      <c r="V46" s="64">
        <f t="shared" si="61"/>
        <v>0</v>
      </c>
      <c r="W46" s="65">
        <f t="shared" si="62"/>
        <v>0</v>
      </c>
      <c r="X46" s="64">
        <f>COUNTIFS('NAAs by State'!$C$4:$C$67,A46,'NAAs by State'!$F$4:$F$67,"Extreme")</f>
        <v>0</v>
      </c>
      <c r="Y46" s="64">
        <f t="shared" si="63"/>
        <v>0</v>
      </c>
      <c r="Z46" s="65">
        <f t="shared" si="64"/>
        <v>0</v>
      </c>
      <c r="AA46" s="205"/>
      <c r="AB46" s="205"/>
      <c r="AC46" s="205"/>
      <c r="AD46" s="231">
        <f>COUNTIF('Table 6 and 7'!$A$5:$E$8,A46)</f>
        <v>0</v>
      </c>
      <c r="AE46" s="64">
        <f t="shared" si="65"/>
        <v>0</v>
      </c>
      <c r="AF46" s="205">
        <f t="shared" si="66"/>
        <v>0</v>
      </c>
      <c r="AG46" s="231">
        <f>COUNTIF('Table 6 and 7'!$A$16:$E$23,A46)</f>
        <v>0</v>
      </c>
      <c r="AH46" s="64">
        <f t="shared" si="67"/>
        <v>0</v>
      </c>
      <c r="AI46" s="205">
        <f t="shared" si="68"/>
        <v>0</v>
      </c>
      <c r="AJ46" s="66">
        <f t="shared" si="69"/>
        <v>0</v>
      </c>
      <c r="AK46" s="67"/>
      <c r="AL46" s="67" t="str">
        <f t="shared" si="70"/>
        <v>OK</v>
      </c>
      <c r="AM46" s="67"/>
      <c r="AN46" s="67">
        <f t="shared" si="71"/>
        <v>6</v>
      </c>
      <c r="AO46" s="67">
        <f t="shared" si="72"/>
        <v>0</v>
      </c>
      <c r="AP46" s="67">
        <f t="shared" si="73"/>
        <v>0</v>
      </c>
      <c r="AQ46" s="64">
        <f t="shared" si="74"/>
        <v>0</v>
      </c>
      <c r="AR46" s="64">
        <f t="shared" si="75"/>
        <v>0</v>
      </c>
      <c r="AS46" s="66">
        <f t="shared" si="76"/>
        <v>0</v>
      </c>
      <c r="AT46" s="66">
        <f t="shared" si="77"/>
        <v>0</v>
      </c>
      <c r="AU46" s="68">
        <f t="shared" si="78"/>
        <v>0</v>
      </c>
    </row>
    <row r="47" spans="1:48" s="64" customFormat="1" x14ac:dyDescent="0.35">
      <c r="A47" s="62" t="s">
        <v>38</v>
      </c>
      <c r="B47" s="62">
        <v>7</v>
      </c>
      <c r="C47" s="62"/>
      <c r="D47" s="62"/>
      <c r="E47" s="62"/>
      <c r="F47" s="64">
        <f>COUNTIFS('NAAs by State'!$C$4:$C$67,A47,'NAAs by State'!$F$4:$F$67,"Marginal")-I47</f>
        <v>0</v>
      </c>
      <c r="G47" s="64">
        <f t="shared" si="51"/>
        <v>0</v>
      </c>
      <c r="H47" s="65">
        <f t="shared" si="52"/>
        <v>0</v>
      </c>
      <c r="I47" s="64">
        <f>COUNTIFS('NAAs by State'!$C$4:$C$67,A47,'NAAs by State'!$F$4:$F$67,"Marginal",'NAAs by State'!$H$4:$H$67,"Moderate")</f>
        <v>0</v>
      </c>
      <c r="J47" s="64">
        <f t="shared" si="53"/>
        <v>0</v>
      </c>
      <c r="K47" s="65">
        <f t="shared" si="54"/>
        <v>0</v>
      </c>
      <c r="L47" s="64">
        <f>COUNTIFS('NAAs by State'!$C$4:$C$67,A47,'NAAs by State'!$F$4:$F$67,"Moderate")</f>
        <v>0</v>
      </c>
      <c r="M47" s="64">
        <f t="shared" si="55"/>
        <v>0</v>
      </c>
      <c r="N47" s="65">
        <f t="shared" si="56"/>
        <v>0</v>
      </c>
      <c r="O47" s="64">
        <f>COUNTIFS('NAAs by State'!$C$4:$C$67,A47,'NAAs by State'!$F$4:$F$67,"Serious")</f>
        <v>0</v>
      </c>
      <c r="P47" s="64">
        <f t="shared" si="57"/>
        <v>0</v>
      </c>
      <c r="Q47" s="65">
        <f t="shared" si="58"/>
        <v>0</v>
      </c>
      <c r="R47" s="64">
        <f>COUNTIFS('NAAs by State'!$C$4:$C$67,A47,'NAAs by State'!$F$4:$F$67,"Severe 15")</f>
        <v>0</v>
      </c>
      <c r="S47" s="64">
        <f t="shared" si="59"/>
        <v>0</v>
      </c>
      <c r="T47" s="65">
        <f t="shared" si="60"/>
        <v>0</v>
      </c>
      <c r="U47" s="64">
        <f>COUNTIFS('NAAs by State'!$C$4:$C$67,A47,'NAAs by State'!$F$4:$F$67,"Severe 17")</f>
        <v>0</v>
      </c>
      <c r="V47" s="64">
        <f t="shared" si="61"/>
        <v>0</v>
      </c>
      <c r="W47" s="65">
        <f t="shared" si="62"/>
        <v>0</v>
      </c>
      <c r="X47" s="64">
        <f>COUNTIFS('NAAs by State'!$C$4:$C$67,A47,'NAAs by State'!$F$4:$F$67,"Extreme")</f>
        <v>0</v>
      </c>
      <c r="Y47" s="64">
        <f t="shared" si="63"/>
        <v>0</v>
      </c>
      <c r="Z47" s="65">
        <f t="shared" si="64"/>
        <v>0</v>
      </c>
      <c r="AA47" s="205"/>
      <c r="AB47" s="205"/>
      <c r="AC47" s="205"/>
      <c r="AD47" s="231">
        <f>COUNTIF('Table 6 and 7'!$A$5:$E$8,A47)</f>
        <v>0</v>
      </c>
      <c r="AE47" s="64">
        <f t="shared" si="65"/>
        <v>0</v>
      </c>
      <c r="AF47" s="205">
        <f t="shared" si="66"/>
        <v>0</v>
      </c>
      <c r="AG47" s="231">
        <f>COUNTIF('Table 6 and 7'!$A$16:$E$23,A47)</f>
        <v>0</v>
      </c>
      <c r="AH47" s="64">
        <f t="shared" si="67"/>
        <v>0</v>
      </c>
      <c r="AI47" s="205">
        <f t="shared" si="68"/>
        <v>0</v>
      </c>
      <c r="AJ47" s="66">
        <f t="shared" si="69"/>
        <v>0</v>
      </c>
      <c r="AK47" s="67"/>
      <c r="AL47" s="67" t="str">
        <f t="shared" si="70"/>
        <v>IA</v>
      </c>
      <c r="AM47" s="67"/>
      <c r="AN47" s="67">
        <f t="shared" si="71"/>
        <v>7</v>
      </c>
      <c r="AO47" s="67">
        <f t="shared" si="72"/>
        <v>0</v>
      </c>
      <c r="AP47" s="67">
        <f t="shared" si="73"/>
        <v>0</v>
      </c>
      <c r="AQ47" s="64">
        <f t="shared" si="74"/>
        <v>0</v>
      </c>
      <c r="AR47" s="64">
        <f t="shared" si="75"/>
        <v>0</v>
      </c>
      <c r="AS47" s="66">
        <f t="shared" si="76"/>
        <v>0</v>
      </c>
      <c r="AT47" s="66">
        <f t="shared" si="77"/>
        <v>0</v>
      </c>
      <c r="AU47" s="68">
        <f t="shared" si="78"/>
        <v>0</v>
      </c>
    </row>
    <row r="48" spans="1:48" s="64" customFormat="1" x14ac:dyDescent="0.35">
      <c r="A48" s="62" t="s">
        <v>42</v>
      </c>
      <c r="B48" s="62">
        <v>7</v>
      </c>
      <c r="C48" s="62"/>
      <c r="D48" s="62"/>
      <c r="E48" s="62"/>
      <c r="F48" s="64">
        <f>COUNTIFS('NAAs by State'!$C$4:$C$67,A48,'NAAs by State'!$F$4:$F$67,"Marginal")-I48</f>
        <v>0</v>
      </c>
      <c r="G48" s="64">
        <f t="shared" si="51"/>
        <v>0</v>
      </c>
      <c r="H48" s="65">
        <f t="shared" si="52"/>
        <v>0</v>
      </c>
      <c r="I48" s="64">
        <f>COUNTIFS('NAAs by State'!$C$4:$C$67,A48,'NAAs by State'!$F$4:$F$67,"Marginal",'NAAs by State'!$H$4:$H$67,"Moderate")</f>
        <v>0</v>
      </c>
      <c r="J48" s="64">
        <f t="shared" si="53"/>
        <v>0</v>
      </c>
      <c r="K48" s="65">
        <f t="shared" si="54"/>
        <v>0</v>
      </c>
      <c r="L48" s="64">
        <f>COUNTIFS('NAAs by State'!$C$4:$C$67,A48,'NAAs by State'!$F$4:$F$67,"Moderate")</f>
        <v>0</v>
      </c>
      <c r="M48" s="64">
        <f t="shared" si="55"/>
        <v>0</v>
      </c>
      <c r="N48" s="65">
        <f t="shared" si="56"/>
        <v>0</v>
      </c>
      <c r="O48" s="64">
        <f>COUNTIFS('NAAs by State'!$C$4:$C$67,A48,'NAAs by State'!$F$4:$F$67,"Serious")</f>
        <v>0</v>
      </c>
      <c r="P48" s="64">
        <f t="shared" si="57"/>
        <v>0</v>
      </c>
      <c r="Q48" s="65">
        <f t="shared" si="58"/>
        <v>0</v>
      </c>
      <c r="R48" s="64">
        <f>COUNTIFS('NAAs by State'!$C$4:$C$67,A48,'NAAs by State'!$F$4:$F$67,"Severe 15")</f>
        <v>0</v>
      </c>
      <c r="S48" s="64">
        <f t="shared" si="59"/>
        <v>0</v>
      </c>
      <c r="T48" s="65">
        <f t="shared" si="60"/>
        <v>0</v>
      </c>
      <c r="U48" s="64">
        <f>COUNTIFS('NAAs by State'!$C$4:$C$67,A48,'NAAs by State'!$F$4:$F$67,"Severe 17")</f>
        <v>0</v>
      </c>
      <c r="V48" s="64">
        <f t="shared" si="61"/>
        <v>0</v>
      </c>
      <c r="W48" s="65">
        <f t="shared" si="62"/>
        <v>0</v>
      </c>
      <c r="X48" s="64">
        <f>COUNTIFS('NAAs by State'!$C$4:$C$67,A48,'NAAs by State'!$F$4:$F$67,"Extreme")</f>
        <v>0</v>
      </c>
      <c r="Y48" s="64">
        <f t="shared" si="63"/>
        <v>0</v>
      </c>
      <c r="Z48" s="65">
        <f t="shared" si="64"/>
        <v>0</v>
      </c>
      <c r="AA48" s="205"/>
      <c r="AB48" s="205"/>
      <c r="AC48" s="205"/>
      <c r="AD48" s="231">
        <f>COUNTIF('Table 6 and 7'!$A$5:$E$8,A48)</f>
        <v>0</v>
      </c>
      <c r="AE48" s="64">
        <f t="shared" si="65"/>
        <v>0</v>
      </c>
      <c r="AF48" s="205">
        <f t="shared" si="66"/>
        <v>0</v>
      </c>
      <c r="AG48" s="231">
        <f>COUNTIF('Table 6 and 7'!$A$16:$E$23,A48)</f>
        <v>0</v>
      </c>
      <c r="AH48" s="64">
        <f t="shared" si="67"/>
        <v>0</v>
      </c>
      <c r="AI48" s="205">
        <f t="shared" si="68"/>
        <v>0</v>
      </c>
      <c r="AJ48" s="66">
        <f t="shared" si="69"/>
        <v>0</v>
      </c>
      <c r="AK48" s="67"/>
      <c r="AL48" s="67" t="str">
        <f t="shared" si="70"/>
        <v>KS</v>
      </c>
      <c r="AM48" s="67"/>
      <c r="AN48" s="67">
        <f t="shared" si="71"/>
        <v>7</v>
      </c>
      <c r="AO48" s="67">
        <f t="shared" si="72"/>
        <v>0</v>
      </c>
      <c r="AP48" s="67">
        <f t="shared" si="73"/>
        <v>0</v>
      </c>
      <c r="AQ48" s="64">
        <f t="shared" si="74"/>
        <v>0</v>
      </c>
      <c r="AR48" s="64">
        <f t="shared" si="75"/>
        <v>0</v>
      </c>
      <c r="AS48" s="66">
        <f t="shared" si="76"/>
        <v>0</v>
      </c>
      <c r="AT48" s="66">
        <f t="shared" si="77"/>
        <v>0</v>
      </c>
      <c r="AU48" s="68">
        <f t="shared" si="78"/>
        <v>0</v>
      </c>
    </row>
    <row r="49" spans="1:48" s="64" customFormat="1" x14ac:dyDescent="0.35">
      <c r="A49" s="62" t="s">
        <v>104</v>
      </c>
      <c r="B49" s="62">
        <v>7</v>
      </c>
      <c r="C49" s="62"/>
      <c r="D49" s="62"/>
      <c r="E49" s="62"/>
      <c r="F49" s="64">
        <f>COUNTIFS('NAAs by State'!$C$4:$C$67,A49,'NAAs by State'!$F$4:$F$67,"Marginal")-I49</f>
        <v>0</v>
      </c>
      <c r="G49" s="64">
        <f t="shared" si="51"/>
        <v>0</v>
      </c>
      <c r="H49" s="65">
        <f t="shared" si="52"/>
        <v>0</v>
      </c>
      <c r="I49" s="64">
        <f>COUNTIFS('NAAs by State'!$C$4:$C$67,A49,'NAAs by State'!$F$4:$F$67,"Marginal",'NAAs by State'!$H$4:$H$67,"Moderate")</f>
        <v>0</v>
      </c>
      <c r="J49" s="64">
        <f t="shared" si="53"/>
        <v>0</v>
      </c>
      <c r="K49" s="65">
        <f t="shared" si="54"/>
        <v>0</v>
      </c>
      <c r="L49" s="64">
        <f>COUNTIFS('NAAs by State'!$C$4:$C$67,A49,'NAAs by State'!$F$4:$F$67,"Moderate")</f>
        <v>0</v>
      </c>
      <c r="M49" s="64">
        <f t="shared" si="55"/>
        <v>0</v>
      </c>
      <c r="N49" s="65">
        <f t="shared" si="56"/>
        <v>0</v>
      </c>
      <c r="O49" s="64">
        <f>COUNTIFS('NAAs by State'!$C$4:$C$67,A49,'NAAs by State'!$F$4:$F$67,"Serious")</f>
        <v>0</v>
      </c>
      <c r="P49" s="64">
        <f t="shared" si="57"/>
        <v>0</v>
      </c>
      <c r="Q49" s="65">
        <f t="shared" si="58"/>
        <v>0</v>
      </c>
      <c r="R49" s="64">
        <f>COUNTIFS('NAAs by State'!$C$4:$C$67,A49,'NAAs by State'!$F$4:$F$67,"Severe 15")</f>
        <v>0</v>
      </c>
      <c r="S49" s="64">
        <f t="shared" si="59"/>
        <v>0</v>
      </c>
      <c r="T49" s="65">
        <f t="shared" si="60"/>
        <v>0</v>
      </c>
      <c r="U49" s="64">
        <f>COUNTIFS('NAAs by State'!$C$4:$C$67,A49,'NAAs by State'!$F$4:$F$67,"Severe 17")</f>
        <v>0</v>
      </c>
      <c r="V49" s="64">
        <f t="shared" si="61"/>
        <v>0</v>
      </c>
      <c r="W49" s="65">
        <f t="shared" si="62"/>
        <v>0</v>
      </c>
      <c r="X49" s="64">
        <f>COUNTIFS('NAAs by State'!$C$4:$C$67,A49,'NAAs by State'!$F$4:$F$67,"Extreme")</f>
        <v>0</v>
      </c>
      <c r="Y49" s="64">
        <f t="shared" si="63"/>
        <v>0</v>
      </c>
      <c r="Z49" s="65">
        <f t="shared" si="64"/>
        <v>0</v>
      </c>
      <c r="AA49" s="205"/>
      <c r="AB49" s="205"/>
      <c r="AC49" s="205"/>
      <c r="AD49" s="231">
        <f>COUNTIF('Table 6 and 7'!$A$5:$E$8,A49)</f>
        <v>0</v>
      </c>
      <c r="AE49" s="64">
        <f t="shared" si="65"/>
        <v>0</v>
      </c>
      <c r="AF49" s="205">
        <f t="shared" si="66"/>
        <v>0</v>
      </c>
      <c r="AG49" s="231">
        <f>COUNTIF('Table 6 and 7'!$A$16:$E$23,A49)</f>
        <v>0</v>
      </c>
      <c r="AH49" s="64">
        <f t="shared" si="67"/>
        <v>0</v>
      </c>
      <c r="AI49" s="205">
        <f t="shared" si="68"/>
        <v>0</v>
      </c>
      <c r="AJ49" s="66">
        <f t="shared" si="69"/>
        <v>0</v>
      </c>
      <c r="AK49" s="67"/>
      <c r="AL49" s="67" t="str">
        <f t="shared" si="70"/>
        <v>NE</v>
      </c>
      <c r="AM49" s="67"/>
      <c r="AN49" s="67">
        <f t="shared" si="71"/>
        <v>7</v>
      </c>
      <c r="AO49" s="67">
        <f t="shared" si="72"/>
        <v>0</v>
      </c>
      <c r="AP49" s="67">
        <f t="shared" si="73"/>
        <v>0</v>
      </c>
      <c r="AQ49" s="64">
        <f t="shared" si="74"/>
        <v>0</v>
      </c>
      <c r="AR49" s="64">
        <f t="shared" si="75"/>
        <v>0</v>
      </c>
      <c r="AS49" s="66">
        <f t="shared" si="76"/>
        <v>0</v>
      </c>
      <c r="AT49" s="66">
        <f t="shared" si="77"/>
        <v>0</v>
      </c>
      <c r="AU49" s="68">
        <f t="shared" si="78"/>
        <v>0</v>
      </c>
    </row>
    <row r="50" spans="1:48" s="64" customFormat="1" x14ac:dyDescent="0.35">
      <c r="A50" s="62" t="s">
        <v>102</v>
      </c>
      <c r="B50" s="62">
        <v>8</v>
      </c>
      <c r="C50" s="62"/>
      <c r="D50" s="62"/>
      <c r="E50" s="62"/>
      <c r="F50" s="64">
        <f>COUNTIFS('NAAs by State'!$C$4:$C$67,A50,'NAAs by State'!$F$4:$F$67,"Marginal")-I50</f>
        <v>0</v>
      </c>
      <c r="G50" s="64">
        <f t="shared" si="51"/>
        <v>0</v>
      </c>
      <c r="H50" s="65">
        <f t="shared" si="52"/>
        <v>0</v>
      </c>
      <c r="I50" s="64">
        <f>COUNTIFS('NAAs by State'!$C$4:$C$67,A50,'NAAs by State'!$F$4:$F$67,"Marginal",'NAAs by State'!$H$4:$H$67,"Moderate")</f>
        <v>0</v>
      </c>
      <c r="J50" s="64">
        <f t="shared" si="53"/>
        <v>0</v>
      </c>
      <c r="K50" s="65">
        <f t="shared" si="54"/>
        <v>0</v>
      </c>
      <c r="L50" s="64">
        <f>COUNTIFS('NAAs by State'!$C$4:$C$67,A50,'NAAs by State'!$F$4:$F$67,"Moderate")</f>
        <v>0</v>
      </c>
      <c r="M50" s="64">
        <f t="shared" si="55"/>
        <v>0</v>
      </c>
      <c r="N50" s="65">
        <f t="shared" si="56"/>
        <v>0</v>
      </c>
      <c r="O50" s="64">
        <f>COUNTIFS('NAAs by State'!$C$4:$C$67,A50,'NAAs by State'!$F$4:$F$67,"Serious")</f>
        <v>0</v>
      </c>
      <c r="P50" s="64">
        <f t="shared" si="57"/>
        <v>0</v>
      </c>
      <c r="Q50" s="65">
        <f t="shared" si="58"/>
        <v>0</v>
      </c>
      <c r="R50" s="64">
        <f>COUNTIFS('NAAs by State'!$C$4:$C$67,A50,'NAAs by State'!$F$4:$F$67,"Severe 15")</f>
        <v>0</v>
      </c>
      <c r="S50" s="64">
        <f t="shared" si="59"/>
        <v>0</v>
      </c>
      <c r="T50" s="65">
        <f t="shared" si="60"/>
        <v>0</v>
      </c>
      <c r="U50" s="64">
        <f>COUNTIFS('NAAs by State'!$C$4:$C$67,A50,'NAAs by State'!$F$4:$F$67,"Severe 17")</f>
        <v>0</v>
      </c>
      <c r="V50" s="64">
        <f t="shared" si="61"/>
        <v>0</v>
      </c>
      <c r="W50" s="65">
        <f t="shared" si="62"/>
        <v>0</v>
      </c>
      <c r="X50" s="64">
        <f>COUNTIFS('NAAs by State'!$C$4:$C$67,A50,'NAAs by State'!$F$4:$F$67,"Extreme")</f>
        <v>0</v>
      </c>
      <c r="Y50" s="64">
        <f t="shared" si="63"/>
        <v>0</v>
      </c>
      <c r="Z50" s="65">
        <f t="shared" si="64"/>
        <v>0</v>
      </c>
      <c r="AA50" s="205"/>
      <c r="AB50" s="205"/>
      <c r="AC50" s="205"/>
      <c r="AD50" s="231">
        <f>COUNTIF('Table 6 and 7'!$A$5:$E$8,A50)</f>
        <v>0</v>
      </c>
      <c r="AE50" s="64">
        <f t="shared" si="65"/>
        <v>0</v>
      </c>
      <c r="AF50" s="205">
        <f t="shared" si="66"/>
        <v>0</v>
      </c>
      <c r="AG50" s="231">
        <f>COUNTIF('Table 6 and 7'!$A$16:$E$23,A50)</f>
        <v>0</v>
      </c>
      <c r="AH50" s="64">
        <f t="shared" si="67"/>
        <v>0</v>
      </c>
      <c r="AI50" s="205">
        <f t="shared" si="68"/>
        <v>0</v>
      </c>
      <c r="AJ50" s="66">
        <f t="shared" si="69"/>
        <v>0</v>
      </c>
      <c r="AK50" s="67"/>
      <c r="AL50" s="67" t="str">
        <f t="shared" si="70"/>
        <v>MT</v>
      </c>
      <c r="AM50" s="67"/>
      <c r="AN50" s="67">
        <f t="shared" si="71"/>
        <v>8</v>
      </c>
      <c r="AO50" s="67">
        <f t="shared" si="72"/>
        <v>0</v>
      </c>
      <c r="AP50" s="67">
        <f t="shared" si="73"/>
        <v>0</v>
      </c>
      <c r="AQ50" s="64">
        <f t="shared" si="74"/>
        <v>0</v>
      </c>
      <c r="AR50" s="64">
        <f t="shared" si="75"/>
        <v>0</v>
      </c>
      <c r="AS50" s="66">
        <f t="shared" si="76"/>
        <v>0</v>
      </c>
      <c r="AT50" s="66">
        <f t="shared" si="77"/>
        <v>0</v>
      </c>
      <c r="AU50" s="68">
        <f t="shared" si="78"/>
        <v>0</v>
      </c>
    </row>
    <row r="51" spans="1:48" s="64" customFormat="1" x14ac:dyDescent="0.35">
      <c r="A51" s="62" t="s">
        <v>103</v>
      </c>
      <c r="B51" s="62">
        <v>8</v>
      </c>
      <c r="C51" s="62"/>
      <c r="D51" s="62"/>
      <c r="E51" s="62"/>
      <c r="F51" s="64">
        <f>COUNTIFS('NAAs by State'!$C$4:$C$67,A51,'NAAs by State'!$F$4:$F$67,"Marginal")-I51</f>
        <v>0</v>
      </c>
      <c r="G51" s="64">
        <f t="shared" si="51"/>
        <v>0</v>
      </c>
      <c r="H51" s="65">
        <f t="shared" si="52"/>
        <v>0</v>
      </c>
      <c r="I51" s="64">
        <f>COUNTIFS('NAAs by State'!$C$4:$C$67,A51,'NAAs by State'!$F$4:$F$67,"Marginal",'NAAs by State'!$H$4:$H$67,"Moderate")</f>
        <v>0</v>
      </c>
      <c r="J51" s="64">
        <f t="shared" si="53"/>
        <v>0</v>
      </c>
      <c r="K51" s="65">
        <f t="shared" si="54"/>
        <v>0</v>
      </c>
      <c r="L51" s="64">
        <f>COUNTIFS('NAAs by State'!$C$4:$C$67,A51,'NAAs by State'!$F$4:$F$67,"Moderate")</f>
        <v>0</v>
      </c>
      <c r="M51" s="64">
        <f t="shared" si="55"/>
        <v>0</v>
      </c>
      <c r="N51" s="65">
        <f t="shared" si="56"/>
        <v>0</v>
      </c>
      <c r="O51" s="64">
        <f>COUNTIFS('NAAs by State'!$C$4:$C$67,A51,'NAAs by State'!$F$4:$F$67,"Serious")</f>
        <v>0</v>
      </c>
      <c r="P51" s="64">
        <f t="shared" si="57"/>
        <v>0</v>
      </c>
      <c r="Q51" s="65">
        <f t="shared" si="58"/>
        <v>0</v>
      </c>
      <c r="R51" s="64">
        <f>COUNTIFS('NAAs by State'!$C$4:$C$67,A51,'NAAs by State'!$F$4:$F$67,"Severe 15")</f>
        <v>0</v>
      </c>
      <c r="S51" s="64">
        <f t="shared" si="59"/>
        <v>0</v>
      </c>
      <c r="T51" s="65">
        <f t="shared" si="60"/>
        <v>0</v>
      </c>
      <c r="U51" s="64">
        <f>COUNTIFS('NAAs by State'!$C$4:$C$67,A51,'NAAs by State'!$F$4:$F$67,"Severe 17")</f>
        <v>0</v>
      </c>
      <c r="V51" s="64">
        <f t="shared" si="61"/>
        <v>0</v>
      </c>
      <c r="W51" s="65">
        <f t="shared" si="62"/>
        <v>0</v>
      </c>
      <c r="X51" s="64">
        <f>COUNTIFS('NAAs by State'!$C$4:$C$67,A51,'NAAs by State'!$F$4:$F$67,"Extreme")</f>
        <v>0</v>
      </c>
      <c r="Y51" s="64">
        <f t="shared" si="63"/>
        <v>0</v>
      </c>
      <c r="Z51" s="65">
        <f t="shared" si="64"/>
        <v>0</v>
      </c>
      <c r="AA51" s="205"/>
      <c r="AB51" s="205"/>
      <c r="AC51" s="205"/>
      <c r="AD51" s="231">
        <f>COUNTIF('Table 6 and 7'!$A$5:$E$8,A51)</f>
        <v>0</v>
      </c>
      <c r="AE51" s="64">
        <f t="shared" si="65"/>
        <v>0</v>
      </c>
      <c r="AF51" s="205">
        <f t="shared" si="66"/>
        <v>0</v>
      </c>
      <c r="AG51" s="231">
        <f>COUNTIF('Table 6 and 7'!$A$16:$E$23,A51)</f>
        <v>0</v>
      </c>
      <c r="AH51" s="64">
        <f t="shared" si="67"/>
        <v>0</v>
      </c>
      <c r="AI51" s="205">
        <f t="shared" si="68"/>
        <v>0</v>
      </c>
      <c r="AJ51" s="66">
        <f t="shared" si="69"/>
        <v>0</v>
      </c>
      <c r="AK51" s="67"/>
      <c r="AL51" s="67" t="str">
        <f t="shared" si="70"/>
        <v>ND</v>
      </c>
      <c r="AM51" s="67"/>
      <c r="AN51" s="67">
        <f t="shared" si="71"/>
        <v>8</v>
      </c>
      <c r="AO51" s="67">
        <f t="shared" si="72"/>
        <v>0</v>
      </c>
      <c r="AP51" s="67">
        <f t="shared" si="73"/>
        <v>0</v>
      </c>
      <c r="AQ51" s="64">
        <f t="shared" si="74"/>
        <v>0</v>
      </c>
      <c r="AR51" s="64">
        <f t="shared" si="75"/>
        <v>0</v>
      </c>
      <c r="AS51" s="66">
        <f t="shared" si="76"/>
        <v>0</v>
      </c>
      <c r="AT51" s="66">
        <f t="shared" si="77"/>
        <v>0</v>
      </c>
      <c r="AU51" s="68">
        <f t="shared" si="78"/>
        <v>0</v>
      </c>
    </row>
    <row r="52" spans="1:48" s="64" customFormat="1" x14ac:dyDescent="0.35">
      <c r="A52" s="62" t="s">
        <v>105</v>
      </c>
      <c r="B52" s="62">
        <v>8</v>
      </c>
      <c r="C52" s="62"/>
      <c r="D52" s="62"/>
      <c r="E52" s="62"/>
      <c r="F52" s="64">
        <f>COUNTIFS('NAAs by State'!$C$4:$C$67,A52,'NAAs by State'!$F$4:$F$67,"Marginal")-I52</f>
        <v>0</v>
      </c>
      <c r="G52" s="64">
        <f t="shared" si="51"/>
        <v>0</v>
      </c>
      <c r="H52" s="65">
        <f t="shared" si="52"/>
        <v>0</v>
      </c>
      <c r="I52" s="64">
        <f>COUNTIFS('NAAs by State'!$C$4:$C$67,A52,'NAAs by State'!$F$4:$F$67,"Marginal",'NAAs by State'!$H$4:$H$67,"Moderate")</f>
        <v>0</v>
      </c>
      <c r="J52" s="64">
        <f t="shared" si="53"/>
        <v>0</v>
      </c>
      <c r="K52" s="65">
        <f t="shared" si="54"/>
        <v>0</v>
      </c>
      <c r="L52" s="64">
        <f>COUNTIFS('NAAs by State'!$C$4:$C$67,A52,'NAAs by State'!$F$4:$F$67,"Moderate")</f>
        <v>0</v>
      </c>
      <c r="M52" s="64">
        <f t="shared" si="55"/>
        <v>0</v>
      </c>
      <c r="N52" s="65">
        <f t="shared" si="56"/>
        <v>0</v>
      </c>
      <c r="O52" s="64">
        <f>COUNTIFS('NAAs by State'!$C$4:$C$67,A52,'NAAs by State'!$F$4:$F$67,"Serious")</f>
        <v>0</v>
      </c>
      <c r="P52" s="64">
        <f t="shared" si="57"/>
        <v>0</v>
      </c>
      <c r="Q52" s="65">
        <f t="shared" si="58"/>
        <v>0</v>
      </c>
      <c r="R52" s="64">
        <f>COUNTIFS('NAAs by State'!$C$4:$C$67,A52,'NAAs by State'!$F$4:$F$67,"Severe 15")</f>
        <v>0</v>
      </c>
      <c r="S52" s="64">
        <f t="shared" si="59"/>
        <v>0</v>
      </c>
      <c r="T52" s="65">
        <f t="shared" si="60"/>
        <v>0</v>
      </c>
      <c r="U52" s="64">
        <f>COUNTIFS('NAAs by State'!$C$4:$C$67,A52,'NAAs by State'!$F$4:$F$67,"Severe 17")</f>
        <v>0</v>
      </c>
      <c r="V52" s="64">
        <f t="shared" si="61"/>
        <v>0</v>
      </c>
      <c r="W52" s="65">
        <f t="shared" si="62"/>
        <v>0</v>
      </c>
      <c r="X52" s="64">
        <f>COUNTIFS('NAAs by State'!$C$4:$C$67,A52,'NAAs by State'!$F$4:$F$67,"Extreme")</f>
        <v>0</v>
      </c>
      <c r="Y52" s="64">
        <f t="shared" si="63"/>
        <v>0</v>
      </c>
      <c r="Z52" s="65">
        <f t="shared" si="64"/>
        <v>0</v>
      </c>
      <c r="AA52" s="205"/>
      <c r="AB52" s="205"/>
      <c r="AC52" s="205"/>
      <c r="AD52" s="231">
        <f>COUNTIF('Table 6 and 7'!$A$5:$E$8,A52)</f>
        <v>0</v>
      </c>
      <c r="AE52" s="64">
        <f t="shared" si="65"/>
        <v>0</v>
      </c>
      <c r="AF52" s="205">
        <f t="shared" si="66"/>
        <v>0</v>
      </c>
      <c r="AG52" s="231">
        <f>COUNTIF('Table 6 and 7'!$A$16:$E$23,A52)</f>
        <v>0</v>
      </c>
      <c r="AH52" s="64">
        <f t="shared" si="67"/>
        <v>0</v>
      </c>
      <c r="AI52" s="205">
        <f t="shared" si="68"/>
        <v>0</v>
      </c>
      <c r="AJ52" s="66">
        <f t="shared" si="69"/>
        <v>0</v>
      </c>
      <c r="AK52" s="67"/>
      <c r="AL52" s="67" t="str">
        <f t="shared" si="70"/>
        <v>SD</v>
      </c>
      <c r="AM52" s="67"/>
      <c r="AN52" s="67">
        <f t="shared" si="71"/>
        <v>8</v>
      </c>
      <c r="AO52" s="67">
        <f t="shared" si="72"/>
        <v>0</v>
      </c>
      <c r="AP52" s="67">
        <f t="shared" si="73"/>
        <v>0</v>
      </c>
      <c r="AQ52" s="64">
        <f t="shared" si="74"/>
        <v>0</v>
      </c>
      <c r="AR52" s="64">
        <f t="shared" si="75"/>
        <v>0</v>
      </c>
      <c r="AS52" s="66">
        <f t="shared" si="76"/>
        <v>0</v>
      </c>
      <c r="AT52" s="66">
        <f t="shared" si="77"/>
        <v>0</v>
      </c>
      <c r="AU52" s="68">
        <f t="shared" si="78"/>
        <v>0</v>
      </c>
    </row>
    <row r="53" spans="1:48" s="64" customFormat="1" x14ac:dyDescent="0.35">
      <c r="A53" s="62" t="s">
        <v>71</v>
      </c>
      <c r="B53" s="62">
        <v>8</v>
      </c>
      <c r="C53" s="62"/>
      <c r="D53" s="62"/>
      <c r="E53" s="62"/>
      <c r="F53" s="64">
        <f>COUNTIFS('NAAs by State'!$C$4:$C$67,A53,'NAAs by State'!$F$4:$F$67,"Marginal")-I53</f>
        <v>0</v>
      </c>
      <c r="G53" s="64">
        <f t="shared" si="51"/>
        <v>0</v>
      </c>
      <c r="H53" s="65">
        <f t="shared" si="52"/>
        <v>0</v>
      </c>
      <c r="I53" s="64">
        <f>COUNTIFS('NAAs by State'!$C$4:$C$67,A53,'NAAs by State'!$F$4:$F$67,"Marginal",'NAAs by State'!$H$4:$H$67,"Moderate")</f>
        <v>0</v>
      </c>
      <c r="J53" s="64">
        <f t="shared" si="53"/>
        <v>0</v>
      </c>
      <c r="K53" s="65">
        <f t="shared" si="54"/>
        <v>0</v>
      </c>
      <c r="L53" s="64">
        <f>COUNTIFS('NAAs by State'!$C$4:$C$67,A53,'NAAs by State'!$F$4:$F$67,"Moderate")</f>
        <v>0</v>
      </c>
      <c r="M53" s="64">
        <f t="shared" si="55"/>
        <v>0</v>
      </c>
      <c r="N53" s="65">
        <f t="shared" si="56"/>
        <v>0</v>
      </c>
      <c r="O53" s="64">
        <f>COUNTIFS('NAAs by State'!$C$4:$C$67,A53,'NAAs by State'!$F$4:$F$67,"Serious")</f>
        <v>0</v>
      </c>
      <c r="P53" s="64">
        <f t="shared" si="57"/>
        <v>0</v>
      </c>
      <c r="Q53" s="65">
        <f t="shared" si="58"/>
        <v>0</v>
      </c>
      <c r="R53" s="64">
        <f>COUNTIFS('NAAs by State'!$C$4:$C$67,A53,'NAAs by State'!$F$4:$F$67,"Severe 15")</f>
        <v>0</v>
      </c>
      <c r="S53" s="64">
        <f t="shared" si="59"/>
        <v>0</v>
      </c>
      <c r="T53" s="65">
        <f t="shared" si="60"/>
        <v>0</v>
      </c>
      <c r="U53" s="64">
        <f>COUNTIFS('NAAs by State'!$C$4:$C$67,A53,'NAAs by State'!$F$4:$F$67,"Severe 17")</f>
        <v>0</v>
      </c>
      <c r="V53" s="64">
        <f t="shared" si="61"/>
        <v>0</v>
      </c>
      <c r="W53" s="65">
        <f t="shared" si="62"/>
        <v>0</v>
      </c>
      <c r="X53" s="64">
        <f>COUNTIFS('NAAs by State'!$C$4:$C$67,A53,'NAAs by State'!$F$4:$F$67,"Extreme")</f>
        <v>0</v>
      </c>
      <c r="Y53" s="64">
        <f t="shared" si="63"/>
        <v>0</v>
      </c>
      <c r="Z53" s="65">
        <f t="shared" si="64"/>
        <v>0</v>
      </c>
      <c r="AA53" s="205"/>
      <c r="AB53" s="205"/>
      <c r="AC53" s="205"/>
      <c r="AD53" s="231">
        <f>COUNTIF('Table 6 and 7'!$A$5:$E$8,A53)</f>
        <v>0</v>
      </c>
      <c r="AE53" s="64">
        <f t="shared" si="65"/>
        <v>0</v>
      </c>
      <c r="AF53" s="205">
        <f t="shared" si="66"/>
        <v>0</v>
      </c>
      <c r="AG53" s="231">
        <f>COUNTIF('Table 6 and 7'!$A$16:$E$23,A53)</f>
        <v>0</v>
      </c>
      <c r="AH53" s="64">
        <f t="shared" si="67"/>
        <v>0</v>
      </c>
      <c r="AI53" s="205">
        <f t="shared" si="68"/>
        <v>0</v>
      </c>
      <c r="AJ53" s="66">
        <f t="shared" si="69"/>
        <v>0</v>
      </c>
      <c r="AK53" s="67"/>
      <c r="AL53" s="67" t="str">
        <f t="shared" si="70"/>
        <v>WY</v>
      </c>
      <c r="AM53" s="67" t="str">
        <f>VLOOKUP(AL53,State_abrv,2,FALSE)</f>
        <v xml:space="preserve"> Wyoming</v>
      </c>
      <c r="AN53" s="67">
        <f t="shared" si="71"/>
        <v>8</v>
      </c>
      <c r="AO53" s="67">
        <f t="shared" si="72"/>
        <v>0</v>
      </c>
      <c r="AP53" s="67">
        <f t="shared" si="73"/>
        <v>0</v>
      </c>
      <c r="AQ53" s="64">
        <f t="shared" si="74"/>
        <v>0</v>
      </c>
      <c r="AR53" s="64">
        <f t="shared" si="75"/>
        <v>0</v>
      </c>
      <c r="AS53" s="66">
        <f t="shared" si="76"/>
        <v>0</v>
      </c>
      <c r="AT53" s="66">
        <f t="shared" si="77"/>
        <v>0</v>
      </c>
      <c r="AU53" s="68">
        <f t="shared" si="78"/>
        <v>0</v>
      </c>
    </row>
    <row r="54" spans="1:48" s="160" customFormat="1" x14ac:dyDescent="0.35">
      <c r="A54" s="62" t="s">
        <v>101</v>
      </c>
      <c r="B54" s="62">
        <v>9</v>
      </c>
      <c r="C54" s="62"/>
      <c r="D54" s="62"/>
      <c r="E54" s="62"/>
      <c r="F54" s="64">
        <f>COUNTIFS('NAAs by State'!$C$4:$C$67,A54,'NAAs by State'!$F$4:$F$67,"Marginal")-I54</f>
        <v>0</v>
      </c>
      <c r="G54" s="64">
        <f t="shared" si="51"/>
        <v>0</v>
      </c>
      <c r="H54" s="65">
        <f t="shared" si="52"/>
        <v>0</v>
      </c>
      <c r="I54" s="64">
        <f>COUNTIFS('NAAs by State'!$C$4:$C$67,A54,'NAAs by State'!$F$4:$F$67,"Marginal",'NAAs by State'!$H$4:$H$67,"Moderate")</f>
        <v>0</v>
      </c>
      <c r="J54" s="64">
        <f t="shared" si="53"/>
        <v>0</v>
      </c>
      <c r="K54" s="65">
        <f t="shared" si="54"/>
        <v>0</v>
      </c>
      <c r="L54" s="64">
        <f>COUNTIFS('NAAs by State'!$C$4:$C$67,A54,'NAAs by State'!$F$4:$F$67,"Moderate")</f>
        <v>0</v>
      </c>
      <c r="M54" s="64">
        <f t="shared" si="55"/>
        <v>0</v>
      </c>
      <c r="N54" s="65">
        <f t="shared" si="56"/>
        <v>0</v>
      </c>
      <c r="O54" s="64">
        <f>COUNTIFS('NAAs by State'!$C$4:$C$67,A54,'NAAs by State'!$F$4:$F$67,"Serious")</f>
        <v>0</v>
      </c>
      <c r="P54" s="64">
        <f t="shared" si="57"/>
        <v>0</v>
      </c>
      <c r="Q54" s="65">
        <f t="shared" si="58"/>
        <v>0</v>
      </c>
      <c r="R54" s="64">
        <f>COUNTIFS('NAAs by State'!$C$4:$C$67,A54,'NAAs by State'!$F$4:$F$67,"Severe 15")</f>
        <v>0</v>
      </c>
      <c r="S54" s="64">
        <f t="shared" si="59"/>
        <v>0</v>
      </c>
      <c r="T54" s="65">
        <f t="shared" si="60"/>
        <v>0</v>
      </c>
      <c r="U54" s="64">
        <f>COUNTIFS('NAAs by State'!$C$4:$C$67,A54,'NAAs by State'!$F$4:$F$67,"Severe 17")</f>
        <v>0</v>
      </c>
      <c r="V54" s="64">
        <f t="shared" si="61"/>
        <v>0</v>
      </c>
      <c r="W54" s="65">
        <f t="shared" si="62"/>
        <v>0</v>
      </c>
      <c r="X54" s="64">
        <f>COUNTIFS('NAAs by State'!$C$4:$C$67,A54,'NAAs by State'!$F$4:$F$67,"Extreme")</f>
        <v>0</v>
      </c>
      <c r="Y54" s="64">
        <f t="shared" si="63"/>
        <v>0</v>
      </c>
      <c r="Z54" s="65">
        <f t="shared" si="64"/>
        <v>0</v>
      </c>
      <c r="AA54" s="205"/>
      <c r="AB54" s="205"/>
      <c r="AC54" s="205"/>
      <c r="AD54" s="231">
        <f>COUNTIF('Table 6 and 7'!$A$5:$E$8,A54)</f>
        <v>0</v>
      </c>
      <c r="AE54" s="64">
        <f t="shared" si="65"/>
        <v>0</v>
      </c>
      <c r="AF54" s="205">
        <f t="shared" si="66"/>
        <v>0</v>
      </c>
      <c r="AG54" s="231">
        <f>COUNTIF('Table 6 and 7'!$A$16:$E$23,A54)</f>
        <v>0</v>
      </c>
      <c r="AH54" s="64">
        <f t="shared" si="67"/>
        <v>0</v>
      </c>
      <c r="AI54" s="205">
        <f t="shared" si="68"/>
        <v>0</v>
      </c>
      <c r="AJ54" s="66">
        <f t="shared" si="69"/>
        <v>0</v>
      </c>
      <c r="AK54" s="67"/>
      <c r="AL54" s="67" t="str">
        <f t="shared" si="70"/>
        <v>HI</v>
      </c>
      <c r="AM54" s="67"/>
      <c r="AN54" s="67">
        <f t="shared" si="71"/>
        <v>9</v>
      </c>
      <c r="AO54" s="67">
        <f t="shared" si="72"/>
        <v>0</v>
      </c>
      <c r="AP54" s="67">
        <f t="shared" si="73"/>
        <v>0</v>
      </c>
      <c r="AQ54" s="64">
        <f t="shared" si="74"/>
        <v>0</v>
      </c>
      <c r="AR54" s="64">
        <f t="shared" si="75"/>
        <v>0</v>
      </c>
      <c r="AS54" s="66">
        <f t="shared" si="76"/>
        <v>0</v>
      </c>
      <c r="AT54" s="66">
        <f t="shared" si="77"/>
        <v>0</v>
      </c>
      <c r="AU54" s="68">
        <f t="shared" si="78"/>
        <v>0</v>
      </c>
      <c r="AV54" s="64"/>
    </row>
    <row r="55" spans="1:48" s="64" customFormat="1" x14ac:dyDescent="0.35">
      <c r="A55" s="62" t="s">
        <v>100</v>
      </c>
      <c r="B55" s="62">
        <v>10</v>
      </c>
      <c r="C55" s="62"/>
      <c r="D55" s="62"/>
      <c r="E55" s="62"/>
      <c r="F55" s="64">
        <f>COUNTIFS('NAAs by State'!$C$4:$C$67,A55,'NAAs by State'!$F$4:$F$67,"Marginal")-I55</f>
        <v>0</v>
      </c>
      <c r="G55" s="64">
        <f t="shared" si="51"/>
        <v>0</v>
      </c>
      <c r="H55" s="65">
        <f t="shared" si="52"/>
        <v>0</v>
      </c>
      <c r="I55" s="64">
        <f>COUNTIFS('NAAs by State'!$C$4:$C$67,A55,'NAAs by State'!$F$4:$F$67,"Marginal",'NAAs by State'!$H$4:$H$67,"Moderate")</f>
        <v>0</v>
      </c>
      <c r="J55" s="64">
        <f t="shared" si="53"/>
        <v>0</v>
      </c>
      <c r="K55" s="65">
        <f>J55*$H$1</f>
        <v>0</v>
      </c>
      <c r="L55" s="64">
        <f>COUNTIFS('NAAs by State'!$C$4:$C$67,A55,'NAAs by State'!$F$4:$F$67,"Moderate")</f>
        <v>0</v>
      </c>
      <c r="M55" s="64">
        <f t="shared" si="55"/>
        <v>0</v>
      </c>
      <c r="N55" s="65">
        <f>M55*$H$1</f>
        <v>0</v>
      </c>
      <c r="O55" s="64">
        <f>COUNTIFS('NAAs by State'!$C$4:$C$67,A55,'NAAs by State'!$F$4:$F$67,"Serious")</f>
        <v>0</v>
      </c>
      <c r="P55" s="64">
        <f t="shared" si="57"/>
        <v>0</v>
      </c>
      <c r="Q55" s="65">
        <f>P55*$H$1</f>
        <v>0</v>
      </c>
      <c r="R55" s="64">
        <f>COUNTIFS('NAAs by State'!$C$4:$C$67,A55,'NAAs by State'!$F$4:$F$67,"Severe 15")</f>
        <v>0</v>
      </c>
      <c r="S55" s="64">
        <f t="shared" si="59"/>
        <v>0</v>
      </c>
      <c r="T55" s="65">
        <f>S55*$H$1</f>
        <v>0</v>
      </c>
      <c r="U55" s="64">
        <f>COUNTIFS('NAAs by State'!$C$4:$C$67,A55,'NAAs by State'!$F$4:$F$67,"Severe 17")</f>
        <v>0</v>
      </c>
      <c r="V55" s="64">
        <f t="shared" si="61"/>
        <v>0</v>
      </c>
      <c r="W55" s="65">
        <f>V55*$H$1</f>
        <v>0</v>
      </c>
      <c r="X55" s="64">
        <f>COUNTIFS('NAAs by State'!$C$4:$C$67,A55,'NAAs by State'!$F$4:$F$67,"Extreme")</f>
        <v>0</v>
      </c>
      <c r="Y55" s="64">
        <f t="shared" si="63"/>
        <v>0</v>
      </c>
      <c r="Z55" s="65">
        <f>Y55*$H$1</f>
        <v>0</v>
      </c>
      <c r="AA55" s="205"/>
      <c r="AB55" s="205"/>
      <c r="AC55" s="205"/>
      <c r="AD55" s="231">
        <f>COUNTIF('Table 6 and 7'!$A$5:$E$8,A55)</f>
        <v>0</v>
      </c>
      <c r="AE55" s="64">
        <f t="shared" si="65"/>
        <v>0</v>
      </c>
      <c r="AF55" s="205">
        <f t="shared" si="66"/>
        <v>0</v>
      </c>
      <c r="AG55" s="231">
        <f>COUNTIF('Table 6 and 7'!$A$16:$E$23,A55)</f>
        <v>0</v>
      </c>
      <c r="AH55" s="64">
        <f t="shared" si="67"/>
        <v>0</v>
      </c>
      <c r="AI55" s="205">
        <f t="shared" si="68"/>
        <v>0</v>
      </c>
      <c r="AJ55" s="66">
        <f t="shared" si="69"/>
        <v>0</v>
      </c>
      <c r="AK55" s="67"/>
      <c r="AL55" s="67" t="str">
        <f t="shared" si="70"/>
        <v>AK</v>
      </c>
      <c r="AM55" s="67"/>
      <c r="AN55" s="67">
        <f t="shared" si="71"/>
        <v>10</v>
      </c>
      <c r="AO55" s="67">
        <f t="shared" si="72"/>
        <v>0</v>
      </c>
      <c r="AP55" s="67">
        <f t="shared" si="73"/>
        <v>0</v>
      </c>
      <c r="AQ55" s="64">
        <f t="shared" si="74"/>
        <v>0</v>
      </c>
      <c r="AR55" s="64">
        <f t="shared" si="75"/>
        <v>0</v>
      </c>
      <c r="AS55" s="66">
        <f t="shared" si="76"/>
        <v>0</v>
      </c>
      <c r="AT55" s="66">
        <f t="shared" si="77"/>
        <v>0</v>
      </c>
      <c r="AU55" s="68">
        <f t="shared" si="78"/>
        <v>0</v>
      </c>
    </row>
    <row r="56" spans="1:48" s="64" customFormat="1" x14ac:dyDescent="0.35">
      <c r="A56" s="62" t="s">
        <v>39</v>
      </c>
      <c r="B56" s="62">
        <v>10</v>
      </c>
      <c r="C56" s="62"/>
      <c r="D56" s="62"/>
      <c r="E56" s="62"/>
      <c r="F56" s="64">
        <f>COUNTIFS('NAAs by State'!$C$4:$C$67,A56,'NAAs by State'!$F$4:$F$67,"Marginal")-I56</f>
        <v>0</v>
      </c>
      <c r="G56" s="64">
        <f t="shared" si="51"/>
        <v>0</v>
      </c>
      <c r="H56" s="65">
        <f t="shared" si="52"/>
        <v>0</v>
      </c>
      <c r="I56" s="64">
        <f>COUNTIFS('NAAs by State'!$C$4:$C$67,A56,'NAAs by State'!$F$4:$F$67,"Marginal",'NAAs by State'!$H$4:$H$67,"Moderate")</f>
        <v>0</v>
      </c>
      <c r="J56" s="64">
        <f t="shared" si="53"/>
        <v>0</v>
      </c>
      <c r="K56" s="65">
        <f>J56*63.87</f>
        <v>0</v>
      </c>
      <c r="L56" s="64">
        <f>COUNTIFS('NAAs by State'!$C$4:$C$67,A56,'NAAs by State'!$F$4:$F$67,"Moderate")</f>
        <v>0</v>
      </c>
      <c r="M56" s="64">
        <f t="shared" si="55"/>
        <v>0</v>
      </c>
      <c r="N56" s="65">
        <f>M56*63.87</f>
        <v>0</v>
      </c>
      <c r="O56" s="64">
        <f>COUNTIFS('NAAs by State'!$C$4:$C$67,A56,'NAAs by State'!$F$4:$F$67,"Serious")</f>
        <v>0</v>
      </c>
      <c r="P56" s="64">
        <f t="shared" si="57"/>
        <v>0</v>
      </c>
      <c r="Q56" s="65">
        <f>P56*63.87</f>
        <v>0</v>
      </c>
      <c r="R56" s="64">
        <f>COUNTIFS('NAAs by State'!$C$4:$C$67,A56,'NAAs by State'!$F$4:$F$67,"Severe 15")</f>
        <v>0</v>
      </c>
      <c r="S56" s="64">
        <f t="shared" si="59"/>
        <v>0</v>
      </c>
      <c r="T56" s="65">
        <f>S56*63.87</f>
        <v>0</v>
      </c>
      <c r="U56" s="64">
        <f>COUNTIFS('NAAs by State'!$C$4:$C$67,A56,'NAAs by State'!$F$4:$F$67,"Severe 17")</f>
        <v>0</v>
      </c>
      <c r="V56" s="64">
        <f t="shared" si="61"/>
        <v>0</v>
      </c>
      <c r="W56" s="65">
        <f>V56*63.87</f>
        <v>0</v>
      </c>
      <c r="X56" s="64">
        <f>COUNTIFS('NAAs by State'!$C$4:$C$67,A56,'NAAs by State'!$F$4:$F$67,"Extreme")</f>
        <v>0</v>
      </c>
      <c r="Y56" s="64">
        <f t="shared" si="63"/>
        <v>0</v>
      </c>
      <c r="Z56" s="65">
        <f>Y56*63.87</f>
        <v>0</v>
      </c>
      <c r="AA56" s="205"/>
      <c r="AB56" s="205"/>
      <c r="AC56" s="205"/>
      <c r="AD56" s="231">
        <f>COUNTIF('Table 6 and 7'!$A$5:$E$8,A56)</f>
        <v>0</v>
      </c>
      <c r="AE56" s="64">
        <f t="shared" si="65"/>
        <v>0</v>
      </c>
      <c r="AF56" s="205">
        <f t="shared" si="66"/>
        <v>0</v>
      </c>
      <c r="AG56" s="231">
        <f>COUNTIF('Table 6 and 7'!$A$16:$E$23,A56)</f>
        <v>0</v>
      </c>
      <c r="AH56" s="64">
        <f t="shared" si="67"/>
        <v>0</v>
      </c>
      <c r="AI56" s="205">
        <f t="shared" si="68"/>
        <v>0</v>
      </c>
      <c r="AJ56" s="66">
        <f t="shared" si="69"/>
        <v>0</v>
      </c>
      <c r="AK56" s="67"/>
      <c r="AL56" s="67" t="str">
        <f t="shared" si="70"/>
        <v>ID</v>
      </c>
      <c r="AM56" s="67"/>
      <c r="AN56" s="67">
        <f t="shared" si="71"/>
        <v>10</v>
      </c>
      <c r="AO56" s="67">
        <f t="shared" si="72"/>
        <v>0</v>
      </c>
      <c r="AP56" s="67">
        <f t="shared" si="73"/>
        <v>0</v>
      </c>
      <c r="AQ56" s="64">
        <f t="shared" si="74"/>
        <v>0</v>
      </c>
      <c r="AR56" s="64">
        <f t="shared" si="75"/>
        <v>0</v>
      </c>
      <c r="AS56" s="66">
        <f t="shared" si="76"/>
        <v>0</v>
      </c>
      <c r="AT56" s="66">
        <f t="shared" si="77"/>
        <v>0</v>
      </c>
      <c r="AU56" s="68">
        <f t="shared" si="78"/>
        <v>0</v>
      </c>
    </row>
    <row r="57" spans="1:48" s="64" customFormat="1" x14ac:dyDescent="0.35">
      <c r="A57" s="62" t="s">
        <v>60</v>
      </c>
      <c r="B57" s="62">
        <v>10</v>
      </c>
      <c r="C57" s="62"/>
      <c r="D57" s="62"/>
      <c r="E57" s="62"/>
      <c r="F57" s="64">
        <f>COUNTIFS('NAAs by State'!$C$4:$C$67,A57,'NAAs by State'!$F$4:$F$67,"Marginal")-I57</f>
        <v>0</v>
      </c>
      <c r="G57" s="64">
        <f t="shared" si="51"/>
        <v>0</v>
      </c>
      <c r="H57" s="65">
        <f t="shared" si="52"/>
        <v>0</v>
      </c>
      <c r="I57" s="64">
        <f>COUNTIFS('NAAs by State'!$C$4:$C$67,A57,'NAAs by State'!$F$4:$F$67,"Marginal",'NAAs by State'!$H$4:$H$67,"Moderate")</f>
        <v>0</v>
      </c>
      <c r="J57" s="64">
        <f t="shared" si="53"/>
        <v>0</v>
      </c>
      <c r="K57" s="65">
        <f>J57*63.87</f>
        <v>0</v>
      </c>
      <c r="L57" s="64">
        <f>COUNTIFS('NAAs by State'!$C$4:$C$67,A57,'NAAs by State'!$F$4:$F$67,"Moderate")</f>
        <v>0</v>
      </c>
      <c r="M57" s="64">
        <f t="shared" si="55"/>
        <v>0</v>
      </c>
      <c r="N57" s="65">
        <f>M57*63.87</f>
        <v>0</v>
      </c>
      <c r="O57" s="64">
        <f>COUNTIFS('NAAs by State'!$C$4:$C$67,A57,'NAAs by State'!$F$4:$F$67,"Serious")</f>
        <v>0</v>
      </c>
      <c r="P57" s="64">
        <f t="shared" si="57"/>
        <v>0</v>
      </c>
      <c r="Q57" s="65">
        <f>P57*63.87</f>
        <v>0</v>
      </c>
      <c r="R57" s="64">
        <f>COUNTIFS('NAAs by State'!$C$4:$C$67,A57,'NAAs by State'!$F$4:$F$67,"Severe 15")</f>
        <v>0</v>
      </c>
      <c r="S57" s="64">
        <f t="shared" si="59"/>
        <v>0</v>
      </c>
      <c r="T57" s="65">
        <f>S57*63.87</f>
        <v>0</v>
      </c>
      <c r="U57" s="64">
        <f>COUNTIFS('NAAs by State'!$C$4:$C$67,A57,'NAAs by State'!$F$4:$F$67,"Severe 17")</f>
        <v>0</v>
      </c>
      <c r="V57" s="64">
        <f t="shared" si="61"/>
        <v>0</v>
      </c>
      <c r="W57" s="65">
        <f>V57*63.87</f>
        <v>0</v>
      </c>
      <c r="X57" s="64">
        <f>COUNTIFS('NAAs by State'!$C$4:$C$67,A57,'NAAs by State'!$F$4:$F$67,"Extreme")</f>
        <v>0</v>
      </c>
      <c r="Y57" s="64">
        <f t="shared" si="63"/>
        <v>0</v>
      </c>
      <c r="Z57" s="65">
        <f>Y57*63.87</f>
        <v>0</v>
      </c>
      <c r="AA57" s="205"/>
      <c r="AB57" s="205"/>
      <c r="AC57" s="205"/>
      <c r="AD57" s="231">
        <f>COUNTIF('Table 6 and 7'!$A$5:$E$8,A57)</f>
        <v>0</v>
      </c>
      <c r="AE57" s="64">
        <f t="shared" si="65"/>
        <v>0</v>
      </c>
      <c r="AF57" s="205">
        <f t="shared" si="66"/>
        <v>0</v>
      </c>
      <c r="AG57" s="231">
        <f>COUNTIF('Table 6 and 7'!$A$16:$E$23,A57)</f>
        <v>0</v>
      </c>
      <c r="AH57" s="64">
        <f t="shared" si="67"/>
        <v>0</v>
      </c>
      <c r="AI57" s="205">
        <f t="shared" si="68"/>
        <v>0</v>
      </c>
      <c r="AJ57" s="66">
        <f t="shared" si="69"/>
        <v>0</v>
      </c>
      <c r="AK57" s="67"/>
      <c r="AL57" s="67" t="str">
        <f t="shared" si="70"/>
        <v>OR</v>
      </c>
      <c r="AM57" s="67"/>
      <c r="AN57" s="67">
        <f t="shared" si="71"/>
        <v>10</v>
      </c>
      <c r="AO57" s="67">
        <f t="shared" si="72"/>
        <v>0</v>
      </c>
      <c r="AP57" s="67">
        <f t="shared" si="73"/>
        <v>0</v>
      </c>
      <c r="AQ57" s="64">
        <f t="shared" si="74"/>
        <v>0</v>
      </c>
      <c r="AR57" s="64">
        <f t="shared" si="75"/>
        <v>0</v>
      </c>
      <c r="AS57" s="66">
        <f t="shared" si="76"/>
        <v>0</v>
      </c>
      <c r="AT57" s="66">
        <f t="shared" si="77"/>
        <v>0</v>
      </c>
      <c r="AU57" s="68">
        <f t="shared" si="78"/>
        <v>0</v>
      </c>
    </row>
    <row r="58" spans="1:48" s="64" customFormat="1" ht="15" thickBot="1" x14ac:dyDescent="0.4">
      <c r="A58" s="62" t="s">
        <v>68</v>
      </c>
      <c r="B58" s="62">
        <v>10</v>
      </c>
      <c r="C58" s="62"/>
      <c r="D58" s="62"/>
      <c r="E58" s="62"/>
      <c r="F58" s="64">
        <f>COUNTIFS('NAAs by State'!$C$4:$C$67,A58,'NAAs by State'!$F$4:$F$67,"Marginal")-I58</f>
        <v>0</v>
      </c>
      <c r="G58" s="64">
        <f t="shared" si="51"/>
        <v>0</v>
      </c>
      <c r="H58" s="65">
        <f t="shared" si="52"/>
        <v>0</v>
      </c>
      <c r="I58" s="64">
        <f>COUNTIFS('NAAs by State'!$C$4:$C$67,A58,'NAAs by State'!$F$4:$F$67,"Marginal",'NAAs by State'!$H$4:$H$67,"Moderate")</f>
        <v>0</v>
      </c>
      <c r="J58" s="64">
        <f t="shared" si="53"/>
        <v>0</v>
      </c>
      <c r="K58" s="65">
        <f>J58*63.87</f>
        <v>0</v>
      </c>
      <c r="L58" s="64">
        <f>COUNTIFS('NAAs by State'!$C$4:$C$67,A58,'NAAs by State'!$F$4:$F$67,"Moderate")</f>
        <v>0</v>
      </c>
      <c r="M58" s="64">
        <f t="shared" si="55"/>
        <v>0</v>
      </c>
      <c r="N58" s="65">
        <f>M58*63.87</f>
        <v>0</v>
      </c>
      <c r="O58" s="64">
        <f>COUNTIFS('NAAs by State'!$C$4:$C$67,A58,'NAAs by State'!$F$4:$F$67,"Serious")</f>
        <v>0</v>
      </c>
      <c r="P58" s="64">
        <f t="shared" si="57"/>
        <v>0</v>
      </c>
      <c r="Q58" s="65">
        <f>P58*63.87</f>
        <v>0</v>
      </c>
      <c r="R58" s="64">
        <f>COUNTIFS('NAAs by State'!$C$4:$C$67,A58,'NAAs by State'!$F$4:$F$67,"Severe 15")</f>
        <v>0</v>
      </c>
      <c r="S58" s="64">
        <f t="shared" si="59"/>
        <v>0</v>
      </c>
      <c r="T58" s="65">
        <f>S58*63.87</f>
        <v>0</v>
      </c>
      <c r="U58" s="64">
        <f>COUNTIFS('NAAs by State'!$C$4:$C$67,A58,'NAAs by State'!$F$4:$F$67,"Severe 17")</f>
        <v>0</v>
      </c>
      <c r="V58" s="64">
        <f t="shared" si="61"/>
        <v>0</v>
      </c>
      <c r="W58" s="65">
        <f>V58*63.87</f>
        <v>0</v>
      </c>
      <c r="X58" s="64">
        <f>COUNTIFS('NAAs by State'!$C$4:$C$67,A58,'NAAs by State'!$F$4:$F$67,"Extreme")</f>
        <v>0</v>
      </c>
      <c r="Y58" s="64">
        <f t="shared" si="63"/>
        <v>0</v>
      </c>
      <c r="Z58" s="65">
        <f>Y58*63.87</f>
        <v>0</v>
      </c>
      <c r="AA58" s="205"/>
      <c r="AB58" s="205"/>
      <c r="AC58" s="205"/>
      <c r="AD58" s="231">
        <f>COUNTIF('Table 6 and 7'!$A$5:$E$8,A58)</f>
        <v>0</v>
      </c>
      <c r="AE58" s="64">
        <f t="shared" si="65"/>
        <v>0</v>
      </c>
      <c r="AF58" s="205">
        <f t="shared" si="66"/>
        <v>0</v>
      </c>
      <c r="AG58" s="231">
        <f>COUNTIF('Table 6 and 7'!$A$16:$E$23,A58)</f>
        <v>0</v>
      </c>
      <c r="AH58" s="64">
        <f t="shared" si="67"/>
        <v>0</v>
      </c>
      <c r="AI58" s="205">
        <f t="shared" si="68"/>
        <v>0</v>
      </c>
      <c r="AJ58" s="66">
        <f t="shared" si="69"/>
        <v>0</v>
      </c>
      <c r="AK58" s="67"/>
      <c r="AL58" s="67" t="str">
        <f t="shared" si="70"/>
        <v>WA</v>
      </c>
      <c r="AM58" s="67"/>
      <c r="AN58" s="67">
        <f t="shared" si="71"/>
        <v>10</v>
      </c>
      <c r="AO58" s="67">
        <f t="shared" si="72"/>
        <v>0</v>
      </c>
      <c r="AP58" s="67">
        <f t="shared" si="73"/>
        <v>0</v>
      </c>
      <c r="AQ58" s="64">
        <f t="shared" si="74"/>
        <v>0</v>
      </c>
      <c r="AR58" s="64">
        <f t="shared" si="75"/>
        <v>0</v>
      </c>
      <c r="AS58" s="66">
        <f t="shared" si="76"/>
        <v>0</v>
      </c>
      <c r="AT58" s="66">
        <f t="shared" si="77"/>
        <v>0</v>
      </c>
      <c r="AU58" s="68">
        <f t="shared" si="78"/>
        <v>0</v>
      </c>
    </row>
    <row r="59" spans="1:48" s="64" customFormat="1" ht="15" thickBot="1" x14ac:dyDescent="0.4">
      <c r="A59" s="62"/>
      <c r="B59" s="62"/>
      <c r="C59" s="62"/>
      <c r="D59" s="62"/>
      <c r="E59" s="62"/>
      <c r="F59" s="64">
        <f>SUM(F36:F58)</f>
        <v>0</v>
      </c>
      <c r="H59" s="65"/>
      <c r="I59" s="64">
        <f>SUM(I36:I58)</f>
        <v>0</v>
      </c>
      <c r="K59" s="65"/>
      <c r="L59" s="64">
        <f>SUM(L36:L58)</f>
        <v>0</v>
      </c>
      <c r="N59" s="65"/>
      <c r="O59" s="64">
        <f>SUM(O36:O58)</f>
        <v>0</v>
      </c>
      <c r="Q59" s="65"/>
      <c r="R59" s="64">
        <f>SUM(R36:R58)</f>
        <v>0</v>
      </c>
      <c r="T59" s="65"/>
      <c r="U59" s="64">
        <f>SUM(U36:U58)</f>
        <v>0</v>
      </c>
      <c r="W59" s="65"/>
      <c r="X59" s="64">
        <f>SUM(X36:X58)</f>
        <v>0</v>
      </c>
      <c r="Z59" s="65"/>
      <c r="AA59" s="205"/>
      <c r="AB59" s="205"/>
      <c r="AC59" s="205"/>
      <c r="AD59" s="64">
        <f>SUM(AD36:AD58)</f>
        <v>3</v>
      </c>
      <c r="AE59" s="64">
        <f t="shared" ref="AE59:AF59" si="80">SUM(AE36:AE58)</f>
        <v>300</v>
      </c>
      <c r="AF59" s="195">
        <f t="shared" si="80"/>
        <v>22050</v>
      </c>
      <c r="AG59" s="64">
        <f>SUM(AG36:AG58)</f>
        <v>1</v>
      </c>
      <c r="AH59" s="64">
        <f t="shared" ref="AH59" si="81">SUM(AH36:AH58)</f>
        <v>100</v>
      </c>
      <c r="AI59" s="195">
        <f t="shared" ref="AI59:AK59" si="82">SUM(AI36:AI58)</f>
        <v>7350</v>
      </c>
      <c r="AJ59" s="195">
        <f t="shared" si="82"/>
        <v>29400</v>
      </c>
      <c r="AK59" s="64">
        <f t="shared" si="82"/>
        <v>400</v>
      </c>
      <c r="AL59" s="67"/>
      <c r="AM59" s="67"/>
      <c r="AN59" s="67"/>
      <c r="AO59" s="254">
        <f>SUM(AO36:AO58)</f>
        <v>4</v>
      </c>
      <c r="AP59" s="255">
        <f t="shared" ref="AP59:AV59" si="83">SUM(AP36:AP58)</f>
        <v>200</v>
      </c>
      <c r="AQ59" s="255">
        <f t="shared" si="83"/>
        <v>100</v>
      </c>
      <c r="AR59" s="255">
        <f t="shared" si="83"/>
        <v>100</v>
      </c>
      <c r="AS59" s="255">
        <f t="shared" si="83"/>
        <v>14700</v>
      </c>
      <c r="AT59" s="255">
        <f t="shared" si="83"/>
        <v>7350</v>
      </c>
      <c r="AU59" s="256">
        <f t="shared" si="83"/>
        <v>7350</v>
      </c>
      <c r="AV59" s="67">
        <f t="shared" si="83"/>
        <v>0</v>
      </c>
    </row>
    <row r="60" spans="1:48" x14ac:dyDescent="0.35">
      <c r="C60" s="54">
        <f>C33+C59</f>
        <v>13</v>
      </c>
      <c r="D60" s="54">
        <f>D33+D59</f>
        <v>6500</v>
      </c>
      <c r="E60" s="65">
        <f t="shared" ref="E60" si="84">D60*$H$1</f>
        <v>477750</v>
      </c>
      <c r="F60" s="54">
        <f>F33+F59</f>
        <v>13</v>
      </c>
      <c r="G60" s="54">
        <f>G33+G59</f>
        <v>1300</v>
      </c>
      <c r="H60" s="65">
        <f t="shared" ref="H60" si="85">G60*$H$1</f>
        <v>95550</v>
      </c>
      <c r="I60" s="54">
        <f>I33+I59</f>
        <v>36</v>
      </c>
      <c r="J60" s="54">
        <f>J33+J59</f>
        <v>183600</v>
      </c>
      <c r="K60" s="65">
        <f t="shared" ref="K60" si="86">J60*$H$1</f>
        <v>13494600</v>
      </c>
      <c r="L60" s="54">
        <f>L33+L59</f>
        <v>7</v>
      </c>
      <c r="M60" s="54">
        <f>M33+M59</f>
        <v>35000</v>
      </c>
      <c r="N60" s="65">
        <f t="shared" ref="N60" si="87">M60*$H$1</f>
        <v>2572500</v>
      </c>
      <c r="O60" s="54">
        <f>O33+O59</f>
        <v>1</v>
      </c>
      <c r="P60" s="54">
        <f>P33+P59</f>
        <v>20000</v>
      </c>
      <c r="Q60" s="65">
        <f t="shared" ref="Q60" si="88">P60*$H$1</f>
        <v>1470000</v>
      </c>
      <c r="R60" s="54">
        <f>R33+R59</f>
        <v>2</v>
      </c>
      <c r="S60" s="54">
        <f>S33+S59</f>
        <v>10000</v>
      </c>
      <c r="T60" s="65">
        <f t="shared" ref="T60" si="89">S60*$H$1</f>
        <v>735000</v>
      </c>
      <c r="U60" s="54">
        <f>U33+U59</f>
        <v>0</v>
      </c>
      <c r="V60" s="54">
        <f>V33+V59</f>
        <v>0</v>
      </c>
      <c r="W60" s="65">
        <f t="shared" ref="W60" si="90">V60*$H$1</f>
        <v>0</v>
      </c>
      <c r="X60" s="54">
        <f>X33+X59</f>
        <v>2</v>
      </c>
      <c r="Y60" s="54">
        <f>Y33+Y59</f>
        <v>40000</v>
      </c>
      <c r="Z60" s="65">
        <f t="shared" ref="Z60" si="91">Y60*$H$1</f>
        <v>2940000</v>
      </c>
      <c r="AA60" s="54">
        <f>AA33+AA59</f>
        <v>12</v>
      </c>
      <c r="AB60" s="54">
        <f>AB33+AB59</f>
        <v>60000</v>
      </c>
      <c r="AC60" s="65">
        <f t="shared" ref="AC60" si="92">AB60*$H$1</f>
        <v>4410000</v>
      </c>
      <c r="AD60" s="54">
        <f>AD33+AD59</f>
        <v>3</v>
      </c>
      <c r="AE60" s="54">
        <f>AE33+AE59</f>
        <v>300</v>
      </c>
      <c r="AF60" s="65">
        <f t="shared" ref="AF60" si="93">AE60*$H$1</f>
        <v>22050</v>
      </c>
      <c r="AG60" s="54">
        <f>AG33+AG59</f>
        <v>7</v>
      </c>
      <c r="AH60" s="54">
        <f>AH33+AH59</f>
        <v>700</v>
      </c>
      <c r="AI60" s="65">
        <f t="shared" ref="AI60" si="94">AH60*$H$1</f>
        <v>51450</v>
      </c>
      <c r="AJ60" s="96">
        <f>SUM(H60,K60,N60,Q60,T60,W60,Z60,E60,AC60,AF60,AI60)</f>
        <v>26268900</v>
      </c>
      <c r="AK60" s="97">
        <f>SUM(G60,J60,M60,P60,S60,V60,Y60,D60,AH60,AE60,AB60)</f>
        <v>357400</v>
      </c>
      <c r="AL60" s="197">
        <f>F60+I60+L60+O60+R60+U60+X60+C60+AA60+AD60+AG60</f>
        <v>96</v>
      </c>
      <c r="AM60" s="98"/>
      <c r="AN60" s="98"/>
      <c r="AO60" s="125">
        <f>AO33+AO59</f>
        <v>96</v>
      </c>
      <c r="AP60" s="125">
        <f t="shared" ref="AP60:AU60" si="95">AP33+AP59</f>
        <v>178700</v>
      </c>
      <c r="AQ60" s="125">
        <f t="shared" si="95"/>
        <v>89350</v>
      </c>
      <c r="AR60" s="125">
        <f t="shared" si="95"/>
        <v>89350</v>
      </c>
      <c r="AS60" s="257">
        <f t="shared" si="95"/>
        <v>13134450</v>
      </c>
      <c r="AT60" s="257">
        <f t="shared" si="95"/>
        <v>6567225</v>
      </c>
      <c r="AU60" s="257">
        <f t="shared" si="95"/>
        <v>6567225</v>
      </c>
      <c r="AV60" s="10">
        <f>SUM(AS60:AU60)</f>
        <v>26268900</v>
      </c>
    </row>
    <row r="61" spans="1:48" x14ac:dyDescent="0.35">
      <c r="F61" s="54"/>
      <c r="G61" s="81"/>
      <c r="H61" s="65"/>
      <c r="I61" s="54"/>
      <c r="J61" s="81"/>
      <c r="K61" s="65"/>
      <c r="L61" s="54"/>
      <c r="M61" s="81"/>
      <c r="N61" s="65"/>
      <c r="O61" s="54"/>
      <c r="P61" s="81"/>
      <c r="Q61" s="65"/>
      <c r="R61" s="54"/>
      <c r="S61" s="81"/>
      <c r="T61" s="65"/>
      <c r="U61" s="54"/>
      <c r="V61" s="81"/>
      <c r="W61" s="65"/>
      <c r="X61" s="54"/>
      <c r="Y61" s="81"/>
      <c r="Z61" s="65"/>
      <c r="AA61" s="205"/>
      <c r="AB61" s="205"/>
      <c r="AC61" s="205"/>
      <c r="AD61" s="205"/>
      <c r="AE61" s="205"/>
      <c r="AF61" s="205"/>
      <c r="AG61" s="205"/>
      <c r="AH61" s="205"/>
      <c r="AI61" s="205"/>
      <c r="AJ61" s="126"/>
      <c r="AK61" s="67">
        <f>COUNT(AK36:AK58)</f>
        <v>3</v>
      </c>
      <c r="AL61" s="234" t="s">
        <v>462</v>
      </c>
      <c r="AM61" s="98"/>
      <c r="AN61" s="98"/>
      <c r="AO61" s="98"/>
      <c r="AP61" s="98"/>
      <c r="AQ61" s="98"/>
      <c r="AR61" s="98"/>
      <c r="AS61" s="98"/>
      <c r="AT61" s="98"/>
      <c r="AU61" s="98"/>
      <c r="AV61" s="10"/>
    </row>
    <row r="62" spans="1:48" x14ac:dyDescent="0.35">
      <c r="A62" s="191" t="s">
        <v>468</v>
      </c>
      <c r="B62" s="238"/>
      <c r="H62" s="82">
        <f>F60+I60+L60+O60+R60+U60+X60+C60+AA60</f>
        <v>86</v>
      </c>
      <c r="I62" s="82">
        <f>G60+J60+M60+P60+S60+V60+Y60+D60+AB60</f>
        <v>356400</v>
      </c>
      <c r="J62" s="78" t="s">
        <v>225</v>
      </c>
      <c r="K62" s="9"/>
      <c r="Z62" s="9"/>
      <c r="AA62" s="78"/>
      <c r="AB62" s="78"/>
      <c r="AC62" s="78"/>
      <c r="AD62" s="78"/>
      <c r="AE62" s="78"/>
      <c r="AF62" s="78"/>
      <c r="AG62" s="78"/>
      <c r="AH62" s="78"/>
      <c r="AI62" s="78"/>
      <c r="AJ62" s="185"/>
    </row>
    <row r="63" spans="1:48" x14ac:dyDescent="0.35">
      <c r="B63" s="239">
        <f>AK35+AK61</f>
        <v>31</v>
      </c>
      <c r="C63" s="151"/>
      <c r="D63" s="151"/>
      <c r="E63" s="151"/>
      <c r="I63" s="9" t="s">
        <v>189</v>
      </c>
      <c r="K63" s="9"/>
      <c r="Z63" s="9"/>
      <c r="AA63" s="78"/>
      <c r="AB63" s="78"/>
      <c r="AC63" s="78"/>
      <c r="AD63" s="78"/>
      <c r="AE63" s="78"/>
      <c r="AF63" s="78"/>
      <c r="AG63" s="78"/>
      <c r="AH63" s="78"/>
      <c r="AI63" s="78"/>
    </row>
    <row r="64" spans="1:48" ht="43.5" x14ac:dyDescent="0.35">
      <c r="B64" s="152" t="s">
        <v>233</v>
      </c>
      <c r="C64" s="152"/>
      <c r="D64" s="152"/>
      <c r="E64" s="152"/>
      <c r="F64" s="54"/>
      <c r="G64" s="81"/>
      <c r="H64" s="65"/>
      <c r="I64" s="54"/>
      <c r="J64" s="81"/>
      <c r="K64" s="65"/>
      <c r="L64" s="54"/>
      <c r="M64" s="81"/>
      <c r="N64" s="65"/>
      <c r="O64" s="54"/>
      <c r="P64" s="81"/>
      <c r="Q64" s="65"/>
      <c r="R64" s="54"/>
      <c r="S64" s="81"/>
      <c r="T64" s="65"/>
      <c r="U64" s="54"/>
      <c r="V64" s="81"/>
      <c r="W64" s="65"/>
      <c r="X64" s="54"/>
      <c r="Y64" s="81"/>
      <c r="Z64" s="65"/>
      <c r="AA64" s="205"/>
      <c r="AB64" s="205"/>
      <c r="AC64" s="205"/>
      <c r="AD64" s="205"/>
      <c r="AE64" s="205"/>
      <c r="AF64" s="205"/>
      <c r="AG64" s="205"/>
      <c r="AH64" s="205"/>
      <c r="AI64" s="205"/>
      <c r="AJ64" s="126"/>
      <c r="AK64" s="81"/>
      <c r="AL64" s="98"/>
      <c r="AM64" s="98"/>
      <c r="AN64" s="98"/>
      <c r="AO64" s="98"/>
      <c r="AP64" s="98"/>
      <c r="AQ64" s="98"/>
      <c r="AR64" s="98"/>
      <c r="AS64" s="98"/>
      <c r="AT64" s="98"/>
      <c r="AU64" s="98"/>
      <c r="AV64" s="10"/>
    </row>
    <row r="65" spans="1:47" ht="15" thickBot="1" x14ac:dyDescent="0.4">
      <c r="K65" s="9"/>
      <c r="Z65" s="9"/>
      <c r="AA65" s="78"/>
      <c r="AB65" s="78"/>
      <c r="AC65" s="78"/>
      <c r="AD65" s="78"/>
      <c r="AE65" s="78"/>
      <c r="AF65" s="78"/>
      <c r="AG65" s="78"/>
      <c r="AH65" s="78"/>
      <c r="AI65" s="78"/>
      <c r="AJ65" s="16"/>
      <c r="AK65" s="11"/>
      <c r="AL65" s="11"/>
      <c r="AM65" s="11"/>
      <c r="AN65" s="11"/>
      <c r="AO65" s="11"/>
      <c r="AP65" s="11"/>
      <c r="AU65" s="12"/>
    </row>
    <row r="66" spans="1:47" s="64" customFormat="1" ht="15" thickBot="1" x14ac:dyDescent="0.4">
      <c r="A66" s="123" t="s">
        <v>227</v>
      </c>
      <c r="B66" s="62"/>
      <c r="C66" s="62"/>
      <c r="D66" s="62"/>
      <c r="E66" s="62"/>
      <c r="H66" s="65"/>
      <c r="K66" s="65">
        <f>J66*63.87</f>
        <v>0</v>
      </c>
      <c r="N66" s="65">
        <f>M66*63.87</f>
        <v>0</v>
      </c>
      <c r="Q66" s="65">
        <f>P66*63.87</f>
        <v>0</v>
      </c>
      <c r="T66" s="65">
        <f>S66*63.87</f>
        <v>0</v>
      </c>
      <c r="W66" s="65">
        <f>V66*63.87</f>
        <v>0</v>
      </c>
      <c r="Z66" s="65">
        <f>Y66*63.87</f>
        <v>0</v>
      </c>
      <c r="AA66" s="205"/>
      <c r="AB66" s="205"/>
      <c r="AC66" s="205"/>
      <c r="AD66" s="205"/>
      <c r="AE66" s="205"/>
      <c r="AF66" s="205"/>
      <c r="AG66" s="205"/>
      <c r="AH66" s="205"/>
      <c r="AI66" s="205"/>
      <c r="AJ66" s="66"/>
      <c r="AK66" s="67"/>
      <c r="AL66" s="67" t="str">
        <f>A66</f>
        <v>(2 Tribal areas in CA that R9 will Implement)</v>
      </c>
      <c r="AM66" s="104" t="s">
        <v>197</v>
      </c>
      <c r="AN66" s="105"/>
      <c r="AO66" s="105">
        <f>AO60</f>
        <v>96</v>
      </c>
      <c r="AP66" s="105">
        <f t="shared" ref="AP66:AU66" si="96">AP60</f>
        <v>178700</v>
      </c>
      <c r="AQ66" s="105">
        <f t="shared" si="96"/>
        <v>89350</v>
      </c>
      <c r="AR66" s="105">
        <f t="shared" si="96"/>
        <v>89350</v>
      </c>
      <c r="AS66" s="105">
        <f t="shared" si="96"/>
        <v>13134450</v>
      </c>
      <c r="AT66" s="105">
        <f t="shared" si="96"/>
        <v>6567225</v>
      </c>
      <c r="AU66" s="105">
        <f t="shared" si="96"/>
        <v>6567225</v>
      </c>
    </row>
    <row r="67" spans="1:47" s="64" customFormat="1" x14ac:dyDescent="0.35">
      <c r="A67" s="95" t="s">
        <v>192</v>
      </c>
      <c r="B67" s="95">
        <v>9</v>
      </c>
      <c r="C67" s="95">
        <v>0</v>
      </c>
      <c r="D67" s="95">
        <v>0</v>
      </c>
      <c r="E67" s="95">
        <v>0</v>
      </c>
      <c r="F67" s="93">
        <f>COUNTIFS('NAAs by State'!$C$4:$C$63,A67,'NAAs by State'!$F$4:$F$63,"Marginal")-I67</f>
        <v>0</v>
      </c>
      <c r="G67" s="93">
        <f>F67*100</f>
        <v>0</v>
      </c>
      <c r="H67" s="65">
        <f t="shared" ref="H67" si="97">G67*$H$1</f>
        <v>0</v>
      </c>
      <c r="I67" s="93">
        <f>COUNTIFS('NAAs by State'!$C$4:$C$63,A67,'NAAs by State'!$F$4:$F$63,"Marginal",'NAAs by State'!$H$4:$H$63,"Moderate")</f>
        <v>1</v>
      </c>
      <c r="J67" s="93">
        <f>I67*5100</f>
        <v>5100</v>
      </c>
      <c r="K67" s="65">
        <f t="shared" ref="K67" si="98">J67*$H$1</f>
        <v>374850</v>
      </c>
      <c r="L67" s="93">
        <f>COUNTIFS('NAAs by State'!$C$4:$C$63,A67,'NAAs by State'!$F$4:$F$63,"Moderate")</f>
        <v>0</v>
      </c>
      <c r="M67" s="93">
        <f>L67*5000</f>
        <v>0</v>
      </c>
      <c r="N67" s="65">
        <f t="shared" ref="N67" si="99">M67*$H$1</f>
        <v>0</v>
      </c>
      <c r="O67" s="93">
        <f>COUNTIFS('NAAs by State'!$C$4:$C$63,A67,'NAAs by State'!$F$4:$F$63,"Serious")</f>
        <v>1</v>
      </c>
      <c r="P67" s="93">
        <v>20000</v>
      </c>
      <c r="Q67" s="65">
        <f t="shared" ref="Q67" si="100">P67*$H$1</f>
        <v>1470000</v>
      </c>
      <c r="R67" s="93">
        <f>COUNTIFS('NAAs by State'!$C$4:$C$63,A67,'NAAs by State'!$F$4:$F$63,"Severe 15")</f>
        <v>0</v>
      </c>
      <c r="S67" s="93">
        <f>R67*5000</f>
        <v>0</v>
      </c>
      <c r="T67" s="65">
        <f t="shared" ref="T67" si="101">S67*$H$1</f>
        <v>0</v>
      </c>
      <c r="U67" s="93">
        <f>COUNTIFS('NAAs by State'!$C$4:$C$63,A67,'NAAs by State'!$F$4:$F$63,"Severe 17")</f>
        <v>0</v>
      </c>
      <c r="V67" s="93">
        <f>U67*5000</f>
        <v>0</v>
      </c>
      <c r="W67" s="65">
        <f t="shared" ref="W67" si="102">V67*$H$1</f>
        <v>0</v>
      </c>
      <c r="X67" s="93">
        <f>COUNTIFS('NAAs by State'!$C$4:$C$63,A67,'NAAs by State'!$F$4:$F$63,"Extreme")</f>
        <v>0</v>
      </c>
      <c r="Y67" s="93">
        <f>X67*5000</f>
        <v>0</v>
      </c>
      <c r="Z67" s="65">
        <f t="shared" ref="Z67" si="103">Y67*$H$1</f>
        <v>0</v>
      </c>
      <c r="AA67" s="205"/>
      <c r="AB67" s="205"/>
      <c r="AC67" s="205"/>
      <c r="AD67" s="205"/>
      <c r="AE67" s="205"/>
      <c r="AF67" s="205"/>
      <c r="AG67" s="235">
        <v>1</v>
      </c>
      <c r="AH67" s="235">
        <v>100</v>
      </c>
      <c r="AI67" s="205">
        <f t="shared" ref="AI67" si="104">AH67*$H$1</f>
        <v>7350</v>
      </c>
      <c r="AJ67" s="96">
        <f>SUM(H67,K67,N67,Q67,T67,W67,Z67,AI67)</f>
        <v>1852200</v>
      </c>
      <c r="AK67" s="97">
        <f>SUM(G67,J67,M67,P67,S67,V67,Y67,AH67)</f>
        <v>25200</v>
      </c>
      <c r="AL67" s="67" t="str">
        <f>A67</f>
        <v>R9</v>
      </c>
      <c r="AM67" s="67" t="s">
        <v>196</v>
      </c>
      <c r="AN67" s="67">
        <f>B67</f>
        <v>9</v>
      </c>
      <c r="AO67" s="67">
        <f>F67+I67+L67+O67+R67+U67+X67</f>
        <v>2</v>
      </c>
      <c r="AP67" s="97">
        <f>AK67/2</f>
        <v>12600</v>
      </c>
      <c r="AQ67" s="93">
        <f>AP67/2</f>
        <v>6300</v>
      </c>
      <c r="AR67" s="93">
        <f>AP67/2</f>
        <v>6300</v>
      </c>
      <c r="AS67" s="96">
        <f>AJ67/2</f>
        <v>926100</v>
      </c>
      <c r="AT67" s="96">
        <f>AS67/2</f>
        <v>463050</v>
      </c>
      <c r="AU67" s="132">
        <f>AS67/2</f>
        <v>463050</v>
      </c>
    </row>
    <row r="68" spans="1:47" x14ac:dyDescent="0.35">
      <c r="K68" s="9"/>
      <c r="Z68" s="9"/>
      <c r="AA68" s="78"/>
      <c r="AB68" s="78"/>
      <c r="AC68" s="78"/>
      <c r="AD68" s="78"/>
      <c r="AE68" s="78"/>
      <c r="AF68" s="78"/>
      <c r="AG68" s="78"/>
      <c r="AH68" s="78"/>
      <c r="AI68" s="78"/>
      <c r="AR68" s="17"/>
      <c r="AS68" s="17"/>
      <c r="AU68" s="12"/>
    </row>
    <row r="69" spans="1:47" ht="52.25" customHeight="1" x14ac:dyDescent="0.35">
      <c r="A69" s="262" t="s">
        <v>417</v>
      </c>
      <c r="B69" s="263"/>
      <c r="C69" s="181">
        <f>C60+C67</f>
        <v>13</v>
      </c>
      <c r="D69" s="182">
        <f t="shared" ref="D69:E69" si="105">D60+D67</f>
        <v>6500</v>
      </c>
      <c r="E69" s="183">
        <f t="shared" si="105"/>
        <v>477750</v>
      </c>
      <c r="F69" s="181">
        <f>F60+F67</f>
        <v>13</v>
      </c>
      <c r="G69" s="182">
        <f t="shared" ref="G69:AF69" si="106">G60+G67</f>
        <v>1300</v>
      </c>
      <c r="H69" s="183">
        <f t="shared" si="106"/>
        <v>95550</v>
      </c>
      <c r="I69" s="181">
        <f>I60+I67</f>
        <v>37</v>
      </c>
      <c r="J69" s="182">
        <f t="shared" si="106"/>
        <v>188700</v>
      </c>
      <c r="K69" s="183">
        <f t="shared" si="106"/>
        <v>13869450</v>
      </c>
      <c r="L69" s="181">
        <f>L60+L67</f>
        <v>7</v>
      </c>
      <c r="M69" s="182">
        <f t="shared" si="106"/>
        <v>35000</v>
      </c>
      <c r="N69" s="183">
        <f t="shared" si="106"/>
        <v>2572500</v>
      </c>
      <c r="O69" s="181">
        <f>O60+O67</f>
        <v>2</v>
      </c>
      <c r="P69" s="182">
        <f t="shared" si="106"/>
        <v>40000</v>
      </c>
      <c r="Q69" s="183">
        <f t="shared" si="106"/>
        <v>2940000</v>
      </c>
      <c r="R69" s="181">
        <f>R60+R67</f>
        <v>2</v>
      </c>
      <c r="S69" s="182">
        <f t="shared" si="106"/>
        <v>10000</v>
      </c>
      <c r="T69" s="183">
        <f t="shared" si="106"/>
        <v>735000</v>
      </c>
      <c r="U69" s="181">
        <f>U60+U67</f>
        <v>0</v>
      </c>
      <c r="V69" s="182">
        <f t="shared" si="106"/>
        <v>0</v>
      </c>
      <c r="W69" s="183">
        <f t="shared" si="106"/>
        <v>0</v>
      </c>
      <c r="X69" s="181">
        <f>X60+X67</f>
        <v>2</v>
      </c>
      <c r="Y69" s="182">
        <f t="shared" si="106"/>
        <v>40000</v>
      </c>
      <c r="Z69" s="183">
        <f t="shared" si="106"/>
        <v>2940000</v>
      </c>
      <c r="AA69" s="181">
        <f>AA60+AA67</f>
        <v>12</v>
      </c>
      <c r="AB69" s="182">
        <f t="shared" si="106"/>
        <v>60000</v>
      </c>
      <c r="AC69" s="183">
        <f t="shared" si="106"/>
        <v>4410000</v>
      </c>
      <c r="AD69" s="181">
        <f>AD60+AD67</f>
        <v>3</v>
      </c>
      <c r="AE69" s="182">
        <f t="shared" si="106"/>
        <v>300</v>
      </c>
      <c r="AF69" s="183">
        <f t="shared" si="106"/>
        <v>22050</v>
      </c>
      <c r="AG69" s="183"/>
      <c r="AH69" s="183"/>
      <c r="AI69" s="183"/>
      <c r="AJ69" s="66">
        <f>SUM(H69,K69,N69,Q69,T69,W69,Z69,E69,AC69,AF69,AI69)</f>
        <v>28062300</v>
      </c>
      <c r="AK69" s="67">
        <f>SUM(G69,J69,M69,P69,S69,V69,Y69,D69,AH69,AE69,AB69)</f>
        <v>381800</v>
      </c>
    </row>
    <row r="70" spans="1:47" x14ac:dyDescent="0.35">
      <c r="I70" s="124">
        <f>I62+AK67</f>
        <v>381600</v>
      </c>
      <c r="J70" s="78" t="s">
        <v>226</v>
      </c>
      <c r="K70" s="9"/>
      <c r="Z70" s="9"/>
      <c r="AA70" s="78"/>
      <c r="AB70" s="78"/>
      <c r="AC70" s="78"/>
      <c r="AD70" s="78"/>
      <c r="AE70" s="78"/>
      <c r="AF70" s="78"/>
      <c r="AG70" s="78"/>
      <c r="AH70" s="78"/>
      <c r="AI70" s="78"/>
    </row>
    <row r="71" spans="1:47" x14ac:dyDescent="0.35">
      <c r="K71" s="9"/>
      <c r="Z71" s="9"/>
      <c r="AA71" s="78"/>
      <c r="AB71" s="78"/>
      <c r="AC71" s="78"/>
      <c r="AD71" s="78"/>
      <c r="AE71" s="78"/>
      <c r="AF71" s="78"/>
      <c r="AG71" s="78"/>
      <c r="AH71" s="78"/>
      <c r="AI71" s="78"/>
    </row>
    <row r="72" spans="1:47" x14ac:dyDescent="0.35">
      <c r="K72" s="9"/>
      <c r="Z72" s="9"/>
      <c r="AA72" s="78"/>
      <c r="AB72" s="78"/>
      <c r="AC72" s="78"/>
      <c r="AD72" s="78"/>
      <c r="AE72" s="78"/>
      <c r="AF72" s="78"/>
      <c r="AG72" s="78"/>
      <c r="AH72" s="78"/>
      <c r="AI72" s="78"/>
    </row>
    <row r="73" spans="1:47" x14ac:dyDescent="0.35">
      <c r="K73" s="9"/>
      <c r="Z73" s="9"/>
      <c r="AA73" s="78"/>
      <c r="AB73" s="78"/>
      <c r="AC73" s="78"/>
      <c r="AD73" s="78"/>
      <c r="AE73" s="78"/>
      <c r="AF73" s="78"/>
      <c r="AG73" s="78"/>
      <c r="AH73" s="78"/>
      <c r="AI73" s="78"/>
    </row>
    <row r="74" spans="1:47" x14ac:dyDescent="0.35">
      <c r="K74" s="9"/>
      <c r="Z74" s="9"/>
      <c r="AA74" s="78"/>
      <c r="AB74" s="78"/>
      <c r="AC74" s="78"/>
      <c r="AD74" s="78"/>
      <c r="AE74" s="78"/>
      <c r="AF74" s="78"/>
      <c r="AG74" s="78"/>
      <c r="AH74" s="78"/>
      <c r="AI74" s="78"/>
    </row>
    <row r="75" spans="1:47" x14ac:dyDescent="0.35">
      <c r="Z75" s="9"/>
      <c r="AA75" s="78"/>
      <c r="AB75" s="78"/>
      <c r="AC75" s="78"/>
      <c r="AD75" s="78"/>
      <c r="AE75" s="78"/>
      <c r="AF75" s="78"/>
      <c r="AG75" s="78"/>
      <c r="AH75" s="78"/>
      <c r="AI75" s="78"/>
    </row>
    <row r="76" spans="1:47" x14ac:dyDescent="0.35">
      <c r="Z76" s="9"/>
      <c r="AA76" s="78"/>
      <c r="AB76" s="78"/>
      <c r="AC76" s="78"/>
      <c r="AD76" s="78"/>
      <c r="AE76" s="78"/>
      <c r="AF76" s="78"/>
      <c r="AG76" s="78"/>
      <c r="AH76" s="78"/>
      <c r="AI76" s="78"/>
    </row>
    <row r="77" spans="1:47" x14ac:dyDescent="0.35">
      <c r="Z77" s="9"/>
      <c r="AA77" s="78"/>
      <c r="AB77" s="78"/>
      <c r="AC77" s="78"/>
      <c r="AD77" s="78"/>
      <c r="AE77" s="78"/>
      <c r="AF77" s="78"/>
      <c r="AG77" s="78"/>
      <c r="AH77" s="78"/>
      <c r="AI77" s="78"/>
    </row>
    <row r="78" spans="1:47" x14ac:dyDescent="0.35">
      <c r="Z78" s="9"/>
      <c r="AA78" s="78"/>
      <c r="AB78" s="78"/>
      <c r="AC78" s="78"/>
      <c r="AD78" s="78"/>
      <c r="AE78" s="78"/>
      <c r="AF78" s="78"/>
      <c r="AG78" s="78"/>
      <c r="AH78" s="78"/>
      <c r="AI78" s="78"/>
    </row>
    <row r="79" spans="1:47" x14ac:dyDescent="0.35">
      <c r="Z79" s="9"/>
      <c r="AA79" s="78"/>
      <c r="AB79" s="78"/>
      <c r="AC79" s="78"/>
      <c r="AD79" s="78"/>
      <c r="AE79" s="78"/>
      <c r="AF79" s="78"/>
      <c r="AG79" s="78"/>
      <c r="AH79" s="78"/>
      <c r="AI79" s="78"/>
    </row>
    <row r="80" spans="1:47" x14ac:dyDescent="0.35">
      <c r="Z80" s="9"/>
      <c r="AA80" s="78"/>
      <c r="AB80" s="78"/>
      <c r="AC80" s="78"/>
      <c r="AD80" s="78"/>
      <c r="AE80" s="78"/>
      <c r="AF80" s="78"/>
      <c r="AG80" s="78"/>
      <c r="AH80" s="78"/>
      <c r="AI80" s="78"/>
    </row>
    <row r="81" spans="26:35" x14ac:dyDescent="0.35">
      <c r="Z81" s="9"/>
      <c r="AA81" s="78"/>
      <c r="AB81" s="78"/>
      <c r="AC81" s="78"/>
      <c r="AD81" s="78"/>
      <c r="AE81" s="78"/>
      <c r="AF81" s="78"/>
      <c r="AG81" s="78"/>
      <c r="AH81" s="78"/>
      <c r="AI81" s="78"/>
    </row>
    <row r="82" spans="26:35" x14ac:dyDescent="0.35">
      <c r="Z82" s="9"/>
      <c r="AA82" s="78"/>
      <c r="AB82" s="78"/>
      <c r="AC82" s="78"/>
      <c r="AD82" s="78"/>
      <c r="AE82" s="78"/>
      <c r="AF82" s="78"/>
      <c r="AG82" s="78"/>
      <c r="AH82" s="78"/>
      <c r="AI82" s="78"/>
    </row>
    <row r="83" spans="26:35" x14ac:dyDescent="0.35">
      <c r="Z83" s="9"/>
      <c r="AA83" s="78"/>
      <c r="AB83" s="78"/>
      <c r="AC83" s="78"/>
      <c r="AD83" s="78"/>
      <c r="AE83" s="78"/>
      <c r="AF83" s="78"/>
      <c r="AG83" s="78"/>
      <c r="AH83" s="78"/>
      <c r="AI83" s="78"/>
    </row>
    <row r="84" spans="26:35" x14ac:dyDescent="0.35">
      <c r="Z84" s="9"/>
      <c r="AA84" s="78"/>
      <c r="AB84" s="78"/>
      <c r="AC84" s="78"/>
      <c r="AD84" s="78"/>
      <c r="AE84" s="78"/>
      <c r="AF84" s="78"/>
      <c r="AG84" s="78"/>
      <c r="AH84" s="78"/>
      <c r="AI84" s="78"/>
    </row>
    <row r="85" spans="26:35" x14ac:dyDescent="0.35">
      <c r="Z85" s="9"/>
      <c r="AA85" s="78"/>
      <c r="AB85" s="78"/>
      <c r="AC85" s="78"/>
      <c r="AD85" s="78"/>
      <c r="AE85" s="78"/>
      <c r="AF85" s="78"/>
      <c r="AG85" s="78"/>
      <c r="AH85" s="78"/>
      <c r="AI85" s="78"/>
    </row>
    <row r="86" spans="26:35" x14ac:dyDescent="0.35">
      <c r="Z86" s="9"/>
      <c r="AA86" s="78"/>
      <c r="AB86" s="78"/>
      <c r="AC86" s="78"/>
      <c r="AD86" s="78"/>
      <c r="AE86" s="78"/>
      <c r="AF86" s="78"/>
      <c r="AG86" s="78"/>
      <c r="AH86" s="78"/>
      <c r="AI86" s="78"/>
    </row>
    <row r="87" spans="26:35" x14ac:dyDescent="0.35">
      <c r="Z87" s="9"/>
      <c r="AA87" s="78"/>
      <c r="AB87" s="78"/>
      <c r="AC87" s="78"/>
      <c r="AD87" s="78"/>
      <c r="AE87" s="78"/>
      <c r="AF87" s="78"/>
      <c r="AG87" s="78"/>
      <c r="AH87" s="78"/>
      <c r="AI87" s="78"/>
    </row>
    <row r="88" spans="26:35" x14ac:dyDescent="0.35">
      <c r="Z88" s="9"/>
      <c r="AA88" s="78"/>
      <c r="AB88" s="78"/>
      <c r="AC88" s="78"/>
      <c r="AD88" s="78"/>
      <c r="AE88" s="78"/>
      <c r="AF88" s="78"/>
      <c r="AG88" s="78"/>
      <c r="AH88" s="78"/>
      <c r="AI88" s="78"/>
    </row>
    <row r="89" spans="26:35" x14ac:dyDescent="0.35">
      <c r="Z89" s="9"/>
      <c r="AA89" s="78"/>
      <c r="AB89" s="78"/>
      <c r="AC89" s="78"/>
      <c r="AD89" s="78"/>
      <c r="AE89" s="78"/>
      <c r="AF89" s="78"/>
      <c r="AG89" s="78"/>
      <c r="AH89" s="78"/>
      <c r="AI89" s="78"/>
    </row>
    <row r="90" spans="26:35" x14ac:dyDescent="0.35">
      <c r="Z90" s="9"/>
      <c r="AA90" s="78"/>
      <c r="AB90" s="78"/>
      <c r="AC90" s="78"/>
      <c r="AD90" s="78"/>
      <c r="AE90" s="78"/>
      <c r="AF90" s="78"/>
      <c r="AG90" s="78"/>
      <c r="AH90" s="78"/>
      <c r="AI90" s="78"/>
    </row>
    <row r="91" spans="26:35" x14ac:dyDescent="0.35">
      <c r="Z91" s="9"/>
      <c r="AA91" s="78"/>
      <c r="AB91" s="78"/>
      <c r="AC91" s="78"/>
      <c r="AD91" s="78"/>
      <c r="AE91" s="78"/>
      <c r="AF91" s="78"/>
      <c r="AG91" s="78"/>
      <c r="AH91" s="78"/>
      <c r="AI91" s="78"/>
    </row>
    <row r="92" spans="26:35" x14ac:dyDescent="0.35">
      <c r="Z92" s="9"/>
      <c r="AA92" s="78"/>
      <c r="AB92" s="78"/>
      <c r="AC92" s="78"/>
      <c r="AD92" s="78"/>
      <c r="AE92" s="78"/>
      <c r="AF92" s="78"/>
      <c r="AG92" s="78"/>
      <c r="AH92" s="78"/>
      <c r="AI92" s="78"/>
    </row>
    <row r="93" spans="26:35" x14ac:dyDescent="0.35">
      <c r="Z93" s="9"/>
      <c r="AA93" s="78"/>
      <c r="AB93" s="78"/>
      <c r="AC93" s="78"/>
      <c r="AD93" s="78"/>
      <c r="AE93" s="78"/>
      <c r="AF93" s="78"/>
      <c r="AG93" s="78"/>
      <c r="AH93" s="78"/>
      <c r="AI93" s="78"/>
    </row>
    <row r="94" spans="26:35" x14ac:dyDescent="0.35">
      <c r="Z94" s="9"/>
      <c r="AA94" s="78"/>
      <c r="AB94" s="78"/>
      <c r="AC94" s="78"/>
      <c r="AD94" s="78"/>
      <c r="AE94" s="78"/>
      <c r="AF94" s="78"/>
      <c r="AG94" s="78"/>
      <c r="AH94" s="78"/>
      <c r="AI94" s="78"/>
    </row>
    <row r="95" spans="26:35" x14ac:dyDescent="0.35">
      <c r="Z95" s="9"/>
      <c r="AA95" s="78"/>
      <c r="AB95" s="78"/>
      <c r="AC95" s="78"/>
      <c r="AD95" s="78"/>
      <c r="AE95" s="78"/>
      <c r="AF95" s="78"/>
      <c r="AG95" s="78"/>
      <c r="AH95" s="78"/>
      <c r="AI95" s="78"/>
    </row>
    <row r="96" spans="26:35" x14ac:dyDescent="0.35">
      <c r="Z96" s="9"/>
      <c r="AA96" s="78"/>
      <c r="AB96" s="78"/>
      <c r="AC96" s="78"/>
      <c r="AD96" s="78"/>
      <c r="AE96" s="78"/>
      <c r="AF96" s="78"/>
      <c r="AG96" s="78"/>
      <c r="AH96" s="78"/>
      <c r="AI96" s="78"/>
    </row>
    <row r="97" spans="26:35" x14ac:dyDescent="0.35">
      <c r="Z97" s="9"/>
      <c r="AA97" s="78"/>
      <c r="AB97" s="78"/>
      <c r="AC97" s="78"/>
      <c r="AD97" s="78"/>
      <c r="AE97" s="78"/>
      <c r="AF97" s="78"/>
      <c r="AG97" s="78"/>
      <c r="AH97" s="78"/>
      <c r="AI97" s="78"/>
    </row>
    <row r="98" spans="26:35" x14ac:dyDescent="0.35">
      <c r="Z98" s="9"/>
      <c r="AA98" s="78"/>
      <c r="AB98" s="78"/>
      <c r="AC98" s="78"/>
      <c r="AD98" s="78"/>
      <c r="AE98" s="78"/>
      <c r="AF98" s="78"/>
      <c r="AG98" s="78"/>
      <c r="AH98" s="78"/>
      <c r="AI98" s="78"/>
    </row>
    <row r="99" spans="26:35" x14ac:dyDescent="0.35">
      <c r="Z99" s="9"/>
      <c r="AA99" s="78"/>
      <c r="AB99" s="78"/>
      <c r="AC99" s="78"/>
      <c r="AD99" s="78"/>
      <c r="AE99" s="78"/>
      <c r="AF99" s="78"/>
      <c r="AG99" s="78"/>
      <c r="AH99" s="78"/>
      <c r="AI99" s="78"/>
    </row>
    <row r="100" spans="26:35" x14ac:dyDescent="0.35">
      <c r="Z100" s="9"/>
      <c r="AA100" s="78"/>
      <c r="AB100" s="78"/>
      <c r="AC100" s="78"/>
      <c r="AD100" s="78"/>
      <c r="AE100" s="78"/>
      <c r="AF100" s="78"/>
      <c r="AG100" s="78"/>
      <c r="AH100" s="78"/>
      <c r="AI100" s="78"/>
    </row>
    <row r="101" spans="26:35" x14ac:dyDescent="0.35">
      <c r="Z101" s="9"/>
      <c r="AA101" s="78"/>
      <c r="AB101" s="78"/>
      <c r="AC101" s="78"/>
      <c r="AD101" s="78"/>
      <c r="AE101" s="78"/>
      <c r="AF101" s="78"/>
      <c r="AG101" s="78"/>
      <c r="AH101" s="78"/>
      <c r="AI101" s="78"/>
    </row>
    <row r="102" spans="26:35" x14ac:dyDescent="0.35">
      <c r="Z102" s="9"/>
      <c r="AA102" s="78"/>
      <c r="AB102" s="78"/>
      <c r="AC102" s="78"/>
      <c r="AD102" s="78"/>
      <c r="AE102" s="78"/>
      <c r="AF102" s="78"/>
      <c r="AG102" s="78"/>
      <c r="AH102" s="78"/>
      <c r="AI102" s="78"/>
    </row>
    <row r="103" spans="26:35" x14ac:dyDescent="0.35">
      <c r="Z103" s="9"/>
      <c r="AA103" s="78"/>
      <c r="AB103" s="78"/>
      <c r="AC103" s="78"/>
      <c r="AD103" s="78"/>
      <c r="AE103" s="78"/>
      <c r="AF103" s="78"/>
      <c r="AG103" s="78"/>
      <c r="AH103" s="78"/>
      <c r="AI103" s="78"/>
    </row>
    <row r="104" spans="26:35" x14ac:dyDescent="0.35">
      <c r="Z104" s="9"/>
      <c r="AA104" s="78"/>
      <c r="AB104" s="78"/>
      <c r="AC104" s="78"/>
      <c r="AD104" s="78"/>
      <c r="AE104" s="78"/>
      <c r="AF104" s="78"/>
      <c r="AG104" s="78"/>
      <c r="AH104" s="78"/>
      <c r="AI104" s="78"/>
    </row>
    <row r="105" spans="26:35" x14ac:dyDescent="0.35">
      <c r="Z105" s="9"/>
      <c r="AA105" s="78"/>
      <c r="AB105" s="78"/>
      <c r="AC105" s="78"/>
      <c r="AD105" s="78"/>
      <c r="AE105" s="78"/>
      <c r="AF105" s="78"/>
      <c r="AG105" s="78"/>
      <c r="AH105" s="78"/>
      <c r="AI105" s="78"/>
    </row>
    <row r="106" spans="26:35" x14ac:dyDescent="0.35">
      <c r="Z106" s="9"/>
      <c r="AA106" s="78"/>
      <c r="AB106" s="78"/>
      <c r="AC106" s="78"/>
      <c r="AD106" s="78"/>
      <c r="AE106" s="78"/>
      <c r="AF106" s="78"/>
      <c r="AG106" s="78"/>
      <c r="AH106" s="78"/>
      <c r="AI106" s="78"/>
    </row>
    <row r="107" spans="26:35" x14ac:dyDescent="0.35">
      <c r="Z107" s="9"/>
      <c r="AA107" s="78"/>
      <c r="AB107" s="78"/>
      <c r="AC107" s="78"/>
      <c r="AD107" s="78"/>
      <c r="AE107" s="78"/>
      <c r="AF107" s="78"/>
      <c r="AG107" s="78"/>
      <c r="AH107" s="78"/>
      <c r="AI107" s="78"/>
    </row>
    <row r="108" spans="26:35" x14ac:dyDescent="0.35">
      <c r="Z108" s="9"/>
      <c r="AA108" s="78"/>
      <c r="AB108" s="78"/>
      <c r="AC108" s="78"/>
      <c r="AD108" s="78"/>
      <c r="AE108" s="78"/>
      <c r="AF108" s="78"/>
      <c r="AG108" s="78"/>
      <c r="AH108" s="78"/>
      <c r="AI108" s="78"/>
    </row>
    <row r="109" spans="26:35" x14ac:dyDescent="0.35">
      <c r="Z109" s="9"/>
      <c r="AA109" s="78"/>
      <c r="AB109" s="78"/>
      <c r="AC109" s="78"/>
      <c r="AD109" s="78"/>
      <c r="AE109" s="78"/>
      <c r="AF109" s="78"/>
      <c r="AG109" s="78"/>
      <c r="AH109" s="78"/>
      <c r="AI109" s="78"/>
    </row>
    <row r="110" spans="26:35" x14ac:dyDescent="0.35">
      <c r="Z110" s="9"/>
      <c r="AA110" s="78"/>
      <c r="AB110" s="78"/>
      <c r="AC110" s="78"/>
      <c r="AD110" s="78"/>
      <c r="AE110" s="78"/>
      <c r="AF110" s="78"/>
      <c r="AG110" s="78"/>
      <c r="AH110" s="78"/>
      <c r="AI110" s="78"/>
    </row>
    <row r="111" spans="26:35" x14ac:dyDescent="0.35">
      <c r="Z111" s="9"/>
      <c r="AA111" s="78"/>
      <c r="AB111" s="78"/>
      <c r="AC111" s="78"/>
      <c r="AD111" s="78"/>
      <c r="AE111" s="78"/>
      <c r="AF111" s="78"/>
      <c r="AG111" s="78"/>
      <c r="AH111" s="78"/>
      <c r="AI111" s="78"/>
    </row>
    <row r="112" spans="26:35" x14ac:dyDescent="0.35">
      <c r="Z112" s="9"/>
      <c r="AA112" s="78"/>
      <c r="AB112" s="78"/>
      <c r="AC112" s="78"/>
      <c r="AD112" s="78"/>
      <c r="AE112" s="78"/>
      <c r="AF112" s="78"/>
      <c r="AG112" s="78"/>
      <c r="AH112" s="78"/>
      <c r="AI112" s="78"/>
    </row>
    <row r="113" spans="26:35" x14ac:dyDescent="0.35">
      <c r="Z113" s="9"/>
      <c r="AA113" s="78"/>
      <c r="AB113" s="78"/>
      <c r="AC113" s="78"/>
      <c r="AD113" s="78"/>
      <c r="AE113" s="78"/>
      <c r="AF113" s="78"/>
      <c r="AG113" s="78"/>
      <c r="AH113" s="78"/>
      <c r="AI113" s="78"/>
    </row>
    <row r="114" spans="26:35" x14ac:dyDescent="0.35">
      <c r="Z114" s="9"/>
      <c r="AA114" s="78"/>
      <c r="AB114" s="78"/>
      <c r="AC114" s="78"/>
      <c r="AD114" s="78"/>
      <c r="AE114" s="78"/>
      <c r="AF114" s="78"/>
      <c r="AG114" s="78"/>
      <c r="AH114" s="78"/>
      <c r="AI114" s="78"/>
    </row>
    <row r="115" spans="26:35" x14ac:dyDescent="0.35">
      <c r="Z115" s="9"/>
      <c r="AA115" s="78"/>
      <c r="AB115" s="78"/>
      <c r="AC115" s="78"/>
      <c r="AD115" s="78"/>
      <c r="AE115" s="78"/>
      <c r="AF115" s="78"/>
      <c r="AG115" s="78"/>
      <c r="AH115" s="78"/>
      <c r="AI115" s="78"/>
    </row>
    <row r="116" spans="26:35" x14ac:dyDescent="0.35">
      <c r="Z116" s="9"/>
      <c r="AA116" s="78"/>
      <c r="AB116" s="78"/>
      <c r="AC116" s="78"/>
      <c r="AD116" s="78"/>
      <c r="AE116" s="78"/>
      <c r="AF116" s="78"/>
      <c r="AG116" s="78"/>
      <c r="AH116" s="78"/>
      <c r="AI116" s="78"/>
    </row>
    <row r="117" spans="26:35" x14ac:dyDescent="0.35">
      <c r="Z117" s="9"/>
      <c r="AA117" s="78"/>
      <c r="AB117" s="78"/>
      <c r="AC117" s="78"/>
      <c r="AD117" s="78"/>
      <c r="AE117" s="78"/>
      <c r="AF117" s="78"/>
      <c r="AG117" s="78"/>
      <c r="AH117" s="78"/>
      <c r="AI117" s="78"/>
    </row>
    <row r="118" spans="26:35" x14ac:dyDescent="0.35">
      <c r="Z118" s="9"/>
      <c r="AA118" s="78"/>
      <c r="AB118" s="78"/>
      <c r="AC118" s="78"/>
      <c r="AD118" s="78"/>
      <c r="AE118" s="78"/>
      <c r="AF118" s="78"/>
      <c r="AG118" s="78"/>
      <c r="AH118" s="78"/>
      <c r="AI118" s="78"/>
    </row>
    <row r="119" spans="26:35" x14ac:dyDescent="0.35">
      <c r="Z119" s="9"/>
      <c r="AA119" s="78"/>
      <c r="AB119" s="78"/>
      <c r="AC119" s="78"/>
      <c r="AD119" s="78"/>
      <c r="AE119" s="78"/>
      <c r="AF119" s="78"/>
      <c r="AG119" s="78"/>
      <c r="AH119" s="78"/>
      <c r="AI119" s="78"/>
    </row>
    <row r="120" spans="26:35" x14ac:dyDescent="0.35">
      <c r="Z120" s="9"/>
      <c r="AA120" s="78"/>
      <c r="AB120" s="78"/>
      <c r="AC120" s="78"/>
      <c r="AD120" s="78"/>
      <c r="AE120" s="78"/>
      <c r="AF120" s="78"/>
      <c r="AG120" s="78"/>
      <c r="AH120" s="78"/>
      <c r="AI120" s="78"/>
    </row>
    <row r="121" spans="26:35" x14ac:dyDescent="0.35">
      <c r="Z121" s="9"/>
      <c r="AA121" s="78"/>
      <c r="AB121" s="78"/>
      <c r="AC121" s="78"/>
      <c r="AD121" s="78"/>
      <c r="AE121" s="78"/>
      <c r="AF121" s="78"/>
      <c r="AG121" s="78"/>
      <c r="AH121" s="78"/>
      <c r="AI121" s="78"/>
    </row>
    <row r="122" spans="26:35" x14ac:dyDescent="0.35">
      <c r="Z122" s="9"/>
      <c r="AA122" s="78"/>
      <c r="AB122" s="78"/>
      <c r="AC122" s="78"/>
      <c r="AD122" s="78"/>
      <c r="AE122" s="78"/>
      <c r="AF122" s="78"/>
      <c r="AG122" s="78"/>
      <c r="AH122" s="78"/>
      <c r="AI122" s="78"/>
    </row>
    <row r="123" spans="26:35" x14ac:dyDescent="0.35">
      <c r="Z123" s="9"/>
      <c r="AA123" s="78"/>
      <c r="AB123" s="78"/>
      <c r="AC123" s="78"/>
      <c r="AD123" s="78"/>
      <c r="AE123" s="78"/>
      <c r="AF123" s="78"/>
      <c r="AG123" s="78"/>
      <c r="AH123" s="78"/>
      <c r="AI123" s="78"/>
    </row>
    <row r="124" spans="26:35" x14ac:dyDescent="0.35">
      <c r="Z124" s="9"/>
      <c r="AA124" s="78"/>
      <c r="AB124" s="78"/>
      <c r="AC124" s="78"/>
      <c r="AD124" s="78"/>
      <c r="AE124" s="78"/>
      <c r="AF124" s="78"/>
      <c r="AG124" s="78"/>
      <c r="AH124" s="78"/>
      <c r="AI124" s="78"/>
    </row>
    <row r="125" spans="26:35" x14ac:dyDescent="0.35">
      <c r="Z125" s="9"/>
      <c r="AA125" s="78"/>
      <c r="AB125" s="78"/>
      <c r="AC125" s="78"/>
      <c r="AD125" s="78"/>
      <c r="AE125" s="78"/>
      <c r="AF125" s="78"/>
      <c r="AG125" s="78"/>
      <c r="AH125" s="78"/>
      <c r="AI125" s="78"/>
    </row>
    <row r="126" spans="26:35" x14ac:dyDescent="0.35">
      <c r="Z126" s="9"/>
      <c r="AA126" s="78"/>
      <c r="AB126" s="78"/>
      <c r="AC126" s="78"/>
      <c r="AD126" s="78"/>
      <c r="AE126" s="78"/>
      <c r="AF126" s="78"/>
      <c r="AG126" s="78"/>
      <c r="AH126" s="78"/>
      <c r="AI126" s="78"/>
    </row>
    <row r="127" spans="26:35" x14ac:dyDescent="0.35">
      <c r="Z127" s="9"/>
      <c r="AA127" s="78"/>
      <c r="AB127" s="78"/>
      <c r="AC127" s="78"/>
      <c r="AD127" s="78"/>
      <c r="AE127" s="78"/>
      <c r="AF127" s="78"/>
      <c r="AG127" s="78"/>
      <c r="AH127" s="78"/>
      <c r="AI127" s="78"/>
    </row>
    <row r="128" spans="26:35" x14ac:dyDescent="0.35">
      <c r="Z128" s="9"/>
      <c r="AA128" s="78"/>
      <c r="AB128" s="78"/>
      <c r="AC128" s="78"/>
      <c r="AD128" s="78"/>
      <c r="AE128" s="78"/>
      <c r="AF128" s="78"/>
      <c r="AG128" s="78"/>
      <c r="AH128" s="78"/>
      <c r="AI128" s="78"/>
    </row>
    <row r="129" spans="26:35" x14ac:dyDescent="0.35">
      <c r="Z129" s="9"/>
      <c r="AA129" s="78"/>
      <c r="AB129" s="78"/>
      <c r="AC129" s="78"/>
      <c r="AD129" s="78"/>
      <c r="AE129" s="78"/>
      <c r="AF129" s="78"/>
      <c r="AG129" s="78"/>
      <c r="AH129" s="78"/>
      <c r="AI129" s="78"/>
    </row>
    <row r="130" spans="26:35" x14ac:dyDescent="0.35">
      <c r="Z130" s="9"/>
      <c r="AA130" s="78"/>
      <c r="AB130" s="78"/>
      <c r="AC130" s="78"/>
      <c r="AD130" s="78"/>
      <c r="AE130" s="78"/>
      <c r="AF130" s="78"/>
      <c r="AG130" s="78"/>
      <c r="AH130" s="78"/>
      <c r="AI130" s="78"/>
    </row>
    <row r="131" spans="26:35" x14ac:dyDescent="0.35">
      <c r="Z131" s="9"/>
      <c r="AA131" s="78"/>
      <c r="AB131" s="78"/>
      <c r="AC131" s="78"/>
      <c r="AD131" s="78"/>
      <c r="AE131" s="78"/>
      <c r="AF131" s="78"/>
      <c r="AG131" s="78"/>
      <c r="AH131" s="78"/>
      <c r="AI131" s="78"/>
    </row>
    <row r="132" spans="26:35" x14ac:dyDescent="0.35">
      <c r="Z132" s="9"/>
      <c r="AA132" s="78"/>
      <c r="AB132" s="78"/>
      <c r="AC132" s="78"/>
      <c r="AD132" s="78"/>
      <c r="AE132" s="78"/>
      <c r="AF132" s="78"/>
      <c r="AG132" s="78"/>
      <c r="AH132" s="78"/>
      <c r="AI132" s="78"/>
    </row>
    <row r="133" spans="26:35" x14ac:dyDescent="0.35">
      <c r="Z133" s="9"/>
      <c r="AA133" s="78"/>
      <c r="AB133" s="78"/>
      <c r="AC133" s="78"/>
      <c r="AD133" s="78"/>
      <c r="AE133" s="78"/>
      <c r="AF133" s="78"/>
      <c r="AG133" s="78"/>
      <c r="AH133" s="78"/>
      <c r="AI133" s="78"/>
    </row>
    <row r="134" spans="26:35" x14ac:dyDescent="0.35">
      <c r="Z134" s="9"/>
      <c r="AA134" s="78"/>
      <c r="AB134" s="78"/>
      <c r="AC134" s="78"/>
      <c r="AD134" s="78"/>
      <c r="AE134" s="78"/>
      <c r="AF134" s="78"/>
      <c r="AG134" s="78"/>
      <c r="AH134" s="78"/>
      <c r="AI134" s="78"/>
    </row>
    <row r="135" spans="26:35" x14ac:dyDescent="0.35">
      <c r="Z135" s="9"/>
      <c r="AA135" s="78"/>
      <c r="AB135" s="78"/>
      <c r="AC135" s="78"/>
      <c r="AD135" s="78"/>
      <c r="AE135" s="78"/>
      <c r="AF135" s="78"/>
      <c r="AG135" s="78"/>
      <c r="AH135" s="78"/>
      <c r="AI135" s="78"/>
    </row>
    <row r="136" spans="26:35" x14ac:dyDescent="0.35">
      <c r="Z136" s="9"/>
      <c r="AA136" s="78"/>
      <c r="AB136" s="78"/>
      <c r="AC136" s="78"/>
      <c r="AD136" s="78"/>
      <c r="AE136" s="78"/>
      <c r="AF136" s="78"/>
      <c r="AG136" s="78"/>
      <c r="AH136" s="78"/>
      <c r="AI136" s="78"/>
    </row>
    <row r="137" spans="26:35" x14ac:dyDescent="0.35">
      <c r="Z137" s="9"/>
      <c r="AA137" s="78"/>
      <c r="AB137" s="78"/>
      <c r="AC137" s="78"/>
      <c r="AD137" s="78"/>
      <c r="AE137" s="78"/>
      <c r="AF137" s="78"/>
      <c r="AG137" s="78"/>
      <c r="AH137" s="78"/>
      <c r="AI137" s="78"/>
    </row>
    <row r="138" spans="26:35" x14ac:dyDescent="0.35">
      <c r="Z138" s="9"/>
      <c r="AA138" s="78"/>
      <c r="AB138" s="78"/>
      <c r="AC138" s="78"/>
      <c r="AD138" s="78"/>
      <c r="AE138" s="78"/>
      <c r="AF138" s="78"/>
      <c r="AG138" s="78"/>
      <c r="AH138" s="78"/>
      <c r="AI138" s="78"/>
    </row>
    <row r="139" spans="26:35" x14ac:dyDescent="0.35">
      <c r="Z139" s="9"/>
      <c r="AA139" s="78"/>
      <c r="AB139" s="78"/>
      <c r="AC139" s="78"/>
      <c r="AD139" s="78"/>
      <c r="AE139" s="78"/>
      <c r="AF139" s="78"/>
      <c r="AG139" s="78"/>
      <c r="AH139" s="78"/>
      <c r="AI139" s="78"/>
    </row>
    <row r="140" spans="26:35" x14ac:dyDescent="0.35">
      <c r="Z140" s="9"/>
      <c r="AA140" s="78"/>
      <c r="AB140" s="78"/>
      <c r="AC140" s="78"/>
      <c r="AD140" s="78"/>
      <c r="AE140" s="78"/>
      <c r="AF140" s="78"/>
      <c r="AG140" s="78"/>
      <c r="AH140" s="78"/>
      <c r="AI140" s="78"/>
    </row>
    <row r="141" spans="26:35" x14ac:dyDescent="0.35">
      <c r="Z141" s="9"/>
      <c r="AA141" s="78"/>
      <c r="AB141" s="78"/>
      <c r="AC141" s="78"/>
      <c r="AD141" s="78"/>
      <c r="AE141" s="78"/>
      <c r="AF141" s="78"/>
      <c r="AG141" s="78"/>
      <c r="AH141" s="78"/>
      <c r="AI141" s="78"/>
    </row>
    <row r="142" spans="26:35" x14ac:dyDescent="0.35">
      <c r="Z142" s="9"/>
      <c r="AA142" s="78"/>
      <c r="AB142" s="78"/>
      <c r="AC142" s="78"/>
      <c r="AD142" s="78"/>
      <c r="AE142" s="78"/>
      <c r="AF142" s="78"/>
      <c r="AG142" s="78"/>
      <c r="AH142" s="78"/>
      <c r="AI142" s="78"/>
    </row>
    <row r="143" spans="26:35" x14ac:dyDescent="0.35">
      <c r="Z143" s="9"/>
      <c r="AA143" s="78"/>
      <c r="AB143" s="78"/>
      <c r="AC143" s="78"/>
      <c r="AD143" s="78"/>
      <c r="AE143" s="78"/>
      <c r="AF143" s="78"/>
      <c r="AG143" s="78"/>
      <c r="AH143" s="78"/>
      <c r="AI143" s="78"/>
    </row>
    <row r="144" spans="26:35" x14ac:dyDescent="0.35">
      <c r="Z144" s="9"/>
      <c r="AA144" s="78"/>
      <c r="AB144" s="78"/>
      <c r="AC144" s="78"/>
      <c r="AD144" s="78"/>
      <c r="AE144" s="78"/>
      <c r="AF144" s="78"/>
      <c r="AG144" s="78"/>
      <c r="AH144" s="78"/>
      <c r="AI144" s="78"/>
    </row>
    <row r="145" spans="26:35" x14ac:dyDescent="0.35">
      <c r="Z145" s="9"/>
      <c r="AA145" s="78"/>
      <c r="AB145" s="78"/>
      <c r="AC145" s="78"/>
      <c r="AD145" s="78"/>
      <c r="AE145" s="78"/>
      <c r="AF145" s="78"/>
      <c r="AG145" s="78"/>
      <c r="AH145" s="78"/>
      <c r="AI145" s="78"/>
    </row>
    <row r="146" spans="26:35" x14ac:dyDescent="0.35">
      <c r="Z146" s="9"/>
      <c r="AA146" s="78"/>
      <c r="AB146" s="78"/>
      <c r="AC146" s="78"/>
      <c r="AD146" s="78"/>
      <c r="AE146" s="78"/>
      <c r="AF146" s="78"/>
      <c r="AG146" s="78"/>
      <c r="AH146" s="78"/>
      <c r="AI146" s="78"/>
    </row>
    <row r="147" spans="26:35" x14ac:dyDescent="0.35">
      <c r="Z147" s="9"/>
      <c r="AA147" s="78"/>
      <c r="AB147" s="78"/>
      <c r="AC147" s="78"/>
      <c r="AD147" s="78"/>
      <c r="AE147" s="78"/>
      <c r="AF147" s="78"/>
      <c r="AG147" s="78"/>
      <c r="AH147" s="78"/>
      <c r="AI147" s="78"/>
    </row>
    <row r="148" spans="26:35" x14ac:dyDescent="0.35">
      <c r="Z148" s="9"/>
      <c r="AA148" s="78"/>
      <c r="AB148" s="78"/>
      <c r="AC148" s="78"/>
      <c r="AD148" s="78"/>
      <c r="AE148" s="78"/>
      <c r="AF148" s="78"/>
      <c r="AG148" s="78"/>
      <c r="AH148" s="78"/>
      <c r="AI148" s="78"/>
    </row>
    <row r="149" spans="26:35" x14ac:dyDescent="0.35">
      <c r="Z149" s="9"/>
      <c r="AA149" s="78"/>
      <c r="AB149" s="78"/>
      <c r="AC149" s="78"/>
      <c r="AD149" s="78"/>
      <c r="AE149" s="78"/>
      <c r="AF149" s="78"/>
      <c r="AG149" s="78"/>
      <c r="AH149" s="78"/>
      <c r="AI149" s="78"/>
    </row>
    <row r="150" spans="26:35" x14ac:dyDescent="0.35">
      <c r="Z150" s="9"/>
      <c r="AA150" s="78"/>
      <c r="AB150" s="78"/>
      <c r="AC150" s="78"/>
      <c r="AD150" s="78"/>
      <c r="AE150" s="78"/>
      <c r="AF150" s="78"/>
      <c r="AG150" s="78"/>
      <c r="AH150" s="78"/>
      <c r="AI150" s="78"/>
    </row>
    <row r="151" spans="26:35" x14ac:dyDescent="0.35">
      <c r="Z151" s="9"/>
      <c r="AA151" s="78"/>
      <c r="AB151" s="78"/>
      <c r="AC151" s="78"/>
      <c r="AD151" s="78"/>
      <c r="AE151" s="78"/>
      <c r="AF151" s="78"/>
      <c r="AG151" s="78"/>
      <c r="AH151" s="78"/>
      <c r="AI151" s="78"/>
    </row>
    <row r="152" spans="26:35" x14ac:dyDescent="0.35">
      <c r="Z152" s="9"/>
      <c r="AA152" s="78"/>
      <c r="AB152" s="78"/>
      <c r="AC152" s="78"/>
      <c r="AD152" s="78"/>
      <c r="AE152" s="78"/>
      <c r="AF152" s="78"/>
      <c r="AG152" s="78"/>
      <c r="AH152" s="78"/>
      <c r="AI152" s="78"/>
    </row>
    <row r="153" spans="26:35" x14ac:dyDescent="0.35">
      <c r="Z153" s="9"/>
      <c r="AA153" s="78"/>
      <c r="AB153" s="78"/>
      <c r="AC153" s="78"/>
      <c r="AD153" s="78"/>
      <c r="AE153" s="78"/>
      <c r="AF153" s="78"/>
      <c r="AG153" s="78"/>
      <c r="AH153" s="78"/>
      <c r="AI153" s="78"/>
    </row>
    <row r="154" spans="26:35" x14ac:dyDescent="0.35">
      <c r="Z154" s="9"/>
      <c r="AA154" s="78"/>
      <c r="AB154" s="78"/>
      <c r="AC154" s="78"/>
      <c r="AD154" s="78"/>
      <c r="AE154" s="78"/>
      <c r="AF154" s="78"/>
      <c r="AG154" s="78"/>
      <c r="AH154" s="78"/>
      <c r="AI154" s="78"/>
    </row>
    <row r="155" spans="26:35" x14ac:dyDescent="0.35">
      <c r="Z155" s="9"/>
      <c r="AA155" s="78"/>
      <c r="AB155" s="78"/>
      <c r="AC155" s="78"/>
      <c r="AD155" s="78"/>
      <c r="AE155" s="78"/>
      <c r="AF155" s="78"/>
      <c r="AG155" s="78"/>
      <c r="AH155" s="78"/>
      <c r="AI155" s="78"/>
    </row>
    <row r="156" spans="26:35" x14ac:dyDescent="0.35">
      <c r="Z156" s="9"/>
      <c r="AA156" s="78"/>
      <c r="AB156" s="78"/>
      <c r="AC156" s="78"/>
      <c r="AD156" s="78"/>
      <c r="AE156" s="78"/>
      <c r="AF156" s="78"/>
      <c r="AG156" s="78"/>
      <c r="AH156" s="78"/>
      <c r="AI156" s="78"/>
    </row>
    <row r="157" spans="26:35" x14ac:dyDescent="0.35">
      <c r="Z157" s="9"/>
      <c r="AA157" s="78"/>
      <c r="AB157" s="78"/>
      <c r="AC157" s="78"/>
      <c r="AD157" s="78"/>
      <c r="AE157" s="78"/>
      <c r="AF157" s="78"/>
      <c r="AG157" s="78"/>
      <c r="AH157" s="78"/>
      <c r="AI157" s="78"/>
    </row>
    <row r="158" spans="26:35" x14ac:dyDescent="0.35">
      <c r="Z158" s="9"/>
      <c r="AA158" s="78"/>
      <c r="AB158" s="78"/>
      <c r="AC158" s="78"/>
      <c r="AD158" s="78"/>
      <c r="AE158" s="78"/>
      <c r="AF158" s="78"/>
      <c r="AG158" s="78"/>
      <c r="AH158" s="78"/>
      <c r="AI158" s="78"/>
    </row>
    <row r="159" spans="26:35" x14ac:dyDescent="0.35">
      <c r="Z159" s="9"/>
      <c r="AA159" s="78"/>
      <c r="AB159" s="78"/>
      <c r="AC159" s="78"/>
      <c r="AD159" s="78"/>
      <c r="AE159" s="78"/>
      <c r="AF159" s="78"/>
      <c r="AG159" s="78"/>
      <c r="AH159" s="78"/>
      <c r="AI159" s="78"/>
    </row>
    <row r="160" spans="26:35" x14ac:dyDescent="0.35">
      <c r="Z160" s="9"/>
      <c r="AA160" s="78"/>
      <c r="AB160" s="78"/>
      <c r="AC160" s="78"/>
      <c r="AD160" s="78"/>
      <c r="AE160" s="78"/>
      <c r="AF160" s="78"/>
      <c r="AG160" s="78"/>
      <c r="AH160" s="78"/>
      <c r="AI160" s="78"/>
    </row>
    <row r="161" spans="26:35" x14ac:dyDescent="0.35">
      <c r="Z161" s="9"/>
      <c r="AA161" s="78"/>
      <c r="AB161" s="78"/>
      <c r="AC161" s="78"/>
      <c r="AD161" s="78"/>
      <c r="AE161" s="78"/>
      <c r="AF161" s="78"/>
      <c r="AG161" s="78"/>
      <c r="AH161" s="78"/>
      <c r="AI161" s="78"/>
    </row>
  </sheetData>
  <autoFilter ref="A3:AU28" xr:uid="{00000000-0009-0000-0000-000004000000}"/>
  <sortState xmlns:xlrd2="http://schemas.microsoft.com/office/spreadsheetml/2017/richdata2" ref="A4:AV31">
    <sortCondition ref="A4:A31"/>
  </sortState>
  <mergeCells count="1">
    <mergeCell ref="A69:B69"/>
  </mergeCells>
  <pageMargins left="0.5" right="0.5" top="0.75" bottom="0.75" header="0.3" footer="0.3"/>
  <pageSetup orientation="landscape" r:id="rId1"/>
  <headerFooter>
    <oddHeader>&amp;LDRAFT - DO NOT CITE&amp;C2010 Hypothetical Ozone Designations (Option 1)
&amp;A&amp;R8/27/2010</oddHead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44"/>
  <sheetViews>
    <sheetView topLeftCell="A10" zoomScaleNormal="100" workbookViewId="0">
      <selection activeCell="F48" sqref="F48"/>
    </sheetView>
  </sheetViews>
  <sheetFormatPr defaultColWidth="9.08984375" defaultRowHeight="14.5" x14ac:dyDescent="0.35"/>
  <cols>
    <col min="1" max="1" width="12.08984375" style="8" customWidth="1"/>
    <col min="2" max="2" width="21.453125" style="4" customWidth="1"/>
    <col min="3" max="3" width="15.36328125" style="13" bestFit="1" customWidth="1"/>
    <col min="4" max="4" width="14.08984375" style="8" customWidth="1"/>
    <col min="5" max="5" width="14.36328125" style="8" customWidth="1"/>
    <col min="6" max="6" width="16.453125" style="8" customWidth="1"/>
    <col min="7" max="7" width="10.54296875" style="13" bestFit="1" customWidth="1"/>
    <col min="8" max="9" width="12.54296875" style="13" bestFit="1" customWidth="1"/>
    <col min="10" max="10" width="12.54296875" style="8" bestFit="1" customWidth="1"/>
    <col min="11" max="11" width="13.6328125" style="8" bestFit="1" customWidth="1"/>
    <col min="12" max="14" width="10.54296875" style="8" hidden="1" customWidth="1"/>
    <col min="15" max="17" width="11.54296875" style="8" bestFit="1" customWidth="1"/>
    <col min="18" max="18" width="9.08984375" style="8"/>
    <col min="19" max="19" width="65.54296875" style="8" customWidth="1"/>
    <col min="20" max="16384" width="9.08984375" style="8"/>
  </cols>
  <sheetData>
    <row r="1" spans="1:19" x14ac:dyDescent="0.35">
      <c r="D1" s="264" t="s">
        <v>72</v>
      </c>
      <c r="E1" s="264"/>
      <c r="F1" s="264"/>
      <c r="G1" s="264"/>
      <c r="H1" s="264"/>
      <c r="I1" s="264"/>
      <c r="J1" s="264"/>
      <c r="K1" s="265"/>
      <c r="O1" s="268" t="s">
        <v>483</v>
      </c>
      <c r="P1" s="269"/>
      <c r="Q1" s="269"/>
    </row>
    <row r="2" spans="1:19" s="4" customFormat="1" ht="43.5" x14ac:dyDescent="0.35">
      <c r="A2" s="36" t="s">
        <v>11</v>
      </c>
      <c r="B2" s="36" t="s">
        <v>228</v>
      </c>
      <c r="C2" s="37" t="s">
        <v>229</v>
      </c>
      <c r="D2" s="37" t="s">
        <v>73</v>
      </c>
      <c r="E2" s="36" t="s">
        <v>74</v>
      </c>
      <c r="F2" s="36" t="s">
        <v>75</v>
      </c>
      <c r="G2" s="36" t="s">
        <v>76</v>
      </c>
      <c r="H2" s="37" t="s">
        <v>77</v>
      </c>
      <c r="I2" s="37" t="s">
        <v>78</v>
      </c>
      <c r="J2" s="37" t="s">
        <v>79</v>
      </c>
      <c r="K2" s="36" t="s">
        <v>76</v>
      </c>
      <c r="L2" s="38" t="s">
        <v>80</v>
      </c>
      <c r="M2" s="39" t="s">
        <v>81</v>
      </c>
      <c r="N2" s="39" t="s">
        <v>82</v>
      </c>
      <c r="O2" s="40" t="s">
        <v>83</v>
      </c>
      <c r="P2" s="41" t="s">
        <v>84</v>
      </c>
      <c r="Q2" s="41" t="s">
        <v>85</v>
      </c>
    </row>
    <row r="3" spans="1:19" x14ac:dyDescent="0.35">
      <c r="A3" s="42">
        <v>1</v>
      </c>
      <c r="B3" s="71">
        <f>SUMIF('Final State Summary'!B$4:B$58,A3,'Final State Summary'!AK$4:AK$58)</f>
        <v>23800</v>
      </c>
      <c r="C3" s="43">
        <f>B3*73.5</f>
        <v>1749300</v>
      </c>
      <c r="D3" s="44">
        <f>(0.1*B3)/2</f>
        <v>1190</v>
      </c>
      <c r="E3" s="128">
        <f>D3/2</f>
        <v>595</v>
      </c>
      <c r="F3" s="128">
        <f>D3/2</f>
        <v>595</v>
      </c>
      <c r="G3" s="44">
        <f>E3+F3+D3</f>
        <v>2380</v>
      </c>
      <c r="H3" s="43">
        <f>(0.1*C3)/2</f>
        <v>87465</v>
      </c>
      <c r="I3" s="43">
        <f>H3/2</f>
        <v>43732.5</v>
      </c>
      <c r="J3" s="43">
        <f>H3/2</f>
        <v>43732.5</v>
      </c>
      <c r="K3" s="46">
        <f>I3+J3+H3</f>
        <v>174930</v>
      </c>
      <c r="L3" s="44">
        <f>(0.1*$B3)*0.375</f>
        <v>892.5</v>
      </c>
      <c r="M3" s="44">
        <f>(0.1*$B3)*0.375</f>
        <v>892.5</v>
      </c>
      <c r="N3" s="44">
        <f>(0.1*$B3)*0.25</f>
        <v>595</v>
      </c>
      <c r="O3" s="129">
        <f>(0.1*B3)*0.375</f>
        <v>892.5</v>
      </c>
      <c r="P3" s="129">
        <f>(0.1*B3)*0.375</f>
        <v>892.5</v>
      </c>
      <c r="Q3" s="129">
        <f>B3*0.1*0.25</f>
        <v>595</v>
      </c>
    </row>
    <row r="4" spans="1:19" x14ac:dyDescent="0.35">
      <c r="A4" s="42">
        <v>2</v>
      </c>
      <c r="B4" s="71">
        <f>SUMIF('Final State Summary'!B$4:B$58,A4,'Final State Summary'!AK$4:AK$58)</f>
        <v>26100</v>
      </c>
      <c r="C4" s="43">
        <f t="shared" ref="C4:C11" si="0">B4*73.5</f>
        <v>1918350</v>
      </c>
      <c r="D4" s="44">
        <f t="shared" ref="D4:D11" si="1">(0.1*B4)/2</f>
        <v>1305</v>
      </c>
      <c r="E4" s="128">
        <f t="shared" ref="E4:E13" si="2">D4/2</f>
        <v>652.5</v>
      </c>
      <c r="F4" s="128">
        <f t="shared" ref="F4:F13" si="3">D4/2</f>
        <v>652.5</v>
      </c>
      <c r="G4" s="44">
        <f t="shared" ref="G4:G14" si="4">E4+F4+D4</f>
        <v>2610</v>
      </c>
      <c r="H4" s="43">
        <f t="shared" ref="H4:H13" si="5">(0.1*C4)/2</f>
        <v>95917.5</v>
      </c>
      <c r="I4" s="43">
        <f t="shared" ref="I4:I13" si="6">H4/2</f>
        <v>47958.75</v>
      </c>
      <c r="J4" s="43">
        <f t="shared" ref="J4:J13" si="7">H4/2</f>
        <v>47958.75</v>
      </c>
      <c r="K4" s="46">
        <f t="shared" ref="K4:K13" si="8">I4+J4+H4</f>
        <v>191835</v>
      </c>
      <c r="L4" s="44">
        <f t="shared" ref="L4:M13" si="9">(0.1*$B4)*0.375</f>
        <v>978.75</v>
      </c>
      <c r="M4" s="44">
        <f t="shared" si="9"/>
        <v>978.75</v>
      </c>
      <c r="N4" s="44">
        <f t="shared" ref="N4:N13" si="10">(0.1*$B4)*0.25</f>
        <v>652.5</v>
      </c>
      <c r="O4" s="129">
        <f t="shared" ref="O4:O13" si="11">(0.1*B4)*0.375</f>
        <v>978.75</v>
      </c>
      <c r="P4" s="129">
        <f t="shared" ref="P4:P13" si="12">(0.1*B4)*0.375</f>
        <v>978.75</v>
      </c>
      <c r="Q4" s="129">
        <f t="shared" ref="Q4:Q13" si="13">B4*0.1*0.25</f>
        <v>652.5</v>
      </c>
    </row>
    <row r="5" spans="1:19" x14ac:dyDescent="0.35">
      <c r="A5" s="42">
        <v>3</v>
      </c>
      <c r="B5" s="71">
        <f>SUMIF('Final State Summary'!B$4:B$58,A5,'Final State Summary'!AK$4:AK$58)</f>
        <v>32600</v>
      </c>
      <c r="C5" s="43">
        <f t="shared" si="0"/>
        <v>2396100</v>
      </c>
      <c r="D5" s="44">
        <f t="shared" si="1"/>
        <v>1630</v>
      </c>
      <c r="E5" s="128">
        <f t="shared" si="2"/>
        <v>815</v>
      </c>
      <c r="F5" s="128">
        <f t="shared" si="3"/>
        <v>815</v>
      </c>
      <c r="G5" s="44">
        <f t="shared" si="4"/>
        <v>3260</v>
      </c>
      <c r="H5" s="43">
        <f t="shared" si="5"/>
        <v>119805</v>
      </c>
      <c r="I5" s="43">
        <f t="shared" si="6"/>
        <v>59902.5</v>
      </c>
      <c r="J5" s="43">
        <f t="shared" si="7"/>
        <v>59902.5</v>
      </c>
      <c r="K5" s="46">
        <f t="shared" si="8"/>
        <v>239610</v>
      </c>
      <c r="L5" s="44">
        <f t="shared" si="9"/>
        <v>1222.5</v>
      </c>
      <c r="M5" s="44">
        <f t="shared" si="9"/>
        <v>1222.5</v>
      </c>
      <c r="N5" s="44">
        <f t="shared" si="10"/>
        <v>815</v>
      </c>
      <c r="O5" s="129">
        <f t="shared" si="11"/>
        <v>1222.5</v>
      </c>
      <c r="P5" s="129">
        <f t="shared" si="12"/>
        <v>1222.5</v>
      </c>
      <c r="Q5" s="129">
        <f t="shared" si="13"/>
        <v>815</v>
      </c>
    </row>
    <row r="6" spans="1:19" x14ac:dyDescent="0.35">
      <c r="A6" s="42">
        <v>4</v>
      </c>
      <c r="B6" s="71">
        <f>SUMIF('Final State Summary'!B$4:B$58,A6,'Final State Summary'!AK$4:AK$58)</f>
        <v>10800</v>
      </c>
      <c r="C6" s="43">
        <f t="shared" si="0"/>
        <v>793800</v>
      </c>
      <c r="D6" s="44">
        <f t="shared" si="1"/>
        <v>540</v>
      </c>
      <c r="E6" s="128">
        <f t="shared" si="2"/>
        <v>270</v>
      </c>
      <c r="F6" s="128">
        <f t="shared" si="3"/>
        <v>270</v>
      </c>
      <c r="G6" s="44">
        <f t="shared" si="4"/>
        <v>1080</v>
      </c>
      <c r="H6" s="43">
        <f t="shared" si="5"/>
        <v>39690</v>
      </c>
      <c r="I6" s="43">
        <f t="shared" si="6"/>
        <v>19845</v>
      </c>
      <c r="J6" s="43">
        <f t="shared" si="7"/>
        <v>19845</v>
      </c>
      <c r="K6" s="46">
        <f t="shared" si="8"/>
        <v>79380</v>
      </c>
      <c r="L6" s="44">
        <f t="shared" si="9"/>
        <v>405</v>
      </c>
      <c r="M6" s="44">
        <f t="shared" si="9"/>
        <v>405</v>
      </c>
      <c r="N6" s="44">
        <f t="shared" si="10"/>
        <v>270</v>
      </c>
      <c r="O6" s="129">
        <f t="shared" si="11"/>
        <v>405</v>
      </c>
      <c r="P6" s="129">
        <f t="shared" si="12"/>
        <v>405</v>
      </c>
      <c r="Q6" s="129">
        <f t="shared" si="13"/>
        <v>270</v>
      </c>
    </row>
    <row r="7" spans="1:19" x14ac:dyDescent="0.35">
      <c r="A7" s="42">
        <v>5</v>
      </c>
      <c r="B7" s="71">
        <f>SUMIF('Final State Summary'!B$4:B$58,A7,'Final State Summary'!AK$4:AK$58)</f>
        <v>81500</v>
      </c>
      <c r="C7" s="43">
        <f t="shared" si="0"/>
        <v>5990250</v>
      </c>
      <c r="D7" s="44">
        <f t="shared" si="1"/>
        <v>4075</v>
      </c>
      <c r="E7" s="128">
        <f t="shared" si="2"/>
        <v>2037.5</v>
      </c>
      <c r="F7" s="128">
        <f t="shared" si="3"/>
        <v>2037.5</v>
      </c>
      <c r="G7" s="44">
        <f t="shared" si="4"/>
        <v>8150</v>
      </c>
      <c r="H7" s="43">
        <f t="shared" si="5"/>
        <v>299512.5</v>
      </c>
      <c r="I7" s="43">
        <f t="shared" si="6"/>
        <v>149756.25</v>
      </c>
      <c r="J7" s="43">
        <f t="shared" si="7"/>
        <v>149756.25</v>
      </c>
      <c r="K7" s="46">
        <f t="shared" si="8"/>
        <v>599025</v>
      </c>
      <c r="L7" s="44">
        <f t="shared" si="9"/>
        <v>3056.25</v>
      </c>
      <c r="M7" s="44">
        <f t="shared" si="9"/>
        <v>3056.25</v>
      </c>
      <c r="N7" s="44">
        <f t="shared" si="10"/>
        <v>2037.5</v>
      </c>
      <c r="O7" s="129">
        <f t="shared" si="11"/>
        <v>3056.25</v>
      </c>
      <c r="P7" s="129">
        <f t="shared" si="12"/>
        <v>3056.25</v>
      </c>
      <c r="Q7" s="129">
        <f t="shared" si="13"/>
        <v>2037.5</v>
      </c>
    </row>
    <row r="8" spans="1:19" x14ac:dyDescent="0.35">
      <c r="A8" s="42">
        <v>6</v>
      </c>
      <c r="B8" s="71">
        <f>SUMIF('Final State Summary'!B$4:B$58,A8,'Final State Summary'!AK$4:AK$58)</f>
        <v>25400</v>
      </c>
      <c r="C8" s="43">
        <f t="shared" si="0"/>
        <v>1866900</v>
      </c>
      <c r="D8" s="44">
        <f t="shared" si="1"/>
        <v>1270</v>
      </c>
      <c r="E8" s="128">
        <f t="shared" si="2"/>
        <v>635</v>
      </c>
      <c r="F8" s="128">
        <f t="shared" si="3"/>
        <v>635</v>
      </c>
      <c r="G8" s="44">
        <f t="shared" si="4"/>
        <v>2540</v>
      </c>
      <c r="H8" s="43">
        <f t="shared" si="5"/>
        <v>93345</v>
      </c>
      <c r="I8" s="43">
        <f t="shared" si="6"/>
        <v>46672.5</v>
      </c>
      <c r="J8" s="43">
        <f t="shared" si="7"/>
        <v>46672.5</v>
      </c>
      <c r="K8" s="46">
        <f t="shared" si="8"/>
        <v>186690</v>
      </c>
      <c r="L8" s="44">
        <f t="shared" si="9"/>
        <v>952.5</v>
      </c>
      <c r="M8" s="44">
        <f t="shared" si="9"/>
        <v>952.5</v>
      </c>
      <c r="N8" s="44">
        <f t="shared" si="10"/>
        <v>635</v>
      </c>
      <c r="O8" s="129">
        <f t="shared" si="11"/>
        <v>952.5</v>
      </c>
      <c r="P8" s="129">
        <f t="shared" si="12"/>
        <v>952.5</v>
      </c>
      <c r="Q8" s="129">
        <f t="shared" si="13"/>
        <v>635</v>
      </c>
    </row>
    <row r="9" spans="1:19" x14ac:dyDescent="0.35">
      <c r="A9" s="42">
        <v>7</v>
      </c>
      <c r="B9" s="71">
        <f>SUMIF('Final State Summary'!B$4:B$58,A9,'Final State Summary'!AK$4:AK$58)</f>
        <v>5200</v>
      </c>
      <c r="C9" s="43">
        <f t="shared" si="0"/>
        <v>382200</v>
      </c>
      <c r="D9" s="44">
        <f t="shared" si="1"/>
        <v>260</v>
      </c>
      <c r="E9" s="128">
        <f t="shared" si="2"/>
        <v>130</v>
      </c>
      <c r="F9" s="128">
        <f t="shared" si="3"/>
        <v>130</v>
      </c>
      <c r="G9" s="44">
        <f t="shared" si="4"/>
        <v>520</v>
      </c>
      <c r="H9" s="43">
        <f t="shared" si="5"/>
        <v>19110</v>
      </c>
      <c r="I9" s="43">
        <f t="shared" si="6"/>
        <v>9555</v>
      </c>
      <c r="J9" s="43">
        <f t="shared" si="7"/>
        <v>9555</v>
      </c>
      <c r="K9" s="46">
        <f t="shared" si="8"/>
        <v>38220</v>
      </c>
      <c r="L9" s="44">
        <f t="shared" si="9"/>
        <v>195</v>
      </c>
      <c r="M9" s="44">
        <f t="shared" si="9"/>
        <v>195</v>
      </c>
      <c r="N9" s="44">
        <f t="shared" si="10"/>
        <v>130</v>
      </c>
      <c r="O9" s="129">
        <f t="shared" si="11"/>
        <v>195</v>
      </c>
      <c r="P9" s="129">
        <f t="shared" si="12"/>
        <v>195</v>
      </c>
      <c r="Q9" s="129">
        <f t="shared" si="13"/>
        <v>130</v>
      </c>
    </row>
    <row r="10" spans="1:19" x14ac:dyDescent="0.35">
      <c r="A10" s="42">
        <v>8</v>
      </c>
      <c r="B10" s="71">
        <f>SUMIF('Final State Summary'!B$4:B$58,A10,'Final State Summary'!AK$4:AK$58)</f>
        <v>20400</v>
      </c>
      <c r="C10" s="43">
        <f t="shared" si="0"/>
        <v>1499400</v>
      </c>
      <c r="D10" s="44">
        <f t="shared" si="1"/>
        <v>1020</v>
      </c>
      <c r="E10" s="128">
        <f t="shared" si="2"/>
        <v>510</v>
      </c>
      <c r="F10" s="128">
        <f t="shared" si="3"/>
        <v>510</v>
      </c>
      <c r="G10" s="44">
        <f t="shared" si="4"/>
        <v>2040</v>
      </c>
      <c r="H10" s="43">
        <f t="shared" si="5"/>
        <v>74970</v>
      </c>
      <c r="I10" s="43">
        <f t="shared" si="6"/>
        <v>37485</v>
      </c>
      <c r="J10" s="43">
        <f t="shared" si="7"/>
        <v>37485</v>
      </c>
      <c r="K10" s="46">
        <f t="shared" si="8"/>
        <v>149940</v>
      </c>
      <c r="L10" s="44">
        <f t="shared" si="9"/>
        <v>765</v>
      </c>
      <c r="M10" s="44">
        <f t="shared" si="9"/>
        <v>765</v>
      </c>
      <c r="N10" s="44">
        <f t="shared" si="10"/>
        <v>510</v>
      </c>
      <c r="O10" s="129">
        <f t="shared" si="11"/>
        <v>765</v>
      </c>
      <c r="P10" s="129">
        <f t="shared" si="12"/>
        <v>765</v>
      </c>
      <c r="Q10" s="129">
        <f t="shared" si="13"/>
        <v>510</v>
      </c>
    </row>
    <row r="11" spans="1:19" x14ac:dyDescent="0.35">
      <c r="A11" s="42">
        <v>9</v>
      </c>
      <c r="B11" s="71">
        <f>SUMIF('Final State Summary'!B$4:B$58,A11,'Final State Summary'!AK$4:AK$58)</f>
        <v>131600</v>
      </c>
      <c r="C11" s="43">
        <f t="shared" si="0"/>
        <v>9672600</v>
      </c>
      <c r="D11" s="44">
        <f t="shared" si="1"/>
        <v>6580</v>
      </c>
      <c r="E11" s="128">
        <f t="shared" si="2"/>
        <v>3290</v>
      </c>
      <c r="F11" s="128">
        <f t="shared" si="3"/>
        <v>3290</v>
      </c>
      <c r="G11" s="44">
        <f t="shared" si="4"/>
        <v>13160</v>
      </c>
      <c r="H11" s="43">
        <f t="shared" si="5"/>
        <v>483630</v>
      </c>
      <c r="I11" s="43">
        <f t="shared" si="6"/>
        <v>241815</v>
      </c>
      <c r="J11" s="43">
        <f t="shared" si="7"/>
        <v>241815</v>
      </c>
      <c r="K11" s="46">
        <f t="shared" si="8"/>
        <v>967260</v>
      </c>
      <c r="L11" s="44">
        <f t="shared" si="9"/>
        <v>4935</v>
      </c>
      <c r="M11" s="44">
        <f t="shared" si="9"/>
        <v>4935</v>
      </c>
      <c r="N11" s="44">
        <f t="shared" si="10"/>
        <v>3290</v>
      </c>
      <c r="O11" s="129">
        <f t="shared" si="11"/>
        <v>4935</v>
      </c>
      <c r="P11" s="129">
        <f t="shared" si="12"/>
        <v>4935</v>
      </c>
      <c r="Q11" s="129">
        <f t="shared" si="13"/>
        <v>3290</v>
      </c>
    </row>
    <row r="12" spans="1:19" ht="58" x14ac:dyDescent="0.35">
      <c r="A12" s="212" t="s">
        <v>439</v>
      </c>
      <c r="B12" s="133">
        <v>0</v>
      </c>
      <c r="C12" s="134">
        <f t="shared" ref="C12:C13" si="14">B12*63.87</f>
        <v>0</v>
      </c>
      <c r="D12" s="144">
        <f>('Final State Summary'!AK67)*0.5</f>
        <v>12600</v>
      </c>
      <c r="E12" s="145">
        <f>D12/2</f>
        <v>6300</v>
      </c>
      <c r="F12" s="145">
        <f>D12/2</f>
        <v>6300</v>
      </c>
      <c r="G12" s="135">
        <f>E12+F12+D12</f>
        <v>25200</v>
      </c>
      <c r="H12" s="134">
        <f>D12*67.96</f>
        <v>856295.99999999988</v>
      </c>
      <c r="I12" s="134">
        <f>E12*67.96</f>
        <v>428147.99999999994</v>
      </c>
      <c r="J12" s="134">
        <f>F12*67.96</f>
        <v>428147.99999999994</v>
      </c>
      <c r="K12" s="136">
        <f>I12+J12+H12</f>
        <v>1712591.9999999998</v>
      </c>
      <c r="L12" s="135">
        <f t="shared" si="9"/>
        <v>0</v>
      </c>
      <c r="M12" s="135">
        <f t="shared" si="9"/>
        <v>0</v>
      </c>
      <c r="N12" s="135">
        <f t="shared" si="10"/>
        <v>0</v>
      </c>
      <c r="O12" s="137">
        <f>D12*0.375</f>
        <v>4725</v>
      </c>
      <c r="P12" s="137">
        <f>D12*0.375</f>
        <v>4725</v>
      </c>
      <c r="Q12" s="137">
        <f>D12*0.25</f>
        <v>3150</v>
      </c>
      <c r="S12" s="166"/>
    </row>
    <row r="13" spans="1:19" x14ac:dyDescent="0.35">
      <c r="A13" s="42">
        <v>10</v>
      </c>
      <c r="B13" s="71">
        <f>SUMIF('Final State Summary'!B$9:B$57,A13,'Final State Summary'!AK$9:AK$57)</f>
        <v>0</v>
      </c>
      <c r="C13" s="43">
        <f t="shared" si="14"/>
        <v>0</v>
      </c>
      <c r="D13" s="44">
        <f>(0.1*B13)/2</f>
        <v>0</v>
      </c>
      <c r="E13" s="45">
        <f t="shared" si="2"/>
        <v>0</v>
      </c>
      <c r="F13" s="45">
        <f t="shared" si="3"/>
        <v>0</v>
      </c>
      <c r="G13" s="44">
        <f t="shared" si="4"/>
        <v>0</v>
      </c>
      <c r="H13" s="43">
        <f t="shared" si="5"/>
        <v>0</v>
      </c>
      <c r="I13" s="43">
        <f t="shared" si="6"/>
        <v>0</v>
      </c>
      <c r="J13" s="43">
        <f t="shared" si="7"/>
        <v>0</v>
      </c>
      <c r="K13" s="46">
        <f t="shared" si="8"/>
        <v>0</v>
      </c>
      <c r="L13" s="44">
        <f t="shared" si="9"/>
        <v>0</v>
      </c>
      <c r="M13" s="44">
        <f t="shared" si="9"/>
        <v>0</v>
      </c>
      <c r="N13" s="44">
        <f t="shared" si="10"/>
        <v>0</v>
      </c>
      <c r="O13" s="129">
        <f t="shared" si="11"/>
        <v>0</v>
      </c>
      <c r="P13" s="129">
        <f t="shared" si="12"/>
        <v>0</v>
      </c>
      <c r="Q13" s="129">
        <f t="shared" si="13"/>
        <v>0</v>
      </c>
    </row>
    <row r="14" spans="1:19" x14ac:dyDescent="0.35">
      <c r="A14" s="42"/>
      <c r="B14" s="90">
        <f>SUM(B3:B13)</f>
        <v>357400</v>
      </c>
      <c r="C14" s="139">
        <f>B14*73.5</f>
        <v>26268900</v>
      </c>
      <c r="D14" s="47">
        <f>SUM(D3:D13)</f>
        <v>30470</v>
      </c>
      <c r="E14" s="127">
        <f>SUM(E3:E13)</f>
        <v>15235</v>
      </c>
      <c r="F14" s="48">
        <f>SUM(F3:F13)</f>
        <v>15235</v>
      </c>
      <c r="G14" s="48">
        <f t="shared" si="4"/>
        <v>60940</v>
      </c>
      <c r="H14" s="192">
        <f>SUM(H3:H13)</f>
        <v>2169741</v>
      </c>
      <c r="I14" s="193">
        <f>SUM(I3:I13)</f>
        <v>1084870.5</v>
      </c>
      <c r="J14" s="193">
        <f>SUM(J3:J13)</f>
        <v>1084870.5</v>
      </c>
      <c r="K14" s="49">
        <f>I14+J14+H14</f>
        <v>4339482</v>
      </c>
      <c r="L14" s="50">
        <f t="shared" ref="L14:Q14" si="15">SUM(L3:L13)</f>
        <v>13402.5</v>
      </c>
      <c r="M14" s="50">
        <f t="shared" si="15"/>
        <v>13402.5</v>
      </c>
      <c r="N14" s="50">
        <f t="shared" si="15"/>
        <v>8935</v>
      </c>
      <c r="O14" s="130">
        <f t="shared" si="15"/>
        <v>18127.5</v>
      </c>
      <c r="P14" s="131">
        <f t="shared" si="15"/>
        <v>18127.5</v>
      </c>
      <c r="Q14" s="131">
        <f t="shared" si="15"/>
        <v>12085</v>
      </c>
    </row>
    <row r="15" spans="1:19" x14ac:dyDescent="0.35">
      <c r="A15" s="51" t="s">
        <v>86</v>
      </c>
      <c r="B15" s="52"/>
      <c r="C15" s="43"/>
      <c r="D15" s="53">
        <f t="shared" ref="D15:Q15" si="16">0.1*D14</f>
        <v>3047</v>
      </c>
      <c r="E15" s="53">
        <f t="shared" si="16"/>
        <v>1523.5</v>
      </c>
      <c r="F15" s="53">
        <f t="shared" si="16"/>
        <v>1523.5</v>
      </c>
      <c r="G15" s="53">
        <f t="shared" si="16"/>
        <v>6094</v>
      </c>
      <c r="H15" s="139">
        <f t="shared" si="16"/>
        <v>216974.1</v>
      </c>
      <c r="I15" s="139">
        <f t="shared" si="16"/>
        <v>108487.05</v>
      </c>
      <c r="J15" s="139">
        <f t="shared" si="16"/>
        <v>108487.05</v>
      </c>
      <c r="K15" s="43">
        <f t="shared" si="16"/>
        <v>433948.2</v>
      </c>
      <c r="L15" s="43">
        <f t="shared" si="16"/>
        <v>1340.25</v>
      </c>
      <c r="M15" s="43">
        <f t="shared" si="16"/>
        <v>1340.25</v>
      </c>
      <c r="N15" s="43">
        <f t="shared" si="16"/>
        <v>893.5</v>
      </c>
      <c r="O15" s="129">
        <f t="shared" si="16"/>
        <v>1812.75</v>
      </c>
      <c r="P15" s="129">
        <f t="shared" si="16"/>
        <v>1812.75</v>
      </c>
      <c r="Q15" s="129">
        <f t="shared" si="16"/>
        <v>1208.5</v>
      </c>
    </row>
    <row r="16" spans="1:19" x14ac:dyDescent="0.35">
      <c r="A16" s="51" t="s">
        <v>87</v>
      </c>
      <c r="B16" s="52"/>
      <c r="C16" s="43"/>
      <c r="D16" s="55">
        <f t="shared" ref="D16:Q16" si="17">D15+D14</f>
        <v>33517</v>
      </c>
      <c r="E16" s="55">
        <f t="shared" si="17"/>
        <v>16758.5</v>
      </c>
      <c r="F16" s="55">
        <f t="shared" si="17"/>
        <v>16758.5</v>
      </c>
      <c r="G16" s="89">
        <f t="shared" si="17"/>
        <v>67034</v>
      </c>
      <c r="H16" s="138">
        <f t="shared" si="17"/>
        <v>2386715.1</v>
      </c>
      <c r="I16" s="138">
        <f t="shared" si="17"/>
        <v>1193357.55</v>
      </c>
      <c r="J16" s="138">
        <f t="shared" si="17"/>
        <v>1193357.55</v>
      </c>
      <c r="K16" s="138">
        <f t="shared" si="17"/>
        <v>4773430.2</v>
      </c>
      <c r="L16" s="43">
        <f t="shared" si="17"/>
        <v>14742.75</v>
      </c>
      <c r="M16" s="43">
        <f t="shared" si="17"/>
        <v>14742.75</v>
      </c>
      <c r="N16" s="43">
        <f t="shared" si="17"/>
        <v>9828.5</v>
      </c>
      <c r="O16" s="129">
        <f t="shared" si="17"/>
        <v>19940.25</v>
      </c>
      <c r="P16" s="129">
        <f t="shared" si="17"/>
        <v>19940.25</v>
      </c>
      <c r="Q16" s="129">
        <f t="shared" si="17"/>
        <v>13293.5</v>
      </c>
    </row>
    <row r="17" spans="1:19" x14ac:dyDescent="0.35">
      <c r="D17" s="21"/>
      <c r="F17" s="21"/>
      <c r="K17" s="56"/>
    </row>
    <row r="18" spans="1:19" x14ac:dyDescent="0.35">
      <c r="A18" s="14" t="s">
        <v>88</v>
      </c>
    </row>
    <row r="19" spans="1:19" ht="15" customHeight="1" x14ac:dyDescent="0.35">
      <c r="A19" s="8" t="s">
        <v>89</v>
      </c>
      <c r="B19" s="31">
        <f>(B14-B12)/3</f>
        <v>119133.33333333333</v>
      </c>
      <c r="C19" s="236" t="s">
        <v>464</v>
      </c>
      <c r="D19" s="140"/>
      <c r="E19" s="141"/>
      <c r="F19" s="142"/>
      <c r="G19" s="143"/>
      <c r="H19" s="143"/>
      <c r="J19" s="266" t="s">
        <v>466</v>
      </c>
      <c r="K19" s="267"/>
      <c r="L19" s="267"/>
      <c r="M19" s="267"/>
      <c r="N19" s="267"/>
      <c r="O19" s="267"/>
      <c r="P19" s="267"/>
      <c r="Q19" s="267"/>
      <c r="R19" s="267"/>
      <c r="S19" s="267"/>
    </row>
    <row r="20" spans="1:19" x14ac:dyDescent="0.35">
      <c r="A20" s="8" t="s">
        <v>72</v>
      </c>
      <c r="B20" s="31">
        <f>(SUM(D16,E16,F16))/3</f>
        <v>22344.666666666668</v>
      </c>
      <c r="C20" s="22"/>
      <c r="D20" s="18"/>
      <c r="J20" s="267"/>
      <c r="K20" s="267"/>
      <c r="L20" s="267"/>
      <c r="M20" s="267"/>
      <c r="N20" s="267"/>
      <c r="O20" s="267"/>
      <c r="P20" s="267"/>
      <c r="Q20" s="267"/>
      <c r="R20" s="267"/>
      <c r="S20" s="267"/>
    </row>
    <row r="21" spans="1:19" x14ac:dyDescent="0.35">
      <c r="A21" s="8" t="s">
        <v>90</v>
      </c>
      <c r="B21" s="32">
        <f>SUM(B19:B20)</f>
        <v>141478</v>
      </c>
      <c r="C21" s="17"/>
      <c r="J21" s="267"/>
      <c r="K21" s="267"/>
      <c r="L21" s="267"/>
      <c r="M21" s="267"/>
      <c r="N21" s="267"/>
      <c r="O21" s="267"/>
      <c r="P21" s="267"/>
      <c r="Q21" s="267"/>
      <c r="R21" s="267"/>
      <c r="S21" s="267"/>
    </row>
    <row r="22" spans="1:19" x14ac:dyDescent="0.35">
      <c r="D22" s="209" t="s">
        <v>428</v>
      </c>
      <c r="J22" s="267"/>
      <c r="K22" s="267"/>
      <c r="L22" s="267"/>
      <c r="M22" s="267"/>
      <c r="N22" s="267"/>
      <c r="O22" s="267"/>
      <c r="P22" s="267"/>
      <c r="Q22" s="267"/>
      <c r="R22" s="267"/>
      <c r="S22" s="267"/>
    </row>
    <row r="23" spans="1:19" x14ac:dyDescent="0.35">
      <c r="A23" s="23" t="s">
        <v>91</v>
      </c>
      <c r="B23" s="33"/>
      <c r="C23" s="24" t="s">
        <v>92</v>
      </c>
      <c r="D23" s="25">
        <f>1.0325^2</f>
        <v>1.0660562499999999</v>
      </c>
      <c r="E23" s="26" t="s">
        <v>93</v>
      </c>
      <c r="F23" s="27">
        <f>1.0325^3</f>
        <v>1.1007030781249998</v>
      </c>
      <c r="J23" s="267"/>
      <c r="K23" s="267"/>
      <c r="L23" s="267"/>
      <c r="M23" s="267"/>
      <c r="N23" s="267"/>
      <c r="O23" s="267"/>
      <c r="P23" s="267"/>
      <c r="Q23" s="267"/>
      <c r="R23" s="267"/>
      <c r="S23" s="267"/>
    </row>
    <row r="24" spans="1:19" x14ac:dyDescent="0.35">
      <c r="B24" s="3" t="s">
        <v>94</v>
      </c>
      <c r="C24" s="14" t="s">
        <v>95</v>
      </c>
      <c r="D24" s="20" t="s">
        <v>96</v>
      </c>
      <c r="E24" s="14" t="s">
        <v>90</v>
      </c>
    </row>
    <row r="25" spans="1:19" x14ac:dyDescent="0.35">
      <c r="A25" s="8" t="s">
        <v>89</v>
      </c>
      <c r="B25" s="6">
        <f>'Final State Summary'!AT60/D23</f>
        <v>6160298.7647227813</v>
      </c>
      <c r="C25" s="13">
        <f>'Final State Summary'!AU60/F23</f>
        <v>5966391.0554215806</v>
      </c>
      <c r="D25" s="28">
        <f>SUM(B25:C25)</f>
        <v>12126689.820144363</v>
      </c>
      <c r="E25" s="91">
        <f>D25+'Final State Summary'!AS60</f>
        <v>25261139.820144363</v>
      </c>
      <c r="F25" s="92">
        <f>E25/3</f>
        <v>8420379.9400481209</v>
      </c>
      <c r="H25" s="13">
        <f>F25/41</f>
        <v>205375.12048897857</v>
      </c>
    </row>
    <row r="26" spans="1:19" x14ac:dyDescent="0.35">
      <c r="A26" s="8" t="s">
        <v>72</v>
      </c>
      <c r="B26" s="6">
        <f>I16/D23</f>
        <v>1119413.3048795504</v>
      </c>
      <c r="C26" s="13">
        <f>J16/F23</f>
        <v>1084177.5349923007</v>
      </c>
      <c r="D26" s="28">
        <f>SUM(B26:C26)</f>
        <v>2203590.8398718508</v>
      </c>
      <c r="E26" s="91">
        <f>D26+H16</f>
        <v>4590305.9398718514</v>
      </c>
      <c r="F26" s="92">
        <f>E26/3</f>
        <v>1530101.9799572837</v>
      </c>
    </row>
    <row r="27" spans="1:19" x14ac:dyDescent="0.35">
      <c r="A27" s="8" t="s">
        <v>90</v>
      </c>
      <c r="B27" s="34">
        <f>SUM(B25:B26)</f>
        <v>7279712.0696023311</v>
      </c>
      <c r="C27" s="19">
        <f>SUM(C25:C26)</f>
        <v>7050568.5904138815</v>
      </c>
      <c r="D27" s="15">
        <f>SUM(D25:D26)</f>
        <v>14330280.660016213</v>
      </c>
      <c r="E27" s="15">
        <f>SUM(E25:E26)</f>
        <v>29851445.760016214</v>
      </c>
      <c r="F27" s="12">
        <f>E27/3</f>
        <v>9950481.9200054053</v>
      </c>
    </row>
    <row r="28" spans="1:19" x14ac:dyDescent="0.35">
      <c r="D28" s="10"/>
    </row>
    <row r="30" spans="1:19" x14ac:dyDescent="0.35">
      <c r="C30" s="170" t="s">
        <v>410</v>
      </c>
      <c r="E30" s="171">
        <f>B14+G16</f>
        <v>424434</v>
      </c>
    </row>
    <row r="32" spans="1:19" x14ac:dyDescent="0.35">
      <c r="E32" s="154" t="s">
        <v>234</v>
      </c>
      <c r="F32" s="93"/>
      <c r="G32" s="94"/>
    </row>
    <row r="44" spans="2:16" x14ac:dyDescent="0.35">
      <c r="B44" s="3"/>
      <c r="C44" s="19"/>
      <c r="D44" s="14"/>
      <c r="E44" s="14"/>
      <c r="F44" s="14"/>
      <c r="G44" s="19"/>
      <c r="H44" s="19"/>
      <c r="I44" s="19"/>
      <c r="J44" s="14"/>
      <c r="K44" s="14"/>
      <c r="L44" s="14"/>
      <c r="M44" s="14"/>
      <c r="N44" s="14"/>
      <c r="O44" s="14"/>
      <c r="P44" s="14"/>
    </row>
  </sheetData>
  <mergeCells count="3">
    <mergeCell ref="D1:K1"/>
    <mergeCell ref="J19:S23"/>
    <mergeCell ref="O1:Q1"/>
  </mergeCells>
  <pageMargins left="0.5" right="0.5" top="0.75" bottom="0.75" header="0.3" footer="0.3"/>
  <pageSetup orientation="landscape" r:id="rId1"/>
  <headerFooter>
    <oddHeader>&amp;LDRAFT - DO NOT CITE&amp;C2010 Hypothetical Ozone Designations (Option 1)
&amp;A&amp;R8/27/2010</oddHead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D56"/>
  <sheetViews>
    <sheetView workbookViewId="0">
      <selection activeCell="A50" sqref="A50"/>
    </sheetView>
  </sheetViews>
  <sheetFormatPr defaultRowHeight="12.5" x14ac:dyDescent="0.25"/>
  <cols>
    <col min="1" max="1" width="67.6328125" bestFit="1" customWidth="1"/>
    <col min="2" max="2" width="14" bestFit="1" customWidth="1"/>
  </cols>
  <sheetData>
    <row r="3" spans="1:2" x14ac:dyDescent="0.25">
      <c r="A3" s="146" t="s">
        <v>230</v>
      </c>
      <c r="B3" t="s">
        <v>191</v>
      </c>
    </row>
    <row r="4" spans="1:2" x14ac:dyDescent="0.25">
      <c r="A4" s="147" t="s">
        <v>272</v>
      </c>
      <c r="B4" s="148">
        <v>1</v>
      </c>
    </row>
    <row r="5" spans="1:2" x14ac:dyDescent="0.25">
      <c r="A5" s="147" t="s">
        <v>239</v>
      </c>
      <c r="B5" s="148">
        <v>1</v>
      </c>
    </row>
    <row r="6" spans="1:2" x14ac:dyDescent="0.25">
      <c r="A6" s="147" t="s">
        <v>266</v>
      </c>
      <c r="B6" s="148">
        <v>1</v>
      </c>
    </row>
    <row r="7" spans="1:2" x14ac:dyDescent="0.25">
      <c r="A7" s="147" t="s">
        <v>271</v>
      </c>
      <c r="B7" s="148">
        <v>1</v>
      </c>
    </row>
    <row r="8" spans="1:2" x14ac:dyDescent="0.25">
      <c r="A8" s="147" t="s">
        <v>273</v>
      </c>
      <c r="B8" s="148">
        <v>1</v>
      </c>
    </row>
    <row r="9" spans="1:2" x14ac:dyDescent="0.25">
      <c r="A9" s="147" t="s">
        <v>240</v>
      </c>
      <c r="B9" s="148">
        <v>1</v>
      </c>
    </row>
    <row r="10" spans="1:2" x14ac:dyDescent="0.25">
      <c r="A10" s="147" t="s">
        <v>241</v>
      </c>
      <c r="B10" s="148">
        <v>1</v>
      </c>
    </row>
    <row r="11" spans="1:2" x14ac:dyDescent="0.25">
      <c r="A11" s="147" t="s">
        <v>267</v>
      </c>
      <c r="B11" s="148">
        <v>3</v>
      </c>
    </row>
    <row r="12" spans="1:2" x14ac:dyDescent="0.25">
      <c r="A12" s="147" t="s">
        <v>270</v>
      </c>
      <c r="B12" s="148">
        <v>2</v>
      </c>
    </row>
    <row r="13" spans="1:2" x14ac:dyDescent="0.25">
      <c r="A13" s="147" t="s">
        <v>278</v>
      </c>
      <c r="B13" s="148">
        <v>1</v>
      </c>
    </row>
    <row r="14" spans="1:2" x14ac:dyDescent="0.25">
      <c r="A14" s="147" t="s">
        <v>279</v>
      </c>
      <c r="B14" s="148">
        <v>1</v>
      </c>
    </row>
    <row r="15" spans="1:2" x14ac:dyDescent="0.25">
      <c r="A15" s="147" t="s">
        <v>280</v>
      </c>
      <c r="B15" s="148">
        <v>1</v>
      </c>
    </row>
    <row r="16" spans="1:2" x14ac:dyDescent="0.25">
      <c r="A16" s="147" t="s">
        <v>261</v>
      </c>
      <c r="B16" s="148">
        <v>1</v>
      </c>
    </row>
    <row r="17" spans="1:2" x14ac:dyDescent="0.25">
      <c r="A17" s="147" t="s">
        <v>274</v>
      </c>
      <c r="B17" s="148">
        <v>1</v>
      </c>
    </row>
    <row r="18" spans="1:2" x14ac:dyDescent="0.25">
      <c r="A18" s="147" t="s">
        <v>276</v>
      </c>
      <c r="B18" s="148">
        <v>1</v>
      </c>
    </row>
    <row r="19" spans="1:2" x14ac:dyDescent="0.25">
      <c r="A19" s="147" t="s">
        <v>286</v>
      </c>
      <c r="B19" s="148">
        <v>1</v>
      </c>
    </row>
    <row r="20" spans="1:2" x14ac:dyDescent="0.25">
      <c r="A20" s="147" t="s">
        <v>262</v>
      </c>
      <c r="B20" s="148">
        <v>1</v>
      </c>
    </row>
    <row r="21" spans="1:2" x14ac:dyDescent="0.25">
      <c r="A21" s="147" t="s">
        <v>281</v>
      </c>
      <c r="B21" s="148">
        <v>1</v>
      </c>
    </row>
    <row r="22" spans="1:2" x14ac:dyDescent="0.25">
      <c r="A22" s="147" t="s">
        <v>242</v>
      </c>
      <c r="B22" s="148">
        <v>1</v>
      </c>
    </row>
    <row r="23" spans="1:2" x14ac:dyDescent="0.25">
      <c r="A23" s="147" t="s">
        <v>243</v>
      </c>
      <c r="B23" s="148">
        <v>1</v>
      </c>
    </row>
    <row r="24" spans="1:2" x14ac:dyDescent="0.25">
      <c r="A24" s="147" t="s">
        <v>277</v>
      </c>
      <c r="B24" s="148">
        <v>1</v>
      </c>
    </row>
    <row r="25" spans="1:2" x14ac:dyDescent="0.25">
      <c r="A25" s="147" t="s">
        <v>244</v>
      </c>
      <c r="B25" s="148">
        <v>1</v>
      </c>
    </row>
    <row r="26" spans="1:2" x14ac:dyDescent="0.25">
      <c r="A26" s="147" t="s">
        <v>245</v>
      </c>
      <c r="B26" s="148">
        <v>1</v>
      </c>
    </row>
    <row r="27" spans="1:2" x14ac:dyDescent="0.25">
      <c r="A27" s="147" t="s">
        <v>269</v>
      </c>
      <c r="B27" s="148">
        <v>2</v>
      </c>
    </row>
    <row r="28" spans="1:2" x14ac:dyDescent="0.25">
      <c r="A28" s="147" t="s">
        <v>287</v>
      </c>
      <c r="B28" s="148">
        <v>1</v>
      </c>
    </row>
    <row r="29" spans="1:2" x14ac:dyDescent="0.25">
      <c r="A29" s="147" t="s">
        <v>246</v>
      </c>
      <c r="B29" s="148">
        <v>1</v>
      </c>
    </row>
    <row r="30" spans="1:2" x14ac:dyDescent="0.25">
      <c r="A30" s="147" t="s">
        <v>247</v>
      </c>
      <c r="B30" s="148">
        <v>1</v>
      </c>
    </row>
    <row r="31" spans="1:2" x14ac:dyDescent="0.25">
      <c r="A31" s="147" t="s">
        <v>275</v>
      </c>
      <c r="B31" s="148">
        <v>1</v>
      </c>
    </row>
    <row r="32" spans="1:2" x14ac:dyDescent="0.25">
      <c r="A32" s="147" t="s">
        <v>248</v>
      </c>
      <c r="B32" s="148">
        <v>1</v>
      </c>
    </row>
    <row r="33" spans="1:2" x14ac:dyDescent="0.25">
      <c r="A33" s="147" t="s">
        <v>263</v>
      </c>
      <c r="B33" s="148">
        <v>3</v>
      </c>
    </row>
    <row r="34" spans="1:2" x14ac:dyDescent="0.25">
      <c r="A34" s="147" t="s">
        <v>288</v>
      </c>
      <c r="B34" s="148">
        <v>1</v>
      </c>
    </row>
    <row r="35" spans="1:2" x14ac:dyDescent="0.25">
      <c r="A35" s="147" t="s">
        <v>283</v>
      </c>
      <c r="B35" s="148">
        <v>1</v>
      </c>
    </row>
    <row r="36" spans="1:2" x14ac:dyDescent="0.25">
      <c r="A36" s="147" t="s">
        <v>249</v>
      </c>
      <c r="B36" s="148">
        <v>1</v>
      </c>
    </row>
    <row r="37" spans="1:2" x14ac:dyDescent="0.25">
      <c r="A37" s="147" t="s">
        <v>265</v>
      </c>
      <c r="B37" s="148">
        <v>4</v>
      </c>
    </row>
    <row r="38" spans="1:2" x14ac:dyDescent="0.25">
      <c r="A38" s="147" t="s">
        <v>237</v>
      </c>
      <c r="B38" s="148">
        <v>1</v>
      </c>
    </row>
    <row r="39" spans="1:2" x14ac:dyDescent="0.25">
      <c r="A39" s="147" t="s">
        <v>250</v>
      </c>
      <c r="B39" s="148">
        <v>1</v>
      </c>
    </row>
    <row r="40" spans="1:2" x14ac:dyDescent="0.25">
      <c r="A40" s="147" t="s">
        <v>251</v>
      </c>
      <c r="B40" s="148">
        <v>1</v>
      </c>
    </row>
    <row r="41" spans="1:2" x14ac:dyDescent="0.25">
      <c r="A41" s="147" t="s">
        <v>282</v>
      </c>
      <c r="B41" s="148">
        <v>1</v>
      </c>
    </row>
    <row r="42" spans="1:2" x14ac:dyDescent="0.25">
      <c r="A42" s="147" t="s">
        <v>252</v>
      </c>
      <c r="B42" s="148">
        <v>1</v>
      </c>
    </row>
    <row r="43" spans="1:2" x14ac:dyDescent="0.25">
      <c r="A43" s="147" t="s">
        <v>253</v>
      </c>
      <c r="B43" s="148">
        <v>1</v>
      </c>
    </row>
    <row r="44" spans="1:2" x14ac:dyDescent="0.25">
      <c r="A44" s="147" t="s">
        <v>254</v>
      </c>
      <c r="B44" s="148">
        <v>1</v>
      </c>
    </row>
    <row r="45" spans="1:2" x14ac:dyDescent="0.25">
      <c r="A45" s="147" t="s">
        <v>255</v>
      </c>
      <c r="B45" s="148">
        <v>1</v>
      </c>
    </row>
    <row r="46" spans="1:2" x14ac:dyDescent="0.25">
      <c r="A46" s="147" t="s">
        <v>289</v>
      </c>
      <c r="B46" s="148">
        <v>1</v>
      </c>
    </row>
    <row r="47" spans="1:2" x14ac:dyDescent="0.25">
      <c r="A47" s="147" t="s">
        <v>284</v>
      </c>
      <c r="B47" s="148">
        <v>1</v>
      </c>
    </row>
    <row r="48" spans="1:2" x14ac:dyDescent="0.25">
      <c r="A48" s="147" t="s">
        <v>268</v>
      </c>
      <c r="B48" s="148">
        <v>2</v>
      </c>
    </row>
    <row r="49" spans="1:4" x14ac:dyDescent="0.25">
      <c r="A49" s="147" t="s">
        <v>256</v>
      </c>
      <c r="B49" s="148">
        <v>1</v>
      </c>
    </row>
    <row r="50" spans="1:4" x14ac:dyDescent="0.25">
      <c r="A50" s="147" t="s">
        <v>257</v>
      </c>
      <c r="B50" s="148">
        <v>1</v>
      </c>
    </row>
    <row r="51" spans="1:4" x14ac:dyDescent="0.25">
      <c r="A51" s="147" t="s">
        <v>258</v>
      </c>
      <c r="B51" s="148">
        <v>1</v>
      </c>
    </row>
    <row r="52" spans="1:4" x14ac:dyDescent="0.25">
      <c r="A52" s="147" t="s">
        <v>285</v>
      </c>
      <c r="B52" s="148">
        <v>1</v>
      </c>
    </row>
    <row r="53" spans="1:4" x14ac:dyDescent="0.25">
      <c r="A53" s="147" t="s">
        <v>260</v>
      </c>
      <c r="B53" s="148">
        <v>1</v>
      </c>
    </row>
    <row r="54" spans="1:4" x14ac:dyDescent="0.25">
      <c r="A54" s="147" t="s">
        <v>264</v>
      </c>
      <c r="B54" s="148">
        <v>3</v>
      </c>
    </row>
    <row r="55" spans="1:4" x14ac:dyDescent="0.25">
      <c r="A55" s="147" t="s">
        <v>238</v>
      </c>
      <c r="B55" s="148">
        <v>1</v>
      </c>
      <c r="D55">
        <f>COUNT(B4:C55)</f>
        <v>52</v>
      </c>
    </row>
    <row r="56" spans="1:4" x14ac:dyDescent="0.25">
      <c r="A56" s="147" t="s">
        <v>190</v>
      </c>
      <c r="B56" s="148">
        <v>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EC3A1-FE1E-495A-8F13-8A7CD3591826}">
  <dimension ref="A3:C32"/>
  <sheetViews>
    <sheetView workbookViewId="0">
      <selection activeCell="A5" sqref="A5"/>
    </sheetView>
  </sheetViews>
  <sheetFormatPr defaultRowHeight="12.5" x14ac:dyDescent="0.25"/>
  <cols>
    <col min="1" max="1" width="44.81640625" bestFit="1" customWidth="1"/>
    <col min="2" max="2" width="16.1796875" bestFit="1" customWidth="1"/>
    <col min="3" max="3" width="11.36328125" bestFit="1" customWidth="1"/>
  </cols>
  <sheetData>
    <row r="3" spans="1:3" x14ac:dyDescent="0.25">
      <c r="A3" s="146" t="s">
        <v>481</v>
      </c>
      <c r="B3" s="146" t="s">
        <v>436</v>
      </c>
    </row>
    <row r="4" spans="1:3" x14ac:dyDescent="0.25">
      <c r="A4" s="146" t="s">
        <v>230</v>
      </c>
      <c r="B4" s="233" t="s">
        <v>3</v>
      </c>
      <c r="C4" s="233" t="s">
        <v>190</v>
      </c>
    </row>
    <row r="5" spans="1:3" x14ac:dyDescent="0.25">
      <c r="A5" s="147" t="s">
        <v>272</v>
      </c>
      <c r="B5" s="148">
        <v>1</v>
      </c>
      <c r="C5" s="148">
        <v>1</v>
      </c>
    </row>
    <row r="6" spans="1:3" x14ac:dyDescent="0.25">
      <c r="A6" s="147" t="s">
        <v>271</v>
      </c>
      <c r="B6" s="148">
        <v>1</v>
      </c>
      <c r="C6" s="148">
        <v>1</v>
      </c>
    </row>
    <row r="7" spans="1:3" x14ac:dyDescent="0.25">
      <c r="A7" s="147" t="s">
        <v>273</v>
      </c>
      <c r="B7" s="148">
        <v>1</v>
      </c>
      <c r="C7" s="148">
        <v>1</v>
      </c>
    </row>
    <row r="8" spans="1:3" x14ac:dyDescent="0.25">
      <c r="A8" s="147" t="s">
        <v>267</v>
      </c>
      <c r="B8" s="148">
        <v>1</v>
      </c>
      <c r="C8" s="148">
        <v>1</v>
      </c>
    </row>
    <row r="9" spans="1:3" x14ac:dyDescent="0.25">
      <c r="A9" s="147" t="s">
        <v>270</v>
      </c>
      <c r="B9" s="148">
        <v>1</v>
      </c>
      <c r="C9" s="148">
        <v>1</v>
      </c>
    </row>
    <row r="10" spans="1:3" x14ac:dyDescent="0.25">
      <c r="A10" s="147" t="s">
        <v>278</v>
      </c>
      <c r="B10" s="148">
        <v>1</v>
      </c>
      <c r="C10" s="148">
        <v>1</v>
      </c>
    </row>
    <row r="11" spans="1:3" x14ac:dyDescent="0.25">
      <c r="A11" s="147" t="s">
        <v>280</v>
      </c>
      <c r="B11" s="148">
        <v>1</v>
      </c>
      <c r="C11" s="148">
        <v>1</v>
      </c>
    </row>
    <row r="12" spans="1:3" x14ac:dyDescent="0.25">
      <c r="A12" s="147" t="s">
        <v>261</v>
      </c>
      <c r="B12" s="148">
        <v>1</v>
      </c>
      <c r="C12" s="148">
        <v>1</v>
      </c>
    </row>
    <row r="13" spans="1:3" x14ac:dyDescent="0.25">
      <c r="A13" s="147" t="s">
        <v>274</v>
      </c>
      <c r="B13" s="148">
        <v>1</v>
      </c>
      <c r="C13" s="148">
        <v>1</v>
      </c>
    </row>
    <row r="14" spans="1:3" x14ac:dyDescent="0.25">
      <c r="A14" s="147" t="s">
        <v>477</v>
      </c>
      <c r="B14" s="148">
        <v>1</v>
      </c>
      <c r="C14" s="148">
        <v>1</v>
      </c>
    </row>
    <row r="15" spans="1:3" x14ac:dyDescent="0.25">
      <c r="A15" s="147" t="s">
        <v>262</v>
      </c>
      <c r="B15" s="148">
        <v>1</v>
      </c>
      <c r="C15" s="148">
        <v>1</v>
      </c>
    </row>
    <row r="16" spans="1:3" x14ac:dyDescent="0.25">
      <c r="A16" s="147" t="s">
        <v>281</v>
      </c>
      <c r="B16" s="148">
        <v>1</v>
      </c>
      <c r="C16" s="148">
        <v>1</v>
      </c>
    </row>
    <row r="17" spans="1:3" x14ac:dyDescent="0.25">
      <c r="A17" s="147" t="s">
        <v>242</v>
      </c>
      <c r="B17" s="148">
        <v>1</v>
      </c>
      <c r="C17" s="148">
        <v>1</v>
      </c>
    </row>
    <row r="18" spans="1:3" x14ac:dyDescent="0.25">
      <c r="A18" s="147" t="s">
        <v>277</v>
      </c>
      <c r="B18" s="148">
        <v>1</v>
      </c>
      <c r="C18" s="148">
        <v>1</v>
      </c>
    </row>
    <row r="19" spans="1:3" x14ac:dyDescent="0.25">
      <c r="A19" s="147" t="s">
        <v>269</v>
      </c>
      <c r="B19" s="148">
        <v>1</v>
      </c>
      <c r="C19" s="148">
        <v>1</v>
      </c>
    </row>
    <row r="20" spans="1:3" x14ac:dyDescent="0.25">
      <c r="A20" s="147" t="s">
        <v>246</v>
      </c>
      <c r="B20" s="148">
        <v>1</v>
      </c>
      <c r="C20" s="148">
        <v>1</v>
      </c>
    </row>
    <row r="21" spans="1:3" x14ac:dyDescent="0.25">
      <c r="A21" s="147" t="s">
        <v>275</v>
      </c>
      <c r="B21" s="148">
        <v>1</v>
      </c>
      <c r="C21" s="148">
        <v>1</v>
      </c>
    </row>
    <row r="22" spans="1:3" x14ac:dyDescent="0.25">
      <c r="A22" s="147" t="s">
        <v>288</v>
      </c>
      <c r="B22" s="148">
        <v>1</v>
      </c>
      <c r="C22" s="148">
        <v>1</v>
      </c>
    </row>
    <row r="23" spans="1:3" x14ac:dyDescent="0.25">
      <c r="A23" s="147" t="s">
        <v>283</v>
      </c>
      <c r="B23" s="148">
        <v>1</v>
      </c>
      <c r="C23" s="148">
        <v>1</v>
      </c>
    </row>
    <row r="24" spans="1:3" x14ac:dyDescent="0.25">
      <c r="A24" s="147" t="s">
        <v>478</v>
      </c>
      <c r="B24" s="148">
        <v>1</v>
      </c>
      <c r="C24" s="148">
        <v>1</v>
      </c>
    </row>
    <row r="25" spans="1:3" x14ac:dyDescent="0.25">
      <c r="A25" s="147" t="s">
        <v>265</v>
      </c>
      <c r="B25" s="148">
        <v>1</v>
      </c>
      <c r="C25" s="148">
        <v>1</v>
      </c>
    </row>
    <row r="26" spans="1:3" x14ac:dyDescent="0.25">
      <c r="A26" s="147" t="s">
        <v>237</v>
      </c>
      <c r="B26" s="148">
        <v>1</v>
      </c>
      <c r="C26" s="148">
        <v>1</v>
      </c>
    </row>
    <row r="27" spans="1:3" x14ac:dyDescent="0.25">
      <c r="A27" s="147" t="s">
        <v>289</v>
      </c>
      <c r="B27" s="148">
        <v>1</v>
      </c>
      <c r="C27" s="148">
        <v>1</v>
      </c>
    </row>
    <row r="28" spans="1:3" x14ac:dyDescent="0.25">
      <c r="A28" s="147" t="s">
        <v>268</v>
      </c>
      <c r="B28" s="148">
        <v>1</v>
      </c>
      <c r="C28" s="148">
        <v>1</v>
      </c>
    </row>
    <row r="29" spans="1:3" x14ac:dyDescent="0.25">
      <c r="A29" s="147" t="s">
        <v>257</v>
      </c>
      <c r="B29" s="148">
        <v>1</v>
      </c>
      <c r="C29" s="148">
        <v>1</v>
      </c>
    </row>
    <row r="30" spans="1:3" x14ac:dyDescent="0.25">
      <c r="A30" s="147" t="s">
        <v>285</v>
      </c>
      <c r="B30" s="148">
        <v>1</v>
      </c>
      <c r="C30" s="148">
        <v>1</v>
      </c>
    </row>
    <row r="31" spans="1:3" x14ac:dyDescent="0.25">
      <c r="A31" s="147" t="s">
        <v>264</v>
      </c>
      <c r="B31" s="148">
        <v>1</v>
      </c>
      <c r="C31" s="148">
        <v>1</v>
      </c>
    </row>
    <row r="32" spans="1:3" x14ac:dyDescent="0.25">
      <c r="A32" s="147" t="s">
        <v>190</v>
      </c>
      <c r="B32" s="148">
        <v>27</v>
      </c>
      <c r="C32" s="148">
        <v>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A8E54-6DCC-4DD4-A6E3-FE49027EE8A3}">
  <dimension ref="A3:C32"/>
  <sheetViews>
    <sheetView workbookViewId="0">
      <selection activeCell="N32" sqref="N32"/>
    </sheetView>
  </sheetViews>
  <sheetFormatPr defaultRowHeight="12.5" x14ac:dyDescent="0.25"/>
  <cols>
    <col min="1" max="1" width="44.81640625" bestFit="1" customWidth="1"/>
    <col min="2" max="2" width="16.54296875" bestFit="1" customWidth="1"/>
    <col min="3" max="3" width="11.36328125" bestFit="1" customWidth="1"/>
  </cols>
  <sheetData>
    <row r="3" spans="1:3" x14ac:dyDescent="0.25">
      <c r="A3" s="146" t="s">
        <v>482</v>
      </c>
      <c r="B3" s="146" t="s">
        <v>436</v>
      </c>
    </row>
    <row r="4" spans="1:3" x14ac:dyDescent="0.25">
      <c r="A4" s="146" t="s">
        <v>230</v>
      </c>
      <c r="B4" s="252" t="s">
        <v>476</v>
      </c>
      <c r="C4" s="252" t="s">
        <v>190</v>
      </c>
    </row>
    <row r="5" spans="1:3" x14ac:dyDescent="0.25">
      <c r="A5" s="147" t="s">
        <v>272</v>
      </c>
      <c r="B5" s="148">
        <v>1</v>
      </c>
      <c r="C5" s="148">
        <v>1</v>
      </c>
    </row>
    <row r="6" spans="1:3" x14ac:dyDescent="0.25">
      <c r="A6" s="147" t="s">
        <v>271</v>
      </c>
      <c r="B6" s="148">
        <v>1</v>
      </c>
      <c r="C6" s="148">
        <v>1</v>
      </c>
    </row>
    <row r="7" spans="1:3" x14ac:dyDescent="0.25">
      <c r="A7" s="147" t="s">
        <v>273</v>
      </c>
      <c r="B7" s="148">
        <v>1</v>
      </c>
      <c r="C7" s="148">
        <v>1</v>
      </c>
    </row>
    <row r="8" spans="1:3" x14ac:dyDescent="0.25">
      <c r="A8" s="147" t="s">
        <v>267</v>
      </c>
      <c r="B8" s="148">
        <v>1</v>
      </c>
      <c r="C8" s="148">
        <v>1</v>
      </c>
    </row>
    <row r="9" spans="1:3" x14ac:dyDescent="0.25">
      <c r="A9" s="147" t="s">
        <v>270</v>
      </c>
      <c r="B9" s="148">
        <v>1</v>
      </c>
      <c r="C9" s="148">
        <v>1</v>
      </c>
    </row>
    <row r="10" spans="1:3" x14ac:dyDescent="0.25">
      <c r="A10" s="147" t="s">
        <v>278</v>
      </c>
      <c r="B10" s="148">
        <v>1</v>
      </c>
      <c r="C10" s="148">
        <v>1</v>
      </c>
    </row>
    <row r="11" spans="1:3" x14ac:dyDescent="0.25">
      <c r="A11" s="147" t="s">
        <v>280</v>
      </c>
      <c r="B11" s="148">
        <v>1</v>
      </c>
      <c r="C11" s="148">
        <v>1</v>
      </c>
    </row>
    <row r="12" spans="1:3" x14ac:dyDescent="0.25">
      <c r="A12" s="147" t="s">
        <v>261</v>
      </c>
      <c r="B12" s="148">
        <v>1</v>
      </c>
      <c r="C12" s="148">
        <v>1</v>
      </c>
    </row>
    <row r="13" spans="1:3" x14ac:dyDescent="0.25">
      <c r="A13" s="147" t="s">
        <v>274</v>
      </c>
      <c r="B13" s="148">
        <v>1</v>
      </c>
      <c r="C13" s="148">
        <v>1</v>
      </c>
    </row>
    <row r="14" spans="1:3" x14ac:dyDescent="0.25">
      <c r="A14" s="147" t="s">
        <v>477</v>
      </c>
      <c r="B14" s="148">
        <v>1</v>
      </c>
      <c r="C14" s="148">
        <v>1</v>
      </c>
    </row>
    <row r="15" spans="1:3" x14ac:dyDescent="0.25">
      <c r="A15" s="147" t="s">
        <v>262</v>
      </c>
      <c r="B15" s="148">
        <v>1</v>
      </c>
      <c r="C15" s="148">
        <v>1</v>
      </c>
    </row>
    <row r="16" spans="1:3" x14ac:dyDescent="0.25">
      <c r="A16" s="147" t="s">
        <v>281</v>
      </c>
      <c r="B16" s="148">
        <v>1</v>
      </c>
      <c r="C16" s="148">
        <v>1</v>
      </c>
    </row>
    <row r="17" spans="1:3" x14ac:dyDescent="0.25">
      <c r="A17" s="147" t="s">
        <v>242</v>
      </c>
      <c r="B17" s="148">
        <v>1</v>
      </c>
      <c r="C17" s="148">
        <v>1</v>
      </c>
    </row>
    <row r="18" spans="1:3" x14ac:dyDescent="0.25">
      <c r="A18" s="147" t="s">
        <v>277</v>
      </c>
      <c r="B18" s="148">
        <v>1</v>
      </c>
      <c r="C18" s="148">
        <v>1</v>
      </c>
    </row>
    <row r="19" spans="1:3" x14ac:dyDescent="0.25">
      <c r="A19" s="147" t="s">
        <v>269</v>
      </c>
      <c r="B19" s="148">
        <v>1</v>
      </c>
      <c r="C19" s="148">
        <v>1</v>
      </c>
    </row>
    <row r="20" spans="1:3" x14ac:dyDescent="0.25">
      <c r="A20" s="147" t="s">
        <v>246</v>
      </c>
      <c r="B20" s="148">
        <v>1</v>
      </c>
      <c r="C20" s="148">
        <v>1</v>
      </c>
    </row>
    <row r="21" spans="1:3" x14ac:dyDescent="0.25">
      <c r="A21" s="147" t="s">
        <v>275</v>
      </c>
      <c r="B21" s="148">
        <v>1</v>
      </c>
      <c r="C21" s="148">
        <v>1</v>
      </c>
    </row>
    <row r="22" spans="1:3" x14ac:dyDescent="0.25">
      <c r="A22" s="147" t="s">
        <v>288</v>
      </c>
      <c r="B22" s="148">
        <v>1</v>
      </c>
      <c r="C22" s="148">
        <v>1</v>
      </c>
    </row>
    <row r="23" spans="1:3" x14ac:dyDescent="0.25">
      <c r="A23" s="147" t="s">
        <v>283</v>
      </c>
      <c r="B23" s="148">
        <v>1</v>
      </c>
      <c r="C23" s="148">
        <v>1</v>
      </c>
    </row>
    <row r="24" spans="1:3" x14ac:dyDescent="0.25">
      <c r="A24" s="147" t="s">
        <v>478</v>
      </c>
      <c r="B24" s="148">
        <v>1</v>
      </c>
      <c r="C24" s="148">
        <v>1</v>
      </c>
    </row>
    <row r="25" spans="1:3" x14ac:dyDescent="0.25">
      <c r="A25" s="147" t="s">
        <v>265</v>
      </c>
      <c r="B25" s="148">
        <v>1</v>
      </c>
      <c r="C25" s="148">
        <v>1</v>
      </c>
    </row>
    <row r="26" spans="1:3" x14ac:dyDescent="0.25">
      <c r="A26" s="147" t="s">
        <v>237</v>
      </c>
      <c r="B26" s="148">
        <v>1</v>
      </c>
      <c r="C26" s="148">
        <v>1</v>
      </c>
    </row>
    <row r="27" spans="1:3" x14ac:dyDescent="0.25">
      <c r="A27" s="147" t="s">
        <v>289</v>
      </c>
      <c r="B27" s="148">
        <v>1</v>
      </c>
      <c r="C27" s="148">
        <v>1</v>
      </c>
    </row>
    <row r="28" spans="1:3" x14ac:dyDescent="0.25">
      <c r="A28" s="147" t="s">
        <v>268</v>
      </c>
      <c r="B28" s="148">
        <v>1</v>
      </c>
      <c r="C28" s="148">
        <v>1</v>
      </c>
    </row>
    <row r="29" spans="1:3" x14ac:dyDescent="0.25">
      <c r="A29" s="147" t="s">
        <v>257</v>
      </c>
      <c r="B29" s="148">
        <v>1</v>
      </c>
      <c r="C29" s="148">
        <v>1</v>
      </c>
    </row>
    <row r="30" spans="1:3" x14ac:dyDescent="0.25">
      <c r="A30" s="147" t="s">
        <v>285</v>
      </c>
      <c r="B30" s="148">
        <v>1</v>
      </c>
      <c r="C30" s="148">
        <v>1</v>
      </c>
    </row>
    <row r="31" spans="1:3" x14ac:dyDescent="0.25">
      <c r="A31" s="147" t="s">
        <v>264</v>
      </c>
      <c r="B31" s="148">
        <v>1</v>
      </c>
      <c r="C31" s="148">
        <v>1</v>
      </c>
    </row>
    <row r="32" spans="1:3" x14ac:dyDescent="0.25">
      <c r="A32" s="147" t="s">
        <v>190</v>
      </c>
      <c r="B32" s="148">
        <v>27</v>
      </c>
      <c r="C32" s="148">
        <v>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59488-EEC8-44E0-9D60-10E9A38F2AE9}">
  <dimension ref="A1:D46"/>
  <sheetViews>
    <sheetView workbookViewId="0">
      <selection activeCell="A47" sqref="A47"/>
    </sheetView>
  </sheetViews>
  <sheetFormatPr defaultColWidth="9.08984375" defaultRowHeight="12.5" x14ac:dyDescent="0.25"/>
  <cols>
    <col min="1" max="1" width="50.81640625" customWidth="1"/>
    <col min="2" max="3" width="15.81640625" customWidth="1"/>
    <col min="4" max="4" width="12.81640625" customWidth="1"/>
  </cols>
  <sheetData>
    <row r="1" spans="1:4" s="233" customFormat="1" x14ac:dyDescent="0.25">
      <c r="A1" s="233" t="s">
        <v>484</v>
      </c>
    </row>
    <row r="2" spans="1:4" s="233" customFormat="1" x14ac:dyDescent="0.25"/>
    <row r="3" spans="1:4" s="233" customFormat="1" x14ac:dyDescent="0.25"/>
    <row r="4" spans="1:4" s="29" customFormat="1" ht="42" customHeight="1" x14ac:dyDescent="0.35">
      <c r="A4" s="246" t="s">
        <v>472</v>
      </c>
      <c r="B4" s="246" t="s">
        <v>473</v>
      </c>
      <c r="C4" s="246" t="s">
        <v>474</v>
      </c>
      <c r="D4" s="247" t="s">
        <v>475</v>
      </c>
    </row>
    <row r="5" spans="1:4" s="29" customFormat="1" ht="14.5" x14ac:dyDescent="0.35">
      <c r="A5" s="250" t="s">
        <v>272</v>
      </c>
      <c r="B5" s="251" t="s">
        <v>476</v>
      </c>
      <c r="C5" s="251" t="s">
        <v>3</v>
      </c>
      <c r="D5" s="251" t="s">
        <v>293</v>
      </c>
    </row>
    <row r="6" spans="1:4" s="29" customFormat="1" ht="14.5" x14ac:dyDescent="0.35">
      <c r="A6" s="248" t="s">
        <v>271</v>
      </c>
      <c r="B6" s="249" t="s">
        <v>476</v>
      </c>
      <c r="C6" s="249" t="s">
        <v>3</v>
      </c>
      <c r="D6" s="249" t="s">
        <v>293</v>
      </c>
    </row>
    <row r="7" spans="1:4" s="29" customFormat="1" ht="14.5" x14ac:dyDescent="0.35">
      <c r="A7" s="250" t="s">
        <v>273</v>
      </c>
      <c r="B7" s="251" t="s">
        <v>476</v>
      </c>
      <c r="C7" s="251" t="s">
        <v>3</v>
      </c>
      <c r="D7" s="251" t="s">
        <v>293</v>
      </c>
    </row>
    <row r="8" spans="1:4" s="29" customFormat="1" ht="14.5" x14ac:dyDescent="0.35">
      <c r="A8" s="248" t="s">
        <v>267</v>
      </c>
      <c r="B8" s="249" t="s">
        <v>476</v>
      </c>
      <c r="C8" s="249" t="s">
        <v>3</v>
      </c>
      <c r="D8" s="249" t="s">
        <v>293</v>
      </c>
    </row>
    <row r="9" spans="1:4" s="29" customFormat="1" ht="14.5" x14ac:dyDescent="0.35">
      <c r="A9" s="250" t="s">
        <v>270</v>
      </c>
      <c r="B9" s="251" t="s">
        <v>476</v>
      </c>
      <c r="C9" s="251" t="s">
        <v>3</v>
      </c>
      <c r="D9" s="251" t="s">
        <v>293</v>
      </c>
    </row>
    <row r="10" spans="1:4" s="29" customFormat="1" ht="14.5" x14ac:dyDescent="0.35">
      <c r="A10" s="248" t="s">
        <v>278</v>
      </c>
      <c r="B10" s="249" t="s">
        <v>476</v>
      </c>
      <c r="C10" s="249" t="s">
        <v>3</v>
      </c>
      <c r="D10" s="249" t="s">
        <v>293</v>
      </c>
    </row>
    <row r="11" spans="1:4" s="29" customFormat="1" ht="14.5" x14ac:dyDescent="0.35">
      <c r="A11" s="248" t="s">
        <v>280</v>
      </c>
      <c r="B11" s="249" t="s">
        <v>476</v>
      </c>
      <c r="C11" s="249" t="s">
        <v>3</v>
      </c>
      <c r="D11" s="249" t="s">
        <v>293</v>
      </c>
    </row>
    <row r="12" spans="1:4" s="29" customFormat="1" ht="14.5" x14ac:dyDescent="0.35">
      <c r="A12" s="250" t="s">
        <v>261</v>
      </c>
      <c r="B12" s="251" t="s">
        <v>476</v>
      </c>
      <c r="C12" s="251" t="s">
        <v>3</v>
      </c>
      <c r="D12" s="251" t="s">
        <v>293</v>
      </c>
    </row>
    <row r="13" spans="1:4" s="29" customFormat="1" ht="14.5" x14ac:dyDescent="0.35">
      <c r="A13" s="248" t="s">
        <v>274</v>
      </c>
      <c r="B13" s="249" t="s">
        <v>476</v>
      </c>
      <c r="C13" s="249" t="s">
        <v>3</v>
      </c>
      <c r="D13" s="249" t="s">
        <v>293</v>
      </c>
    </row>
    <row r="14" spans="1:4" s="29" customFormat="1" ht="14.5" x14ac:dyDescent="0.35">
      <c r="A14" s="250" t="s">
        <v>477</v>
      </c>
      <c r="B14" s="251" t="s">
        <v>476</v>
      </c>
      <c r="C14" s="251" t="s">
        <v>3</v>
      </c>
      <c r="D14" s="251" t="s">
        <v>293</v>
      </c>
    </row>
    <row r="15" spans="1:4" s="29" customFormat="1" ht="14.5" x14ac:dyDescent="0.35">
      <c r="A15" s="250" t="s">
        <v>262</v>
      </c>
      <c r="B15" s="251" t="s">
        <v>476</v>
      </c>
      <c r="C15" s="251" t="s">
        <v>3</v>
      </c>
      <c r="D15" s="251" t="s">
        <v>293</v>
      </c>
    </row>
    <row r="16" spans="1:4" s="29" customFormat="1" ht="14.5" x14ac:dyDescent="0.35">
      <c r="A16" s="248" t="s">
        <v>281</v>
      </c>
      <c r="B16" s="249" t="s">
        <v>476</v>
      </c>
      <c r="C16" s="249" t="s">
        <v>3</v>
      </c>
      <c r="D16" s="249" t="s">
        <v>293</v>
      </c>
    </row>
    <row r="17" spans="1:4" s="29" customFormat="1" ht="14.5" x14ac:dyDescent="0.35">
      <c r="A17" s="250" t="s">
        <v>242</v>
      </c>
      <c r="B17" s="251" t="s">
        <v>476</v>
      </c>
      <c r="C17" s="251" t="s">
        <v>3</v>
      </c>
      <c r="D17" s="251" t="s">
        <v>293</v>
      </c>
    </row>
    <row r="18" spans="1:4" s="29" customFormat="1" ht="14.5" x14ac:dyDescent="0.35">
      <c r="A18" s="250" t="s">
        <v>277</v>
      </c>
      <c r="B18" s="251" t="s">
        <v>476</v>
      </c>
      <c r="C18" s="251" t="s">
        <v>3</v>
      </c>
      <c r="D18" s="251" t="s">
        <v>293</v>
      </c>
    </row>
    <row r="19" spans="1:4" s="29" customFormat="1" ht="14.5" x14ac:dyDescent="0.35">
      <c r="A19" s="248" t="s">
        <v>269</v>
      </c>
      <c r="B19" s="249" t="s">
        <v>476</v>
      </c>
      <c r="C19" s="249" t="s">
        <v>3</v>
      </c>
      <c r="D19" s="249" t="s">
        <v>293</v>
      </c>
    </row>
    <row r="20" spans="1:4" s="29" customFormat="1" ht="14.5" x14ac:dyDescent="0.35">
      <c r="A20" s="248" t="s">
        <v>246</v>
      </c>
      <c r="B20" s="249" t="s">
        <v>476</v>
      </c>
      <c r="C20" s="249" t="s">
        <v>3</v>
      </c>
      <c r="D20" s="249" t="s">
        <v>293</v>
      </c>
    </row>
    <row r="21" spans="1:4" s="29" customFormat="1" ht="14.5" x14ac:dyDescent="0.35">
      <c r="A21" s="248" t="s">
        <v>275</v>
      </c>
      <c r="B21" s="249" t="s">
        <v>476</v>
      </c>
      <c r="C21" s="249" t="s">
        <v>3</v>
      </c>
      <c r="D21" s="249" t="s">
        <v>293</v>
      </c>
    </row>
    <row r="22" spans="1:4" s="29" customFormat="1" ht="14.5" x14ac:dyDescent="0.35">
      <c r="A22" s="250" t="s">
        <v>288</v>
      </c>
      <c r="B22" s="251" t="s">
        <v>476</v>
      </c>
      <c r="C22" s="251" t="s">
        <v>3</v>
      </c>
      <c r="D22" s="251" t="s">
        <v>293</v>
      </c>
    </row>
    <row r="23" spans="1:4" s="29" customFormat="1" ht="14.5" x14ac:dyDescent="0.35">
      <c r="A23" s="248" t="s">
        <v>283</v>
      </c>
      <c r="B23" s="249" t="s">
        <v>476</v>
      </c>
      <c r="C23" s="249" t="s">
        <v>3</v>
      </c>
      <c r="D23" s="249" t="s">
        <v>293</v>
      </c>
    </row>
    <row r="24" spans="1:4" s="29" customFormat="1" ht="14.5" x14ac:dyDescent="0.35">
      <c r="A24" s="250" t="s">
        <v>478</v>
      </c>
      <c r="B24" s="251" t="s">
        <v>476</v>
      </c>
      <c r="C24" s="251" t="s">
        <v>3</v>
      </c>
      <c r="D24" s="251" t="s">
        <v>293</v>
      </c>
    </row>
    <row r="25" spans="1:4" s="29" customFormat="1" ht="14.5" x14ac:dyDescent="0.35">
      <c r="A25" s="248" t="s">
        <v>265</v>
      </c>
      <c r="B25" s="249" t="s">
        <v>476</v>
      </c>
      <c r="C25" s="249" t="s">
        <v>3</v>
      </c>
      <c r="D25" s="249" t="s">
        <v>293</v>
      </c>
    </row>
    <row r="26" spans="1:4" s="29" customFormat="1" ht="14.5" x14ac:dyDescent="0.35">
      <c r="A26" s="250" t="s">
        <v>237</v>
      </c>
      <c r="B26" s="251" t="s">
        <v>476</v>
      </c>
      <c r="C26" s="251" t="s">
        <v>3</v>
      </c>
      <c r="D26" s="251" t="s">
        <v>293</v>
      </c>
    </row>
    <row r="27" spans="1:4" s="29" customFormat="1" ht="14.5" x14ac:dyDescent="0.35">
      <c r="A27" s="250" t="s">
        <v>289</v>
      </c>
      <c r="B27" s="251" t="s">
        <v>476</v>
      </c>
      <c r="C27" s="251" t="s">
        <v>3</v>
      </c>
      <c r="D27" s="251" t="s">
        <v>293</v>
      </c>
    </row>
    <row r="28" spans="1:4" s="29" customFormat="1" ht="14.5" x14ac:dyDescent="0.35">
      <c r="A28" s="250" t="s">
        <v>268</v>
      </c>
      <c r="B28" s="251" t="s">
        <v>476</v>
      </c>
      <c r="C28" s="251" t="s">
        <v>3</v>
      </c>
      <c r="D28" s="251" t="s">
        <v>293</v>
      </c>
    </row>
    <row r="29" spans="1:4" s="29" customFormat="1" ht="14.5" x14ac:dyDescent="0.35">
      <c r="A29" s="250" t="s">
        <v>257</v>
      </c>
      <c r="B29" s="251" t="s">
        <v>476</v>
      </c>
      <c r="C29" s="251" t="s">
        <v>3</v>
      </c>
      <c r="D29" s="251" t="s">
        <v>293</v>
      </c>
    </row>
    <row r="30" spans="1:4" s="29" customFormat="1" ht="14.5" x14ac:dyDescent="0.35">
      <c r="A30" s="250" t="s">
        <v>285</v>
      </c>
      <c r="B30" s="251" t="s">
        <v>476</v>
      </c>
      <c r="C30" s="251" t="s">
        <v>3</v>
      </c>
      <c r="D30" s="251" t="s">
        <v>293</v>
      </c>
    </row>
    <row r="31" spans="1:4" s="29" customFormat="1" ht="14.5" x14ac:dyDescent="0.35">
      <c r="A31" s="250" t="s">
        <v>264</v>
      </c>
      <c r="B31" s="251" t="s">
        <v>476</v>
      </c>
      <c r="C31" s="251" t="s">
        <v>3</v>
      </c>
      <c r="D31" s="251" t="s">
        <v>293</v>
      </c>
    </row>
    <row r="32" spans="1:4" s="29" customFormat="1" ht="14.5" x14ac:dyDescent="0.35">
      <c r="A32" s="250"/>
      <c r="B32" s="251"/>
      <c r="C32" s="251"/>
      <c r="D32" s="251"/>
    </row>
    <row r="33" spans="1:4" s="29" customFormat="1" ht="14.5" x14ac:dyDescent="0.35">
      <c r="A33" s="248" t="s">
        <v>286</v>
      </c>
      <c r="B33" s="249" t="s">
        <v>476</v>
      </c>
      <c r="C33" s="249" t="s">
        <v>480</v>
      </c>
      <c r="D33" s="249" t="s">
        <v>293</v>
      </c>
    </row>
    <row r="34" spans="1:4" s="29" customFormat="1" ht="14.5" x14ac:dyDescent="0.35">
      <c r="A34" s="250" t="s">
        <v>266</v>
      </c>
      <c r="B34" s="251" t="s">
        <v>476</v>
      </c>
      <c r="C34" s="251" t="s">
        <v>3</v>
      </c>
      <c r="D34" s="251" t="s">
        <v>297</v>
      </c>
    </row>
    <row r="35" spans="1:4" s="29" customFormat="1" ht="14.5" x14ac:dyDescent="0.35">
      <c r="A35" s="250" t="s">
        <v>287</v>
      </c>
      <c r="B35" s="251" t="s">
        <v>476</v>
      </c>
      <c r="C35" s="251" t="s">
        <v>3</v>
      </c>
      <c r="D35" s="251" t="s">
        <v>297</v>
      </c>
    </row>
    <row r="36" spans="1:4" s="29" customFormat="1" ht="14.5" x14ac:dyDescent="0.35">
      <c r="A36" s="248" t="s">
        <v>282</v>
      </c>
      <c r="B36" s="249" t="s">
        <v>476</v>
      </c>
      <c r="C36" s="249" t="s">
        <v>3</v>
      </c>
      <c r="D36" s="249" t="s">
        <v>297</v>
      </c>
    </row>
    <row r="37" spans="1:4" s="29" customFormat="1" ht="14.5" x14ac:dyDescent="0.35">
      <c r="A37" s="248" t="s">
        <v>258</v>
      </c>
      <c r="B37" s="249" t="s">
        <v>476</v>
      </c>
      <c r="C37" s="249" t="s">
        <v>3</v>
      </c>
      <c r="D37" s="249" t="s">
        <v>297</v>
      </c>
    </row>
    <row r="38" spans="1:4" s="29" customFormat="1" ht="14.5" x14ac:dyDescent="0.35">
      <c r="A38" s="248" t="s">
        <v>240</v>
      </c>
      <c r="B38" s="249" t="s">
        <v>476</v>
      </c>
      <c r="C38" s="249" t="s">
        <v>3</v>
      </c>
      <c r="D38" s="249" t="s">
        <v>297</v>
      </c>
    </row>
    <row r="39" spans="1:4" s="29" customFormat="1" ht="14.5" x14ac:dyDescent="0.35">
      <c r="A39" s="250" t="s">
        <v>241</v>
      </c>
      <c r="B39" s="251" t="s">
        <v>476</v>
      </c>
      <c r="C39" s="251" t="s">
        <v>3</v>
      </c>
      <c r="D39" s="251" t="s">
        <v>297</v>
      </c>
    </row>
    <row r="40" spans="1:4" s="29" customFormat="1" ht="14.5" x14ac:dyDescent="0.35">
      <c r="A40" s="248" t="s">
        <v>255</v>
      </c>
      <c r="B40" s="249" t="s">
        <v>476</v>
      </c>
      <c r="C40" s="249" t="s">
        <v>3</v>
      </c>
      <c r="D40" s="249" t="s">
        <v>297</v>
      </c>
    </row>
    <row r="41" spans="1:4" s="29" customFormat="1" ht="14.5" x14ac:dyDescent="0.35">
      <c r="A41" s="248" t="s">
        <v>284</v>
      </c>
      <c r="B41" s="249" t="s">
        <v>476</v>
      </c>
      <c r="C41" s="249" t="s">
        <v>3</v>
      </c>
      <c r="D41" s="249" t="s">
        <v>297</v>
      </c>
    </row>
    <row r="42" spans="1:4" s="29" customFormat="1" ht="14.5" x14ac:dyDescent="0.35">
      <c r="A42" s="248" t="s">
        <v>238</v>
      </c>
      <c r="B42" s="249" t="s">
        <v>476</v>
      </c>
      <c r="C42" s="249" t="s">
        <v>3</v>
      </c>
      <c r="D42" s="249" t="s">
        <v>297</v>
      </c>
    </row>
    <row r="43" spans="1:4" s="29" customFormat="1" ht="14.5" x14ac:dyDescent="0.35">
      <c r="A43" s="248" t="s">
        <v>239</v>
      </c>
      <c r="B43" s="249" t="s">
        <v>476</v>
      </c>
      <c r="C43" s="249" t="s">
        <v>3</v>
      </c>
      <c r="D43" s="249" t="s">
        <v>297</v>
      </c>
    </row>
    <row r="44" spans="1:4" s="29" customFormat="1" ht="14.5" x14ac:dyDescent="0.35">
      <c r="A44" s="250" t="s">
        <v>279</v>
      </c>
      <c r="B44" s="251" t="s">
        <v>479</v>
      </c>
      <c r="C44" s="251" t="s">
        <v>3</v>
      </c>
      <c r="D44" s="251" t="s">
        <v>297</v>
      </c>
    </row>
    <row r="45" spans="1:4" s="29" customFormat="1" ht="14.5" x14ac:dyDescent="0.35">
      <c r="A45" s="248" t="s">
        <v>256</v>
      </c>
      <c r="B45" s="249" t="s">
        <v>476</v>
      </c>
      <c r="C45" s="249" t="s">
        <v>3</v>
      </c>
      <c r="D45" s="249" t="s">
        <v>297</v>
      </c>
    </row>
    <row r="46" spans="1:4" s="29" customFormat="1" ht="14.5" x14ac:dyDescent="0.35">
      <c r="A46" s="248" t="s">
        <v>253</v>
      </c>
      <c r="B46" s="249" t="s">
        <v>476</v>
      </c>
      <c r="C46" s="249" t="s">
        <v>3</v>
      </c>
      <c r="D46" s="249" t="s">
        <v>297</v>
      </c>
    </row>
  </sheetData>
  <sortState xmlns:xlrd2="http://schemas.microsoft.com/office/spreadsheetml/2017/richdata2" ref="A5:D31">
    <sortCondition ref="A5:A31"/>
  </sortState>
  <pageMargins left="0.7" right="0.7" top="0.75" bottom="0.75" header="0.3" footer="0.3"/>
  <pageSetup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S181"/>
  <sheetViews>
    <sheetView workbookViewId="0"/>
  </sheetViews>
  <sheetFormatPr defaultRowHeight="12.5" x14ac:dyDescent="0.25"/>
  <cols>
    <col min="1" max="1" width="54.453125" customWidth="1"/>
    <col min="2" max="2" width="16.90625" customWidth="1"/>
    <col min="3" max="3" width="14.08984375" customWidth="1"/>
    <col min="4" max="4" width="29" hidden="1" customWidth="1"/>
    <col min="5" max="5" width="9.08984375" hidden="1" customWidth="1"/>
    <col min="6" max="6" width="21.453125" customWidth="1"/>
    <col min="7" max="7" width="32.90625" customWidth="1"/>
    <col min="8" max="8" width="23.36328125" customWidth="1"/>
    <col min="9" max="9" width="12.90625" customWidth="1"/>
    <col min="10" max="11" width="36.54296875" bestFit="1" customWidth="1"/>
    <col min="12" max="12" width="34.90625" customWidth="1"/>
    <col min="13" max="13" width="7.08984375" customWidth="1"/>
  </cols>
  <sheetData>
    <row r="1" spans="1:123" ht="13" thickBot="1" x14ac:dyDescent="0.3">
      <c r="A1" s="61" t="s">
        <v>490</v>
      </c>
      <c r="F1" s="74"/>
      <c r="G1" s="186"/>
      <c r="H1" s="7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  <c r="BM1" s="62"/>
      <c r="BN1" s="62"/>
      <c r="BO1" s="62"/>
      <c r="BP1" s="62"/>
      <c r="BQ1" s="62"/>
      <c r="BR1" s="62"/>
      <c r="BS1" s="62"/>
      <c r="BT1" s="62"/>
      <c r="BU1" s="62"/>
      <c r="BV1" s="62"/>
      <c r="BW1" s="62"/>
      <c r="BX1" s="62"/>
      <c r="BY1" s="62"/>
      <c r="BZ1" s="62"/>
      <c r="CA1" s="62"/>
      <c r="CB1" s="62"/>
      <c r="CC1" s="62"/>
      <c r="CD1" s="62"/>
      <c r="CE1" s="62"/>
      <c r="CF1" s="62"/>
      <c r="CG1" s="62"/>
      <c r="CH1" s="62"/>
      <c r="CI1" s="62"/>
      <c r="CJ1" s="62"/>
      <c r="CK1" s="62"/>
      <c r="CL1" s="62"/>
      <c r="CM1" s="62"/>
      <c r="CN1" s="62"/>
      <c r="CO1" s="62"/>
      <c r="CP1" s="62"/>
      <c r="CQ1" s="62"/>
      <c r="CR1" s="62"/>
      <c r="CS1" s="62"/>
      <c r="CT1" s="62"/>
      <c r="CU1" s="62"/>
      <c r="CV1" s="62"/>
      <c r="CW1" s="62"/>
      <c r="CX1" s="62"/>
      <c r="CY1" s="62"/>
      <c r="CZ1" s="62"/>
      <c r="DA1" s="62"/>
      <c r="DB1" s="62"/>
      <c r="DC1" s="62"/>
      <c r="DD1" s="62"/>
      <c r="DE1" s="62"/>
      <c r="DF1" s="62"/>
      <c r="DG1" s="62"/>
      <c r="DH1" s="62"/>
      <c r="DI1" s="62"/>
      <c r="DJ1" s="62"/>
      <c r="DK1" s="62"/>
      <c r="DL1" s="62"/>
      <c r="DM1" s="62"/>
      <c r="DN1" s="62"/>
      <c r="DO1" s="62"/>
      <c r="DP1" s="62"/>
      <c r="DQ1" s="62"/>
      <c r="DR1" s="62"/>
      <c r="DS1" s="62"/>
    </row>
    <row r="2" spans="1:123" x14ac:dyDescent="0.25">
      <c r="A2" s="69"/>
      <c r="B2" s="35"/>
      <c r="C2" s="35"/>
      <c r="E2" s="1" t="s">
        <v>0</v>
      </c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  <c r="CL2" s="62"/>
      <c r="CM2" s="62"/>
      <c r="CN2" s="62"/>
      <c r="CO2" s="62"/>
      <c r="CP2" s="62"/>
      <c r="CQ2" s="62"/>
      <c r="CR2" s="62"/>
      <c r="CS2" s="62"/>
      <c r="CT2" s="62"/>
      <c r="CU2" s="62"/>
      <c r="CV2" s="62"/>
      <c r="CW2" s="62"/>
      <c r="CX2" s="62"/>
      <c r="CY2" s="62"/>
      <c r="CZ2" s="62"/>
      <c r="DA2" s="62"/>
      <c r="DB2" s="62"/>
      <c r="DC2" s="62"/>
      <c r="DD2" s="62"/>
      <c r="DE2" s="62"/>
      <c r="DF2" s="62"/>
      <c r="DG2" s="62"/>
      <c r="DH2" s="62"/>
      <c r="DI2" s="62"/>
      <c r="DJ2" s="62"/>
      <c r="DK2" s="62"/>
      <c r="DL2" s="62"/>
      <c r="DM2" s="62"/>
      <c r="DN2" s="62"/>
      <c r="DO2" s="62"/>
      <c r="DP2" s="62"/>
      <c r="DQ2" s="62"/>
      <c r="DR2" s="62"/>
      <c r="DS2" s="62"/>
    </row>
    <row r="3" spans="1:123" ht="63.65" customHeight="1" x14ac:dyDescent="0.25">
      <c r="A3" s="60" t="s">
        <v>236</v>
      </c>
      <c r="B3" s="83" t="s">
        <v>1</v>
      </c>
      <c r="C3" s="60" t="s">
        <v>97</v>
      </c>
      <c r="D3" s="2" t="s">
        <v>2</v>
      </c>
      <c r="E3" s="60" t="s">
        <v>99</v>
      </c>
      <c r="F3" s="85" t="s">
        <v>99</v>
      </c>
      <c r="G3" s="102" t="s">
        <v>491</v>
      </c>
      <c r="H3" s="102" t="s">
        <v>492</v>
      </c>
      <c r="I3" s="62"/>
      <c r="J3" s="157" t="s">
        <v>290</v>
      </c>
      <c r="K3" s="157" t="s">
        <v>291</v>
      </c>
      <c r="L3" s="157" t="s">
        <v>292</v>
      </c>
      <c r="M3" s="157" t="s">
        <v>11</v>
      </c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62"/>
      <c r="CZ3" s="62"/>
      <c r="DA3" s="62"/>
      <c r="DB3" s="62"/>
      <c r="DC3" s="62"/>
      <c r="DD3" s="62"/>
      <c r="DE3" s="62"/>
      <c r="DF3" s="62"/>
      <c r="DG3" s="62"/>
      <c r="DH3" s="62"/>
      <c r="DI3" s="62"/>
      <c r="DJ3" s="62"/>
      <c r="DK3" s="62"/>
      <c r="DL3" s="62"/>
      <c r="DM3" s="62"/>
      <c r="DN3" s="62"/>
      <c r="DO3" s="62"/>
      <c r="DP3" s="62"/>
      <c r="DQ3" s="62"/>
      <c r="DR3" s="62"/>
      <c r="DS3" s="62"/>
    </row>
    <row r="4" spans="1:123" s="62" customFormat="1" x14ac:dyDescent="0.25">
      <c r="A4" s="156" t="s">
        <v>237</v>
      </c>
      <c r="B4" s="156"/>
      <c r="C4" s="156" t="s">
        <v>30</v>
      </c>
      <c r="D4" s="156" t="s">
        <v>3</v>
      </c>
      <c r="E4" s="156">
        <v>7.6999999999999999E-2</v>
      </c>
      <c r="F4" s="156" t="s">
        <v>3</v>
      </c>
      <c r="G4" s="187" t="s">
        <v>237</v>
      </c>
      <c r="H4" s="187" t="s">
        <v>4</v>
      </c>
      <c r="J4" s="156" t="s">
        <v>181</v>
      </c>
      <c r="K4" s="156" t="s">
        <v>181</v>
      </c>
      <c r="L4" s="156" t="s">
        <v>294</v>
      </c>
      <c r="M4" s="156">
        <v>9</v>
      </c>
    </row>
    <row r="5" spans="1:123" s="62" customFormat="1" x14ac:dyDescent="0.25">
      <c r="A5" s="156" t="s">
        <v>238</v>
      </c>
      <c r="B5" s="156"/>
      <c r="C5" s="156" t="s">
        <v>30</v>
      </c>
      <c r="D5" s="156" t="s">
        <v>3</v>
      </c>
      <c r="E5" s="156">
        <v>7.0999999999999994E-2</v>
      </c>
      <c r="F5" s="156" t="s">
        <v>3</v>
      </c>
      <c r="G5" s="187"/>
      <c r="H5" s="187"/>
      <c r="J5" s="156" t="s">
        <v>295</v>
      </c>
      <c r="K5" s="156" t="s">
        <v>295</v>
      </c>
      <c r="L5" s="156" t="s">
        <v>296</v>
      </c>
      <c r="M5" s="156">
        <v>9</v>
      </c>
    </row>
    <row r="6" spans="1:123" s="62" customFormat="1" ht="25" x14ac:dyDescent="0.25">
      <c r="A6" s="156" t="s">
        <v>239</v>
      </c>
      <c r="B6" s="156"/>
      <c r="C6" s="156" t="s">
        <v>31</v>
      </c>
      <c r="D6" s="156" t="s">
        <v>3</v>
      </c>
      <c r="E6" s="156">
        <v>7.1999999999999995E-2</v>
      </c>
      <c r="F6" s="156" t="s">
        <v>3</v>
      </c>
      <c r="G6" s="187"/>
      <c r="H6" s="187"/>
      <c r="I6" s="62">
        <f>COUNT(#REF!)</f>
        <v>0</v>
      </c>
      <c r="J6" s="156" t="s">
        <v>298</v>
      </c>
      <c r="K6" s="156" t="s">
        <v>299</v>
      </c>
      <c r="L6" s="156" t="s">
        <v>300</v>
      </c>
      <c r="M6" s="156">
        <v>9</v>
      </c>
    </row>
    <row r="7" spans="1:123" s="62" customFormat="1" ht="12" customHeight="1" x14ac:dyDescent="0.25">
      <c r="A7" s="156" t="s">
        <v>240</v>
      </c>
      <c r="B7" s="156"/>
      <c r="C7" s="156" t="s">
        <v>31</v>
      </c>
      <c r="D7" s="156" t="s">
        <v>3</v>
      </c>
      <c r="E7" s="156">
        <v>7.9000000000000001E-2</v>
      </c>
      <c r="F7" s="156" t="s">
        <v>3</v>
      </c>
      <c r="G7" s="187"/>
      <c r="H7" s="187"/>
      <c r="J7" s="156" t="s">
        <v>301</v>
      </c>
      <c r="K7" s="156" t="s">
        <v>164</v>
      </c>
      <c r="L7" s="156" t="s">
        <v>302</v>
      </c>
      <c r="M7" s="156">
        <v>9</v>
      </c>
    </row>
    <row r="8" spans="1:123" s="62" customFormat="1" ht="25" x14ac:dyDescent="0.25">
      <c r="A8" s="156" t="s">
        <v>241</v>
      </c>
      <c r="B8" s="156"/>
      <c r="C8" s="156" t="s">
        <v>31</v>
      </c>
      <c r="D8" s="156" t="s">
        <v>3</v>
      </c>
      <c r="E8" s="156">
        <v>7.6999999999999999E-2</v>
      </c>
      <c r="F8" s="156" t="s">
        <v>3</v>
      </c>
      <c r="G8" s="187"/>
      <c r="H8" s="187"/>
      <c r="J8" s="156" t="s">
        <v>303</v>
      </c>
      <c r="K8" s="156" t="s">
        <v>299</v>
      </c>
      <c r="L8" s="156" t="s">
        <v>304</v>
      </c>
      <c r="M8" s="156">
        <v>9</v>
      </c>
    </row>
    <row r="9" spans="1:123" s="62" customFormat="1" x14ac:dyDescent="0.25">
      <c r="A9" s="156" t="s">
        <v>242</v>
      </c>
      <c r="B9" s="156"/>
      <c r="C9" s="156" t="s">
        <v>31</v>
      </c>
      <c r="D9" s="156" t="s">
        <v>3</v>
      </c>
      <c r="E9" s="156">
        <v>7.6999999999999999E-2</v>
      </c>
      <c r="F9" s="156" t="s">
        <v>3</v>
      </c>
      <c r="G9" s="187" t="s">
        <v>242</v>
      </c>
      <c r="H9" s="156" t="s">
        <v>4</v>
      </c>
      <c r="J9" s="156" t="s">
        <v>169</v>
      </c>
      <c r="K9" s="156" t="s">
        <v>169</v>
      </c>
      <c r="L9" s="156" t="s">
        <v>305</v>
      </c>
      <c r="M9" s="156">
        <v>9</v>
      </c>
    </row>
    <row r="10" spans="1:123" s="62" customFormat="1" x14ac:dyDescent="0.25">
      <c r="A10" s="156" t="s">
        <v>243</v>
      </c>
      <c r="B10" s="156"/>
      <c r="C10" s="156" t="s">
        <v>31</v>
      </c>
      <c r="D10" s="156" t="s">
        <v>4</v>
      </c>
      <c r="E10" s="156">
        <v>8.5000000000000006E-2</v>
      </c>
      <c r="F10" s="156" t="s">
        <v>4</v>
      </c>
      <c r="G10" s="187"/>
      <c r="H10" s="187"/>
      <c r="J10" s="156" t="s">
        <v>306</v>
      </c>
      <c r="K10" s="156" t="s">
        <v>174</v>
      </c>
      <c r="L10" s="156" t="s">
        <v>307</v>
      </c>
      <c r="M10" s="156">
        <v>9</v>
      </c>
    </row>
    <row r="11" spans="1:123" s="62" customFormat="1" ht="25" x14ac:dyDescent="0.25">
      <c r="A11" s="156" t="s">
        <v>244</v>
      </c>
      <c r="B11" s="156"/>
      <c r="C11" s="156" t="s">
        <v>31</v>
      </c>
      <c r="D11" s="156" t="s">
        <v>7</v>
      </c>
      <c r="E11" s="156">
        <v>9.8000000000000004E-2</v>
      </c>
      <c r="F11" s="156" t="s">
        <v>7</v>
      </c>
      <c r="G11" s="187"/>
      <c r="H11" s="187"/>
      <c r="J11" s="156" t="s">
        <v>308</v>
      </c>
      <c r="K11" s="156" t="s">
        <v>309</v>
      </c>
      <c r="L11" s="156" t="s">
        <v>310</v>
      </c>
      <c r="M11" s="156">
        <v>9</v>
      </c>
    </row>
    <row r="12" spans="1:123" s="62" customFormat="1" x14ac:dyDescent="0.25">
      <c r="A12" s="156" t="s">
        <v>245</v>
      </c>
      <c r="B12" s="156"/>
      <c r="C12" s="156" t="s">
        <v>31</v>
      </c>
      <c r="D12" s="156" t="s">
        <v>159</v>
      </c>
      <c r="E12" s="156">
        <v>0.111</v>
      </c>
      <c r="F12" s="156" t="s">
        <v>159</v>
      </c>
      <c r="G12" s="187"/>
      <c r="H12" s="187"/>
      <c r="J12" s="156" t="s">
        <v>170</v>
      </c>
      <c r="K12" s="156" t="s">
        <v>170</v>
      </c>
      <c r="L12" s="156" t="s">
        <v>311</v>
      </c>
      <c r="M12" s="156">
        <v>9</v>
      </c>
    </row>
    <row r="13" spans="1:123" s="62" customFormat="1" ht="25" x14ac:dyDescent="0.25">
      <c r="A13" s="156" t="s">
        <v>246</v>
      </c>
      <c r="B13" s="156"/>
      <c r="C13" s="156" t="s">
        <v>31</v>
      </c>
      <c r="D13" s="156" t="s">
        <v>3</v>
      </c>
      <c r="E13" s="156">
        <v>7.9000000000000001E-2</v>
      </c>
      <c r="F13" s="156" t="s">
        <v>3</v>
      </c>
      <c r="G13" s="187" t="s">
        <v>246</v>
      </c>
      <c r="H13" s="156" t="s">
        <v>4</v>
      </c>
      <c r="J13" s="156" t="s">
        <v>312</v>
      </c>
      <c r="K13" s="156" t="s">
        <v>313</v>
      </c>
      <c r="L13" s="156" t="s">
        <v>314</v>
      </c>
      <c r="M13" s="156">
        <v>9</v>
      </c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95"/>
      <c r="BS13" s="95"/>
      <c r="BT13" s="95"/>
      <c r="BU13" s="95"/>
      <c r="BV13" s="95"/>
      <c r="BW13" s="95"/>
      <c r="BX13" s="95"/>
      <c r="BY13" s="95"/>
      <c r="BZ13" s="95"/>
      <c r="CA13" s="95"/>
      <c r="CB13" s="95"/>
      <c r="CC13" s="95"/>
      <c r="CD13" s="95"/>
      <c r="CE13" s="95"/>
      <c r="CF13" s="95"/>
      <c r="CG13" s="95"/>
      <c r="CH13" s="95"/>
      <c r="CI13" s="95"/>
      <c r="CJ13" s="95"/>
      <c r="CK13" s="95"/>
      <c r="CL13" s="95"/>
      <c r="CM13" s="95"/>
      <c r="CN13" s="95"/>
      <c r="CO13" s="95"/>
      <c r="CP13" s="95"/>
      <c r="CQ13" s="95"/>
      <c r="CR13" s="95"/>
      <c r="CS13" s="95"/>
      <c r="CT13" s="95"/>
      <c r="CU13" s="95"/>
      <c r="CV13" s="95"/>
      <c r="CW13" s="95"/>
      <c r="CX13" s="95"/>
      <c r="CY13" s="95"/>
      <c r="CZ13" s="95"/>
      <c r="DA13" s="95"/>
      <c r="DB13" s="95"/>
      <c r="DC13" s="95"/>
      <c r="DD13" s="95"/>
      <c r="DE13" s="95"/>
      <c r="DF13" s="95"/>
      <c r="DG13" s="95"/>
      <c r="DH13" s="95"/>
      <c r="DI13" s="95"/>
      <c r="DJ13" s="95"/>
      <c r="DK13" s="95"/>
      <c r="DL13" s="95"/>
      <c r="DM13" s="95"/>
      <c r="DN13" s="95"/>
      <c r="DO13" s="95"/>
      <c r="DP13" s="95"/>
      <c r="DQ13" s="95"/>
      <c r="DR13" s="95"/>
      <c r="DS13" s="95"/>
    </row>
    <row r="14" spans="1:123" s="62" customFormat="1" x14ac:dyDescent="0.25">
      <c r="A14" s="156" t="s">
        <v>248</v>
      </c>
      <c r="B14" s="156"/>
      <c r="C14" s="156" t="s">
        <v>31</v>
      </c>
      <c r="D14" s="156" t="s">
        <v>4</v>
      </c>
      <c r="E14" s="156">
        <v>0.09</v>
      </c>
      <c r="F14" s="156" t="s">
        <v>4</v>
      </c>
      <c r="G14" s="187"/>
      <c r="H14" s="187"/>
      <c r="J14" s="156" t="s">
        <v>317</v>
      </c>
      <c r="K14" s="156" t="s">
        <v>317</v>
      </c>
      <c r="L14" s="156" t="s">
        <v>318</v>
      </c>
      <c r="M14" s="156">
        <v>9</v>
      </c>
    </row>
    <row r="15" spans="1:123" s="62" customFormat="1" x14ac:dyDescent="0.25">
      <c r="A15" s="156" t="s">
        <v>250</v>
      </c>
      <c r="B15" s="156"/>
      <c r="C15" s="156" t="s">
        <v>31</v>
      </c>
      <c r="D15" s="156" t="s">
        <v>7</v>
      </c>
      <c r="E15" s="156">
        <v>9.0999999999999998E-2</v>
      </c>
      <c r="F15" s="156" t="s">
        <v>7</v>
      </c>
      <c r="G15" s="187"/>
      <c r="H15" s="187"/>
      <c r="J15" s="156" t="s">
        <v>321</v>
      </c>
      <c r="K15" s="156" t="s">
        <v>309</v>
      </c>
      <c r="L15" s="156" t="s">
        <v>322</v>
      </c>
      <c r="M15" s="156">
        <v>9</v>
      </c>
    </row>
    <row r="16" spans="1:123" s="62" customFormat="1" x14ac:dyDescent="0.25">
      <c r="A16" s="156" t="s">
        <v>251</v>
      </c>
      <c r="B16" s="156"/>
      <c r="C16" s="156" t="s">
        <v>31</v>
      </c>
      <c r="D16" s="156" t="s">
        <v>4</v>
      </c>
      <c r="E16" s="156">
        <v>8.7999999999999995E-2</v>
      </c>
      <c r="F16" s="156" t="s">
        <v>4</v>
      </c>
      <c r="G16" s="187"/>
      <c r="H16" s="187"/>
      <c r="J16" s="156" t="s">
        <v>172</v>
      </c>
      <c r="K16" s="156" t="s">
        <v>172</v>
      </c>
      <c r="L16" s="156" t="s">
        <v>323</v>
      </c>
      <c r="M16" s="156">
        <v>9</v>
      </c>
    </row>
    <row r="17" spans="1:123" s="62" customFormat="1" x14ac:dyDescent="0.25">
      <c r="A17" s="156" t="s">
        <v>252</v>
      </c>
      <c r="B17" s="156"/>
      <c r="C17" s="156" t="s">
        <v>31</v>
      </c>
      <c r="D17" s="156" t="s">
        <v>4</v>
      </c>
      <c r="E17" s="156">
        <v>8.4000000000000005E-2</v>
      </c>
      <c r="F17" s="156" t="s">
        <v>4</v>
      </c>
      <c r="G17" s="187"/>
      <c r="H17" s="187"/>
      <c r="J17" s="156" t="s">
        <v>324</v>
      </c>
      <c r="K17" s="156" t="s">
        <v>8</v>
      </c>
      <c r="L17" s="156" t="s">
        <v>325</v>
      </c>
      <c r="M17" s="156">
        <v>9</v>
      </c>
    </row>
    <row r="18" spans="1:123" s="62" customFormat="1" x14ac:dyDescent="0.25">
      <c r="A18" s="156" t="s">
        <v>253</v>
      </c>
      <c r="B18" s="156"/>
      <c r="C18" s="156" t="s">
        <v>31</v>
      </c>
      <c r="D18" s="156" t="s">
        <v>3</v>
      </c>
      <c r="E18" s="156">
        <v>7.2999999999999995E-2</v>
      </c>
      <c r="F18" s="156" t="s">
        <v>3</v>
      </c>
      <c r="G18" s="187"/>
      <c r="H18" s="187"/>
      <c r="J18" s="156" t="s">
        <v>326</v>
      </c>
      <c r="K18" s="156" t="s">
        <v>173</v>
      </c>
      <c r="L18" s="156" t="s">
        <v>327</v>
      </c>
      <c r="M18" s="156">
        <v>9</v>
      </c>
    </row>
    <row r="19" spans="1:123" s="62" customFormat="1" x14ac:dyDescent="0.25">
      <c r="A19" s="156" t="s">
        <v>254</v>
      </c>
      <c r="B19" s="156"/>
      <c r="C19" s="156" t="s">
        <v>31</v>
      </c>
      <c r="D19" s="156" t="s">
        <v>159</v>
      </c>
      <c r="E19" s="156">
        <v>0.09</v>
      </c>
      <c r="F19" s="156" t="s">
        <v>159</v>
      </c>
      <c r="G19" s="187"/>
      <c r="H19" s="187"/>
      <c r="J19" s="156" t="s">
        <v>174</v>
      </c>
      <c r="K19" s="156" t="s">
        <v>174</v>
      </c>
      <c r="L19" s="156" t="s">
        <v>328</v>
      </c>
      <c r="M19" s="156">
        <v>9</v>
      </c>
    </row>
    <row r="20" spans="1:123" s="62" customFormat="1" x14ac:dyDescent="0.25">
      <c r="A20" s="156" t="s">
        <v>255</v>
      </c>
      <c r="B20" s="156"/>
      <c r="C20" s="156" t="s">
        <v>31</v>
      </c>
      <c r="D20" s="156" t="s">
        <v>3</v>
      </c>
      <c r="E20" s="156">
        <v>7.1999999999999995E-2</v>
      </c>
      <c r="F20" s="156" t="s">
        <v>3</v>
      </c>
      <c r="G20" s="187"/>
      <c r="H20" s="187"/>
      <c r="I20" s="95"/>
      <c r="J20" s="156" t="s">
        <v>175</v>
      </c>
      <c r="K20" s="156" t="s">
        <v>329</v>
      </c>
      <c r="L20" s="156" t="s">
        <v>330</v>
      </c>
      <c r="M20" s="156">
        <v>9</v>
      </c>
    </row>
    <row r="21" spans="1:123" s="62" customFormat="1" x14ac:dyDescent="0.25">
      <c r="A21" s="156" t="s">
        <v>256</v>
      </c>
      <c r="B21" s="156"/>
      <c r="C21" s="156" t="s">
        <v>31</v>
      </c>
      <c r="D21" s="156" t="s">
        <v>3</v>
      </c>
      <c r="E21" s="156">
        <v>7.2999999999999995E-2</v>
      </c>
      <c r="F21" s="156" t="s">
        <v>3</v>
      </c>
      <c r="G21" s="187"/>
      <c r="H21" s="187"/>
      <c r="I21" s="95"/>
      <c r="J21" s="156" t="s">
        <v>331</v>
      </c>
      <c r="K21" s="156" t="s">
        <v>332</v>
      </c>
      <c r="L21" s="156" t="s">
        <v>333</v>
      </c>
      <c r="M21" s="156">
        <v>9</v>
      </c>
    </row>
    <row r="22" spans="1:123" s="95" customFormat="1" ht="25" x14ac:dyDescent="0.25">
      <c r="A22" s="156" t="s">
        <v>257</v>
      </c>
      <c r="B22" s="156"/>
      <c r="C22" s="156" t="s">
        <v>31</v>
      </c>
      <c r="D22" s="156" t="s">
        <v>3</v>
      </c>
      <c r="E22" s="156">
        <v>8.3000000000000004E-2</v>
      </c>
      <c r="F22" s="156" t="s">
        <v>3</v>
      </c>
      <c r="G22" s="187" t="s">
        <v>257</v>
      </c>
      <c r="H22" s="156" t="s">
        <v>4</v>
      </c>
      <c r="I22" s="62"/>
      <c r="J22" s="156" t="s">
        <v>334</v>
      </c>
      <c r="K22" s="156" t="s">
        <v>313</v>
      </c>
      <c r="L22" s="156" t="s">
        <v>335</v>
      </c>
      <c r="M22" s="156">
        <v>9</v>
      </c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  <c r="CL22" s="62"/>
      <c r="CM22" s="62"/>
      <c r="CN22" s="62"/>
      <c r="CO22" s="62"/>
      <c r="CP22" s="62"/>
      <c r="CQ22" s="62"/>
      <c r="CR22" s="62"/>
      <c r="CS22" s="62"/>
      <c r="CT22" s="62"/>
      <c r="CU22" s="62"/>
      <c r="CV22" s="62"/>
      <c r="CW22" s="62"/>
      <c r="CX22" s="62"/>
      <c r="CY22" s="62"/>
      <c r="CZ22" s="62"/>
      <c r="DA22" s="62"/>
      <c r="DB22" s="62"/>
      <c r="DC22" s="62"/>
      <c r="DD22" s="62"/>
      <c r="DE22" s="62"/>
      <c r="DF22" s="62"/>
      <c r="DG22" s="62"/>
      <c r="DH22" s="62"/>
      <c r="DI22" s="62"/>
      <c r="DJ22" s="62"/>
      <c r="DK22" s="62"/>
      <c r="DL22" s="62"/>
      <c r="DM22" s="62"/>
      <c r="DN22" s="62"/>
      <c r="DO22" s="62"/>
      <c r="DP22" s="62"/>
      <c r="DQ22" s="62"/>
      <c r="DR22" s="62"/>
      <c r="DS22" s="62"/>
    </row>
    <row r="23" spans="1:123" s="95" customFormat="1" ht="37.5" x14ac:dyDescent="0.25">
      <c r="A23" s="156" t="s">
        <v>258</v>
      </c>
      <c r="B23" s="156"/>
      <c r="C23" s="156" t="s">
        <v>31</v>
      </c>
      <c r="D23" s="156" t="s">
        <v>259</v>
      </c>
      <c r="E23" s="156">
        <v>8.1000000000000003E-2</v>
      </c>
      <c r="F23" s="159" t="s">
        <v>3</v>
      </c>
      <c r="G23" s="187"/>
      <c r="H23" s="187"/>
      <c r="I23" s="188" t="s">
        <v>259</v>
      </c>
      <c r="J23" s="156" t="s">
        <v>177</v>
      </c>
      <c r="K23" s="156" t="s">
        <v>177</v>
      </c>
      <c r="L23" s="156" t="s">
        <v>336</v>
      </c>
      <c r="M23" s="156">
        <v>9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  <c r="CL23" s="62"/>
      <c r="CM23" s="62"/>
      <c r="CN23" s="62"/>
      <c r="CO23" s="62"/>
      <c r="CP23" s="62"/>
      <c r="CQ23" s="62"/>
      <c r="CR23" s="62"/>
      <c r="CS23" s="62"/>
      <c r="CT23" s="62"/>
      <c r="CU23" s="62"/>
      <c r="CV23" s="62"/>
      <c r="CW23" s="62"/>
      <c r="CX23" s="62"/>
      <c r="CY23" s="62"/>
      <c r="CZ23" s="62"/>
      <c r="DA23" s="62"/>
      <c r="DB23" s="62"/>
      <c r="DC23" s="62"/>
      <c r="DD23" s="62"/>
      <c r="DE23" s="62"/>
      <c r="DF23" s="62"/>
      <c r="DG23" s="62"/>
      <c r="DH23" s="62"/>
      <c r="DI23" s="62"/>
      <c r="DJ23" s="62"/>
      <c r="DK23" s="62"/>
      <c r="DL23" s="62"/>
      <c r="DM23" s="62"/>
      <c r="DN23" s="62"/>
      <c r="DO23" s="62"/>
      <c r="DP23" s="62"/>
      <c r="DQ23" s="62"/>
      <c r="DR23" s="62"/>
      <c r="DS23" s="62"/>
    </row>
    <row r="24" spans="1:123" s="62" customFormat="1" x14ac:dyDescent="0.25">
      <c r="A24" s="156" t="s">
        <v>260</v>
      </c>
      <c r="B24" s="156"/>
      <c r="C24" s="156" t="s">
        <v>31</v>
      </c>
      <c r="D24" s="156" t="s">
        <v>6</v>
      </c>
      <c r="E24" s="156">
        <v>7.8E-2</v>
      </c>
      <c r="F24" s="156" t="s">
        <v>6</v>
      </c>
      <c r="G24" s="187"/>
      <c r="H24" s="187"/>
      <c r="J24" s="156" t="s">
        <v>178</v>
      </c>
      <c r="K24" s="156" t="s">
        <v>178</v>
      </c>
      <c r="L24" s="156" t="s">
        <v>337</v>
      </c>
      <c r="M24" s="156">
        <v>9</v>
      </c>
    </row>
    <row r="25" spans="1:123" s="62" customFormat="1" ht="25" x14ac:dyDescent="0.25">
      <c r="A25" s="156" t="s">
        <v>261</v>
      </c>
      <c r="B25" s="156"/>
      <c r="C25" s="156" t="s">
        <v>32</v>
      </c>
      <c r="D25" s="156" t="s">
        <v>3</v>
      </c>
      <c r="E25" s="156">
        <v>7.9000000000000001E-2</v>
      </c>
      <c r="F25" s="156" t="s">
        <v>3</v>
      </c>
      <c r="G25" s="187" t="s">
        <v>261</v>
      </c>
      <c r="H25" s="187" t="s">
        <v>4</v>
      </c>
      <c r="I25" s="190"/>
      <c r="J25" s="156" t="s">
        <v>338</v>
      </c>
      <c r="K25" s="156" t="s">
        <v>339</v>
      </c>
      <c r="L25" s="156" t="s">
        <v>340</v>
      </c>
      <c r="M25" s="156">
        <v>8</v>
      </c>
    </row>
    <row r="26" spans="1:123" s="62" customFormat="1" x14ac:dyDescent="0.25">
      <c r="A26" s="156" t="s">
        <v>262</v>
      </c>
      <c r="B26" s="156"/>
      <c r="C26" s="156" t="s">
        <v>33</v>
      </c>
      <c r="D26" s="156" t="s">
        <v>3</v>
      </c>
      <c r="E26" s="156">
        <v>7.4999999999999997E-2</v>
      </c>
      <c r="F26" s="156" t="s">
        <v>3</v>
      </c>
      <c r="G26" s="187" t="s">
        <v>262</v>
      </c>
      <c r="H26" s="156" t="s">
        <v>4</v>
      </c>
      <c r="J26" s="156" t="s">
        <v>167</v>
      </c>
      <c r="K26" s="156" t="s">
        <v>167</v>
      </c>
      <c r="L26" s="156" t="s">
        <v>341</v>
      </c>
      <c r="M26" s="156">
        <v>1</v>
      </c>
    </row>
    <row r="27" spans="1:123" s="62" customFormat="1" x14ac:dyDescent="0.25">
      <c r="A27" s="156" t="s">
        <v>263</v>
      </c>
      <c r="B27" s="156"/>
      <c r="C27" s="156" t="s">
        <v>33</v>
      </c>
      <c r="D27" s="156" t="s">
        <v>4</v>
      </c>
      <c r="E27" s="156">
        <v>8.2000000000000003E-2</v>
      </c>
      <c r="F27" s="156" t="s">
        <v>4</v>
      </c>
      <c r="G27" s="187"/>
      <c r="H27" s="187"/>
      <c r="J27" s="156" t="s">
        <v>342</v>
      </c>
      <c r="K27" s="156" t="s">
        <v>171</v>
      </c>
      <c r="L27" s="156" t="s">
        <v>343</v>
      </c>
      <c r="M27" s="156">
        <v>1</v>
      </c>
    </row>
    <row r="28" spans="1:123" s="62" customFormat="1" x14ac:dyDescent="0.25">
      <c r="A28" s="156" t="s">
        <v>264</v>
      </c>
      <c r="B28" s="156"/>
      <c r="C28" s="156" t="s">
        <v>34</v>
      </c>
      <c r="D28" s="156" t="s">
        <v>3</v>
      </c>
      <c r="E28" s="156">
        <v>7.1999999999999995E-2</v>
      </c>
      <c r="F28" s="156" t="s">
        <v>3</v>
      </c>
      <c r="G28" s="187" t="s">
        <v>264</v>
      </c>
      <c r="H28" s="156" t="s">
        <v>4</v>
      </c>
      <c r="I28" s="103"/>
      <c r="J28" s="156" t="s">
        <v>344</v>
      </c>
      <c r="K28" s="156" t="s">
        <v>344</v>
      </c>
      <c r="L28" s="156" t="s">
        <v>345</v>
      </c>
      <c r="M28" s="156">
        <v>3</v>
      </c>
    </row>
    <row r="29" spans="1:123" s="62" customFormat="1" ht="25" x14ac:dyDescent="0.25">
      <c r="A29" s="156" t="s">
        <v>265</v>
      </c>
      <c r="B29" s="156"/>
      <c r="C29" s="156" t="s">
        <v>35</v>
      </c>
      <c r="D29" s="156" t="s">
        <v>3</v>
      </c>
      <c r="E29" s="156">
        <v>8.1000000000000003E-2</v>
      </c>
      <c r="F29" s="156" t="s">
        <v>3</v>
      </c>
      <c r="G29" s="187" t="s">
        <v>265</v>
      </c>
      <c r="H29" s="156" t="s">
        <v>4</v>
      </c>
      <c r="J29" s="156" t="s">
        <v>346</v>
      </c>
      <c r="K29" s="156" t="s">
        <v>346</v>
      </c>
      <c r="L29" s="156" t="s">
        <v>347</v>
      </c>
      <c r="M29" s="156">
        <v>3</v>
      </c>
    </row>
    <row r="30" spans="1:123" s="62" customFormat="1" x14ac:dyDescent="0.25">
      <c r="A30" s="156" t="s">
        <v>266</v>
      </c>
      <c r="B30" s="156"/>
      <c r="C30" s="156" t="s">
        <v>37</v>
      </c>
      <c r="D30" s="156" t="s">
        <v>3</v>
      </c>
      <c r="E30" s="156">
        <v>7.2999999999999995E-2</v>
      </c>
      <c r="F30" s="156" t="s">
        <v>3</v>
      </c>
      <c r="G30" s="187"/>
      <c r="H30" s="187"/>
      <c r="J30" s="156" t="s">
        <v>162</v>
      </c>
      <c r="K30" s="156" t="s">
        <v>162</v>
      </c>
      <c r="L30" s="156" t="s">
        <v>348</v>
      </c>
      <c r="M30" s="156">
        <v>4</v>
      </c>
    </row>
    <row r="31" spans="1:123" s="62" customFormat="1" x14ac:dyDescent="0.25">
      <c r="A31" s="156" t="s">
        <v>267</v>
      </c>
      <c r="B31" s="156"/>
      <c r="C31" s="156" t="s">
        <v>40</v>
      </c>
      <c r="D31" s="156" t="s">
        <v>3</v>
      </c>
      <c r="E31" s="156">
        <v>7.9000000000000001E-2</v>
      </c>
      <c r="F31" s="156" t="s">
        <v>3</v>
      </c>
      <c r="G31" s="187" t="s">
        <v>267</v>
      </c>
      <c r="H31" s="156" t="s">
        <v>4</v>
      </c>
      <c r="J31" s="156" t="s">
        <v>349</v>
      </c>
      <c r="K31" s="156" t="s">
        <v>350</v>
      </c>
      <c r="L31" s="156" t="s">
        <v>351</v>
      </c>
      <c r="M31" s="156">
        <v>5</v>
      </c>
    </row>
    <row r="32" spans="1:123" s="62" customFormat="1" x14ac:dyDescent="0.25">
      <c r="A32" s="156" t="s">
        <v>268</v>
      </c>
      <c r="B32" s="156"/>
      <c r="C32" s="156" t="s">
        <v>40</v>
      </c>
      <c r="D32" s="156" t="s">
        <v>3</v>
      </c>
      <c r="E32" s="156">
        <v>7.3999999999999996E-2</v>
      </c>
      <c r="F32" s="156" t="s">
        <v>3</v>
      </c>
      <c r="G32" s="187" t="s">
        <v>268</v>
      </c>
      <c r="H32" s="156" t="s">
        <v>4</v>
      </c>
      <c r="J32" s="156" t="s">
        <v>176</v>
      </c>
      <c r="K32" s="156" t="s">
        <v>176</v>
      </c>
      <c r="L32" s="156" t="s">
        <v>352</v>
      </c>
      <c r="M32" s="156">
        <v>5</v>
      </c>
    </row>
    <row r="33" spans="1:13" s="62" customFormat="1" x14ac:dyDescent="0.25">
      <c r="A33" s="156" t="s">
        <v>267</v>
      </c>
      <c r="B33" s="156"/>
      <c r="C33" s="156" t="s">
        <v>41</v>
      </c>
      <c r="D33" s="156" t="s">
        <v>3</v>
      </c>
      <c r="E33" s="156">
        <v>7.9000000000000001E-2</v>
      </c>
      <c r="F33" s="156" t="s">
        <v>3</v>
      </c>
      <c r="G33" s="187" t="s">
        <v>267</v>
      </c>
      <c r="H33" s="156" t="s">
        <v>4</v>
      </c>
      <c r="J33" s="156" t="s">
        <v>349</v>
      </c>
      <c r="K33" s="156" t="s">
        <v>350</v>
      </c>
      <c r="L33" s="156" t="s">
        <v>351</v>
      </c>
      <c r="M33" s="156">
        <v>5</v>
      </c>
    </row>
    <row r="34" spans="1:13" s="62" customFormat="1" x14ac:dyDescent="0.25">
      <c r="A34" s="156" t="s">
        <v>269</v>
      </c>
      <c r="B34" s="156"/>
      <c r="C34" s="156" t="s">
        <v>41</v>
      </c>
      <c r="D34" s="156" t="s">
        <v>3</v>
      </c>
      <c r="E34" s="156">
        <v>7.4999999999999997E-2</v>
      </c>
      <c r="F34" s="156" t="s">
        <v>3</v>
      </c>
      <c r="G34" s="187" t="s">
        <v>269</v>
      </c>
      <c r="H34" s="156" t="s">
        <v>4</v>
      </c>
      <c r="J34" s="156" t="s">
        <v>353</v>
      </c>
      <c r="K34" s="156" t="s">
        <v>353</v>
      </c>
      <c r="L34" s="156" t="s">
        <v>354</v>
      </c>
      <c r="M34" s="156">
        <v>5</v>
      </c>
    </row>
    <row r="35" spans="1:13" s="62" customFormat="1" x14ac:dyDescent="0.25">
      <c r="A35" s="156" t="s">
        <v>270</v>
      </c>
      <c r="B35" s="156"/>
      <c r="C35" s="156" t="s">
        <v>43</v>
      </c>
      <c r="D35" s="156" t="s">
        <v>3</v>
      </c>
      <c r="E35" s="156">
        <v>7.4999999999999997E-2</v>
      </c>
      <c r="F35" s="156" t="s">
        <v>3</v>
      </c>
      <c r="G35" s="187" t="s">
        <v>270</v>
      </c>
      <c r="H35" s="156" t="s">
        <v>4</v>
      </c>
      <c r="J35" s="156" t="s">
        <v>355</v>
      </c>
      <c r="K35" s="156" t="s">
        <v>356</v>
      </c>
      <c r="L35" s="156" t="s">
        <v>357</v>
      </c>
      <c r="M35" s="156">
        <v>4</v>
      </c>
    </row>
    <row r="36" spans="1:13" s="62" customFormat="1" x14ac:dyDescent="0.25">
      <c r="A36" s="156" t="s">
        <v>269</v>
      </c>
      <c r="B36" s="156"/>
      <c r="C36" s="156" t="s">
        <v>43</v>
      </c>
      <c r="D36" s="156" t="s">
        <v>3</v>
      </c>
      <c r="E36" s="156">
        <v>7.4999999999999997E-2</v>
      </c>
      <c r="F36" s="156" t="s">
        <v>3</v>
      </c>
      <c r="G36" s="187" t="s">
        <v>269</v>
      </c>
      <c r="H36" s="156" t="s">
        <v>4</v>
      </c>
      <c r="J36" s="156" t="s">
        <v>353</v>
      </c>
      <c r="K36" s="156" t="s">
        <v>353</v>
      </c>
      <c r="L36" s="156" t="s">
        <v>354</v>
      </c>
      <c r="M36" s="156">
        <v>4</v>
      </c>
    </row>
    <row r="37" spans="1:13" s="62" customFormat="1" x14ac:dyDescent="0.25">
      <c r="A37" s="156" t="s">
        <v>271</v>
      </c>
      <c r="B37" s="156"/>
      <c r="C37" s="156" t="s">
        <v>46</v>
      </c>
      <c r="D37" s="156" t="s">
        <v>3</v>
      </c>
      <c r="E37" s="156">
        <v>7.4999999999999997E-2</v>
      </c>
      <c r="F37" s="156" t="s">
        <v>3</v>
      </c>
      <c r="G37" s="187" t="s">
        <v>271</v>
      </c>
      <c r="H37" s="187" t="s">
        <v>4</v>
      </c>
      <c r="J37" s="156" t="s">
        <v>163</v>
      </c>
      <c r="K37" s="156" t="s">
        <v>163</v>
      </c>
      <c r="L37" s="156" t="s">
        <v>358</v>
      </c>
      <c r="M37" s="156">
        <v>3</v>
      </c>
    </row>
    <row r="38" spans="1:13" s="62" customFormat="1" ht="25" x14ac:dyDescent="0.25">
      <c r="A38" s="156" t="s">
        <v>265</v>
      </c>
      <c r="B38" s="156"/>
      <c r="C38" s="156" t="s">
        <v>46</v>
      </c>
      <c r="D38" s="156" t="s">
        <v>3</v>
      </c>
      <c r="E38" s="156">
        <v>8.1000000000000003E-2</v>
      </c>
      <c r="F38" s="156" t="s">
        <v>3</v>
      </c>
      <c r="G38" s="187" t="s">
        <v>265</v>
      </c>
      <c r="H38" s="156" t="s">
        <v>4</v>
      </c>
      <c r="J38" s="156" t="s">
        <v>346</v>
      </c>
      <c r="K38" s="156" t="s">
        <v>346</v>
      </c>
      <c r="L38" s="156" t="s">
        <v>347</v>
      </c>
      <c r="M38" s="156">
        <v>3</v>
      </c>
    </row>
    <row r="39" spans="1:13" s="62" customFormat="1" x14ac:dyDescent="0.25">
      <c r="A39" s="156" t="s">
        <v>264</v>
      </c>
      <c r="B39" s="156"/>
      <c r="C39" s="156" t="s">
        <v>46</v>
      </c>
      <c r="D39" s="156" t="s">
        <v>3</v>
      </c>
      <c r="E39" s="156">
        <v>7.1999999999999995E-2</v>
      </c>
      <c r="F39" s="156" t="s">
        <v>3</v>
      </c>
      <c r="G39" s="187" t="s">
        <v>264</v>
      </c>
      <c r="H39" s="156" t="s">
        <v>4</v>
      </c>
      <c r="J39" s="156" t="s">
        <v>344</v>
      </c>
      <c r="K39" s="156" t="s">
        <v>344</v>
      </c>
      <c r="L39" s="156" t="s">
        <v>345</v>
      </c>
      <c r="M39" s="156">
        <v>3</v>
      </c>
    </row>
    <row r="40" spans="1:13" s="62" customFormat="1" x14ac:dyDescent="0.25">
      <c r="A40" s="179" t="s">
        <v>272</v>
      </c>
      <c r="B40" s="156"/>
      <c r="C40" s="156" t="s">
        <v>48</v>
      </c>
      <c r="D40" s="156" t="s">
        <v>3</v>
      </c>
      <c r="E40" s="156">
        <v>7.2999999999999995E-2</v>
      </c>
      <c r="F40" s="156" t="s">
        <v>3</v>
      </c>
      <c r="G40" s="187" t="s">
        <v>272</v>
      </c>
      <c r="H40" s="187" t="s">
        <v>4</v>
      </c>
      <c r="J40" s="156" t="s">
        <v>359</v>
      </c>
      <c r="K40" s="156" t="s">
        <v>359</v>
      </c>
      <c r="L40" s="156" t="s">
        <v>360</v>
      </c>
      <c r="M40" s="156">
        <v>5</v>
      </c>
    </row>
    <row r="41" spans="1:13" s="62" customFormat="1" x14ac:dyDescent="0.25">
      <c r="A41" s="156" t="s">
        <v>273</v>
      </c>
      <c r="B41" s="156"/>
      <c r="C41" s="156" t="s">
        <v>48</v>
      </c>
      <c r="D41" s="156" t="s">
        <v>3</v>
      </c>
      <c r="E41" s="156">
        <v>7.2999999999999995E-2</v>
      </c>
      <c r="F41" s="156" t="s">
        <v>3</v>
      </c>
      <c r="G41" s="187" t="s">
        <v>273</v>
      </c>
      <c r="H41" s="156" t="s">
        <v>4</v>
      </c>
      <c r="J41" s="156" t="s">
        <v>361</v>
      </c>
      <c r="K41" s="156" t="s">
        <v>362</v>
      </c>
      <c r="L41" s="156" t="s">
        <v>363</v>
      </c>
      <c r="M41" s="156">
        <v>5</v>
      </c>
    </row>
    <row r="42" spans="1:13" s="62" customFormat="1" x14ac:dyDescent="0.25">
      <c r="A42" s="156" t="s">
        <v>274</v>
      </c>
      <c r="B42" s="156"/>
      <c r="C42" s="156" t="s">
        <v>48</v>
      </c>
      <c r="D42" s="156" t="s">
        <v>3</v>
      </c>
      <c r="E42" s="156">
        <v>7.3999999999999996E-2</v>
      </c>
      <c r="F42" s="156" t="s">
        <v>3</v>
      </c>
      <c r="G42" s="187" t="s">
        <v>274</v>
      </c>
      <c r="H42" s="187" t="s">
        <v>4</v>
      </c>
      <c r="J42" s="156" t="s">
        <v>364</v>
      </c>
      <c r="K42" s="156" t="s">
        <v>365</v>
      </c>
      <c r="L42" s="156" t="s">
        <v>366</v>
      </c>
      <c r="M42" s="156">
        <v>5</v>
      </c>
    </row>
    <row r="43" spans="1:13" s="62" customFormat="1" x14ac:dyDescent="0.25">
      <c r="A43" s="156" t="s">
        <v>275</v>
      </c>
      <c r="B43" s="156"/>
      <c r="C43" s="156" t="s">
        <v>48</v>
      </c>
      <c r="D43" s="156" t="s">
        <v>3</v>
      </c>
      <c r="E43" s="156">
        <v>7.5999999999999998E-2</v>
      </c>
      <c r="F43" s="156" t="s">
        <v>3</v>
      </c>
      <c r="G43" s="187" t="s">
        <v>275</v>
      </c>
      <c r="H43" s="156" t="s">
        <v>4</v>
      </c>
      <c r="J43" s="156" t="s">
        <v>367</v>
      </c>
      <c r="K43" s="156" t="s">
        <v>368</v>
      </c>
      <c r="L43" s="156" t="s">
        <v>369</v>
      </c>
      <c r="M43" s="156">
        <v>5</v>
      </c>
    </row>
    <row r="44" spans="1:13" s="62" customFormat="1" x14ac:dyDescent="0.25">
      <c r="A44" s="156" t="s">
        <v>268</v>
      </c>
      <c r="B44" s="156"/>
      <c r="C44" s="156" t="s">
        <v>50</v>
      </c>
      <c r="D44" s="156" t="s">
        <v>3</v>
      </c>
      <c r="E44" s="156">
        <v>7.3999999999999996E-2</v>
      </c>
      <c r="F44" s="156" t="s">
        <v>3</v>
      </c>
      <c r="G44" s="187" t="s">
        <v>268</v>
      </c>
      <c r="H44" s="156" t="s">
        <v>4</v>
      </c>
      <c r="J44" s="156" t="s">
        <v>176</v>
      </c>
      <c r="K44" s="156" t="s">
        <v>176</v>
      </c>
      <c r="L44" s="156" t="s">
        <v>352</v>
      </c>
      <c r="M44" s="156">
        <v>7</v>
      </c>
    </row>
    <row r="45" spans="1:13" s="62" customFormat="1" x14ac:dyDescent="0.25">
      <c r="A45" s="156" t="s">
        <v>263</v>
      </c>
      <c r="B45" s="156"/>
      <c r="C45" s="156" t="s">
        <v>54</v>
      </c>
      <c r="D45" s="156" t="s">
        <v>4</v>
      </c>
      <c r="E45" s="156">
        <v>8.2000000000000003E-2</v>
      </c>
      <c r="F45" s="156" t="s">
        <v>4</v>
      </c>
      <c r="G45" s="187"/>
      <c r="H45" s="187" t="e">
        <v>#N/A</v>
      </c>
      <c r="J45" s="156" t="s">
        <v>342</v>
      </c>
      <c r="K45" s="156" t="s">
        <v>171</v>
      </c>
      <c r="L45" s="156" t="s">
        <v>343</v>
      </c>
      <c r="M45" s="156">
        <v>2</v>
      </c>
    </row>
    <row r="46" spans="1:13" s="62" customFormat="1" ht="25" x14ac:dyDescent="0.25">
      <c r="A46" s="156" t="s">
        <v>265</v>
      </c>
      <c r="B46" s="156"/>
      <c r="C46" s="156" t="s">
        <v>54</v>
      </c>
      <c r="D46" s="156" t="s">
        <v>3</v>
      </c>
      <c r="E46" s="156">
        <v>8.1000000000000003E-2</v>
      </c>
      <c r="F46" s="156" t="s">
        <v>3</v>
      </c>
      <c r="G46" s="187" t="s">
        <v>265</v>
      </c>
      <c r="H46" s="156" t="s">
        <v>4</v>
      </c>
      <c r="J46" s="156" t="s">
        <v>346</v>
      </c>
      <c r="K46" s="156" t="s">
        <v>346</v>
      </c>
      <c r="L46" s="156" t="s">
        <v>347</v>
      </c>
      <c r="M46" s="156">
        <v>2</v>
      </c>
    </row>
    <row r="47" spans="1:13" s="62" customFormat="1" ht="25" x14ac:dyDescent="0.25">
      <c r="A47" s="156" t="s">
        <v>437</v>
      </c>
      <c r="B47" s="156"/>
      <c r="C47" s="156" t="s">
        <v>55</v>
      </c>
      <c r="D47" s="156" t="s">
        <v>3</v>
      </c>
      <c r="E47" s="156">
        <v>7.3999999999999996E-2</v>
      </c>
      <c r="F47" s="156" t="s">
        <v>3</v>
      </c>
      <c r="G47" s="156" t="s">
        <v>437</v>
      </c>
      <c r="H47" s="156" t="s">
        <v>4</v>
      </c>
      <c r="J47" s="156" t="s">
        <v>370</v>
      </c>
      <c r="K47" s="156" t="s">
        <v>371</v>
      </c>
      <c r="L47" s="156" t="s">
        <v>372</v>
      </c>
      <c r="M47" s="156">
        <v>6</v>
      </c>
    </row>
    <row r="48" spans="1:13" s="62" customFormat="1" x14ac:dyDescent="0.25">
      <c r="A48" s="156" t="s">
        <v>277</v>
      </c>
      <c r="B48" s="156"/>
      <c r="C48" s="156" t="s">
        <v>56</v>
      </c>
      <c r="D48" s="156" t="s">
        <v>3</v>
      </c>
      <c r="E48" s="156">
        <v>7.5999999999999998E-2</v>
      </c>
      <c r="F48" s="156" t="s">
        <v>3</v>
      </c>
      <c r="G48" s="187" t="s">
        <v>277</v>
      </c>
      <c r="H48" s="156" t="s">
        <v>4</v>
      </c>
      <c r="J48" s="156" t="s">
        <v>373</v>
      </c>
      <c r="K48" s="156" t="s">
        <v>373</v>
      </c>
      <c r="L48" s="156" t="s">
        <v>374</v>
      </c>
      <c r="M48" s="156">
        <v>9</v>
      </c>
    </row>
    <row r="49" spans="1:123" s="62" customFormat="1" x14ac:dyDescent="0.25">
      <c r="A49" s="156" t="s">
        <v>263</v>
      </c>
      <c r="B49" s="156"/>
      <c r="C49" s="156" t="s">
        <v>57</v>
      </c>
      <c r="D49" s="156" t="s">
        <v>4</v>
      </c>
      <c r="E49" s="156">
        <v>8.2000000000000003E-2</v>
      </c>
      <c r="F49" s="156" t="s">
        <v>4</v>
      </c>
      <c r="G49" s="187"/>
      <c r="H49" s="187" t="e">
        <v>#N/A</v>
      </c>
      <c r="J49" s="156" t="s">
        <v>342</v>
      </c>
      <c r="K49" s="156" t="s">
        <v>171</v>
      </c>
      <c r="L49" s="156" t="s">
        <v>343</v>
      </c>
      <c r="M49" s="156">
        <v>2</v>
      </c>
    </row>
    <row r="50" spans="1:123" s="62" customFormat="1" x14ac:dyDescent="0.25">
      <c r="A50" s="156" t="s">
        <v>270</v>
      </c>
      <c r="B50" s="156"/>
      <c r="C50" s="156" t="s">
        <v>58</v>
      </c>
      <c r="D50" s="156" t="s">
        <v>3</v>
      </c>
      <c r="E50" s="156">
        <v>7.4999999999999997E-2</v>
      </c>
      <c r="F50" s="156" t="s">
        <v>3</v>
      </c>
      <c r="G50" s="187" t="s">
        <v>270</v>
      </c>
      <c r="H50" s="156" t="s">
        <v>4</v>
      </c>
      <c r="I50" s="103"/>
      <c r="J50" s="156" t="s">
        <v>355</v>
      </c>
      <c r="K50" s="156" t="s">
        <v>356</v>
      </c>
      <c r="L50" s="156" t="s">
        <v>357</v>
      </c>
      <c r="M50" s="156">
        <v>5</v>
      </c>
    </row>
    <row r="51" spans="1:123" s="62" customFormat="1" x14ac:dyDescent="0.25">
      <c r="A51" s="156" t="s">
        <v>278</v>
      </c>
      <c r="B51" s="156"/>
      <c r="C51" s="156" t="s">
        <v>58</v>
      </c>
      <c r="D51" s="156" t="s">
        <v>3</v>
      </c>
      <c r="E51" s="156">
        <v>7.3999999999999996E-2</v>
      </c>
      <c r="F51" s="156" t="s">
        <v>3</v>
      </c>
      <c r="G51" s="187" t="s">
        <v>278</v>
      </c>
      <c r="H51" s="156" t="s">
        <v>4</v>
      </c>
      <c r="J51" s="156" t="s">
        <v>375</v>
      </c>
      <c r="K51" s="156" t="s">
        <v>376</v>
      </c>
      <c r="L51" s="156" t="s">
        <v>377</v>
      </c>
      <c r="M51" s="156">
        <v>5</v>
      </c>
    </row>
    <row r="52" spans="1:123" s="62" customFormat="1" x14ac:dyDescent="0.25">
      <c r="A52" s="156" t="s">
        <v>279</v>
      </c>
      <c r="B52" s="156"/>
      <c r="C52" s="156" t="s">
        <v>58</v>
      </c>
      <c r="D52" s="156" t="s">
        <v>3</v>
      </c>
      <c r="E52" s="156">
        <v>6.9000000000000006E-2</v>
      </c>
      <c r="F52" s="156" t="s">
        <v>3</v>
      </c>
      <c r="G52" s="187"/>
      <c r="H52" s="187"/>
      <c r="J52" s="156" t="s">
        <v>165</v>
      </c>
      <c r="K52" s="156" t="s">
        <v>378</v>
      </c>
      <c r="L52" s="156" t="s">
        <v>379</v>
      </c>
      <c r="M52" s="156">
        <v>5</v>
      </c>
    </row>
    <row r="53" spans="1:123" s="62" customFormat="1" ht="25" x14ac:dyDescent="0.25">
      <c r="A53" s="156" t="s">
        <v>265</v>
      </c>
      <c r="B53" s="156"/>
      <c r="C53" s="156" t="s">
        <v>61</v>
      </c>
      <c r="D53" s="156" t="s">
        <v>3</v>
      </c>
      <c r="E53" s="156">
        <v>8.1000000000000003E-2</v>
      </c>
      <c r="F53" s="156" t="s">
        <v>3</v>
      </c>
      <c r="G53" s="187" t="s">
        <v>265</v>
      </c>
      <c r="H53" s="156" t="s">
        <v>4</v>
      </c>
      <c r="J53" s="156" t="s">
        <v>346</v>
      </c>
      <c r="K53" s="156" t="s">
        <v>346</v>
      </c>
      <c r="L53" s="156" t="s">
        <v>347</v>
      </c>
      <c r="M53" s="156">
        <v>3</v>
      </c>
    </row>
    <row r="54" spans="1:123" s="62" customFormat="1" x14ac:dyDescent="0.25">
      <c r="A54" s="156" t="s">
        <v>247</v>
      </c>
      <c r="B54" s="156"/>
      <c r="C54" s="156" t="s">
        <v>192</v>
      </c>
      <c r="D54" s="156" t="s">
        <v>6</v>
      </c>
      <c r="E54" s="156">
        <v>0.10100000000000001</v>
      </c>
      <c r="F54" s="156" t="s">
        <v>6</v>
      </c>
      <c r="G54" s="187"/>
      <c r="H54" s="187"/>
      <c r="J54" s="156" t="s">
        <v>315</v>
      </c>
      <c r="K54" s="156" t="s">
        <v>170</v>
      </c>
      <c r="L54" s="156" t="s">
        <v>316</v>
      </c>
      <c r="M54" s="156">
        <v>9</v>
      </c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95"/>
      <c r="AK54" s="95"/>
      <c r="AL54" s="95"/>
      <c r="AM54" s="95"/>
      <c r="AN54" s="95"/>
      <c r="AO54" s="95"/>
      <c r="AP54" s="95"/>
      <c r="AQ54" s="95"/>
      <c r="AR54" s="95"/>
      <c r="AS54" s="95"/>
      <c r="AT54" s="95"/>
      <c r="AU54" s="95"/>
      <c r="AV54" s="95"/>
      <c r="AW54" s="95"/>
      <c r="AX54" s="95"/>
      <c r="AY54" s="95"/>
      <c r="AZ54" s="95"/>
      <c r="BA54" s="95"/>
      <c r="BB54" s="95"/>
      <c r="BC54" s="95"/>
      <c r="BD54" s="95"/>
      <c r="BE54" s="95"/>
      <c r="BF54" s="95"/>
      <c r="BG54" s="95"/>
      <c r="BH54" s="95"/>
      <c r="BI54" s="95"/>
      <c r="BJ54" s="95"/>
      <c r="BK54" s="95"/>
      <c r="BL54" s="95"/>
      <c r="BM54" s="95"/>
      <c r="BN54" s="95"/>
      <c r="BO54" s="95"/>
      <c r="BP54" s="95"/>
      <c r="BQ54" s="95"/>
      <c r="BR54" s="95"/>
      <c r="BS54" s="95"/>
      <c r="BT54" s="95"/>
      <c r="BU54" s="95"/>
      <c r="BV54" s="95"/>
      <c r="BW54" s="95"/>
      <c r="BX54" s="95"/>
      <c r="BY54" s="95"/>
      <c r="BZ54" s="95"/>
      <c r="CA54" s="95"/>
      <c r="CB54" s="95"/>
      <c r="CC54" s="95"/>
      <c r="CD54" s="95"/>
      <c r="CE54" s="95"/>
      <c r="CF54" s="95"/>
      <c r="CG54" s="95"/>
      <c r="CH54" s="95"/>
      <c r="CI54" s="95"/>
      <c r="CJ54" s="95"/>
      <c r="CK54" s="95"/>
      <c r="CL54" s="95"/>
      <c r="CM54" s="95"/>
      <c r="CN54" s="95"/>
      <c r="CO54" s="95"/>
      <c r="CP54" s="95"/>
      <c r="CQ54" s="95"/>
      <c r="CR54" s="95"/>
      <c r="CS54" s="95"/>
      <c r="CT54" s="95"/>
      <c r="CU54" s="95"/>
      <c r="CV54" s="95"/>
      <c r="CW54" s="95"/>
      <c r="CX54" s="95"/>
      <c r="CY54" s="95"/>
      <c r="CZ54" s="95"/>
      <c r="DA54" s="95"/>
      <c r="DB54" s="95"/>
      <c r="DC54" s="95"/>
      <c r="DD54" s="95"/>
      <c r="DE54" s="95"/>
      <c r="DF54" s="95"/>
      <c r="DG54" s="95"/>
      <c r="DH54" s="95"/>
      <c r="DI54" s="95"/>
      <c r="DJ54" s="95"/>
      <c r="DK54" s="95"/>
      <c r="DL54" s="95"/>
      <c r="DM54" s="95"/>
      <c r="DN54" s="95"/>
      <c r="DO54" s="95"/>
      <c r="DP54" s="95"/>
      <c r="DQ54" s="95"/>
      <c r="DR54" s="95"/>
      <c r="DS54" s="95"/>
    </row>
    <row r="55" spans="1:123" s="62" customFormat="1" ht="37.5" x14ac:dyDescent="0.25">
      <c r="A55" s="156" t="s">
        <v>249</v>
      </c>
      <c r="B55" s="156"/>
      <c r="C55" s="156" t="s">
        <v>192</v>
      </c>
      <c r="D55" s="156" t="s">
        <v>3</v>
      </c>
      <c r="E55" s="156">
        <v>0.08</v>
      </c>
      <c r="F55" s="156" t="s">
        <v>3</v>
      </c>
      <c r="G55" s="156" t="s">
        <v>249</v>
      </c>
      <c r="H55" s="156" t="s">
        <v>4</v>
      </c>
      <c r="I55" s="103"/>
      <c r="J55" s="156" t="s">
        <v>319</v>
      </c>
      <c r="K55" s="156" t="s">
        <v>170</v>
      </c>
      <c r="L55" s="156" t="s">
        <v>320</v>
      </c>
      <c r="M55" s="156">
        <v>9</v>
      </c>
    </row>
    <row r="56" spans="1:123" s="62" customFormat="1" x14ac:dyDescent="0.25">
      <c r="A56" s="156" t="s">
        <v>280</v>
      </c>
      <c r="B56" s="156"/>
      <c r="C56" s="156" t="s">
        <v>64</v>
      </c>
      <c r="D56" s="156" t="s">
        <v>3</v>
      </c>
      <c r="E56" s="156">
        <v>7.5999999999999998E-2</v>
      </c>
      <c r="F56" s="156" t="s">
        <v>3</v>
      </c>
      <c r="G56" s="187" t="s">
        <v>280</v>
      </c>
      <c r="H56" s="187" t="s">
        <v>4</v>
      </c>
      <c r="J56" s="156" t="s">
        <v>166</v>
      </c>
      <c r="K56" s="156" t="s">
        <v>166</v>
      </c>
      <c r="L56" s="156" t="s">
        <v>380</v>
      </c>
      <c r="M56" s="156">
        <v>6</v>
      </c>
    </row>
    <row r="57" spans="1:123" s="62" customFormat="1" x14ac:dyDescent="0.25">
      <c r="A57" s="156" t="s">
        <v>281</v>
      </c>
      <c r="B57" s="156"/>
      <c r="C57" s="156" t="s">
        <v>64</v>
      </c>
      <c r="D57" s="156" t="s">
        <v>3</v>
      </c>
      <c r="E57" s="156">
        <v>7.8E-2</v>
      </c>
      <c r="F57" s="156" t="s">
        <v>3</v>
      </c>
      <c r="G57" s="187" t="s">
        <v>281</v>
      </c>
      <c r="H57" s="187" t="s">
        <v>4</v>
      </c>
      <c r="J57" s="156" t="s">
        <v>168</v>
      </c>
      <c r="K57" s="156" t="s">
        <v>381</v>
      </c>
      <c r="L57" s="156" t="s">
        <v>382</v>
      </c>
      <c r="M57" s="156">
        <v>6</v>
      </c>
    </row>
    <row r="58" spans="1:123" s="62" customFormat="1" x14ac:dyDescent="0.25">
      <c r="A58" s="156" t="s">
        <v>282</v>
      </c>
      <c r="B58" s="156"/>
      <c r="C58" s="156" t="s">
        <v>64</v>
      </c>
      <c r="D58" s="156" t="s">
        <v>3</v>
      </c>
      <c r="E58" s="156">
        <v>7.1999999999999995E-2</v>
      </c>
      <c r="F58" s="156" t="s">
        <v>3</v>
      </c>
      <c r="G58" s="187"/>
      <c r="H58" s="187"/>
      <c r="J58" s="156" t="s">
        <v>383</v>
      </c>
      <c r="K58" s="156" t="s">
        <v>383</v>
      </c>
      <c r="L58" s="156" t="s">
        <v>384</v>
      </c>
      <c r="M58" s="156">
        <v>6</v>
      </c>
    </row>
    <row r="59" spans="1:123" s="62" customFormat="1" x14ac:dyDescent="0.25">
      <c r="A59" s="156" t="s">
        <v>283</v>
      </c>
      <c r="B59" s="156"/>
      <c r="C59" s="156" t="s">
        <v>65</v>
      </c>
      <c r="D59" s="156" t="s">
        <v>3</v>
      </c>
      <c r="E59" s="156">
        <v>7.8E-2</v>
      </c>
      <c r="F59" s="156" t="s">
        <v>3</v>
      </c>
      <c r="G59" s="187" t="s">
        <v>283</v>
      </c>
      <c r="H59" s="156" t="s">
        <v>4</v>
      </c>
      <c r="J59" s="156" t="s">
        <v>385</v>
      </c>
      <c r="K59" s="156" t="s">
        <v>386</v>
      </c>
      <c r="L59" s="156" t="s">
        <v>387</v>
      </c>
      <c r="M59" s="156">
        <v>8</v>
      </c>
    </row>
    <row r="60" spans="1:123" s="62" customFormat="1" x14ac:dyDescent="0.25">
      <c r="A60" s="156" t="s">
        <v>284</v>
      </c>
      <c r="B60" s="156"/>
      <c r="C60" s="156" t="s">
        <v>65</v>
      </c>
      <c r="D60" s="156" t="s">
        <v>3</v>
      </c>
      <c r="E60" s="156">
        <v>7.1999999999999995E-2</v>
      </c>
      <c r="F60" s="156" t="s">
        <v>3</v>
      </c>
      <c r="G60" s="187"/>
      <c r="H60" s="187"/>
      <c r="J60" s="156" t="s">
        <v>388</v>
      </c>
      <c r="K60" s="156" t="s">
        <v>389</v>
      </c>
      <c r="L60" s="156" t="s">
        <v>390</v>
      </c>
      <c r="M60" s="156">
        <v>8</v>
      </c>
    </row>
    <row r="61" spans="1:123" s="62" customFormat="1" x14ac:dyDescent="0.25">
      <c r="A61" s="156" t="s">
        <v>285</v>
      </c>
      <c r="B61" s="156"/>
      <c r="C61" s="156" t="s">
        <v>65</v>
      </c>
      <c r="D61" s="156" t="s">
        <v>3</v>
      </c>
      <c r="E61" s="156">
        <v>8.7999999999999995E-2</v>
      </c>
      <c r="F61" s="156" t="s">
        <v>3</v>
      </c>
      <c r="G61" s="187" t="s">
        <v>285</v>
      </c>
      <c r="H61" s="156" t="s">
        <v>4</v>
      </c>
      <c r="J61" s="156" t="s">
        <v>391</v>
      </c>
      <c r="K61" s="156" t="s">
        <v>391</v>
      </c>
      <c r="L61" s="156" t="s">
        <v>392</v>
      </c>
      <c r="M61" s="156">
        <v>8</v>
      </c>
    </row>
    <row r="62" spans="1:123" s="62" customFormat="1" x14ac:dyDescent="0.25">
      <c r="A62" s="156" t="s">
        <v>264</v>
      </c>
      <c r="B62" s="156"/>
      <c r="C62" s="156" t="s">
        <v>66</v>
      </c>
      <c r="D62" s="156" t="s">
        <v>3</v>
      </c>
      <c r="E62" s="156">
        <v>7.1999999999999995E-2</v>
      </c>
      <c r="F62" s="156" t="s">
        <v>3</v>
      </c>
      <c r="G62" s="187" t="s">
        <v>264</v>
      </c>
      <c r="H62" s="156" t="s">
        <v>4</v>
      </c>
      <c r="J62" s="156" t="s">
        <v>344</v>
      </c>
      <c r="K62" s="156" t="s">
        <v>344</v>
      </c>
      <c r="L62" s="156" t="s">
        <v>345</v>
      </c>
      <c r="M62" s="156">
        <v>3</v>
      </c>
    </row>
    <row r="63" spans="1:123" s="62" customFormat="1" x14ac:dyDescent="0.25">
      <c r="A63" s="156" t="s">
        <v>267</v>
      </c>
      <c r="B63" s="156"/>
      <c r="C63" s="156" t="s">
        <v>69</v>
      </c>
      <c r="D63" s="156" t="s">
        <v>3</v>
      </c>
      <c r="E63" s="156">
        <v>7.9000000000000001E-2</v>
      </c>
      <c r="F63" s="156" t="s">
        <v>3</v>
      </c>
      <c r="G63" s="187" t="s">
        <v>267</v>
      </c>
      <c r="H63" s="156" t="s">
        <v>4</v>
      </c>
      <c r="I63" s="103"/>
      <c r="J63" s="156" t="s">
        <v>349</v>
      </c>
      <c r="K63" s="156" t="s">
        <v>350</v>
      </c>
      <c r="L63" s="156" t="s">
        <v>351</v>
      </c>
      <c r="M63" s="156">
        <v>5</v>
      </c>
    </row>
    <row r="64" spans="1:123" s="62" customFormat="1" ht="37.5" x14ac:dyDescent="0.25">
      <c r="A64" s="156" t="s">
        <v>286</v>
      </c>
      <c r="B64" s="156"/>
      <c r="C64" s="156" t="s">
        <v>69</v>
      </c>
      <c r="D64" s="156" t="s">
        <v>259</v>
      </c>
      <c r="E64" s="156">
        <v>7.2999999999999995E-2</v>
      </c>
      <c r="F64" s="159" t="s">
        <v>259</v>
      </c>
      <c r="G64" s="187" t="s">
        <v>286</v>
      </c>
      <c r="H64" s="187" t="s">
        <v>438</v>
      </c>
      <c r="I64" s="159" t="s">
        <v>259</v>
      </c>
      <c r="J64" s="156" t="s">
        <v>393</v>
      </c>
      <c r="K64" s="156" t="s">
        <v>393</v>
      </c>
      <c r="L64" s="156" t="s">
        <v>394</v>
      </c>
      <c r="M64" s="156">
        <v>5</v>
      </c>
    </row>
    <row r="65" spans="1:13" s="62" customFormat="1" x14ac:dyDescent="0.25">
      <c r="A65" s="156" t="s">
        <v>287</v>
      </c>
      <c r="B65" s="156"/>
      <c r="C65" s="156" t="s">
        <v>69</v>
      </c>
      <c r="D65" s="156" t="s">
        <v>3</v>
      </c>
      <c r="E65" s="156">
        <v>7.2999999999999995E-2</v>
      </c>
      <c r="F65" s="156" t="s">
        <v>3</v>
      </c>
      <c r="G65" s="187"/>
      <c r="H65" s="187"/>
      <c r="J65" s="156" t="s">
        <v>395</v>
      </c>
      <c r="K65" s="156" t="s">
        <v>395</v>
      </c>
      <c r="L65" s="156" t="s">
        <v>396</v>
      </c>
      <c r="M65" s="156">
        <v>5</v>
      </c>
    </row>
    <row r="66" spans="1:13" s="62" customFormat="1" ht="25" x14ac:dyDescent="0.25">
      <c r="A66" s="179" t="s">
        <v>288</v>
      </c>
      <c r="B66" s="156"/>
      <c r="C66" s="156" t="s">
        <v>69</v>
      </c>
      <c r="D66" s="156" t="s">
        <v>3</v>
      </c>
      <c r="E66" s="156">
        <v>7.3999999999999996E-2</v>
      </c>
      <c r="F66" s="156" t="s">
        <v>3</v>
      </c>
      <c r="G66" s="187" t="s">
        <v>288</v>
      </c>
      <c r="H66" s="187" t="s">
        <v>4</v>
      </c>
      <c r="J66" s="156" t="s">
        <v>397</v>
      </c>
      <c r="K66" s="156" t="s">
        <v>398</v>
      </c>
      <c r="L66" s="156" t="s">
        <v>399</v>
      </c>
      <c r="M66" s="156">
        <v>5</v>
      </c>
    </row>
    <row r="67" spans="1:13" s="62" customFormat="1" x14ac:dyDescent="0.25">
      <c r="A67" s="156" t="s">
        <v>289</v>
      </c>
      <c r="B67" s="156"/>
      <c r="C67" s="156" t="s">
        <v>69</v>
      </c>
      <c r="D67" s="156" t="s">
        <v>3</v>
      </c>
      <c r="E67" s="156">
        <v>8.1000000000000003E-2</v>
      </c>
      <c r="F67" s="156" t="s">
        <v>3</v>
      </c>
      <c r="G67" s="187" t="s">
        <v>289</v>
      </c>
      <c r="H67" s="187" t="s">
        <v>4</v>
      </c>
      <c r="J67" s="156" t="s">
        <v>400</v>
      </c>
      <c r="K67" s="156" t="s">
        <v>9</v>
      </c>
      <c r="L67" s="156" t="s">
        <v>401</v>
      </c>
      <c r="M67" s="156">
        <v>5</v>
      </c>
    </row>
    <row r="68" spans="1:13" s="62" customFormat="1" x14ac:dyDescent="0.25">
      <c r="A68" s="120"/>
      <c r="B68" s="103"/>
      <c r="C68" s="120"/>
      <c r="D68" s="73"/>
      <c r="E68" s="73"/>
      <c r="F68" s="150"/>
      <c r="G68" s="150"/>
      <c r="H68" s="103"/>
    </row>
    <row r="69" spans="1:13" s="62" customFormat="1" x14ac:dyDescent="0.25">
      <c r="A69" s="58"/>
      <c r="B69" s="58"/>
      <c r="C69" s="58"/>
      <c r="D69" s="58"/>
      <c r="E69" s="63"/>
      <c r="F69" s="58"/>
      <c r="G69" s="58"/>
    </row>
    <row r="70" spans="1:13" s="62" customFormat="1" x14ac:dyDescent="0.25">
      <c r="A70" s="58">
        <f>COUNTA(A4:A67)</f>
        <v>64</v>
      </c>
      <c r="B70" s="101" t="s">
        <v>232</v>
      </c>
      <c r="C70" s="73"/>
      <c r="D70" s="58"/>
      <c r="E70" s="63"/>
      <c r="F70" s="58"/>
      <c r="G70" s="58"/>
    </row>
    <row r="71" spans="1:13" s="62" customFormat="1" x14ac:dyDescent="0.25">
      <c r="A71" s="58">
        <v>2</v>
      </c>
      <c r="B71" s="99" t="s">
        <v>193</v>
      </c>
      <c r="C71" s="84" t="s">
        <v>159</v>
      </c>
      <c r="D71" s="58"/>
      <c r="E71" s="63" t="s">
        <v>159</v>
      </c>
      <c r="F71" s="58">
        <f>COUNTIF($F$4:$F$67,"Extreme")</f>
        <v>2</v>
      </c>
      <c r="G71" s="58"/>
    </row>
    <row r="72" spans="1:13" s="62" customFormat="1" x14ac:dyDescent="0.25">
      <c r="A72" s="58">
        <f>A70-A71</f>
        <v>62</v>
      </c>
      <c r="B72" s="99" t="s">
        <v>194</v>
      </c>
      <c r="C72" s="84" t="s">
        <v>180</v>
      </c>
      <c r="D72" s="58"/>
      <c r="E72" s="63" t="s">
        <v>5</v>
      </c>
      <c r="F72" s="58">
        <f>COUNTIF($F$4:$F$67,"Severe-17")</f>
        <v>0</v>
      </c>
      <c r="G72" s="58"/>
    </row>
    <row r="73" spans="1:13" s="62" customFormat="1" x14ac:dyDescent="0.25">
      <c r="A73" s="196" t="s">
        <v>419</v>
      </c>
      <c r="B73" s="58"/>
      <c r="C73" s="84" t="s">
        <v>179</v>
      </c>
      <c r="D73" s="58"/>
      <c r="E73" s="63" t="s">
        <v>7</v>
      </c>
      <c r="F73" s="58">
        <f>COUNTIF($F$4:$F$63,"Severe 15")</f>
        <v>0</v>
      </c>
      <c r="G73" s="58"/>
    </row>
    <row r="74" spans="1:13" s="62" customFormat="1" x14ac:dyDescent="0.25">
      <c r="A74" s="58"/>
      <c r="B74" s="58"/>
      <c r="C74" s="84" t="s">
        <v>6</v>
      </c>
      <c r="D74" s="58"/>
      <c r="E74" s="63" t="s">
        <v>6</v>
      </c>
      <c r="F74" s="58">
        <f>COUNTIF($F$4:$F$67,"Serious")</f>
        <v>2</v>
      </c>
      <c r="G74" s="58"/>
    </row>
    <row r="75" spans="1:13" s="62" customFormat="1" x14ac:dyDescent="0.25">
      <c r="A75" s="58"/>
      <c r="B75" s="58"/>
      <c r="C75" s="84" t="s">
        <v>4</v>
      </c>
      <c r="D75" s="58"/>
      <c r="E75" s="63" t="s">
        <v>4</v>
      </c>
      <c r="F75" s="58">
        <f>COUNTIF($F$4:$F$67,"Moderate")</f>
        <v>7</v>
      </c>
      <c r="G75" s="58"/>
    </row>
    <row r="76" spans="1:13" s="62" customFormat="1" x14ac:dyDescent="0.25">
      <c r="A76" s="58"/>
      <c r="B76" s="58"/>
      <c r="C76" s="84" t="s">
        <v>3</v>
      </c>
      <c r="D76" s="58"/>
      <c r="E76" s="76" t="s">
        <v>3</v>
      </c>
      <c r="F76" s="77">
        <f>COUNTIF($F$4:$F$67,"Marginal")</f>
        <v>50</v>
      </c>
      <c r="G76" s="189"/>
    </row>
    <row r="77" spans="1:13" s="62" customFormat="1" ht="25" x14ac:dyDescent="0.25">
      <c r="A77" s="58"/>
      <c r="B77" s="58"/>
      <c r="C77" s="159" t="s">
        <v>259</v>
      </c>
      <c r="D77" s="58"/>
      <c r="E77" s="158"/>
      <c r="F77" s="77">
        <f>COUNTIF($F$4:$F$67,"Marginal (Rural Transport)")</f>
        <v>1</v>
      </c>
      <c r="G77" s="189"/>
    </row>
    <row r="78" spans="1:13" s="62" customFormat="1" x14ac:dyDescent="0.25">
      <c r="A78" s="58"/>
      <c r="B78" s="58"/>
      <c r="C78" s="58"/>
      <c r="D78" s="58"/>
      <c r="E78" s="75" t="s">
        <v>160</v>
      </c>
      <c r="F78" s="58">
        <f>SUM(F71:F77)</f>
        <v>62</v>
      </c>
      <c r="G78" s="58"/>
    </row>
    <row r="79" spans="1:13" s="62" customFormat="1" x14ac:dyDescent="0.25">
      <c r="A79" s="58"/>
      <c r="B79" s="58"/>
      <c r="C79" s="58"/>
      <c r="D79" s="58"/>
      <c r="E79" s="63"/>
      <c r="F79" s="58"/>
      <c r="G79" s="58"/>
    </row>
    <row r="80" spans="1:13" s="62" customFormat="1" x14ac:dyDescent="0.25">
      <c r="A80" s="58"/>
      <c r="B80" s="58"/>
      <c r="C80" s="84"/>
      <c r="D80" s="58"/>
      <c r="E80" s="63"/>
      <c r="F80" s="58"/>
      <c r="G80" s="58"/>
    </row>
    <row r="81" spans="1:7" s="62" customFormat="1" x14ac:dyDescent="0.25">
      <c r="A81" s="58"/>
      <c r="B81" s="58"/>
      <c r="C81" s="58"/>
      <c r="D81" s="58"/>
      <c r="E81" s="63"/>
      <c r="F81" s="58"/>
      <c r="G81" s="58"/>
    </row>
    <row r="82" spans="1:7" s="62" customFormat="1" x14ac:dyDescent="0.25">
      <c r="E82" s="63"/>
      <c r="F82" s="58"/>
      <c r="G82" s="58"/>
    </row>
    <row r="83" spans="1:7" s="62" customFormat="1" x14ac:dyDescent="0.25">
      <c r="E83" s="63"/>
      <c r="F83" s="58"/>
      <c r="G83" s="58"/>
    </row>
    <row r="84" spans="1:7" s="62" customFormat="1" x14ac:dyDescent="0.25">
      <c r="E84" s="63"/>
      <c r="F84" s="58"/>
      <c r="G84" s="58"/>
    </row>
    <row r="85" spans="1:7" s="62" customFormat="1" x14ac:dyDescent="0.25">
      <c r="E85" s="63"/>
      <c r="F85" s="58"/>
      <c r="G85" s="58"/>
    </row>
    <row r="86" spans="1:7" s="62" customFormat="1" x14ac:dyDescent="0.25">
      <c r="E86" s="63"/>
      <c r="F86" s="58"/>
      <c r="G86" s="58"/>
    </row>
    <row r="87" spans="1:7" s="62" customFormat="1" x14ac:dyDescent="0.25">
      <c r="E87" s="63"/>
      <c r="F87" s="58"/>
      <c r="G87" s="58"/>
    </row>
    <row r="88" spans="1:7" s="62" customFormat="1" x14ac:dyDescent="0.25">
      <c r="E88" s="63"/>
      <c r="F88" s="58"/>
      <c r="G88" s="58"/>
    </row>
    <row r="89" spans="1:7" s="62" customFormat="1" x14ac:dyDescent="0.25">
      <c r="E89" s="63"/>
      <c r="F89" s="58"/>
      <c r="G89" s="58"/>
    </row>
    <row r="90" spans="1:7" s="62" customFormat="1" x14ac:dyDescent="0.25">
      <c r="E90" s="63"/>
      <c r="F90" s="58"/>
      <c r="G90" s="58"/>
    </row>
    <row r="91" spans="1:7" s="62" customFormat="1" x14ac:dyDescent="0.25">
      <c r="E91" s="63"/>
      <c r="F91" s="58"/>
      <c r="G91" s="58"/>
    </row>
    <row r="92" spans="1:7" s="62" customFormat="1" x14ac:dyDescent="0.25">
      <c r="E92" s="63"/>
      <c r="F92" s="58"/>
      <c r="G92" s="58"/>
    </row>
    <row r="93" spans="1:7" s="62" customFormat="1" x14ac:dyDescent="0.25">
      <c r="E93" s="63"/>
      <c r="F93" s="58"/>
      <c r="G93" s="58"/>
    </row>
    <row r="94" spans="1:7" s="62" customFormat="1" x14ac:dyDescent="0.25">
      <c r="E94" s="63"/>
      <c r="F94" s="58"/>
      <c r="G94" s="58"/>
    </row>
    <row r="95" spans="1:7" s="62" customFormat="1" x14ac:dyDescent="0.25">
      <c r="E95" s="63"/>
      <c r="F95" s="58"/>
      <c r="G95" s="58"/>
    </row>
    <row r="96" spans="1:7" s="62" customFormat="1" x14ac:dyDescent="0.25">
      <c r="E96" s="63"/>
      <c r="F96" s="58"/>
      <c r="G96" s="58"/>
    </row>
    <row r="97" spans="1:9" s="62" customFormat="1" x14ac:dyDescent="0.25">
      <c r="E97" s="63"/>
      <c r="F97" s="58"/>
      <c r="G97" s="58"/>
    </row>
    <row r="98" spans="1:9" s="62" customFormat="1" x14ac:dyDescent="0.25">
      <c r="E98" s="63"/>
      <c r="F98" s="58"/>
      <c r="G98" s="58"/>
    </row>
    <row r="99" spans="1:9" s="62" customFormat="1" x14ac:dyDescent="0.25">
      <c r="E99" s="63"/>
      <c r="F99" s="58"/>
      <c r="G99" s="58"/>
    </row>
    <row r="100" spans="1:9" s="62" customFormat="1" x14ac:dyDescent="0.25">
      <c r="E100" s="63"/>
      <c r="F100" s="58"/>
      <c r="G100" s="58"/>
    </row>
    <row r="101" spans="1:9" s="62" customFormat="1" x14ac:dyDescent="0.25">
      <c r="E101" s="63"/>
      <c r="F101" s="58"/>
      <c r="G101" s="58"/>
    </row>
    <row r="102" spans="1:9" s="62" customFormat="1" x14ac:dyDescent="0.25">
      <c r="E102" s="63"/>
      <c r="F102" s="58"/>
      <c r="G102" s="58"/>
    </row>
    <row r="103" spans="1:9" s="62" customFormat="1" x14ac:dyDescent="0.25">
      <c r="E103" s="63"/>
      <c r="F103" s="58"/>
      <c r="G103" s="58"/>
    </row>
    <row r="104" spans="1:9" s="62" customFormat="1" x14ac:dyDescent="0.25">
      <c r="E104" s="63"/>
      <c r="F104" s="58"/>
      <c r="G104" s="58"/>
    </row>
    <row r="105" spans="1:9" s="62" customFormat="1" x14ac:dyDescent="0.25">
      <c r="A105"/>
      <c r="B105"/>
      <c r="C105"/>
      <c r="D105"/>
      <c r="E105" s="59"/>
      <c r="F105" s="57"/>
      <c r="G105" s="57"/>
      <c r="H105"/>
      <c r="I105"/>
    </row>
    <row r="106" spans="1:9" s="62" customFormat="1" x14ac:dyDescent="0.25">
      <c r="A106"/>
      <c r="B106"/>
      <c r="C106"/>
      <c r="D106"/>
      <c r="E106" s="59"/>
      <c r="F106" s="57"/>
      <c r="G106" s="57"/>
      <c r="H106"/>
      <c r="I106"/>
    </row>
    <row r="107" spans="1:9" s="62" customFormat="1" x14ac:dyDescent="0.25">
      <c r="A107"/>
      <c r="B107"/>
      <c r="C107"/>
      <c r="D107"/>
      <c r="E107" s="59"/>
      <c r="F107" s="57"/>
      <c r="G107" s="57"/>
      <c r="H107"/>
      <c r="I107"/>
    </row>
    <row r="108" spans="1:9" s="62" customFormat="1" x14ac:dyDescent="0.25">
      <c r="A108"/>
      <c r="B108"/>
      <c r="C108"/>
      <c r="D108"/>
      <c r="E108" s="59"/>
      <c r="F108" s="57"/>
      <c r="G108" s="57"/>
      <c r="H108"/>
      <c r="I108"/>
    </row>
    <row r="109" spans="1:9" s="62" customFormat="1" x14ac:dyDescent="0.25">
      <c r="A109"/>
      <c r="B109"/>
      <c r="C109"/>
      <c r="D109"/>
      <c r="E109" s="59"/>
      <c r="F109" s="57"/>
      <c r="G109" s="57"/>
      <c r="H109"/>
      <c r="I109"/>
    </row>
    <row r="110" spans="1:9" s="62" customFormat="1" x14ac:dyDescent="0.25">
      <c r="A110"/>
      <c r="B110"/>
      <c r="C110"/>
      <c r="D110"/>
      <c r="E110" s="59"/>
      <c r="F110" s="57"/>
      <c r="G110" s="57"/>
      <c r="H110"/>
      <c r="I110"/>
    </row>
    <row r="111" spans="1:9" s="62" customFormat="1" x14ac:dyDescent="0.25">
      <c r="A111"/>
      <c r="B111"/>
      <c r="C111"/>
      <c r="D111"/>
      <c r="E111" s="59"/>
      <c r="F111" s="57"/>
      <c r="G111" s="57"/>
      <c r="H111"/>
      <c r="I111"/>
    </row>
    <row r="112" spans="1:9" s="62" customFormat="1" x14ac:dyDescent="0.25">
      <c r="A112"/>
      <c r="B112"/>
      <c r="C112"/>
      <c r="D112"/>
      <c r="E112" s="59"/>
      <c r="F112" s="57"/>
      <c r="G112" s="57"/>
      <c r="H112"/>
      <c r="I112"/>
    </row>
    <row r="113" spans="1:9" s="62" customFormat="1" x14ac:dyDescent="0.25">
      <c r="A113"/>
      <c r="B113"/>
      <c r="C113"/>
      <c r="D113"/>
      <c r="E113" s="59"/>
      <c r="F113" s="57"/>
      <c r="G113" s="57"/>
      <c r="H113"/>
      <c r="I113"/>
    </row>
    <row r="114" spans="1:9" s="62" customFormat="1" x14ac:dyDescent="0.25">
      <c r="A114"/>
      <c r="B114"/>
      <c r="C114"/>
      <c r="D114"/>
      <c r="E114" s="59"/>
      <c r="F114" s="57"/>
      <c r="G114" s="57"/>
      <c r="H114"/>
      <c r="I114"/>
    </row>
    <row r="115" spans="1:9" s="62" customFormat="1" x14ac:dyDescent="0.25">
      <c r="A115"/>
      <c r="B115"/>
      <c r="C115"/>
      <c r="D115"/>
      <c r="E115" s="59"/>
      <c r="F115" s="57"/>
      <c r="G115" s="57"/>
      <c r="H115"/>
      <c r="I115"/>
    </row>
    <row r="116" spans="1:9" s="62" customFormat="1" x14ac:dyDescent="0.25">
      <c r="A116"/>
      <c r="B116"/>
      <c r="C116"/>
      <c r="D116"/>
      <c r="E116" s="59"/>
      <c r="F116" s="57"/>
      <c r="G116" s="57"/>
      <c r="H116"/>
      <c r="I116"/>
    </row>
    <row r="117" spans="1:9" s="62" customFormat="1" x14ac:dyDescent="0.25">
      <c r="A117"/>
      <c r="B117"/>
      <c r="C117"/>
      <c r="D117"/>
      <c r="E117" s="59"/>
      <c r="F117" s="57"/>
      <c r="G117" s="57"/>
      <c r="H117"/>
      <c r="I117"/>
    </row>
    <row r="118" spans="1:9" s="62" customFormat="1" x14ac:dyDescent="0.25">
      <c r="A118"/>
      <c r="B118"/>
      <c r="C118"/>
      <c r="D118"/>
      <c r="E118" s="59"/>
      <c r="F118" s="57"/>
      <c r="G118" s="57"/>
      <c r="H118"/>
      <c r="I118"/>
    </row>
    <row r="119" spans="1:9" s="62" customFormat="1" x14ac:dyDescent="0.25">
      <c r="A119"/>
      <c r="B119"/>
      <c r="C119"/>
      <c r="D119"/>
      <c r="E119" s="59"/>
      <c r="F119" s="57"/>
      <c r="G119" s="57"/>
      <c r="H119"/>
      <c r="I119"/>
    </row>
    <row r="120" spans="1:9" s="62" customFormat="1" x14ac:dyDescent="0.25">
      <c r="A120"/>
      <c r="B120"/>
      <c r="C120"/>
      <c r="D120"/>
      <c r="E120" s="59"/>
      <c r="F120" s="57"/>
      <c r="G120" s="57"/>
      <c r="H120"/>
      <c r="I120"/>
    </row>
    <row r="121" spans="1:9" s="62" customFormat="1" x14ac:dyDescent="0.25">
      <c r="A121"/>
      <c r="B121"/>
      <c r="C121"/>
      <c r="D121"/>
      <c r="E121" s="59"/>
      <c r="F121" s="57"/>
      <c r="G121" s="57"/>
      <c r="H121"/>
      <c r="I121"/>
    </row>
    <row r="122" spans="1:9" s="62" customFormat="1" x14ac:dyDescent="0.25">
      <c r="A122"/>
      <c r="B122"/>
      <c r="C122"/>
      <c r="D122"/>
      <c r="E122" s="59"/>
      <c r="F122" s="57"/>
      <c r="G122" s="57"/>
      <c r="H122"/>
      <c r="I122"/>
    </row>
    <row r="123" spans="1:9" s="62" customFormat="1" x14ac:dyDescent="0.25">
      <c r="A123"/>
      <c r="B123"/>
      <c r="C123"/>
      <c r="D123"/>
      <c r="E123" s="59"/>
      <c r="F123" s="57"/>
      <c r="G123" s="57"/>
      <c r="H123"/>
      <c r="I123"/>
    </row>
    <row r="124" spans="1:9" s="62" customFormat="1" x14ac:dyDescent="0.25">
      <c r="A124"/>
      <c r="B124"/>
      <c r="C124"/>
      <c r="D124"/>
      <c r="E124" s="59"/>
      <c r="F124" s="57"/>
      <c r="G124" s="57"/>
      <c r="H124"/>
      <c r="I124"/>
    </row>
    <row r="125" spans="1:9" s="62" customFormat="1" x14ac:dyDescent="0.25">
      <c r="A125"/>
      <c r="B125"/>
      <c r="C125"/>
      <c r="D125"/>
      <c r="E125" s="59"/>
      <c r="F125" s="57"/>
      <c r="G125" s="57"/>
      <c r="H125"/>
      <c r="I125"/>
    </row>
    <row r="126" spans="1:9" s="62" customFormat="1" x14ac:dyDescent="0.25">
      <c r="A126"/>
      <c r="B126"/>
      <c r="C126"/>
      <c r="D126"/>
      <c r="E126" s="59"/>
      <c r="F126" s="57"/>
      <c r="G126" s="57"/>
      <c r="H126"/>
      <c r="I126"/>
    </row>
    <row r="127" spans="1:9" s="62" customFormat="1" x14ac:dyDescent="0.25">
      <c r="A127"/>
      <c r="B127"/>
      <c r="C127"/>
      <c r="D127"/>
      <c r="E127" s="59"/>
      <c r="F127" s="57"/>
      <c r="G127" s="57"/>
      <c r="H127"/>
      <c r="I127"/>
    </row>
    <row r="128" spans="1:9" s="62" customFormat="1" x14ac:dyDescent="0.25">
      <c r="A128"/>
      <c r="B128"/>
      <c r="C128"/>
      <c r="D128"/>
      <c r="E128" s="59"/>
      <c r="F128" s="57"/>
      <c r="G128" s="57"/>
      <c r="H128"/>
      <c r="I128"/>
    </row>
    <row r="129" spans="1:9" s="62" customFormat="1" x14ac:dyDescent="0.25">
      <c r="A129"/>
      <c r="B129"/>
      <c r="C129"/>
      <c r="D129"/>
      <c r="E129" s="59"/>
      <c r="F129" s="57"/>
      <c r="G129" s="57"/>
      <c r="H129"/>
      <c r="I129"/>
    </row>
    <row r="130" spans="1:9" s="62" customFormat="1" x14ac:dyDescent="0.25">
      <c r="A130"/>
      <c r="B130"/>
      <c r="C130"/>
      <c r="D130"/>
      <c r="E130" s="59"/>
      <c r="F130" s="57"/>
      <c r="G130" s="57"/>
      <c r="H130"/>
      <c r="I130"/>
    </row>
    <row r="131" spans="1:9" s="62" customFormat="1" x14ac:dyDescent="0.25">
      <c r="A131"/>
      <c r="B131"/>
      <c r="C131"/>
      <c r="D131"/>
      <c r="E131" s="59"/>
      <c r="F131" s="57"/>
      <c r="G131" s="57"/>
      <c r="H131"/>
      <c r="I131"/>
    </row>
    <row r="132" spans="1:9" s="62" customFormat="1" x14ac:dyDescent="0.25">
      <c r="A132"/>
      <c r="B132"/>
      <c r="C132"/>
      <c r="D132"/>
      <c r="E132" s="59"/>
      <c r="F132" s="57"/>
      <c r="G132" s="57"/>
      <c r="H132"/>
      <c r="I132"/>
    </row>
    <row r="133" spans="1:9" s="62" customFormat="1" x14ac:dyDescent="0.25">
      <c r="A133"/>
      <c r="B133"/>
      <c r="C133"/>
      <c r="D133"/>
      <c r="E133" s="59"/>
      <c r="F133" s="57"/>
      <c r="G133" s="57"/>
      <c r="H133"/>
      <c r="I133"/>
    </row>
    <row r="134" spans="1:9" s="62" customFormat="1" x14ac:dyDescent="0.25">
      <c r="A134"/>
      <c r="B134"/>
      <c r="C134"/>
      <c r="D134"/>
      <c r="E134" s="59"/>
      <c r="F134" s="57"/>
      <c r="G134" s="57"/>
      <c r="H134"/>
      <c r="I134"/>
    </row>
    <row r="135" spans="1:9" s="62" customFormat="1" x14ac:dyDescent="0.25">
      <c r="A135"/>
      <c r="B135"/>
      <c r="C135"/>
      <c r="D135"/>
      <c r="E135" s="59"/>
      <c r="F135" s="57"/>
      <c r="G135" s="57"/>
      <c r="H135"/>
      <c r="I135"/>
    </row>
    <row r="136" spans="1:9" s="62" customFormat="1" x14ac:dyDescent="0.25">
      <c r="A136"/>
      <c r="B136"/>
      <c r="C136"/>
      <c r="D136"/>
      <c r="E136" s="59"/>
      <c r="F136" s="57"/>
      <c r="G136" s="57"/>
      <c r="H136"/>
      <c r="I136"/>
    </row>
    <row r="137" spans="1:9" s="62" customFormat="1" x14ac:dyDescent="0.25">
      <c r="A137"/>
      <c r="B137"/>
      <c r="C137"/>
      <c r="D137"/>
      <c r="E137" s="59"/>
      <c r="F137" s="57"/>
      <c r="G137" s="57"/>
      <c r="H137"/>
      <c r="I137"/>
    </row>
    <row r="138" spans="1:9" s="62" customFormat="1" x14ac:dyDescent="0.25">
      <c r="A138"/>
      <c r="B138"/>
      <c r="C138"/>
      <c r="D138"/>
      <c r="E138" s="59"/>
      <c r="F138" s="57"/>
      <c r="G138" s="57"/>
      <c r="H138"/>
      <c r="I138"/>
    </row>
    <row r="139" spans="1:9" s="62" customFormat="1" x14ac:dyDescent="0.25">
      <c r="A139"/>
      <c r="B139"/>
      <c r="C139"/>
      <c r="D139"/>
      <c r="E139" s="59"/>
      <c r="F139" s="57"/>
      <c r="G139" s="57"/>
      <c r="H139"/>
      <c r="I139"/>
    </row>
    <row r="140" spans="1:9" s="62" customFormat="1" x14ac:dyDescent="0.25">
      <c r="A140"/>
      <c r="B140"/>
      <c r="C140"/>
      <c r="D140"/>
      <c r="E140" s="59"/>
      <c r="F140" s="57"/>
      <c r="G140" s="57"/>
      <c r="H140"/>
      <c r="I140"/>
    </row>
    <row r="141" spans="1:9" s="62" customFormat="1" x14ac:dyDescent="0.25">
      <c r="A141"/>
      <c r="B141"/>
      <c r="C141"/>
      <c r="D141"/>
      <c r="E141" s="59"/>
      <c r="F141" s="57"/>
      <c r="G141" s="57"/>
      <c r="H141"/>
      <c r="I141"/>
    </row>
    <row r="142" spans="1:9" s="62" customFormat="1" x14ac:dyDescent="0.25">
      <c r="A142"/>
      <c r="B142"/>
      <c r="C142"/>
      <c r="D142"/>
      <c r="E142" s="59"/>
      <c r="F142" s="57"/>
      <c r="G142" s="57"/>
      <c r="H142"/>
      <c r="I142"/>
    </row>
    <row r="143" spans="1:9" s="62" customFormat="1" x14ac:dyDescent="0.25">
      <c r="A143"/>
      <c r="B143"/>
      <c r="C143"/>
      <c r="D143"/>
      <c r="E143" s="59"/>
      <c r="F143" s="57"/>
      <c r="G143" s="57"/>
      <c r="H143"/>
      <c r="I143"/>
    </row>
    <row r="144" spans="1:9" s="62" customFormat="1" x14ac:dyDescent="0.25">
      <c r="A144"/>
      <c r="B144"/>
      <c r="C144"/>
      <c r="D144"/>
      <c r="E144" s="59"/>
      <c r="F144" s="57"/>
      <c r="G144" s="57"/>
      <c r="H144"/>
      <c r="I144"/>
    </row>
    <row r="145" spans="1:9" s="62" customFormat="1" x14ac:dyDescent="0.25">
      <c r="A145"/>
      <c r="B145"/>
      <c r="C145"/>
      <c r="D145"/>
      <c r="E145" s="59"/>
      <c r="F145" s="57"/>
      <c r="G145" s="57"/>
      <c r="H145"/>
      <c r="I145"/>
    </row>
    <row r="146" spans="1:9" s="62" customFormat="1" x14ac:dyDescent="0.25">
      <c r="A146"/>
      <c r="B146"/>
      <c r="C146"/>
      <c r="D146"/>
      <c r="E146" s="59"/>
      <c r="F146" s="57"/>
      <c r="G146" s="57"/>
      <c r="H146"/>
      <c r="I146"/>
    </row>
    <row r="147" spans="1:9" s="62" customFormat="1" x14ac:dyDescent="0.25">
      <c r="A147"/>
      <c r="B147"/>
      <c r="C147"/>
      <c r="D147"/>
      <c r="E147" s="59"/>
      <c r="F147" s="57"/>
      <c r="G147" s="57"/>
      <c r="H147"/>
      <c r="I147"/>
    </row>
    <row r="148" spans="1:9" s="62" customFormat="1" x14ac:dyDescent="0.25">
      <c r="A148"/>
      <c r="B148"/>
      <c r="C148"/>
      <c r="D148"/>
      <c r="E148" s="59"/>
      <c r="F148" s="57"/>
      <c r="G148" s="57"/>
      <c r="H148"/>
      <c r="I148"/>
    </row>
    <row r="149" spans="1:9" s="62" customFormat="1" x14ac:dyDescent="0.25">
      <c r="A149"/>
      <c r="B149"/>
      <c r="C149"/>
      <c r="D149"/>
      <c r="E149" s="59"/>
      <c r="F149" s="57"/>
      <c r="G149" s="57"/>
      <c r="H149"/>
      <c r="I149"/>
    </row>
    <row r="150" spans="1:9" s="62" customFormat="1" x14ac:dyDescent="0.25">
      <c r="A150"/>
      <c r="B150"/>
      <c r="C150"/>
      <c r="D150"/>
      <c r="E150" s="59"/>
      <c r="F150" s="57"/>
      <c r="G150" s="57"/>
      <c r="H150"/>
      <c r="I150"/>
    </row>
    <row r="151" spans="1:9" s="62" customFormat="1" x14ac:dyDescent="0.25">
      <c r="A151"/>
      <c r="B151"/>
      <c r="C151"/>
      <c r="D151"/>
      <c r="E151"/>
      <c r="F151"/>
      <c r="G151"/>
      <c r="H151"/>
      <c r="I151"/>
    </row>
    <row r="152" spans="1:9" s="62" customFormat="1" x14ac:dyDescent="0.25">
      <c r="A152"/>
      <c r="B152"/>
      <c r="C152"/>
      <c r="D152"/>
      <c r="E152"/>
      <c r="F152"/>
      <c r="G152"/>
      <c r="H152"/>
      <c r="I152"/>
    </row>
    <row r="153" spans="1:9" s="62" customFormat="1" x14ac:dyDescent="0.25">
      <c r="A153"/>
      <c r="B153"/>
      <c r="C153"/>
      <c r="D153"/>
      <c r="E153"/>
      <c r="F153"/>
      <c r="G153"/>
      <c r="H153"/>
      <c r="I153"/>
    </row>
    <row r="154" spans="1:9" s="62" customFormat="1" x14ac:dyDescent="0.25">
      <c r="A154"/>
      <c r="B154"/>
      <c r="C154"/>
      <c r="D154"/>
      <c r="E154"/>
      <c r="F154"/>
      <c r="G154"/>
      <c r="H154"/>
      <c r="I154"/>
    </row>
    <row r="155" spans="1:9" s="62" customFormat="1" x14ac:dyDescent="0.25">
      <c r="A155"/>
      <c r="B155"/>
      <c r="C155"/>
      <c r="D155"/>
      <c r="E155"/>
      <c r="F155"/>
      <c r="G155"/>
      <c r="H155"/>
      <c r="I155"/>
    </row>
    <row r="156" spans="1:9" s="62" customFormat="1" x14ac:dyDescent="0.25">
      <c r="A156"/>
      <c r="B156"/>
      <c r="C156"/>
      <c r="D156"/>
      <c r="E156"/>
      <c r="F156"/>
      <c r="G156"/>
      <c r="H156"/>
      <c r="I156"/>
    </row>
    <row r="157" spans="1:9" s="62" customFormat="1" x14ac:dyDescent="0.25">
      <c r="A157"/>
      <c r="B157"/>
      <c r="C157"/>
      <c r="D157"/>
      <c r="E157"/>
      <c r="F157"/>
      <c r="G157"/>
      <c r="H157"/>
      <c r="I157"/>
    </row>
    <row r="158" spans="1:9" s="62" customFormat="1" x14ac:dyDescent="0.25">
      <c r="A158"/>
      <c r="B158"/>
      <c r="C158"/>
      <c r="D158"/>
      <c r="E158"/>
      <c r="F158"/>
      <c r="G158"/>
      <c r="H158"/>
      <c r="I158"/>
    </row>
    <row r="159" spans="1:9" s="62" customFormat="1" x14ac:dyDescent="0.25">
      <c r="A159"/>
      <c r="B159"/>
      <c r="C159"/>
      <c r="D159"/>
      <c r="E159"/>
      <c r="F159"/>
      <c r="G159"/>
      <c r="H159"/>
      <c r="I159"/>
    </row>
    <row r="160" spans="1:9" s="62" customFormat="1" x14ac:dyDescent="0.25">
      <c r="A160"/>
      <c r="B160"/>
      <c r="C160"/>
      <c r="D160"/>
      <c r="E160"/>
      <c r="F160"/>
      <c r="G160"/>
      <c r="H160"/>
      <c r="I160"/>
    </row>
    <row r="161" spans="1:9" s="62" customFormat="1" x14ac:dyDescent="0.25">
      <c r="A161"/>
      <c r="B161"/>
      <c r="C161"/>
      <c r="D161"/>
      <c r="E161"/>
      <c r="F161"/>
      <c r="G161"/>
      <c r="H161"/>
      <c r="I161"/>
    </row>
    <row r="162" spans="1:9" s="62" customFormat="1" x14ac:dyDescent="0.25">
      <c r="A162"/>
      <c r="B162"/>
      <c r="C162"/>
      <c r="D162"/>
      <c r="E162"/>
      <c r="F162"/>
      <c r="G162"/>
      <c r="H162"/>
      <c r="I162"/>
    </row>
    <row r="163" spans="1:9" s="62" customFormat="1" x14ac:dyDescent="0.25">
      <c r="A163"/>
      <c r="B163"/>
      <c r="C163"/>
      <c r="D163"/>
      <c r="E163"/>
      <c r="F163"/>
      <c r="G163"/>
      <c r="H163"/>
      <c r="I163"/>
    </row>
    <row r="164" spans="1:9" s="62" customFormat="1" x14ac:dyDescent="0.25">
      <c r="A164"/>
      <c r="B164"/>
      <c r="C164"/>
      <c r="D164"/>
      <c r="E164"/>
      <c r="F164"/>
      <c r="G164"/>
      <c r="H164"/>
      <c r="I164"/>
    </row>
    <row r="165" spans="1:9" s="62" customFormat="1" x14ac:dyDescent="0.25">
      <c r="A165"/>
      <c r="B165"/>
      <c r="C165"/>
      <c r="D165"/>
      <c r="E165"/>
      <c r="F165"/>
      <c r="G165"/>
      <c r="H165"/>
      <c r="I165"/>
    </row>
    <row r="166" spans="1:9" s="62" customFormat="1" x14ac:dyDescent="0.25">
      <c r="A166"/>
      <c r="B166"/>
      <c r="C166"/>
      <c r="D166"/>
      <c r="E166"/>
      <c r="F166"/>
      <c r="G166"/>
      <c r="H166"/>
      <c r="I166"/>
    </row>
    <row r="167" spans="1:9" s="62" customFormat="1" x14ac:dyDescent="0.25">
      <c r="A167"/>
      <c r="B167"/>
      <c r="C167"/>
      <c r="D167"/>
      <c r="E167"/>
      <c r="F167"/>
      <c r="G167"/>
      <c r="H167"/>
      <c r="I167"/>
    </row>
    <row r="168" spans="1:9" s="62" customFormat="1" x14ac:dyDescent="0.25">
      <c r="A168"/>
      <c r="B168"/>
      <c r="C168"/>
      <c r="D168"/>
      <c r="E168"/>
      <c r="F168"/>
      <c r="G168"/>
      <c r="H168"/>
      <c r="I168"/>
    </row>
    <row r="169" spans="1:9" s="62" customFormat="1" x14ac:dyDescent="0.25">
      <c r="A169"/>
      <c r="B169"/>
      <c r="C169"/>
      <c r="D169"/>
      <c r="E169"/>
      <c r="F169"/>
      <c r="G169"/>
      <c r="H169"/>
      <c r="I169"/>
    </row>
    <row r="170" spans="1:9" s="62" customFormat="1" x14ac:dyDescent="0.25">
      <c r="A170"/>
      <c r="B170"/>
      <c r="C170"/>
      <c r="D170"/>
      <c r="E170"/>
      <c r="F170"/>
      <c r="G170"/>
      <c r="H170"/>
      <c r="I170"/>
    </row>
    <row r="171" spans="1:9" s="62" customFormat="1" x14ac:dyDescent="0.25">
      <c r="A171"/>
      <c r="B171"/>
      <c r="C171"/>
      <c r="D171"/>
      <c r="E171"/>
      <c r="F171"/>
      <c r="G171"/>
      <c r="H171"/>
      <c r="I171"/>
    </row>
    <row r="172" spans="1:9" s="62" customFormat="1" x14ac:dyDescent="0.25">
      <c r="A172"/>
      <c r="B172"/>
      <c r="C172"/>
      <c r="D172"/>
      <c r="E172"/>
      <c r="F172"/>
      <c r="G172"/>
      <c r="H172"/>
      <c r="I172"/>
    </row>
    <row r="173" spans="1:9" s="62" customFormat="1" x14ac:dyDescent="0.25">
      <c r="A173"/>
      <c r="B173"/>
      <c r="C173"/>
      <c r="D173"/>
      <c r="E173"/>
      <c r="F173"/>
      <c r="G173"/>
      <c r="H173"/>
      <c r="I173"/>
    </row>
    <row r="174" spans="1:9" s="62" customFormat="1" x14ac:dyDescent="0.25">
      <c r="A174"/>
      <c r="B174"/>
      <c r="C174"/>
      <c r="D174"/>
      <c r="E174"/>
      <c r="F174"/>
      <c r="G174"/>
      <c r="H174"/>
      <c r="I174"/>
    </row>
    <row r="175" spans="1:9" s="62" customFormat="1" x14ac:dyDescent="0.25">
      <c r="A175"/>
      <c r="B175"/>
      <c r="C175"/>
      <c r="D175"/>
      <c r="E175"/>
      <c r="F175"/>
      <c r="G175"/>
      <c r="H175"/>
      <c r="I175"/>
    </row>
    <row r="176" spans="1:9" s="62" customFormat="1" x14ac:dyDescent="0.25">
      <c r="A176"/>
      <c r="B176"/>
      <c r="C176"/>
      <c r="D176"/>
      <c r="E176"/>
      <c r="F176"/>
      <c r="G176"/>
      <c r="H176"/>
      <c r="I176"/>
    </row>
    <row r="177" spans="1:9" s="62" customFormat="1" x14ac:dyDescent="0.25">
      <c r="A177"/>
      <c r="B177"/>
      <c r="C177"/>
      <c r="D177"/>
      <c r="E177"/>
      <c r="F177"/>
      <c r="G177"/>
      <c r="H177"/>
      <c r="I177"/>
    </row>
    <row r="178" spans="1:9" s="62" customFormat="1" x14ac:dyDescent="0.25">
      <c r="A178"/>
      <c r="B178"/>
      <c r="C178"/>
      <c r="D178"/>
      <c r="E178"/>
      <c r="F178"/>
      <c r="G178"/>
      <c r="H178"/>
      <c r="I178"/>
    </row>
    <row r="179" spans="1:9" s="62" customFormat="1" x14ac:dyDescent="0.25">
      <c r="A179"/>
      <c r="B179"/>
      <c r="C179"/>
      <c r="D179"/>
      <c r="E179"/>
      <c r="F179"/>
      <c r="G179"/>
      <c r="H179"/>
      <c r="I179"/>
    </row>
    <row r="180" spans="1:9" s="62" customFormat="1" x14ac:dyDescent="0.25">
      <c r="A180"/>
      <c r="B180"/>
      <c r="C180"/>
      <c r="D180"/>
      <c r="E180"/>
      <c r="F180"/>
      <c r="G180"/>
      <c r="H180"/>
      <c r="I180"/>
    </row>
    <row r="181" spans="1:9" s="62" customFormat="1" x14ac:dyDescent="0.25">
      <c r="A181"/>
      <c r="B181"/>
      <c r="C181"/>
      <c r="D181"/>
      <c r="E181"/>
      <c r="F181"/>
      <c r="G181"/>
      <c r="H181"/>
      <c r="I181"/>
    </row>
  </sheetData>
  <autoFilter ref="A3:F152" xr:uid="{00000000-0009-0000-0000-000002000000}"/>
  <sortState xmlns:xlrd2="http://schemas.microsoft.com/office/spreadsheetml/2017/richdata2" ref="A4:DS67">
    <sortCondition ref="C4:C67"/>
    <sortCondition ref="A4:A67"/>
  </sortState>
  <phoneticPr fontId="14" type="noConversion"/>
  <pageMargins left="0.5" right="0.5" top="0.75" bottom="0.75" header="0.3" footer="0.3"/>
  <pageSetup orientation="landscape" r:id="rId1"/>
  <headerFooter>
    <oddHeader>&amp;LDRAFT - DO NOT CITE&amp;C2010 Hypothetical Ozone Designations
&amp;A&amp;R8/27/2010</oddHeader>
    <oddFooter>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T180"/>
  <sheetViews>
    <sheetView workbookViewId="0"/>
  </sheetViews>
  <sheetFormatPr defaultRowHeight="12.5" x14ac:dyDescent="0.25"/>
  <cols>
    <col min="1" max="1" width="61.08984375" customWidth="1"/>
    <col min="2" max="2" width="16.90625" customWidth="1"/>
    <col min="3" max="3" width="29" hidden="1" customWidth="1"/>
    <col min="4" max="4" width="9.08984375" hidden="1" customWidth="1"/>
    <col min="5" max="5" width="12.453125" customWidth="1"/>
    <col min="6" max="6" width="44.90625" customWidth="1"/>
    <col min="7" max="7" width="14.08984375" customWidth="1"/>
    <col min="8" max="8" width="12.453125" customWidth="1"/>
    <col min="9" max="10" width="12.453125" style="106" customWidth="1"/>
    <col min="11" max="11" width="27.54296875" customWidth="1"/>
    <col min="12" max="12" width="29.90625" customWidth="1"/>
  </cols>
  <sheetData>
    <row r="1" spans="1:124" ht="78.75" customHeight="1" thickBot="1" x14ac:dyDescent="0.3">
      <c r="A1" s="61" t="s">
        <v>231</v>
      </c>
      <c r="E1" s="74" t="s">
        <v>412</v>
      </c>
      <c r="F1" s="62"/>
      <c r="H1" t="s">
        <v>414</v>
      </c>
      <c r="I1" s="173"/>
      <c r="J1" s="173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  <c r="BM1" s="62"/>
      <c r="BN1" s="62"/>
      <c r="BO1" s="62"/>
      <c r="BP1" s="62"/>
      <c r="BQ1" s="62"/>
      <c r="BR1" s="62"/>
      <c r="BS1" s="62"/>
      <c r="BT1" s="62"/>
      <c r="BU1" s="62"/>
      <c r="BV1" s="62"/>
      <c r="BW1" s="62"/>
      <c r="BX1" s="62"/>
      <c r="BY1" s="62"/>
      <c r="BZ1" s="62"/>
      <c r="CA1" s="62"/>
      <c r="CB1" s="62"/>
      <c r="CC1" s="62"/>
      <c r="CD1" s="62"/>
      <c r="CE1" s="62"/>
      <c r="CF1" s="62"/>
      <c r="CG1" s="62"/>
      <c r="CH1" s="62"/>
      <c r="CI1" s="62"/>
      <c r="CJ1" s="62"/>
      <c r="CK1" s="62"/>
      <c r="CL1" s="62"/>
      <c r="CM1" s="62"/>
      <c r="CN1" s="62"/>
      <c r="CO1" s="62"/>
      <c r="CP1" s="62"/>
      <c r="CQ1" s="62"/>
      <c r="CR1" s="62"/>
      <c r="CS1" s="62"/>
      <c r="CT1" s="62"/>
      <c r="CU1" s="62"/>
      <c r="CV1" s="62"/>
      <c r="CW1" s="62"/>
      <c r="CX1" s="62"/>
      <c r="CY1" s="62"/>
      <c r="CZ1" s="62"/>
      <c r="DA1" s="62"/>
      <c r="DB1" s="62"/>
      <c r="DC1" s="62"/>
      <c r="DD1" s="62"/>
      <c r="DE1" s="62"/>
      <c r="DF1" s="62"/>
      <c r="DG1" s="62"/>
      <c r="DH1" s="62"/>
      <c r="DI1" s="62"/>
      <c r="DJ1" s="62"/>
      <c r="DK1" s="62"/>
      <c r="DL1" s="62"/>
      <c r="DM1" s="62"/>
      <c r="DN1" s="62"/>
      <c r="DO1" s="62"/>
      <c r="DP1" s="62"/>
      <c r="DQ1" s="62"/>
      <c r="DR1" s="62"/>
      <c r="DS1" s="62"/>
      <c r="DT1" s="62"/>
    </row>
    <row r="2" spans="1:124" ht="50" customHeight="1" x14ac:dyDescent="0.3">
      <c r="A2" s="2" t="s">
        <v>236</v>
      </c>
      <c r="B2" s="83" t="s">
        <v>1</v>
      </c>
      <c r="C2" s="2" t="s">
        <v>2</v>
      </c>
      <c r="D2" s="60" t="s">
        <v>99</v>
      </c>
      <c r="E2" s="85" t="s">
        <v>413</v>
      </c>
      <c r="F2" s="157" t="s">
        <v>290</v>
      </c>
      <c r="G2" s="60" t="s">
        <v>97</v>
      </c>
      <c r="H2" s="85" t="s">
        <v>99</v>
      </c>
      <c r="I2" s="174" t="s">
        <v>411</v>
      </c>
      <c r="J2" s="174"/>
      <c r="K2" s="157" t="s">
        <v>291</v>
      </c>
      <c r="L2" s="157" t="s">
        <v>292</v>
      </c>
      <c r="M2" s="157" t="s">
        <v>11</v>
      </c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  <c r="CL2" s="62"/>
      <c r="CM2" s="62"/>
      <c r="CN2" s="62"/>
      <c r="CO2" s="62"/>
      <c r="CP2" s="62"/>
      <c r="CQ2" s="62"/>
      <c r="CR2" s="62"/>
      <c r="CS2" s="62"/>
      <c r="CT2" s="62"/>
      <c r="CU2" s="62"/>
      <c r="CV2" s="62"/>
      <c r="CW2" s="62"/>
      <c r="CX2" s="62"/>
      <c r="CY2" s="62"/>
      <c r="CZ2" s="62"/>
      <c r="DA2" s="62"/>
      <c r="DB2" s="62"/>
      <c r="DC2" s="62"/>
      <c r="DD2" s="62"/>
      <c r="DE2" s="62"/>
      <c r="DF2" s="62"/>
      <c r="DG2" s="62"/>
      <c r="DH2" s="62"/>
      <c r="DI2" s="62"/>
      <c r="DJ2" s="62"/>
      <c r="DK2" s="62"/>
      <c r="DL2" s="62"/>
      <c r="DM2" s="62"/>
      <c r="DN2" s="62"/>
      <c r="DO2" s="62"/>
      <c r="DP2" s="62"/>
      <c r="DQ2" s="62"/>
      <c r="DR2" s="62"/>
      <c r="DS2" s="62"/>
      <c r="DT2" s="62"/>
    </row>
    <row r="3" spans="1:124" s="62" customFormat="1" ht="25" x14ac:dyDescent="0.25">
      <c r="A3" s="156" t="s">
        <v>245</v>
      </c>
      <c r="B3" s="156"/>
      <c r="C3" s="156" t="s">
        <v>159</v>
      </c>
      <c r="D3" s="156">
        <v>0.111</v>
      </c>
      <c r="E3" s="156" t="s">
        <v>159</v>
      </c>
      <c r="F3" s="156" t="s">
        <v>170</v>
      </c>
      <c r="G3" s="156" t="s">
        <v>31</v>
      </c>
      <c r="H3" s="156" t="s">
        <v>159</v>
      </c>
      <c r="I3" s="172">
        <v>20000</v>
      </c>
      <c r="J3" s="172"/>
      <c r="K3" s="156" t="s">
        <v>170</v>
      </c>
      <c r="L3" s="156" t="s">
        <v>311</v>
      </c>
      <c r="M3" s="156">
        <v>9</v>
      </c>
    </row>
    <row r="4" spans="1:124" s="62" customFormat="1" ht="25" x14ac:dyDescent="0.25">
      <c r="A4" s="156" t="s">
        <v>254</v>
      </c>
      <c r="B4" s="156"/>
      <c r="C4" s="156" t="s">
        <v>159</v>
      </c>
      <c r="D4" s="156">
        <v>0.09</v>
      </c>
      <c r="E4" s="156" t="s">
        <v>159</v>
      </c>
      <c r="F4" s="156" t="s">
        <v>174</v>
      </c>
      <c r="G4" s="156" t="s">
        <v>31</v>
      </c>
      <c r="H4" s="156" t="s">
        <v>159</v>
      </c>
      <c r="I4" s="172">
        <v>20000</v>
      </c>
      <c r="J4" s="172"/>
      <c r="K4" s="156" t="s">
        <v>174</v>
      </c>
      <c r="L4" s="156" t="s">
        <v>328</v>
      </c>
      <c r="M4" s="156">
        <v>9</v>
      </c>
    </row>
    <row r="5" spans="1:124" s="62" customFormat="1" x14ac:dyDescent="0.25">
      <c r="A5" s="156" t="s">
        <v>272</v>
      </c>
      <c r="B5" s="156"/>
      <c r="C5" s="156" t="s">
        <v>3</v>
      </c>
      <c r="D5" s="156">
        <v>7.2999999999999995E-2</v>
      </c>
      <c r="E5" s="156" t="s">
        <v>3</v>
      </c>
      <c r="F5" s="156" t="s">
        <v>359</v>
      </c>
      <c r="G5" s="156" t="s">
        <v>48</v>
      </c>
      <c r="H5" s="156" t="s">
        <v>3</v>
      </c>
      <c r="I5" s="172">
        <v>100</v>
      </c>
      <c r="J5" s="172"/>
      <c r="K5" s="156" t="s">
        <v>359</v>
      </c>
      <c r="L5" s="156" t="s">
        <v>360</v>
      </c>
      <c r="M5" s="156">
        <v>5</v>
      </c>
    </row>
    <row r="6" spans="1:124" s="62" customFormat="1" ht="12" customHeight="1" x14ac:dyDescent="0.25">
      <c r="A6" s="156" t="s">
        <v>239</v>
      </c>
      <c r="B6" s="156"/>
      <c r="C6" s="156" t="s">
        <v>3</v>
      </c>
      <c r="D6" s="156">
        <v>7.1999999999999995E-2</v>
      </c>
      <c r="E6" s="156" t="s">
        <v>3</v>
      </c>
      <c r="F6" s="156" t="s">
        <v>298</v>
      </c>
      <c r="G6" s="156" t="s">
        <v>31</v>
      </c>
      <c r="H6" s="156" t="s">
        <v>3</v>
      </c>
      <c r="I6" s="172">
        <v>100</v>
      </c>
      <c r="J6" s="172"/>
      <c r="K6" s="156" t="s">
        <v>299</v>
      </c>
      <c r="L6" s="156" t="s">
        <v>300</v>
      </c>
      <c r="M6" s="156">
        <v>9</v>
      </c>
    </row>
    <row r="7" spans="1:124" s="62" customFormat="1" x14ac:dyDescent="0.25">
      <c r="A7" s="156" t="s">
        <v>266</v>
      </c>
      <c r="B7" s="156"/>
      <c r="C7" s="156" t="s">
        <v>3</v>
      </c>
      <c r="D7" s="156">
        <v>7.2999999999999995E-2</v>
      </c>
      <c r="E7" s="156" t="s">
        <v>3</v>
      </c>
      <c r="F7" s="156" t="s">
        <v>162</v>
      </c>
      <c r="G7" s="156" t="s">
        <v>37</v>
      </c>
      <c r="H7" s="156" t="s">
        <v>3</v>
      </c>
      <c r="I7" s="172">
        <v>100</v>
      </c>
      <c r="J7" s="172"/>
      <c r="K7" s="156" t="s">
        <v>162</v>
      </c>
      <c r="L7" s="156" t="s">
        <v>348</v>
      </c>
      <c r="M7" s="156">
        <v>4</v>
      </c>
    </row>
    <row r="8" spans="1:124" s="62" customFormat="1" x14ac:dyDescent="0.25">
      <c r="A8" s="156" t="s">
        <v>271</v>
      </c>
      <c r="B8" s="156"/>
      <c r="C8" s="156" t="s">
        <v>3</v>
      </c>
      <c r="D8" s="156">
        <v>7.4999999999999997E-2</v>
      </c>
      <c r="E8" s="156" t="s">
        <v>3</v>
      </c>
      <c r="F8" s="156" t="s">
        <v>163</v>
      </c>
      <c r="G8" s="156" t="s">
        <v>46</v>
      </c>
      <c r="H8" s="156" t="s">
        <v>3</v>
      </c>
      <c r="I8" s="172">
        <v>100</v>
      </c>
      <c r="J8" s="172"/>
      <c r="K8" s="156" t="s">
        <v>163</v>
      </c>
      <c r="L8" s="156" t="s">
        <v>358</v>
      </c>
      <c r="M8" s="156">
        <v>3</v>
      </c>
    </row>
    <row r="9" spans="1:124" s="62" customFormat="1" x14ac:dyDescent="0.25">
      <c r="A9" s="156" t="s">
        <v>273</v>
      </c>
      <c r="B9" s="156"/>
      <c r="C9" s="156" t="s">
        <v>3</v>
      </c>
      <c r="D9" s="156">
        <v>7.2999999999999995E-2</v>
      </c>
      <c r="E9" s="156" t="s">
        <v>3</v>
      </c>
      <c r="F9" s="156" t="s">
        <v>361</v>
      </c>
      <c r="G9" s="156" t="s">
        <v>48</v>
      </c>
      <c r="H9" s="156" t="s">
        <v>3</v>
      </c>
      <c r="I9" s="172">
        <v>100</v>
      </c>
      <c r="J9" s="172"/>
      <c r="K9" s="156" t="s">
        <v>362</v>
      </c>
      <c r="L9" s="156" t="s">
        <v>363</v>
      </c>
      <c r="M9" s="156">
        <v>5</v>
      </c>
    </row>
    <row r="10" spans="1:124" s="62" customFormat="1" x14ac:dyDescent="0.25">
      <c r="A10" s="156" t="s">
        <v>240</v>
      </c>
      <c r="B10" s="156"/>
      <c r="C10" s="156" t="s">
        <v>3</v>
      </c>
      <c r="D10" s="156">
        <v>7.9000000000000001E-2</v>
      </c>
      <c r="E10" s="156" t="s">
        <v>3</v>
      </c>
      <c r="F10" s="156" t="s">
        <v>301</v>
      </c>
      <c r="G10" s="156" t="s">
        <v>31</v>
      </c>
      <c r="H10" s="156" t="s">
        <v>3</v>
      </c>
      <c r="I10" s="172">
        <v>100</v>
      </c>
      <c r="J10" s="172"/>
      <c r="K10" s="156" t="s">
        <v>164</v>
      </c>
      <c r="L10" s="156" t="s">
        <v>302</v>
      </c>
      <c r="M10" s="156">
        <v>9</v>
      </c>
    </row>
    <row r="11" spans="1:124" s="62" customFormat="1" ht="25" x14ac:dyDescent="0.25">
      <c r="A11" s="156" t="s">
        <v>241</v>
      </c>
      <c r="B11" s="156"/>
      <c r="C11" s="156" t="s">
        <v>3</v>
      </c>
      <c r="D11" s="156">
        <v>7.6999999999999999E-2</v>
      </c>
      <c r="E11" s="156" t="s">
        <v>3</v>
      </c>
      <c r="F11" s="156" t="s">
        <v>303</v>
      </c>
      <c r="G11" s="156" t="s">
        <v>31</v>
      </c>
      <c r="H11" s="156" t="s">
        <v>3</v>
      </c>
      <c r="I11" s="172">
        <v>100</v>
      </c>
      <c r="J11" s="172"/>
      <c r="K11" s="156" t="s">
        <v>299</v>
      </c>
      <c r="L11" s="156" t="s">
        <v>304</v>
      </c>
      <c r="M11" s="156">
        <v>9</v>
      </c>
    </row>
    <row r="12" spans="1:124" s="62" customFormat="1" x14ac:dyDescent="0.25">
      <c r="A12" s="156" t="s">
        <v>267</v>
      </c>
      <c r="B12" s="156"/>
      <c r="C12" s="156" t="s">
        <v>3</v>
      </c>
      <c r="D12" s="156">
        <v>7.9000000000000001E-2</v>
      </c>
      <c r="E12" s="156" t="s">
        <v>3</v>
      </c>
      <c r="F12" s="156" t="s">
        <v>349</v>
      </c>
      <c r="G12" s="156" t="s">
        <v>40</v>
      </c>
      <c r="H12" s="156" t="s">
        <v>3</v>
      </c>
      <c r="I12" s="172">
        <v>100</v>
      </c>
      <c r="J12" s="172"/>
      <c r="K12" s="156" t="s">
        <v>350</v>
      </c>
      <c r="L12" s="156" t="s">
        <v>351</v>
      </c>
      <c r="M12" s="156">
        <v>5</v>
      </c>
    </row>
    <row r="13" spans="1:124" s="62" customFormat="1" x14ac:dyDescent="0.25">
      <c r="A13" s="156" t="s">
        <v>267</v>
      </c>
      <c r="B13" s="156"/>
      <c r="C13" s="156" t="s">
        <v>3</v>
      </c>
      <c r="D13" s="156">
        <v>7.9000000000000001E-2</v>
      </c>
      <c r="E13" s="156" t="s">
        <v>3</v>
      </c>
      <c r="F13" s="156" t="s">
        <v>349</v>
      </c>
      <c r="G13" s="156" t="s">
        <v>41</v>
      </c>
      <c r="H13" s="156" t="s">
        <v>3</v>
      </c>
      <c r="I13" s="172">
        <v>100</v>
      </c>
      <c r="J13" s="172"/>
      <c r="K13" s="156" t="s">
        <v>350</v>
      </c>
      <c r="L13" s="156" t="s">
        <v>351</v>
      </c>
      <c r="M13" s="156">
        <v>5</v>
      </c>
    </row>
    <row r="14" spans="1:124" s="62" customFormat="1" x14ac:dyDescent="0.25">
      <c r="A14" s="156" t="s">
        <v>267</v>
      </c>
      <c r="B14" s="156"/>
      <c r="C14" s="156" t="s">
        <v>3</v>
      </c>
      <c r="D14" s="156">
        <v>7.9000000000000001E-2</v>
      </c>
      <c r="E14" s="156" t="s">
        <v>3</v>
      </c>
      <c r="F14" s="156" t="s">
        <v>349</v>
      </c>
      <c r="G14" s="156" t="s">
        <v>69</v>
      </c>
      <c r="H14" s="156" t="s">
        <v>3</v>
      </c>
      <c r="I14" s="172">
        <v>100</v>
      </c>
      <c r="J14" s="172"/>
      <c r="K14" s="156" t="s">
        <v>350</v>
      </c>
      <c r="L14" s="156" t="s">
        <v>351</v>
      </c>
      <c r="M14" s="156">
        <v>5</v>
      </c>
    </row>
    <row r="15" spans="1:124" s="62" customFormat="1" ht="25" x14ac:dyDescent="0.25">
      <c r="A15" s="156" t="s">
        <v>270</v>
      </c>
      <c r="B15" s="156"/>
      <c r="C15" s="156" t="s">
        <v>3</v>
      </c>
      <c r="D15" s="156">
        <v>7.4999999999999997E-2</v>
      </c>
      <c r="E15" s="156" t="s">
        <v>3</v>
      </c>
      <c r="F15" s="156" t="s">
        <v>355</v>
      </c>
      <c r="G15" s="156" t="s">
        <v>43</v>
      </c>
      <c r="H15" s="156" t="s">
        <v>3</v>
      </c>
      <c r="I15" s="172">
        <v>100</v>
      </c>
      <c r="J15" s="172"/>
      <c r="K15" s="156" t="s">
        <v>356</v>
      </c>
      <c r="L15" s="156" t="s">
        <v>357</v>
      </c>
      <c r="M15" s="156">
        <v>4</v>
      </c>
    </row>
    <row r="16" spans="1:124" s="62" customFormat="1" ht="25" x14ac:dyDescent="0.25">
      <c r="A16" s="156" t="s">
        <v>270</v>
      </c>
      <c r="B16" s="156"/>
      <c r="C16" s="156" t="s">
        <v>3</v>
      </c>
      <c r="D16" s="156">
        <v>7.4999999999999997E-2</v>
      </c>
      <c r="E16" s="156" t="s">
        <v>3</v>
      </c>
      <c r="F16" s="156" t="s">
        <v>355</v>
      </c>
      <c r="G16" s="156" t="s">
        <v>58</v>
      </c>
      <c r="H16" s="156" t="s">
        <v>3</v>
      </c>
      <c r="I16" s="172">
        <v>100</v>
      </c>
      <c r="J16" s="172"/>
      <c r="K16" s="156" t="s">
        <v>356</v>
      </c>
      <c r="L16" s="156" t="s">
        <v>357</v>
      </c>
      <c r="M16" s="156">
        <v>5</v>
      </c>
    </row>
    <row r="17" spans="1:124" s="62" customFormat="1" x14ac:dyDescent="0.25">
      <c r="A17" s="156" t="s">
        <v>278</v>
      </c>
      <c r="B17" s="156"/>
      <c r="C17" s="156" t="s">
        <v>3</v>
      </c>
      <c r="D17" s="156">
        <v>7.3999999999999996E-2</v>
      </c>
      <c r="E17" s="156" t="s">
        <v>3</v>
      </c>
      <c r="F17" s="156" t="s">
        <v>375</v>
      </c>
      <c r="G17" s="156" t="s">
        <v>58</v>
      </c>
      <c r="H17" s="156" t="s">
        <v>3</v>
      </c>
      <c r="I17" s="172">
        <v>100</v>
      </c>
      <c r="J17" s="172"/>
      <c r="K17" s="156" t="s">
        <v>376</v>
      </c>
      <c r="L17" s="156" t="s">
        <v>377</v>
      </c>
      <c r="M17" s="156">
        <v>5</v>
      </c>
    </row>
    <row r="18" spans="1:124" s="62" customFormat="1" x14ac:dyDescent="0.25">
      <c r="A18" s="156" t="s">
        <v>279</v>
      </c>
      <c r="B18" s="156"/>
      <c r="C18" s="156" t="s">
        <v>3</v>
      </c>
      <c r="D18" s="156">
        <v>6.9000000000000006E-2</v>
      </c>
      <c r="E18" s="156" t="s">
        <v>3</v>
      </c>
      <c r="F18" s="156" t="s">
        <v>165</v>
      </c>
      <c r="G18" s="156" t="s">
        <v>58</v>
      </c>
      <c r="H18" s="156" t="s">
        <v>3</v>
      </c>
      <c r="I18" s="172">
        <v>100</v>
      </c>
      <c r="J18" s="172"/>
      <c r="K18" s="156" t="s">
        <v>378</v>
      </c>
      <c r="L18" s="156" t="s">
        <v>379</v>
      </c>
      <c r="M18" s="156">
        <v>5</v>
      </c>
    </row>
    <row r="19" spans="1:124" s="62" customFormat="1" x14ac:dyDescent="0.25">
      <c r="A19" s="156" t="s">
        <v>280</v>
      </c>
      <c r="B19" s="156"/>
      <c r="C19" s="156" t="s">
        <v>3</v>
      </c>
      <c r="D19" s="156">
        <v>7.5999999999999998E-2</v>
      </c>
      <c r="E19" s="156" t="s">
        <v>3</v>
      </c>
      <c r="F19" s="156" t="s">
        <v>166</v>
      </c>
      <c r="G19" s="156" t="s">
        <v>64</v>
      </c>
      <c r="H19" s="156" t="s">
        <v>3</v>
      </c>
      <c r="I19" s="172">
        <v>100</v>
      </c>
      <c r="J19" s="172"/>
      <c r="K19" s="156" t="s">
        <v>166</v>
      </c>
      <c r="L19" s="156" t="s">
        <v>380</v>
      </c>
      <c r="M19" s="156">
        <v>6</v>
      </c>
    </row>
    <row r="20" spans="1:124" s="62" customFormat="1" ht="25" x14ac:dyDescent="0.25">
      <c r="A20" s="156" t="s">
        <v>261</v>
      </c>
      <c r="B20" s="156"/>
      <c r="C20" s="156" t="s">
        <v>3</v>
      </c>
      <c r="D20" s="156">
        <v>7.9000000000000001E-2</v>
      </c>
      <c r="E20" s="156" t="s">
        <v>3</v>
      </c>
      <c r="F20" s="156" t="s">
        <v>338</v>
      </c>
      <c r="G20" s="156" t="s">
        <v>32</v>
      </c>
      <c r="H20" s="156" t="s">
        <v>3</v>
      </c>
      <c r="I20" s="172">
        <v>100</v>
      </c>
      <c r="J20" s="172"/>
      <c r="K20" s="156" t="s">
        <v>339</v>
      </c>
      <c r="L20" s="156" t="s">
        <v>340</v>
      </c>
      <c r="M20" s="156">
        <v>8</v>
      </c>
    </row>
    <row r="21" spans="1:124" s="95" customFormat="1" x14ac:dyDescent="0.25">
      <c r="A21" s="156" t="s">
        <v>274</v>
      </c>
      <c r="B21" s="156"/>
      <c r="C21" s="156" t="s">
        <v>3</v>
      </c>
      <c r="D21" s="156">
        <v>7.3999999999999996E-2</v>
      </c>
      <c r="E21" s="156" t="s">
        <v>3</v>
      </c>
      <c r="F21" s="156" t="s">
        <v>364</v>
      </c>
      <c r="G21" s="156" t="s">
        <v>48</v>
      </c>
      <c r="H21" s="156" t="s">
        <v>3</v>
      </c>
      <c r="I21" s="172">
        <v>100</v>
      </c>
      <c r="J21" s="172"/>
      <c r="K21" s="156" t="s">
        <v>365</v>
      </c>
      <c r="L21" s="156" t="s">
        <v>366</v>
      </c>
      <c r="M21" s="156">
        <v>5</v>
      </c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  <c r="CL21" s="62"/>
      <c r="CM21" s="62"/>
      <c r="CN21" s="62"/>
      <c r="CO21" s="62"/>
      <c r="CP21" s="62"/>
      <c r="CQ21" s="62"/>
      <c r="CR21" s="62"/>
      <c r="CS21" s="62"/>
      <c r="CT21" s="62"/>
      <c r="CU21" s="62"/>
      <c r="CV21" s="62"/>
      <c r="CW21" s="62"/>
      <c r="CX21" s="62"/>
      <c r="CY21" s="62"/>
      <c r="CZ21" s="62"/>
      <c r="DA21" s="62"/>
      <c r="DB21" s="62"/>
      <c r="DC21" s="62"/>
      <c r="DD21" s="62"/>
      <c r="DE21" s="62"/>
      <c r="DF21" s="62"/>
      <c r="DG21" s="62"/>
      <c r="DH21" s="62"/>
      <c r="DI21" s="62"/>
      <c r="DJ21" s="62"/>
      <c r="DK21" s="62"/>
      <c r="DL21" s="62"/>
      <c r="DM21" s="62"/>
      <c r="DN21" s="62"/>
      <c r="DO21" s="62"/>
      <c r="DP21" s="62"/>
      <c r="DQ21" s="62"/>
      <c r="DR21" s="62"/>
      <c r="DS21" s="62"/>
      <c r="DT21" s="62"/>
    </row>
    <row r="22" spans="1:124" s="95" customFormat="1" x14ac:dyDescent="0.25">
      <c r="A22" s="156" t="s">
        <v>276</v>
      </c>
      <c r="B22" s="156"/>
      <c r="C22" s="156" t="s">
        <v>3</v>
      </c>
      <c r="D22" s="156">
        <v>7.3999999999999996E-2</v>
      </c>
      <c r="E22" s="156" t="s">
        <v>3</v>
      </c>
      <c r="F22" s="156" t="s">
        <v>370</v>
      </c>
      <c r="G22" s="156" t="s">
        <v>55</v>
      </c>
      <c r="H22" s="156" t="s">
        <v>3</v>
      </c>
      <c r="I22" s="172">
        <v>100</v>
      </c>
      <c r="J22" s="172"/>
      <c r="K22" s="156" t="s">
        <v>371</v>
      </c>
      <c r="L22" s="156" t="s">
        <v>372</v>
      </c>
      <c r="M22" s="156">
        <v>6</v>
      </c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  <c r="CL22" s="62"/>
      <c r="CM22" s="62"/>
      <c r="CN22" s="62"/>
      <c r="CO22" s="62"/>
      <c r="CP22" s="62"/>
      <c r="CQ22" s="62"/>
      <c r="CR22" s="62"/>
      <c r="CS22" s="62"/>
      <c r="CT22" s="62"/>
      <c r="CU22" s="62"/>
      <c r="CV22" s="62"/>
      <c r="CW22" s="62"/>
      <c r="CX22" s="62"/>
      <c r="CY22" s="62"/>
      <c r="CZ22" s="62"/>
      <c r="DA22" s="62"/>
      <c r="DB22" s="62"/>
      <c r="DC22" s="62"/>
      <c r="DD22" s="62"/>
      <c r="DE22" s="62"/>
      <c r="DF22" s="62"/>
      <c r="DG22" s="62"/>
      <c r="DH22" s="62"/>
      <c r="DI22" s="62"/>
      <c r="DJ22" s="62"/>
      <c r="DK22" s="62"/>
      <c r="DL22" s="62"/>
      <c r="DM22" s="62"/>
      <c r="DN22" s="62"/>
      <c r="DO22" s="62"/>
      <c r="DP22" s="62"/>
      <c r="DQ22" s="62"/>
      <c r="DR22" s="62"/>
      <c r="DS22" s="62"/>
      <c r="DT22" s="62"/>
    </row>
    <row r="23" spans="1:124" s="62" customFormat="1" x14ac:dyDescent="0.25">
      <c r="A23" s="156" t="s">
        <v>262</v>
      </c>
      <c r="B23" s="156"/>
      <c r="C23" s="156" t="s">
        <v>3</v>
      </c>
      <c r="D23" s="156">
        <v>7.4999999999999997E-2</v>
      </c>
      <c r="E23" s="156" t="s">
        <v>3</v>
      </c>
      <c r="F23" s="156" t="s">
        <v>167</v>
      </c>
      <c r="G23" s="156" t="s">
        <v>33</v>
      </c>
      <c r="H23" s="156" t="s">
        <v>3</v>
      </c>
      <c r="I23" s="172">
        <v>100</v>
      </c>
      <c r="J23" s="172"/>
      <c r="K23" s="156" t="s">
        <v>167</v>
      </c>
      <c r="L23" s="156" t="s">
        <v>341</v>
      </c>
      <c r="M23" s="156">
        <v>1</v>
      </c>
    </row>
    <row r="24" spans="1:124" s="62" customFormat="1" x14ac:dyDescent="0.25">
      <c r="A24" s="156" t="s">
        <v>281</v>
      </c>
      <c r="B24" s="156"/>
      <c r="C24" s="156" t="s">
        <v>3</v>
      </c>
      <c r="D24" s="156">
        <v>7.8E-2</v>
      </c>
      <c r="E24" s="156" t="s">
        <v>3</v>
      </c>
      <c r="F24" s="156" t="s">
        <v>168</v>
      </c>
      <c r="G24" s="156" t="s">
        <v>64</v>
      </c>
      <c r="H24" s="156" t="s">
        <v>3</v>
      </c>
      <c r="I24" s="172">
        <v>100</v>
      </c>
      <c r="J24" s="172"/>
      <c r="K24" s="156" t="s">
        <v>381</v>
      </c>
      <c r="L24" s="156" t="s">
        <v>382</v>
      </c>
      <c r="M24" s="156">
        <v>6</v>
      </c>
    </row>
    <row r="25" spans="1:124" s="62" customFormat="1" x14ac:dyDescent="0.25">
      <c r="A25" s="156" t="s">
        <v>242</v>
      </c>
      <c r="B25" s="156"/>
      <c r="C25" s="156" t="s">
        <v>3</v>
      </c>
      <c r="D25" s="156">
        <v>7.6999999999999999E-2</v>
      </c>
      <c r="E25" s="156" t="s">
        <v>3</v>
      </c>
      <c r="F25" s="156" t="s">
        <v>169</v>
      </c>
      <c r="G25" s="156" t="s">
        <v>31</v>
      </c>
      <c r="H25" s="156" t="s">
        <v>3</v>
      </c>
      <c r="I25" s="172">
        <v>100</v>
      </c>
      <c r="J25" s="172"/>
      <c r="K25" s="156" t="s">
        <v>169</v>
      </c>
      <c r="L25" s="156" t="s">
        <v>305</v>
      </c>
      <c r="M25" s="156">
        <v>9</v>
      </c>
    </row>
    <row r="26" spans="1:124" s="62" customFormat="1" x14ac:dyDescent="0.25">
      <c r="A26" s="156" t="s">
        <v>277</v>
      </c>
      <c r="B26" s="156"/>
      <c r="C26" s="156" t="s">
        <v>3</v>
      </c>
      <c r="D26" s="156">
        <v>7.5999999999999998E-2</v>
      </c>
      <c r="E26" s="156" t="s">
        <v>3</v>
      </c>
      <c r="F26" s="156" t="s">
        <v>373</v>
      </c>
      <c r="G26" s="156" t="s">
        <v>56</v>
      </c>
      <c r="H26" s="156" t="s">
        <v>3</v>
      </c>
      <c r="I26" s="172">
        <v>100</v>
      </c>
      <c r="J26" s="172"/>
      <c r="K26" s="156" t="s">
        <v>373</v>
      </c>
      <c r="L26" s="156" t="s">
        <v>374</v>
      </c>
      <c r="M26" s="156">
        <v>9</v>
      </c>
    </row>
    <row r="27" spans="1:124" s="62" customFormat="1" x14ac:dyDescent="0.25">
      <c r="A27" s="156" t="s">
        <v>269</v>
      </c>
      <c r="B27" s="156"/>
      <c r="C27" s="156" t="s">
        <v>3</v>
      </c>
      <c r="D27" s="156">
        <v>7.4999999999999997E-2</v>
      </c>
      <c r="E27" s="156" t="s">
        <v>3</v>
      </c>
      <c r="F27" s="156" t="s">
        <v>353</v>
      </c>
      <c r="G27" s="156" t="s">
        <v>41</v>
      </c>
      <c r="H27" s="156" t="s">
        <v>3</v>
      </c>
      <c r="I27" s="172">
        <v>100</v>
      </c>
      <c r="J27" s="172"/>
      <c r="K27" s="156" t="s">
        <v>353</v>
      </c>
      <c r="L27" s="156" t="s">
        <v>354</v>
      </c>
      <c r="M27" s="156">
        <v>5</v>
      </c>
    </row>
    <row r="28" spans="1:124" s="62" customFormat="1" x14ac:dyDescent="0.25">
      <c r="A28" s="156" t="s">
        <v>269</v>
      </c>
      <c r="B28" s="156"/>
      <c r="C28" s="156" t="s">
        <v>3</v>
      </c>
      <c r="D28" s="156">
        <v>7.4999999999999997E-2</v>
      </c>
      <c r="E28" s="156" t="s">
        <v>3</v>
      </c>
      <c r="F28" s="156" t="s">
        <v>353</v>
      </c>
      <c r="G28" s="156" t="s">
        <v>43</v>
      </c>
      <c r="H28" s="156" t="s">
        <v>3</v>
      </c>
      <c r="I28" s="172">
        <v>100</v>
      </c>
      <c r="J28" s="172"/>
      <c r="K28" s="156" t="s">
        <v>353</v>
      </c>
      <c r="L28" s="156" t="s">
        <v>354</v>
      </c>
      <c r="M28" s="156">
        <v>4</v>
      </c>
    </row>
    <row r="29" spans="1:124" s="62" customFormat="1" x14ac:dyDescent="0.25">
      <c r="A29" s="156" t="s">
        <v>287</v>
      </c>
      <c r="B29" s="156"/>
      <c r="C29" s="156" t="s">
        <v>3</v>
      </c>
      <c r="D29" s="156">
        <v>7.2999999999999995E-2</v>
      </c>
      <c r="E29" s="156" t="s">
        <v>3</v>
      </c>
      <c r="F29" s="156" t="s">
        <v>395</v>
      </c>
      <c r="G29" s="156" t="s">
        <v>69</v>
      </c>
      <c r="H29" s="156" t="s">
        <v>3</v>
      </c>
      <c r="I29" s="172">
        <v>100</v>
      </c>
      <c r="J29" s="172"/>
      <c r="K29" s="156" t="s">
        <v>395</v>
      </c>
      <c r="L29" s="156" t="s">
        <v>396</v>
      </c>
      <c r="M29" s="156">
        <v>5</v>
      </c>
    </row>
    <row r="30" spans="1:124" s="62" customFormat="1" ht="37.5" x14ac:dyDescent="0.25">
      <c r="A30" s="156" t="s">
        <v>246</v>
      </c>
      <c r="B30" s="156"/>
      <c r="C30" s="156" t="s">
        <v>3</v>
      </c>
      <c r="D30" s="156">
        <v>7.9000000000000001E-2</v>
      </c>
      <c r="E30" s="156" t="s">
        <v>3</v>
      </c>
      <c r="F30" s="156" t="s">
        <v>312</v>
      </c>
      <c r="G30" s="156" t="s">
        <v>31</v>
      </c>
      <c r="H30" s="156" t="s">
        <v>3</v>
      </c>
      <c r="I30" s="172">
        <v>100</v>
      </c>
      <c r="J30" s="172"/>
      <c r="K30" s="156" t="s">
        <v>313</v>
      </c>
      <c r="L30" s="156" t="s">
        <v>314</v>
      </c>
      <c r="M30" s="156">
        <v>9</v>
      </c>
    </row>
    <row r="31" spans="1:124" s="62" customFormat="1" x14ac:dyDescent="0.25">
      <c r="A31" s="156" t="s">
        <v>275</v>
      </c>
      <c r="B31" s="156"/>
      <c r="C31" s="156" t="s">
        <v>3</v>
      </c>
      <c r="D31" s="156">
        <v>7.5999999999999998E-2</v>
      </c>
      <c r="E31" s="156" t="s">
        <v>3</v>
      </c>
      <c r="F31" s="156" t="s">
        <v>367</v>
      </c>
      <c r="G31" s="156" t="s">
        <v>48</v>
      </c>
      <c r="H31" s="156" t="s">
        <v>3</v>
      </c>
      <c r="I31" s="172">
        <v>100</v>
      </c>
      <c r="J31" s="172"/>
      <c r="K31" s="156" t="s">
        <v>368</v>
      </c>
      <c r="L31" s="156" t="s">
        <v>369</v>
      </c>
      <c r="M31" s="156">
        <v>5</v>
      </c>
    </row>
    <row r="32" spans="1:124" s="62" customFormat="1" x14ac:dyDescent="0.25">
      <c r="A32" s="156" t="s">
        <v>288</v>
      </c>
      <c r="B32" s="156"/>
      <c r="C32" s="156" t="s">
        <v>3</v>
      </c>
      <c r="D32" s="156">
        <v>7.3999999999999996E-2</v>
      </c>
      <c r="E32" s="156" t="s">
        <v>3</v>
      </c>
      <c r="F32" s="156" t="s">
        <v>397</v>
      </c>
      <c r="G32" s="156" t="s">
        <v>69</v>
      </c>
      <c r="H32" s="156" t="s">
        <v>3</v>
      </c>
      <c r="I32" s="172">
        <v>100</v>
      </c>
      <c r="J32" s="172"/>
      <c r="K32" s="156" t="s">
        <v>398</v>
      </c>
      <c r="L32" s="156" t="s">
        <v>399</v>
      </c>
      <c r="M32" s="156">
        <v>5</v>
      </c>
    </row>
    <row r="33" spans="1:124" s="62" customFormat="1" x14ac:dyDescent="0.25">
      <c r="A33" s="156" t="s">
        <v>283</v>
      </c>
      <c r="B33" s="156"/>
      <c r="C33" s="156" t="s">
        <v>3</v>
      </c>
      <c r="D33" s="156">
        <v>7.8E-2</v>
      </c>
      <c r="E33" s="156" t="s">
        <v>3</v>
      </c>
      <c r="F33" s="156" t="s">
        <v>385</v>
      </c>
      <c r="G33" s="156" t="s">
        <v>65</v>
      </c>
      <c r="H33" s="156" t="s">
        <v>3</v>
      </c>
      <c r="I33" s="172">
        <v>100</v>
      </c>
      <c r="J33" s="172"/>
      <c r="K33" s="156" t="s">
        <v>386</v>
      </c>
      <c r="L33" s="156" t="s">
        <v>387</v>
      </c>
      <c r="M33" s="156">
        <v>8</v>
      </c>
    </row>
    <row r="34" spans="1:124" s="62" customFormat="1" ht="25" x14ac:dyDescent="0.25">
      <c r="A34" s="156" t="s">
        <v>249</v>
      </c>
      <c r="B34" s="156"/>
      <c r="C34" s="156" t="s">
        <v>3</v>
      </c>
      <c r="D34" s="156">
        <v>0.08</v>
      </c>
      <c r="E34" s="156" t="s">
        <v>3</v>
      </c>
      <c r="F34" s="156" t="s">
        <v>319</v>
      </c>
      <c r="G34" s="156" t="s">
        <v>31</v>
      </c>
      <c r="H34" s="156" t="s">
        <v>3</v>
      </c>
      <c r="I34" s="172">
        <v>100</v>
      </c>
      <c r="J34" s="172"/>
      <c r="K34" s="156" t="s">
        <v>170</v>
      </c>
      <c r="L34" s="156" t="s">
        <v>320</v>
      </c>
      <c r="M34" s="156">
        <v>9</v>
      </c>
    </row>
    <row r="35" spans="1:124" s="62" customFormat="1" ht="25" x14ac:dyDescent="0.25">
      <c r="A35" s="156" t="s">
        <v>265</v>
      </c>
      <c r="B35" s="156"/>
      <c r="C35" s="156" t="s">
        <v>3</v>
      </c>
      <c r="D35" s="156">
        <v>8.1000000000000003E-2</v>
      </c>
      <c r="E35" s="156" t="s">
        <v>3</v>
      </c>
      <c r="F35" s="156" t="s">
        <v>346</v>
      </c>
      <c r="G35" s="156" t="s">
        <v>35</v>
      </c>
      <c r="H35" s="156" t="s">
        <v>3</v>
      </c>
      <c r="I35" s="172">
        <v>100</v>
      </c>
      <c r="J35" s="172"/>
      <c r="K35" s="156" t="s">
        <v>346</v>
      </c>
      <c r="L35" s="156" t="s">
        <v>347</v>
      </c>
      <c r="M35" s="156">
        <v>3</v>
      </c>
    </row>
    <row r="36" spans="1:124" s="62" customFormat="1" ht="25" x14ac:dyDescent="0.25">
      <c r="A36" s="156" t="s">
        <v>265</v>
      </c>
      <c r="B36" s="156"/>
      <c r="C36" s="156" t="s">
        <v>3</v>
      </c>
      <c r="D36" s="156">
        <v>8.1000000000000003E-2</v>
      </c>
      <c r="E36" s="156" t="s">
        <v>3</v>
      </c>
      <c r="F36" s="156" t="s">
        <v>346</v>
      </c>
      <c r="G36" s="156" t="s">
        <v>46</v>
      </c>
      <c r="H36" s="156" t="s">
        <v>3</v>
      </c>
      <c r="I36" s="172">
        <v>100</v>
      </c>
      <c r="J36" s="172"/>
      <c r="K36" s="156" t="s">
        <v>346</v>
      </c>
      <c r="L36" s="156" t="s">
        <v>347</v>
      </c>
      <c r="M36" s="156">
        <v>3</v>
      </c>
    </row>
    <row r="37" spans="1:124" s="62" customFormat="1" ht="25" x14ac:dyDescent="0.25">
      <c r="A37" s="156" t="s">
        <v>265</v>
      </c>
      <c r="B37" s="156"/>
      <c r="C37" s="156" t="s">
        <v>3</v>
      </c>
      <c r="D37" s="156">
        <v>8.1000000000000003E-2</v>
      </c>
      <c r="E37" s="156" t="s">
        <v>3</v>
      </c>
      <c r="F37" s="156" t="s">
        <v>346</v>
      </c>
      <c r="G37" s="156" t="s">
        <v>54</v>
      </c>
      <c r="H37" s="156" t="s">
        <v>3</v>
      </c>
      <c r="I37" s="172">
        <v>100</v>
      </c>
      <c r="J37" s="172"/>
      <c r="K37" s="156" t="s">
        <v>346</v>
      </c>
      <c r="L37" s="156" t="s">
        <v>347</v>
      </c>
      <c r="M37" s="156">
        <v>2</v>
      </c>
    </row>
    <row r="38" spans="1:124" s="62" customFormat="1" ht="25" x14ac:dyDescent="0.25">
      <c r="A38" s="156" t="s">
        <v>265</v>
      </c>
      <c r="B38" s="156"/>
      <c r="C38" s="156" t="s">
        <v>3</v>
      </c>
      <c r="D38" s="156">
        <v>8.1000000000000003E-2</v>
      </c>
      <c r="E38" s="156" t="s">
        <v>3</v>
      </c>
      <c r="F38" s="156" t="s">
        <v>346</v>
      </c>
      <c r="G38" s="156" t="s">
        <v>61</v>
      </c>
      <c r="H38" s="156" t="s">
        <v>3</v>
      </c>
      <c r="I38" s="172">
        <v>100</v>
      </c>
      <c r="J38" s="172"/>
      <c r="K38" s="156" t="s">
        <v>346</v>
      </c>
      <c r="L38" s="156" t="s">
        <v>347</v>
      </c>
      <c r="M38" s="156">
        <v>3</v>
      </c>
    </row>
    <row r="39" spans="1:124" s="62" customFormat="1" x14ac:dyDescent="0.25">
      <c r="A39" s="156" t="s">
        <v>237</v>
      </c>
      <c r="B39" s="156"/>
      <c r="C39" s="156" t="s">
        <v>3</v>
      </c>
      <c r="D39" s="156">
        <v>7.6999999999999999E-2</v>
      </c>
      <c r="E39" s="156" t="s">
        <v>3</v>
      </c>
      <c r="F39" s="156" t="s">
        <v>181</v>
      </c>
      <c r="G39" s="156" t="s">
        <v>30</v>
      </c>
      <c r="H39" s="156" t="s">
        <v>3</v>
      </c>
      <c r="I39" s="172">
        <v>100</v>
      </c>
      <c r="J39" s="172"/>
      <c r="K39" s="156" t="s">
        <v>181</v>
      </c>
      <c r="L39" s="156" t="s">
        <v>294</v>
      </c>
      <c r="M39" s="156">
        <v>9</v>
      </c>
    </row>
    <row r="40" spans="1:124" s="62" customFormat="1" x14ac:dyDescent="0.25">
      <c r="A40" s="156" t="s">
        <v>282</v>
      </c>
      <c r="B40" s="156"/>
      <c r="C40" s="156" t="s">
        <v>3</v>
      </c>
      <c r="D40" s="156">
        <v>7.1999999999999995E-2</v>
      </c>
      <c r="E40" s="156" t="s">
        <v>3</v>
      </c>
      <c r="F40" s="156" t="s">
        <v>383</v>
      </c>
      <c r="G40" s="156" t="s">
        <v>64</v>
      </c>
      <c r="H40" s="156" t="s">
        <v>3</v>
      </c>
      <c r="I40" s="172">
        <v>100</v>
      </c>
      <c r="J40" s="172"/>
      <c r="K40" s="156" t="s">
        <v>383</v>
      </c>
      <c r="L40" s="156" t="s">
        <v>384</v>
      </c>
      <c r="M40" s="156">
        <v>6</v>
      </c>
    </row>
    <row r="41" spans="1:124" s="62" customFormat="1" x14ac:dyDescent="0.25">
      <c r="A41" s="156" t="s">
        <v>253</v>
      </c>
      <c r="B41" s="156"/>
      <c r="C41" s="156" t="s">
        <v>3</v>
      </c>
      <c r="D41" s="156">
        <v>7.2999999999999995E-2</v>
      </c>
      <c r="E41" s="156" t="s">
        <v>3</v>
      </c>
      <c r="F41" s="156" t="s">
        <v>326</v>
      </c>
      <c r="G41" s="156" t="s">
        <v>31</v>
      </c>
      <c r="H41" s="156" t="s">
        <v>3</v>
      </c>
      <c r="I41" s="172">
        <v>100</v>
      </c>
      <c r="J41" s="172"/>
      <c r="K41" s="156" t="s">
        <v>173</v>
      </c>
      <c r="L41" s="156" t="s">
        <v>327</v>
      </c>
      <c r="M41" s="156">
        <v>9</v>
      </c>
    </row>
    <row r="42" spans="1:124" s="62" customFormat="1" x14ac:dyDescent="0.25">
      <c r="A42" s="156" t="s">
        <v>255</v>
      </c>
      <c r="B42" s="156"/>
      <c r="C42" s="156" t="s">
        <v>3</v>
      </c>
      <c r="D42" s="156">
        <v>7.1999999999999995E-2</v>
      </c>
      <c r="E42" s="156" t="s">
        <v>3</v>
      </c>
      <c r="F42" s="156" t="s">
        <v>175</v>
      </c>
      <c r="G42" s="156" t="s">
        <v>31</v>
      </c>
      <c r="H42" s="156" t="s">
        <v>3</v>
      </c>
      <c r="I42" s="172">
        <v>100</v>
      </c>
      <c r="J42" s="172"/>
      <c r="K42" s="156" t="s">
        <v>329</v>
      </c>
      <c r="L42" s="156" t="s">
        <v>330</v>
      </c>
      <c r="M42" s="156">
        <v>9</v>
      </c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5"/>
      <c r="AK42" s="95"/>
      <c r="AL42" s="95"/>
      <c r="AM42" s="95"/>
      <c r="AN42" s="95"/>
      <c r="AO42" s="95"/>
      <c r="AP42" s="95"/>
      <c r="AQ42" s="95"/>
      <c r="AR42" s="95"/>
      <c r="AS42" s="95"/>
      <c r="AT42" s="95"/>
      <c r="AU42" s="95"/>
      <c r="AV42" s="95"/>
      <c r="AW42" s="95"/>
      <c r="AX42" s="95"/>
      <c r="AY42" s="95"/>
      <c r="AZ42" s="95"/>
      <c r="BA42" s="95"/>
      <c r="BB42" s="95"/>
      <c r="BC42" s="95"/>
      <c r="BD42" s="95"/>
      <c r="BE42" s="95"/>
      <c r="BF42" s="95"/>
      <c r="BG42" s="95"/>
      <c r="BH42" s="95"/>
      <c r="BI42" s="95"/>
      <c r="BJ42" s="95"/>
      <c r="BK42" s="95"/>
      <c r="BL42" s="95"/>
      <c r="BM42" s="95"/>
      <c r="BN42" s="95"/>
      <c r="BO42" s="95"/>
      <c r="BP42" s="95"/>
      <c r="BQ42" s="95"/>
      <c r="BR42" s="95"/>
      <c r="BS42" s="95"/>
      <c r="BT42" s="95"/>
      <c r="BU42" s="95"/>
      <c r="BV42" s="95"/>
      <c r="BW42" s="95"/>
      <c r="BX42" s="95"/>
      <c r="BY42" s="95"/>
      <c r="BZ42" s="95"/>
      <c r="CA42" s="95"/>
      <c r="CB42" s="95"/>
      <c r="CC42" s="95"/>
      <c r="CD42" s="95"/>
      <c r="CE42" s="95"/>
      <c r="CF42" s="95"/>
      <c r="CG42" s="95"/>
      <c r="CH42" s="95"/>
      <c r="CI42" s="95"/>
      <c r="CJ42" s="95"/>
      <c r="CK42" s="95"/>
      <c r="CL42" s="95"/>
      <c r="CM42" s="95"/>
      <c r="CN42" s="95"/>
      <c r="CO42" s="95"/>
      <c r="CP42" s="95"/>
      <c r="CQ42" s="95"/>
      <c r="CR42" s="95"/>
      <c r="CS42" s="95"/>
      <c r="CT42" s="95"/>
      <c r="CU42" s="95"/>
      <c r="CV42" s="95"/>
      <c r="CW42" s="95"/>
      <c r="CX42" s="95"/>
      <c r="CY42" s="95"/>
      <c r="CZ42" s="95"/>
      <c r="DA42" s="95"/>
      <c r="DB42" s="95"/>
      <c r="DC42" s="95"/>
      <c r="DD42" s="95"/>
      <c r="DE42" s="95"/>
      <c r="DF42" s="95"/>
      <c r="DG42" s="95"/>
      <c r="DH42" s="95"/>
      <c r="DI42" s="95"/>
      <c r="DJ42" s="95"/>
      <c r="DK42" s="95"/>
      <c r="DL42" s="95"/>
      <c r="DM42" s="95"/>
      <c r="DN42" s="95"/>
      <c r="DO42" s="95"/>
      <c r="DP42" s="95"/>
      <c r="DQ42" s="95"/>
      <c r="DR42" s="95"/>
      <c r="DS42" s="95"/>
      <c r="DT42" s="95"/>
    </row>
    <row r="43" spans="1:124" s="62" customFormat="1" x14ac:dyDescent="0.25">
      <c r="A43" s="156" t="s">
        <v>289</v>
      </c>
      <c r="B43" s="156"/>
      <c r="C43" s="156" t="s">
        <v>3</v>
      </c>
      <c r="D43" s="156">
        <v>8.1000000000000003E-2</v>
      </c>
      <c r="E43" s="156" t="s">
        <v>3</v>
      </c>
      <c r="F43" s="156" t="s">
        <v>400</v>
      </c>
      <c r="G43" s="156" t="s">
        <v>69</v>
      </c>
      <c r="H43" s="156" t="s">
        <v>3</v>
      </c>
      <c r="I43" s="172">
        <v>100</v>
      </c>
      <c r="J43" s="172"/>
      <c r="K43" s="156" t="s">
        <v>9</v>
      </c>
      <c r="L43" s="156" t="s">
        <v>401</v>
      </c>
      <c r="M43" s="156">
        <v>5</v>
      </c>
    </row>
    <row r="44" spans="1:124" s="62" customFormat="1" x14ac:dyDescent="0.25">
      <c r="A44" s="156" t="s">
        <v>284</v>
      </c>
      <c r="B44" s="156"/>
      <c r="C44" s="156" t="s">
        <v>3</v>
      </c>
      <c r="D44" s="156">
        <v>7.1999999999999995E-2</v>
      </c>
      <c r="E44" s="156" t="s">
        <v>3</v>
      </c>
      <c r="F44" s="156" t="s">
        <v>388</v>
      </c>
      <c r="G44" s="156" t="s">
        <v>65</v>
      </c>
      <c r="H44" s="156" t="s">
        <v>3</v>
      </c>
      <c r="I44" s="172">
        <v>100</v>
      </c>
      <c r="J44" s="172"/>
      <c r="K44" s="156" t="s">
        <v>389</v>
      </c>
      <c r="L44" s="156" t="s">
        <v>390</v>
      </c>
      <c r="M44" s="156">
        <v>8</v>
      </c>
    </row>
    <row r="45" spans="1:124" s="62" customFormat="1" x14ac:dyDescent="0.25">
      <c r="A45" s="156" t="s">
        <v>268</v>
      </c>
      <c r="B45" s="156"/>
      <c r="C45" s="156" t="s">
        <v>3</v>
      </c>
      <c r="D45" s="156">
        <v>7.3999999999999996E-2</v>
      </c>
      <c r="E45" s="156" t="s">
        <v>3</v>
      </c>
      <c r="F45" s="156" t="s">
        <v>176</v>
      </c>
      <c r="G45" s="156" t="s">
        <v>40</v>
      </c>
      <c r="H45" s="156" t="s">
        <v>3</v>
      </c>
      <c r="I45" s="172">
        <v>100</v>
      </c>
      <c r="J45" s="172"/>
      <c r="K45" s="156" t="s">
        <v>176</v>
      </c>
      <c r="L45" s="156" t="s">
        <v>352</v>
      </c>
      <c r="M45" s="156">
        <v>5</v>
      </c>
    </row>
    <row r="46" spans="1:124" s="62" customFormat="1" x14ac:dyDescent="0.25">
      <c r="A46" s="156" t="s">
        <v>268</v>
      </c>
      <c r="B46" s="156"/>
      <c r="C46" s="156" t="s">
        <v>3</v>
      </c>
      <c r="D46" s="156">
        <v>7.3999999999999996E-2</v>
      </c>
      <c r="E46" s="156" t="s">
        <v>3</v>
      </c>
      <c r="F46" s="156" t="s">
        <v>176</v>
      </c>
      <c r="G46" s="156" t="s">
        <v>50</v>
      </c>
      <c r="H46" s="156" t="s">
        <v>3</v>
      </c>
      <c r="I46" s="172">
        <v>100</v>
      </c>
      <c r="J46" s="172"/>
      <c r="K46" s="156" t="s">
        <v>176</v>
      </c>
      <c r="L46" s="156" t="s">
        <v>352</v>
      </c>
      <c r="M46" s="156">
        <v>7</v>
      </c>
    </row>
    <row r="47" spans="1:124" s="62" customFormat="1" x14ac:dyDescent="0.25">
      <c r="A47" s="156" t="s">
        <v>256</v>
      </c>
      <c r="B47" s="156"/>
      <c r="C47" s="156" t="s">
        <v>3</v>
      </c>
      <c r="D47" s="156">
        <v>7.2999999999999995E-2</v>
      </c>
      <c r="E47" s="156" t="s">
        <v>3</v>
      </c>
      <c r="F47" s="156" t="s">
        <v>331</v>
      </c>
      <c r="G47" s="156" t="s">
        <v>31</v>
      </c>
      <c r="H47" s="156" t="s">
        <v>3</v>
      </c>
      <c r="I47" s="172">
        <v>100</v>
      </c>
      <c r="J47" s="172"/>
      <c r="K47" s="156" t="s">
        <v>332</v>
      </c>
      <c r="L47" s="156" t="s">
        <v>333</v>
      </c>
      <c r="M47" s="156">
        <v>9</v>
      </c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95"/>
      <c r="AI47" s="95"/>
      <c r="AJ47" s="95"/>
      <c r="AK47" s="95"/>
      <c r="AL47" s="95"/>
      <c r="AM47" s="95"/>
      <c r="AN47" s="95"/>
      <c r="AO47" s="95"/>
      <c r="AP47" s="95"/>
      <c r="AQ47" s="95"/>
      <c r="AR47" s="95"/>
      <c r="AS47" s="95"/>
      <c r="AT47" s="95"/>
      <c r="AU47" s="95"/>
      <c r="AV47" s="95"/>
      <c r="AW47" s="95"/>
      <c r="AX47" s="95"/>
      <c r="AY47" s="95"/>
      <c r="AZ47" s="95"/>
      <c r="BA47" s="95"/>
      <c r="BB47" s="95"/>
      <c r="BC47" s="95"/>
      <c r="BD47" s="95"/>
      <c r="BE47" s="95"/>
      <c r="BF47" s="95"/>
      <c r="BG47" s="95"/>
      <c r="BH47" s="95"/>
      <c r="BI47" s="95"/>
      <c r="BJ47" s="95"/>
      <c r="BK47" s="95"/>
      <c r="BL47" s="95"/>
      <c r="BM47" s="95"/>
      <c r="BN47" s="95"/>
      <c r="BO47" s="95"/>
      <c r="BP47" s="95"/>
      <c r="BQ47" s="95"/>
      <c r="BR47" s="95"/>
      <c r="BS47" s="95"/>
      <c r="BT47" s="95"/>
      <c r="BU47" s="95"/>
      <c r="BV47" s="95"/>
      <c r="BW47" s="95"/>
      <c r="BX47" s="95"/>
      <c r="BY47" s="95"/>
      <c r="BZ47" s="95"/>
      <c r="CA47" s="95"/>
      <c r="CB47" s="95"/>
      <c r="CC47" s="95"/>
      <c r="CD47" s="95"/>
      <c r="CE47" s="95"/>
      <c r="CF47" s="95"/>
      <c r="CG47" s="95"/>
      <c r="CH47" s="95"/>
      <c r="CI47" s="95"/>
      <c r="CJ47" s="95"/>
      <c r="CK47" s="95"/>
      <c r="CL47" s="95"/>
      <c r="CM47" s="95"/>
      <c r="CN47" s="95"/>
      <c r="CO47" s="95"/>
      <c r="CP47" s="95"/>
      <c r="CQ47" s="95"/>
      <c r="CR47" s="95"/>
      <c r="CS47" s="95"/>
      <c r="CT47" s="95"/>
      <c r="CU47" s="95"/>
      <c r="CV47" s="95"/>
      <c r="CW47" s="95"/>
      <c r="CX47" s="95"/>
      <c r="CY47" s="95"/>
      <c r="CZ47" s="95"/>
      <c r="DA47" s="95"/>
      <c r="DB47" s="95"/>
      <c r="DC47" s="95"/>
      <c r="DD47" s="95"/>
      <c r="DE47" s="95"/>
      <c r="DF47" s="95"/>
      <c r="DG47" s="95"/>
      <c r="DH47" s="95"/>
      <c r="DI47" s="95"/>
      <c r="DJ47" s="95"/>
      <c r="DK47" s="95"/>
      <c r="DL47" s="95"/>
      <c r="DM47" s="95"/>
      <c r="DN47" s="95"/>
      <c r="DO47" s="95"/>
      <c r="DP47" s="95"/>
      <c r="DQ47" s="95"/>
      <c r="DR47" s="95"/>
      <c r="DS47" s="95"/>
      <c r="DT47" s="95"/>
    </row>
    <row r="48" spans="1:124" s="62" customFormat="1" ht="37.5" x14ac:dyDescent="0.25">
      <c r="A48" s="156" t="s">
        <v>257</v>
      </c>
      <c r="B48" s="156"/>
      <c r="C48" s="156" t="s">
        <v>3</v>
      </c>
      <c r="D48" s="156">
        <v>8.3000000000000004E-2</v>
      </c>
      <c r="E48" s="156" t="s">
        <v>3</v>
      </c>
      <c r="F48" s="156" t="s">
        <v>334</v>
      </c>
      <c r="G48" s="156" t="s">
        <v>31</v>
      </c>
      <c r="H48" s="156" t="s">
        <v>3</v>
      </c>
      <c r="I48" s="172">
        <v>100</v>
      </c>
      <c r="J48" s="172"/>
      <c r="K48" s="156" t="s">
        <v>313</v>
      </c>
      <c r="L48" s="156" t="s">
        <v>335</v>
      </c>
      <c r="M48" s="156">
        <v>9</v>
      </c>
    </row>
    <row r="49" spans="1:13" s="62" customFormat="1" x14ac:dyDescent="0.25">
      <c r="A49" s="156" t="s">
        <v>285</v>
      </c>
      <c r="B49" s="156"/>
      <c r="C49" s="156" t="s">
        <v>3</v>
      </c>
      <c r="D49" s="156">
        <v>8.7999999999999995E-2</v>
      </c>
      <c r="E49" s="156" t="s">
        <v>3</v>
      </c>
      <c r="F49" s="156" t="s">
        <v>391</v>
      </c>
      <c r="G49" s="156" t="s">
        <v>65</v>
      </c>
      <c r="H49" s="156" t="s">
        <v>3</v>
      </c>
      <c r="I49" s="172">
        <v>100</v>
      </c>
      <c r="J49" s="172"/>
      <c r="K49" s="156" t="s">
        <v>391</v>
      </c>
      <c r="L49" s="156" t="s">
        <v>392</v>
      </c>
      <c r="M49" s="156">
        <v>8</v>
      </c>
    </row>
    <row r="50" spans="1:13" s="62" customFormat="1" x14ac:dyDescent="0.25">
      <c r="A50" s="156" t="s">
        <v>264</v>
      </c>
      <c r="B50" s="156"/>
      <c r="C50" s="156" t="s">
        <v>3</v>
      </c>
      <c r="D50" s="156">
        <v>7.1999999999999995E-2</v>
      </c>
      <c r="E50" s="156" t="s">
        <v>3</v>
      </c>
      <c r="F50" s="156" t="s">
        <v>344</v>
      </c>
      <c r="G50" s="156" t="s">
        <v>34</v>
      </c>
      <c r="H50" s="156" t="s">
        <v>3</v>
      </c>
      <c r="I50" s="172">
        <v>100</v>
      </c>
      <c r="J50" s="172"/>
      <c r="K50" s="156" t="s">
        <v>344</v>
      </c>
      <c r="L50" s="156" t="s">
        <v>345</v>
      </c>
      <c r="M50" s="156">
        <v>3</v>
      </c>
    </row>
    <row r="51" spans="1:13" s="62" customFormat="1" x14ac:dyDescent="0.25">
      <c r="A51" s="156" t="s">
        <v>264</v>
      </c>
      <c r="B51" s="156"/>
      <c r="C51" s="156" t="s">
        <v>3</v>
      </c>
      <c r="D51" s="156">
        <v>7.1999999999999995E-2</v>
      </c>
      <c r="E51" s="156" t="s">
        <v>3</v>
      </c>
      <c r="F51" s="156" t="s">
        <v>344</v>
      </c>
      <c r="G51" s="156" t="s">
        <v>46</v>
      </c>
      <c r="H51" s="156" t="s">
        <v>3</v>
      </c>
      <c r="I51" s="172">
        <v>100</v>
      </c>
      <c r="J51" s="172"/>
      <c r="K51" s="156" t="s">
        <v>344</v>
      </c>
      <c r="L51" s="156" t="s">
        <v>345</v>
      </c>
      <c r="M51" s="156">
        <v>3</v>
      </c>
    </row>
    <row r="52" spans="1:13" s="62" customFormat="1" x14ac:dyDescent="0.25">
      <c r="A52" s="156" t="s">
        <v>264</v>
      </c>
      <c r="B52" s="156"/>
      <c r="C52" s="156" t="s">
        <v>3</v>
      </c>
      <c r="D52" s="156">
        <v>7.1999999999999995E-2</v>
      </c>
      <c r="E52" s="156" t="s">
        <v>3</v>
      </c>
      <c r="F52" s="156" t="s">
        <v>344</v>
      </c>
      <c r="G52" s="156" t="s">
        <v>66</v>
      </c>
      <c r="H52" s="156" t="s">
        <v>3</v>
      </c>
      <c r="I52" s="172">
        <v>100</v>
      </c>
      <c r="J52" s="172"/>
      <c r="K52" s="156" t="s">
        <v>344</v>
      </c>
      <c r="L52" s="156" t="s">
        <v>345</v>
      </c>
      <c r="M52" s="156">
        <v>3</v>
      </c>
    </row>
    <row r="53" spans="1:13" s="62" customFormat="1" x14ac:dyDescent="0.25">
      <c r="A53" s="156" t="s">
        <v>238</v>
      </c>
      <c r="B53" s="156"/>
      <c r="C53" s="156" t="s">
        <v>3</v>
      </c>
      <c r="D53" s="156">
        <v>7.0999999999999994E-2</v>
      </c>
      <c r="E53" s="156" t="s">
        <v>3</v>
      </c>
      <c r="F53" s="156" t="s">
        <v>295</v>
      </c>
      <c r="G53" s="156" t="s">
        <v>30</v>
      </c>
      <c r="H53" s="156" t="s">
        <v>3</v>
      </c>
      <c r="I53" s="172">
        <v>100</v>
      </c>
      <c r="J53" s="172"/>
      <c r="K53" s="156" t="s">
        <v>295</v>
      </c>
      <c r="L53" s="156" t="s">
        <v>296</v>
      </c>
      <c r="M53" s="156">
        <v>9</v>
      </c>
    </row>
    <row r="54" spans="1:13" s="62" customFormat="1" ht="37.5" x14ac:dyDescent="0.25">
      <c r="A54" s="156" t="s">
        <v>286</v>
      </c>
      <c r="B54" s="156"/>
      <c r="C54" s="156" t="s">
        <v>259</v>
      </c>
      <c r="D54" s="156">
        <v>7.2999999999999995E-2</v>
      </c>
      <c r="E54" s="179" t="s">
        <v>3</v>
      </c>
      <c r="F54" s="156" t="s">
        <v>393</v>
      </c>
      <c r="G54" s="156" t="s">
        <v>69</v>
      </c>
      <c r="H54" s="156" t="s">
        <v>259</v>
      </c>
      <c r="I54" s="172">
        <v>100</v>
      </c>
      <c r="K54" s="156" t="s">
        <v>393</v>
      </c>
      <c r="L54" s="156" t="s">
        <v>394</v>
      </c>
      <c r="M54" s="156">
        <v>5</v>
      </c>
    </row>
    <row r="55" spans="1:13" s="62" customFormat="1" ht="37.5" x14ac:dyDescent="0.25">
      <c r="A55" s="156" t="s">
        <v>258</v>
      </c>
      <c r="B55" s="156"/>
      <c r="C55" s="156" t="s">
        <v>259</v>
      </c>
      <c r="D55" s="156">
        <v>8.1000000000000003E-2</v>
      </c>
      <c r="E55" s="179" t="s">
        <v>3</v>
      </c>
      <c r="F55" s="156" t="s">
        <v>177</v>
      </c>
      <c r="G55" s="156" t="s">
        <v>31</v>
      </c>
      <c r="H55" s="156" t="s">
        <v>259</v>
      </c>
      <c r="I55" s="172">
        <v>100</v>
      </c>
      <c r="K55" s="156" t="s">
        <v>177</v>
      </c>
      <c r="L55" s="156" t="s">
        <v>336</v>
      </c>
      <c r="M55" s="156">
        <v>9</v>
      </c>
    </row>
    <row r="56" spans="1:13" s="62" customFormat="1" x14ac:dyDescent="0.25">
      <c r="A56" s="156" t="s">
        <v>243</v>
      </c>
      <c r="B56" s="156"/>
      <c r="C56" s="156" t="s">
        <v>4</v>
      </c>
      <c r="D56" s="156">
        <v>8.5000000000000006E-2</v>
      </c>
      <c r="E56" s="156" t="s">
        <v>4</v>
      </c>
      <c r="F56" s="156" t="s">
        <v>306</v>
      </c>
      <c r="G56" s="156" t="s">
        <v>31</v>
      </c>
      <c r="H56" s="156" t="s">
        <v>4</v>
      </c>
      <c r="I56" s="172">
        <v>5000</v>
      </c>
      <c r="J56" s="172"/>
      <c r="K56" s="156" t="s">
        <v>174</v>
      </c>
      <c r="L56" s="156" t="s">
        <v>307</v>
      </c>
      <c r="M56" s="156">
        <v>9</v>
      </c>
    </row>
    <row r="57" spans="1:13" s="62" customFormat="1" x14ac:dyDescent="0.25">
      <c r="A57" s="156" t="s">
        <v>248</v>
      </c>
      <c r="B57" s="156"/>
      <c r="C57" s="156" t="s">
        <v>4</v>
      </c>
      <c r="D57" s="156">
        <v>0.09</v>
      </c>
      <c r="E57" s="156" t="s">
        <v>4</v>
      </c>
      <c r="F57" s="156" t="s">
        <v>317</v>
      </c>
      <c r="G57" s="156" t="s">
        <v>31</v>
      </c>
      <c r="H57" s="156" t="s">
        <v>4</v>
      </c>
      <c r="I57" s="172">
        <v>5000</v>
      </c>
      <c r="J57" s="172"/>
      <c r="K57" s="156" t="s">
        <v>317</v>
      </c>
      <c r="L57" s="156" t="s">
        <v>318</v>
      </c>
      <c r="M57" s="156">
        <v>9</v>
      </c>
    </row>
    <row r="58" spans="1:13" s="62" customFormat="1" ht="25" x14ac:dyDescent="0.25">
      <c r="A58" s="156" t="s">
        <v>263</v>
      </c>
      <c r="B58" s="156"/>
      <c r="C58" s="156" t="s">
        <v>4</v>
      </c>
      <c r="D58" s="156">
        <v>8.2000000000000003E-2</v>
      </c>
      <c r="E58" s="156" t="s">
        <v>4</v>
      </c>
      <c r="F58" s="156" t="s">
        <v>342</v>
      </c>
      <c r="G58" s="156" t="s">
        <v>33</v>
      </c>
      <c r="H58" s="156" t="s">
        <v>4</v>
      </c>
      <c r="I58" s="172">
        <v>5000</v>
      </c>
      <c r="J58" s="172"/>
      <c r="K58" s="156" t="s">
        <v>171</v>
      </c>
      <c r="L58" s="156" t="s">
        <v>343</v>
      </c>
      <c r="M58" s="156">
        <v>1</v>
      </c>
    </row>
    <row r="59" spans="1:13" s="62" customFormat="1" ht="25" x14ac:dyDescent="0.25">
      <c r="A59" s="156" t="s">
        <v>263</v>
      </c>
      <c r="B59" s="156"/>
      <c r="C59" s="156" t="s">
        <v>4</v>
      </c>
      <c r="D59" s="156">
        <v>8.2000000000000003E-2</v>
      </c>
      <c r="E59" s="156" t="s">
        <v>4</v>
      </c>
      <c r="F59" s="156" t="s">
        <v>342</v>
      </c>
      <c r="G59" s="156" t="s">
        <v>54</v>
      </c>
      <c r="H59" s="156" t="s">
        <v>4</v>
      </c>
      <c r="I59" s="172">
        <v>5000</v>
      </c>
      <c r="J59" s="172"/>
      <c r="K59" s="156" t="s">
        <v>171</v>
      </c>
      <c r="L59" s="156" t="s">
        <v>343</v>
      </c>
      <c r="M59" s="156">
        <v>2</v>
      </c>
    </row>
    <row r="60" spans="1:13" s="62" customFormat="1" ht="25" x14ac:dyDescent="0.25">
      <c r="A60" s="156" t="s">
        <v>263</v>
      </c>
      <c r="B60" s="156"/>
      <c r="C60" s="156" t="s">
        <v>4</v>
      </c>
      <c r="D60" s="156">
        <v>8.2000000000000003E-2</v>
      </c>
      <c r="E60" s="156" t="s">
        <v>4</v>
      </c>
      <c r="F60" s="156" t="s">
        <v>342</v>
      </c>
      <c r="G60" s="156" t="s">
        <v>57</v>
      </c>
      <c r="H60" s="156" t="s">
        <v>4</v>
      </c>
      <c r="I60" s="172">
        <v>5000</v>
      </c>
      <c r="J60" s="172"/>
      <c r="K60" s="156" t="s">
        <v>171</v>
      </c>
      <c r="L60" s="156" t="s">
        <v>343</v>
      </c>
      <c r="M60" s="156">
        <v>2</v>
      </c>
    </row>
    <row r="61" spans="1:13" s="62" customFormat="1" x14ac:dyDescent="0.25">
      <c r="A61" s="156" t="s">
        <v>251</v>
      </c>
      <c r="B61" s="156"/>
      <c r="C61" s="156" t="s">
        <v>4</v>
      </c>
      <c r="D61" s="156">
        <v>8.7999999999999995E-2</v>
      </c>
      <c r="E61" s="156" t="s">
        <v>4</v>
      </c>
      <c r="F61" s="156" t="s">
        <v>172</v>
      </c>
      <c r="G61" s="156" t="s">
        <v>31</v>
      </c>
      <c r="H61" s="156" t="s">
        <v>4</v>
      </c>
      <c r="I61" s="172">
        <v>5000</v>
      </c>
      <c r="J61" s="172"/>
      <c r="K61" s="156" t="s">
        <v>172</v>
      </c>
      <c r="L61" s="156" t="s">
        <v>323</v>
      </c>
      <c r="M61" s="156">
        <v>9</v>
      </c>
    </row>
    <row r="62" spans="1:13" s="62" customFormat="1" x14ac:dyDescent="0.25">
      <c r="A62" s="156" t="s">
        <v>252</v>
      </c>
      <c r="B62" s="156"/>
      <c r="C62" s="156" t="s">
        <v>4</v>
      </c>
      <c r="D62" s="156">
        <v>8.4000000000000005E-2</v>
      </c>
      <c r="E62" s="156" t="s">
        <v>4</v>
      </c>
      <c r="F62" s="156" t="s">
        <v>324</v>
      </c>
      <c r="G62" s="156" t="s">
        <v>31</v>
      </c>
      <c r="H62" s="156" t="s">
        <v>4</v>
      </c>
      <c r="I62" s="172">
        <v>5000</v>
      </c>
      <c r="J62" s="172"/>
      <c r="K62" s="156" t="s">
        <v>8</v>
      </c>
      <c r="L62" s="156" t="s">
        <v>325</v>
      </c>
      <c r="M62" s="156">
        <v>9</v>
      </c>
    </row>
    <row r="63" spans="1:13" s="62" customFormat="1" ht="25" x14ac:dyDescent="0.25">
      <c r="A63" s="156" t="s">
        <v>247</v>
      </c>
      <c r="B63" s="156"/>
      <c r="C63" s="156" t="s">
        <v>6</v>
      </c>
      <c r="D63" s="156">
        <v>0.10100000000000001</v>
      </c>
      <c r="E63" s="156" t="s">
        <v>6</v>
      </c>
      <c r="F63" s="156" t="s">
        <v>315</v>
      </c>
      <c r="G63" s="156" t="s">
        <v>31</v>
      </c>
      <c r="H63" s="156" t="s">
        <v>6</v>
      </c>
      <c r="I63" s="172"/>
      <c r="J63" s="172"/>
      <c r="K63" s="156" t="s">
        <v>170</v>
      </c>
      <c r="L63" s="156" t="s">
        <v>316</v>
      </c>
      <c r="M63" s="156">
        <v>9</v>
      </c>
    </row>
    <row r="64" spans="1:13" s="62" customFormat="1" x14ac:dyDescent="0.25">
      <c r="A64" s="156" t="s">
        <v>260</v>
      </c>
      <c r="B64" s="156"/>
      <c r="C64" s="156" t="s">
        <v>6</v>
      </c>
      <c r="D64" s="156">
        <v>7.8E-2</v>
      </c>
      <c r="E64" s="156" t="s">
        <v>6</v>
      </c>
      <c r="F64" s="156" t="s">
        <v>178</v>
      </c>
      <c r="G64" s="156" t="s">
        <v>31</v>
      </c>
      <c r="H64" s="156" t="s">
        <v>6</v>
      </c>
      <c r="I64" s="172">
        <v>20000</v>
      </c>
      <c r="J64" s="172"/>
      <c r="K64" s="156" t="s">
        <v>178</v>
      </c>
      <c r="L64" s="156" t="s">
        <v>337</v>
      </c>
      <c r="M64" s="156">
        <v>9</v>
      </c>
    </row>
    <row r="65" spans="1:13" s="62" customFormat="1" ht="25" x14ac:dyDescent="0.25">
      <c r="A65" s="156" t="s">
        <v>244</v>
      </c>
      <c r="B65" s="156"/>
      <c r="C65" s="156" t="s">
        <v>7</v>
      </c>
      <c r="D65" s="156">
        <v>9.8000000000000004E-2</v>
      </c>
      <c r="E65" s="156" t="s">
        <v>7</v>
      </c>
      <c r="F65" s="156" t="s">
        <v>308</v>
      </c>
      <c r="G65" s="156" t="s">
        <v>31</v>
      </c>
      <c r="H65" s="156" t="s">
        <v>7</v>
      </c>
      <c r="I65" s="172">
        <v>20000</v>
      </c>
      <c r="J65" s="172"/>
      <c r="K65" s="156" t="s">
        <v>309</v>
      </c>
      <c r="L65" s="156" t="s">
        <v>310</v>
      </c>
      <c r="M65" s="156">
        <v>9</v>
      </c>
    </row>
    <row r="66" spans="1:13" s="62" customFormat="1" ht="25" x14ac:dyDescent="0.25">
      <c r="A66" s="156" t="s">
        <v>250</v>
      </c>
      <c r="B66" s="156"/>
      <c r="C66" s="156" t="s">
        <v>7</v>
      </c>
      <c r="D66" s="156">
        <v>9.0999999999999998E-2</v>
      </c>
      <c r="E66" s="156" t="s">
        <v>7</v>
      </c>
      <c r="F66" s="156" t="s">
        <v>321</v>
      </c>
      <c r="G66" s="156" t="s">
        <v>31</v>
      </c>
      <c r="H66" s="156" t="s">
        <v>7</v>
      </c>
      <c r="I66" s="172">
        <v>20000</v>
      </c>
      <c r="J66" s="172"/>
      <c r="K66" s="156" t="s">
        <v>309</v>
      </c>
      <c r="L66" s="156" t="s">
        <v>322</v>
      </c>
      <c r="M66" s="156">
        <v>9</v>
      </c>
    </row>
    <row r="67" spans="1:13" s="62" customFormat="1" x14ac:dyDescent="0.25">
      <c r="A67" s="120"/>
      <c r="B67" s="103"/>
      <c r="C67" s="73"/>
      <c r="D67" s="73"/>
      <c r="E67" s="150"/>
      <c r="G67" s="120"/>
      <c r="H67" s="150"/>
      <c r="I67" s="175"/>
      <c r="J67" s="175"/>
    </row>
    <row r="68" spans="1:13" s="62" customFormat="1" x14ac:dyDescent="0.25">
      <c r="A68" s="58"/>
      <c r="B68" s="58"/>
      <c r="C68" s="58"/>
      <c r="D68" s="63"/>
      <c r="E68" s="58"/>
      <c r="G68" s="58"/>
      <c r="H68" s="58"/>
      <c r="I68" s="176">
        <f>SUM(I3:I67)</f>
        <v>140100</v>
      </c>
      <c r="J68" s="176"/>
    </row>
    <row r="69" spans="1:13" s="62" customFormat="1" x14ac:dyDescent="0.25">
      <c r="A69" s="58">
        <f>COUNTA(A3:A66)</f>
        <v>64</v>
      </c>
      <c r="B69" s="101" t="s">
        <v>232</v>
      </c>
      <c r="C69" s="58"/>
      <c r="D69" s="63"/>
      <c r="E69" s="58"/>
      <c r="G69" s="73"/>
      <c r="H69" s="58"/>
      <c r="I69" s="176"/>
      <c r="J69" s="176"/>
    </row>
    <row r="70" spans="1:13" s="62" customFormat="1" x14ac:dyDescent="0.25">
      <c r="A70" s="58">
        <v>2</v>
      </c>
      <c r="B70" s="99" t="s">
        <v>193</v>
      </c>
      <c r="C70" s="58"/>
      <c r="D70" s="63" t="s">
        <v>159</v>
      </c>
      <c r="E70" s="58">
        <f>COUNTIF($E$3:$E$66,"Extreme")</f>
        <v>2</v>
      </c>
      <c r="G70" s="84" t="s">
        <v>159</v>
      </c>
      <c r="H70" s="58">
        <f>COUNTIF($E$3:$E$66,"Extreme")</f>
        <v>2</v>
      </c>
      <c r="I70" s="176"/>
      <c r="J70" s="176"/>
    </row>
    <row r="71" spans="1:13" s="62" customFormat="1" x14ac:dyDescent="0.25">
      <c r="A71" s="58">
        <f>A69-A70</f>
        <v>62</v>
      </c>
      <c r="B71" s="99" t="s">
        <v>194</v>
      </c>
      <c r="C71" s="58"/>
      <c r="D71" s="63" t="s">
        <v>5</v>
      </c>
      <c r="E71" s="58">
        <f>COUNTIF($E$3:$E$66,"Severe-17")</f>
        <v>0</v>
      </c>
      <c r="G71" s="156" t="s">
        <v>5</v>
      </c>
      <c r="H71" s="58">
        <f>COUNTIF($E$3:$E$66,"Severe-17")</f>
        <v>0</v>
      </c>
      <c r="I71" s="176"/>
      <c r="J71" s="176"/>
    </row>
    <row r="72" spans="1:13" s="62" customFormat="1" x14ac:dyDescent="0.25">
      <c r="A72" s="58"/>
      <c r="B72" s="58"/>
      <c r="C72" s="58"/>
      <c r="D72" s="63" t="s">
        <v>7</v>
      </c>
      <c r="E72" s="58">
        <f>COUNTIF($E$3:$E$12,"Severe 15")</f>
        <v>0</v>
      </c>
      <c r="G72" s="156" t="s">
        <v>7</v>
      </c>
      <c r="H72" s="58">
        <f>COUNTIF($E$3:$E$66,"Severe-15")</f>
        <v>2</v>
      </c>
      <c r="I72" s="176"/>
      <c r="J72" s="176"/>
    </row>
    <row r="73" spans="1:13" s="62" customFormat="1" x14ac:dyDescent="0.25">
      <c r="A73" s="58"/>
      <c r="B73" s="58"/>
      <c r="C73" s="58"/>
      <c r="D73" s="63" t="s">
        <v>6</v>
      </c>
      <c r="E73" s="58">
        <f>COUNTIF($E$3:$E$66,"Serious")</f>
        <v>2</v>
      </c>
      <c r="G73" s="84" t="s">
        <v>6</v>
      </c>
      <c r="H73" s="58">
        <f>COUNTIF($E$3:$E$66,"Serious")</f>
        <v>2</v>
      </c>
      <c r="I73" s="176"/>
      <c r="J73" s="176"/>
    </row>
    <row r="74" spans="1:13" s="62" customFormat="1" x14ac:dyDescent="0.25">
      <c r="A74" s="58"/>
      <c r="B74" s="58"/>
      <c r="C74" s="58"/>
      <c r="D74" s="63" t="s">
        <v>4</v>
      </c>
      <c r="E74" s="58">
        <f>COUNTIF($E$3:$E$66,"Moderate")</f>
        <v>7</v>
      </c>
      <c r="G74" s="84" t="s">
        <v>4</v>
      </c>
      <c r="H74" s="58">
        <f>COUNTIF($E$3:$E$66,"Moderate")</f>
        <v>7</v>
      </c>
      <c r="I74" s="176"/>
      <c r="J74" s="176"/>
    </row>
    <row r="75" spans="1:13" s="62" customFormat="1" x14ac:dyDescent="0.25">
      <c r="A75" s="58"/>
      <c r="B75" s="58"/>
      <c r="C75" s="58"/>
      <c r="D75" s="76" t="s">
        <v>3</v>
      </c>
      <c r="E75" s="77">
        <f>COUNTIF($E$3:$E$66,"Marginal")</f>
        <v>51</v>
      </c>
      <c r="G75" s="84" t="s">
        <v>3</v>
      </c>
      <c r="H75" s="77">
        <f>COUNTIF($E$3:$E$66,"Marginal")</f>
        <v>51</v>
      </c>
      <c r="I75" s="177"/>
      <c r="J75" s="177"/>
    </row>
    <row r="76" spans="1:13" s="62" customFormat="1" ht="25" x14ac:dyDescent="0.25">
      <c r="A76" s="58"/>
      <c r="B76" s="58"/>
      <c r="C76" s="58"/>
      <c r="D76" s="158"/>
      <c r="E76" s="77">
        <f>COUNTIF($E$4:$E$67,"Marginal (Rural Transport)")</f>
        <v>0</v>
      </c>
      <c r="G76" s="159" t="s">
        <v>259</v>
      </c>
      <c r="H76" s="77">
        <f>COUNTIF($E$4:$E$67,"Marginal (Rural Transport)")</f>
        <v>0</v>
      </c>
      <c r="I76" s="177"/>
      <c r="J76" s="177"/>
    </row>
    <row r="77" spans="1:13" s="62" customFormat="1" x14ac:dyDescent="0.25">
      <c r="A77" s="58"/>
      <c r="B77" s="58"/>
      <c r="C77" s="58"/>
      <c r="D77" s="75" t="s">
        <v>160</v>
      </c>
      <c r="E77" s="58">
        <f>SUM(E70:E76)</f>
        <v>62</v>
      </c>
      <c r="G77" s="58"/>
      <c r="H77" s="58">
        <f>SUM(H70:H76)</f>
        <v>64</v>
      </c>
      <c r="I77" s="176"/>
      <c r="J77" s="176"/>
    </row>
    <row r="78" spans="1:13" s="62" customFormat="1" x14ac:dyDescent="0.25">
      <c r="A78" s="58"/>
      <c r="B78" s="58"/>
      <c r="C78" s="58"/>
      <c r="D78" s="63"/>
      <c r="E78" s="58"/>
      <c r="G78" s="58"/>
      <c r="H78" s="58"/>
      <c r="I78" s="176"/>
      <c r="J78" s="176"/>
    </row>
    <row r="79" spans="1:13" s="62" customFormat="1" x14ac:dyDescent="0.25">
      <c r="A79" s="58"/>
      <c r="B79" s="58"/>
      <c r="C79" s="58"/>
      <c r="D79" s="63"/>
      <c r="E79" s="58"/>
      <c r="G79" s="84"/>
      <c r="H79" s="58"/>
      <c r="I79" s="176"/>
      <c r="J79" s="176"/>
    </row>
    <row r="80" spans="1:13" s="62" customFormat="1" x14ac:dyDescent="0.25">
      <c r="A80" s="58"/>
      <c r="B80" s="58"/>
      <c r="C80" s="58"/>
      <c r="D80" s="63"/>
      <c r="E80" s="58"/>
      <c r="G80" s="58"/>
      <c r="H80" s="58"/>
      <c r="I80" s="176"/>
      <c r="J80" s="176"/>
    </row>
    <row r="81" spans="4:10" s="62" customFormat="1" x14ac:dyDescent="0.25">
      <c r="D81" s="63"/>
      <c r="E81" s="58"/>
      <c r="H81" s="58"/>
      <c r="I81" s="176"/>
      <c r="J81" s="176"/>
    </row>
    <row r="82" spans="4:10" s="62" customFormat="1" x14ac:dyDescent="0.25">
      <c r="D82" s="63"/>
      <c r="E82" s="58"/>
      <c r="H82" s="58"/>
      <c r="I82" s="176"/>
      <c r="J82" s="176"/>
    </row>
    <row r="83" spans="4:10" s="62" customFormat="1" x14ac:dyDescent="0.25">
      <c r="D83" s="63"/>
      <c r="E83" s="58"/>
      <c r="H83" s="58"/>
      <c r="I83" s="176"/>
      <c r="J83" s="176"/>
    </row>
    <row r="84" spans="4:10" s="62" customFormat="1" x14ac:dyDescent="0.25">
      <c r="D84" s="63"/>
      <c r="E84" s="58"/>
      <c r="H84" s="58"/>
      <c r="I84" s="176"/>
      <c r="J84" s="176"/>
    </row>
    <row r="85" spans="4:10" s="62" customFormat="1" x14ac:dyDescent="0.25">
      <c r="D85" s="63"/>
      <c r="E85" s="58"/>
      <c r="H85" s="58"/>
      <c r="I85" s="176"/>
      <c r="J85" s="176"/>
    </row>
    <row r="86" spans="4:10" s="62" customFormat="1" x14ac:dyDescent="0.25">
      <c r="D86" s="63"/>
      <c r="E86" s="58"/>
      <c r="H86" s="58"/>
      <c r="I86" s="176"/>
      <c r="J86" s="176"/>
    </row>
    <row r="87" spans="4:10" s="62" customFormat="1" x14ac:dyDescent="0.25">
      <c r="D87" s="63"/>
      <c r="E87" s="58"/>
      <c r="H87" s="58"/>
      <c r="I87" s="176"/>
      <c r="J87" s="176"/>
    </row>
    <row r="88" spans="4:10" s="62" customFormat="1" x14ac:dyDescent="0.25">
      <c r="D88" s="63"/>
      <c r="E88" s="58"/>
      <c r="H88" s="58"/>
      <c r="I88" s="176"/>
      <c r="J88" s="176"/>
    </row>
    <row r="89" spans="4:10" s="62" customFormat="1" x14ac:dyDescent="0.25">
      <c r="D89" s="63"/>
      <c r="E89" s="58"/>
      <c r="H89" s="58"/>
      <c r="I89" s="176"/>
      <c r="J89" s="176"/>
    </row>
    <row r="90" spans="4:10" s="62" customFormat="1" x14ac:dyDescent="0.25">
      <c r="D90" s="63"/>
      <c r="E90" s="58"/>
      <c r="H90" s="58"/>
      <c r="I90" s="176"/>
      <c r="J90" s="176"/>
    </row>
    <row r="91" spans="4:10" s="62" customFormat="1" x14ac:dyDescent="0.25">
      <c r="D91" s="63"/>
      <c r="E91" s="58"/>
      <c r="H91" s="58"/>
      <c r="I91" s="176"/>
      <c r="J91" s="176"/>
    </row>
    <row r="92" spans="4:10" s="62" customFormat="1" x14ac:dyDescent="0.25">
      <c r="D92" s="63"/>
      <c r="E92" s="58"/>
      <c r="H92" s="58"/>
      <c r="I92" s="176"/>
      <c r="J92" s="176"/>
    </row>
    <row r="93" spans="4:10" s="62" customFormat="1" x14ac:dyDescent="0.25">
      <c r="D93" s="63"/>
      <c r="E93" s="58"/>
      <c r="H93" s="58"/>
      <c r="I93" s="176"/>
      <c r="J93" s="176"/>
    </row>
    <row r="94" spans="4:10" s="62" customFormat="1" x14ac:dyDescent="0.25">
      <c r="D94" s="63"/>
      <c r="E94" s="58"/>
      <c r="H94" s="58"/>
      <c r="I94" s="176"/>
      <c r="J94" s="176"/>
    </row>
    <row r="95" spans="4:10" s="62" customFormat="1" x14ac:dyDescent="0.25">
      <c r="D95" s="63"/>
      <c r="E95" s="58"/>
      <c r="H95" s="58"/>
      <c r="I95" s="176"/>
      <c r="J95" s="176"/>
    </row>
    <row r="96" spans="4:10" s="62" customFormat="1" x14ac:dyDescent="0.25">
      <c r="D96" s="63"/>
      <c r="E96" s="58"/>
      <c r="H96" s="58"/>
      <c r="I96" s="176"/>
      <c r="J96" s="176"/>
    </row>
    <row r="97" spans="1:10" s="62" customFormat="1" x14ac:dyDescent="0.25">
      <c r="D97" s="63"/>
      <c r="E97" s="58"/>
      <c r="H97" s="58"/>
      <c r="I97" s="176"/>
      <c r="J97" s="176"/>
    </row>
    <row r="98" spans="1:10" s="62" customFormat="1" x14ac:dyDescent="0.25">
      <c r="D98" s="63"/>
      <c r="E98" s="58"/>
      <c r="H98" s="58"/>
      <c r="I98" s="176"/>
      <c r="J98" s="176"/>
    </row>
    <row r="99" spans="1:10" s="62" customFormat="1" x14ac:dyDescent="0.25">
      <c r="D99" s="63"/>
      <c r="E99" s="58"/>
      <c r="H99" s="58"/>
      <c r="I99" s="176"/>
      <c r="J99" s="176"/>
    </row>
    <row r="100" spans="1:10" s="62" customFormat="1" x14ac:dyDescent="0.25">
      <c r="D100" s="63"/>
      <c r="E100" s="58"/>
      <c r="H100" s="58"/>
      <c r="I100" s="176"/>
      <c r="J100" s="176"/>
    </row>
    <row r="101" spans="1:10" s="62" customFormat="1" x14ac:dyDescent="0.25">
      <c r="D101" s="63"/>
      <c r="E101" s="58"/>
      <c r="H101" s="58"/>
      <c r="I101" s="176"/>
      <c r="J101" s="176"/>
    </row>
    <row r="102" spans="1:10" s="62" customFormat="1" x14ac:dyDescent="0.25">
      <c r="D102" s="63"/>
      <c r="E102" s="58"/>
      <c r="H102" s="58"/>
      <c r="I102" s="176"/>
      <c r="J102" s="176"/>
    </row>
    <row r="103" spans="1:10" s="62" customFormat="1" x14ac:dyDescent="0.25">
      <c r="D103" s="63"/>
      <c r="E103" s="58"/>
      <c r="H103" s="58"/>
      <c r="I103" s="176"/>
      <c r="J103" s="176"/>
    </row>
    <row r="104" spans="1:10" s="62" customFormat="1" x14ac:dyDescent="0.25">
      <c r="A104"/>
      <c r="B104"/>
      <c r="C104"/>
      <c r="D104" s="59"/>
      <c r="E104" s="57"/>
      <c r="G104"/>
      <c r="H104" s="57"/>
      <c r="I104" s="178"/>
      <c r="J104" s="178"/>
    </row>
    <row r="105" spans="1:10" s="62" customFormat="1" x14ac:dyDescent="0.25">
      <c r="A105"/>
      <c r="B105"/>
      <c r="C105"/>
      <c r="D105" s="59"/>
      <c r="E105" s="57"/>
      <c r="G105"/>
      <c r="H105" s="57"/>
      <c r="I105" s="178"/>
      <c r="J105" s="178"/>
    </row>
    <row r="106" spans="1:10" s="62" customFormat="1" x14ac:dyDescent="0.25">
      <c r="A106"/>
      <c r="B106"/>
      <c r="C106"/>
      <c r="D106" s="59"/>
      <c r="E106" s="57"/>
      <c r="G106"/>
      <c r="H106" s="57"/>
      <c r="I106" s="178"/>
      <c r="J106" s="178"/>
    </row>
    <row r="107" spans="1:10" s="62" customFormat="1" x14ac:dyDescent="0.25">
      <c r="A107"/>
      <c r="B107"/>
      <c r="C107"/>
      <c r="D107" s="59"/>
      <c r="E107" s="57"/>
      <c r="G107"/>
      <c r="H107" s="57"/>
      <c r="I107" s="178"/>
      <c r="J107" s="178"/>
    </row>
    <row r="108" spans="1:10" s="62" customFormat="1" x14ac:dyDescent="0.25">
      <c r="A108"/>
      <c r="B108"/>
      <c r="C108"/>
      <c r="D108" s="59"/>
      <c r="E108" s="57"/>
      <c r="G108"/>
      <c r="H108" s="57"/>
      <c r="I108" s="178"/>
      <c r="J108" s="178"/>
    </row>
    <row r="109" spans="1:10" s="62" customFormat="1" x14ac:dyDescent="0.25">
      <c r="A109"/>
      <c r="B109"/>
      <c r="C109"/>
      <c r="D109" s="59"/>
      <c r="E109" s="57"/>
      <c r="G109"/>
      <c r="H109" s="57"/>
      <c r="I109" s="178"/>
      <c r="J109" s="178"/>
    </row>
    <row r="110" spans="1:10" s="62" customFormat="1" x14ac:dyDescent="0.25">
      <c r="A110"/>
      <c r="B110"/>
      <c r="C110"/>
      <c r="D110" s="59"/>
      <c r="E110" s="57"/>
      <c r="G110"/>
      <c r="H110" s="57"/>
      <c r="I110" s="178"/>
      <c r="J110" s="178"/>
    </row>
    <row r="111" spans="1:10" s="62" customFormat="1" x14ac:dyDescent="0.25">
      <c r="A111"/>
      <c r="B111"/>
      <c r="C111"/>
      <c r="D111" s="59"/>
      <c r="E111" s="57"/>
      <c r="G111"/>
      <c r="H111" s="57"/>
      <c r="I111" s="178"/>
      <c r="J111" s="178"/>
    </row>
    <row r="112" spans="1:10" s="62" customFormat="1" x14ac:dyDescent="0.25">
      <c r="A112"/>
      <c r="B112"/>
      <c r="C112"/>
      <c r="D112" s="59"/>
      <c r="E112" s="57"/>
      <c r="G112"/>
      <c r="H112" s="57"/>
      <c r="I112" s="178"/>
      <c r="J112" s="178"/>
    </row>
    <row r="113" spans="1:10" s="62" customFormat="1" x14ac:dyDescent="0.25">
      <c r="A113"/>
      <c r="B113"/>
      <c r="C113"/>
      <c r="D113" s="59"/>
      <c r="E113" s="57"/>
      <c r="G113"/>
      <c r="H113" s="57"/>
      <c r="I113" s="178"/>
      <c r="J113" s="178"/>
    </row>
    <row r="114" spans="1:10" s="62" customFormat="1" x14ac:dyDescent="0.25">
      <c r="A114"/>
      <c r="B114"/>
      <c r="C114"/>
      <c r="D114" s="59"/>
      <c r="E114" s="57"/>
      <c r="G114"/>
      <c r="H114" s="57"/>
      <c r="I114" s="178"/>
      <c r="J114" s="178"/>
    </row>
    <row r="115" spans="1:10" s="62" customFormat="1" x14ac:dyDescent="0.25">
      <c r="A115"/>
      <c r="B115"/>
      <c r="C115"/>
      <c r="D115" s="59"/>
      <c r="E115" s="57"/>
      <c r="G115"/>
      <c r="H115" s="57"/>
      <c r="I115" s="178"/>
      <c r="J115" s="178"/>
    </row>
    <row r="116" spans="1:10" s="62" customFormat="1" x14ac:dyDescent="0.25">
      <c r="A116"/>
      <c r="B116"/>
      <c r="C116"/>
      <c r="D116" s="59"/>
      <c r="E116" s="57"/>
      <c r="G116"/>
      <c r="H116" s="57"/>
      <c r="I116" s="178"/>
      <c r="J116" s="178"/>
    </row>
    <row r="117" spans="1:10" s="62" customFormat="1" x14ac:dyDescent="0.25">
      <c r="A117"/>
      <c r="B117"/>
      <c r="C117"/>
      <c r="D117" s="59"/>
      <c r="E117" s="57"/>
      <c r="G117"/>
      <c r="H117" s="57"/>
      <c r="I117" s="178"/>
      <c r="J117" s="178"/>
    </row>
    <row r="118" spans="1:10" s="62" customFormat="1" x14ac:dyDescent="0.25">
      <c r="A118"/>
      <c r="B118"/>
      <c r="C118"/>
      <c r="D118" s="59"/>
      <c r="E118" s="57"/>
      <c r="G118"/>
      <c r="H118" s="57"/>
      <c r="I118" s="178"/>
      <c r="J118" s="178"/>
    </row>
    <row r="119" spans="1:10" s="62" customFormat="1" x14ac:dyDescent="0.25">
      <c r="A119"/>
      <c r="B119"/>
      <c r="C119"/>
      <c r="D119" s="59"/>
      <c r="E119" s="57"/>
      <c r="G119"/>
      <c r="H119" s="57"/>
      <c r="I119" s="178"/>
      <c r="J119" s="178"/>
    </row>
    <row r="120" spans="1:10" s="62" customFormat="1" x14ac:dyDescent="0.25">
      <c r="A120"/>
      <c r="B120"/>
      <c r="C120"/>
      <c r="D120" s="59"/>
      <c r="E120" s="57"/>
      <c r="G120"/>
      <c r="H120" s="57"/>
      <c r="I120" s="178"/>
      <c r="J120" s="178"/>
    </row>
    <row r="121" spans="1:10" s="62" customFormat="1" x14ac:dyDescent="0.25">
      <c r="A121"/>
      <c r="B121"/>
      <c r="C121"/>
      <c r="D121" s="59"/>
      <c r="E121" s="57"/>
      <c r="G121"/>
      <c r="H121" s="57"/>
      <c r="I121" s="178"/>
      <c r="J121" s="178"/>
    </row>
    <row r="122" spans="1:10" s="62" customFormat="1" x14ac:dyDescent="0.25">
      <c r="A122"/>
      <c r="B122"/>
      <c r="C122"/>
      <c r="D122" s="59"/>
      <c r="E122" s="57"/>
      <c r="G122"/>
      <c r="H122" s="57"/>
      <c r="I122" s="178"/>
      <c r="J122" s="178"/>
    </row>
    <row r="123" spans="1:10" s="62" customFormat="1" x14ac:dyDescent="0.25">
      <c r="A123"/>
      <c r="B123"/>
      <c r="C123"/>
      <c r="D123" s="59"/>
      <c r="E123" s="57"/>
      <c r="G123"/>
      <c r="H123" s="57"/>
      <c r="I123" s="178"/>
      <c r="J123" s="178"/>
    </row>
    <row r="124" spans="1:10" s="62" customFormat="1" x14ac:dyDescent="0.25">
      <c r="A124"/>
      <c r="B124"/>
      <c r="C124"/>
      <c r="D124" s="59"/>
      <c r="E124" s="57"/>
      <c r="G124"/>
      <c r="H124" s="57"/>
      <c r="I124" s="178"/>
      <c r="J124" s="178"/>
    </row>
    <row r="125" spans="1:10" s="62" customFormat="1" x14ac:dyDescent="0.25">
      <c r="A125"/>
      <c r="B125"/>
      <c r="C125"/>
      <c r="D125" s="59"/>
      <c r="E125" s="57"/>
      <c r="G125"/>
      <c r="H125" s="57"/>
      <c r="I125" s="178"/>
      <c r="J125" s="178"/>
    </row>
    <row r="126" spans="1:10" s="62" customFormat="1" x14ac:dyDescent="0.25">
      <c r="A126"/>
      <c r="B126"/>
      <c r="C126"/>
      <c r="D126" s="59"/>
      <c r="E126" s="57"/>
      <c r="G126"/>
      <c r="H126" s="57"/>
      <c r="I126" s="178"/>
      <c r="J126" s="178"/>
    </row>
    <row r="127" spans="1:10" s="62" customFormat="1" x14ac:dyDescent="0.25">
      <c r="A127"/>
      <c r="B127"/>
      <c r="C127"/>
      <c r="D127" s="59"/>
      <c r="E127" s="57"/>
      <c r="G127"/>
      <c r="H127" s="57"/>
      <c r="I127" s="178"/>
      <c r="J127" s="178"/>
    </row>
    <row r="128" spans="1:10" s="62" customFormat="1" x14ac:dyDescent="0.25">
      <c r="A128"/>
      <c r="B128"/>
      <c r="C128"/>
      <c r="D128" s="59"/>
      <c r="E128" s="57"/>
      <c r="G128"/>
      <c r="H128" s="57"/>
      <c r="I128" s="178"/>
      <c r="J128" s="178"/>
    </row>
    <row r="129" spans="1:10" s="62" customFormat="1" x14ac:dyDescent="0.25">
      <c r="A129"/>
      <c r="B129"/>
      <c r="C129"/>
      <c r="D129" s="59"/>
      <c r="E129" s="57"/>
      <c r="G129"/>
      <c r="H129" s="57"/>
      <c r="I129" s="178"/>
      <c r="J129" s="178"/>
    </row>
    <row r="130" spans="1:10" s="62" customFormat="1" x14ac:dyDescent="0.25">
      <c r="A130"/>
      <c r="B130"/>
      <c r="C130"/>
      <c r="D130" s="59"/>
      <c r="E130" s="57"/>
      <c r="G130"/>
      <c r="H130" s="57"/>
      <c r="I130" s="178"/>
      <c r="J130" s="178"/>
    </row>
    <row r="131" spans="1:10" s="62" customFormat="1" x14ac:dyDescent="0.25">
      <c r="A131"/>
      <c r="B131"/>
      <c r="C131"/>
      <c r="D131" s="59"/>
      <c r="E131" s="57"/>
      <c r="G131"/>
      <c r="H131" s="57"/>
      <c r="I131" s="178"/>
      <c r="J131" s="178"/>
    </row>
    <row r="132" spans="1:10" s="62" customFormat="1" x14ac:dyDescent="0.25">
      <c r="A132"/>
      <c r="B132"/>
      <c r="C132"/>
      <c r="D132" s="59"/>
      <c r="E132" s="57"/>
      <c r="G132"/>
      <c r="H132" s="57"/>
      <c r="I132" s="178"/>
      <c r="J132" s="178"/>
    </row>
    <row r="133" spans="1:10" s="62" customFormat="1" x14ac:dyDescent="0.25">
      <c r="A133"/>
      <c r="B133"/>
      <c r="C133"/>
      <c r="D133" s="59"/>
      <c r="E133" s="57"/>
      <c r="G133"/>
      <c r="H133" s="57"/>
      <c r="I133" s="178"/>
      <c r="J133" s="178"/>
    </row>
    <row r="134" spans="1:10" s="62" customFormat="1" x14ac:dyDescent="0.25">
      <c r="A134"/>
      <c r="B134"/>
      <c r="C134"/>
      <c r="D134" s="59"/>
      <c r="E134" s="57"/>
      <c r="G134"/>
      <c r="H134" s="57"/>
      <c r="I134" s="178"/>
      <c r="J134" s="178"/>
    </row>
    <row r="135" spans="1:10" s="62" customFormat="1" x14ac:dyDescent="0.25">
      <c r="A135"/>
      <c r="B135"/>
      <c r="C135"/>
      <c r="D135" s="59"/>
      <c r="E135" s="57"/>
      <c r="G135"/>
      <c r="H135" s="57"/>
      <c r="I135" s="178"/>
      <c r="J135" s="178"/>
    </row>
    <row r="136" spans="1:10" s="62" customFormat="1" x14ac:dyDescent="0.25">
      <c r="A136"/>
      <c r="B136"/>
      <c r="C136"/>
      <c r="D136" s="59"/>
      <c r="E136" s="57"/>
      <c r="G136"/>
      <c r="H136" s="57"/>
      <c r="I136" s="178"/>
      <c r="J136" s="178"/>
    </row>
    <row r="137" spans="1:10" s="62" customFormat="1" x14ac:dyDescent="0.25">
      <c r="A137"/>
      <c r="B137"/>
      <c r="C137"/>
      <c r="D137" s="59"/>
      <c r="E137" s="57"/>
      <c r="G137"/>
      <c r="H137" s="57"/>
      <c r="I137" s="178"/>
      <c r="J137" s="178"/>
    </row>
    <row r="138" spans="1:10" s="62" customFormat="1" x14ac:dyDescent="0.25">
      <c r="A138"/>
      <c r="B138"/>
      <c r="C138"/>
      <c r="D138" s="59"/>
      <c r="E138" s="57"/>
      <c r="G138"/>
      <c r="H138" s="57"/>
      <c r="I138" s="178"/>
      <c r="J138" s="178"/>
    </row>
    <row r="139" spans="1:10" s="62" customFormat="1" x14ac:dyDescent="0.25">
      <c r="A139"/>
      <c r="B139"/>
      <c r="C139"/>
      <c r="D139" s="59"/>
      <c r="E139" s="57"/>
      <c r="G139"/>
      <c r="H139" s="57"/>
      <c r="I139" s="178"/>
      <c r="J139" s="178"/>
    </row>
    <row r="140" spans="1:10" s="62" customFormat="1" x14ac:dyDescent="0.25">
      <c r="A140"/>
      <c r="B140"/>
      <c r="C140"/>
      <c r="D140" s="59"/>
      <c r="E140" s="57"/>
      <c r="G140"/>
      <c r="H140" s="57"/>
      <c r="I140" s="178"/>
      <c r="J140" s="178"/>
    </row>
    <row r="141" spans="1:10" s="62" customFormat="1" x14ac:dyDescent="0.25">
      <c r="A141"/>
      <c r="B141"/>
      <c r="C141"/>
      <c r="D141" s="59"/>
      <c r="E141" s="57"/>
      <c r="G141"/>
      <c r="H141" s="57"/>
      <c r="I141" s="178"/>
      <c r="J141" s="178"/>
    </row>
    <row r="142" spans="1:10" s="62" customFormat="1" x14ac:dyDescent="0.25">
      <c r="A142"/>
      <c r="B142"/>
      <c r="C142"/>
      <c r="D142" s="59"/>
      <c r="E142" s="57"/>
      <c r="G142"/>
      <c r="H142" s="57"/>
      <c r="I142" s="178"/>
      <c r="J142" s="178"/>
    </row>
    <row r="143" spans="1:10" s="62" customFormat="1" x14ac:dyDescent="0.25">
      <c r="A143"/>
      <c r="B143"/>
      <c r="C143"/>
      <c r="D143" s="59"/>
      <c r="E143" s="57"/>
      <c r="G143"/>
      <c r="H143" s="57"/>
      <c r="I143" s="178"/>
      <c r="J143" s="178"/>
    </row>
    <row r="144" spans="1:10" s="62" customFormat="1" x14ac:dyDescent="0.25">
      <c r="A144"/>
      <c r="B144"/>
      <c r="C144"/>
      <c r="D144" s="59"/>
      <c r="E144" s="57"/>
      <c r="G144"/>
      <c r="H144" s="57"/>
      <c r="I144" s="178"/>
      <c r="J144" s="178"/>
    </row>
    <row r="145" spans="1:10" s="62" customFormat="1" x14ac:dyDescent="0.25">
      <c r="A145"/>
      <c r="B145"/>
      <c r="C145"/>
      <c r="D145" s="59"/>
      <c r="E145" s="57"/>
      <c r="G145"/>
      <c r="H145" s="57"/>
      <c r="I145" s="178"/>
      <c r="J145" s="178"/>
    </row>
    <row r="146" spans="1:10" s="62" customFormat="1" x14ac:dyDescent="0.25">
      <c r="A146"/>
      <c r="B146"/>
      <c r="C146"/>
      <c r="D146" s="59"/>
      <c r="E146" s="57"/>
      <c r="G146"/>
      <c r="H146" s="57"/>
      <c r="I146" s="178"/>
      <c r="J146" s="178"/>
    </row>
    <row r="147" spans="1:10" s="62" customFormat="1" x14ac:dyDescent="0.25">
      <c r="A147"/>
      <c r="B147"/>
      <c r="C147"/>
      <c r="D147" s="59"/>
      <c r="E147" s="57"/>
      <c r="G147"/>
      <c r="H147" s="57"/>
      <c r="I147" s="178"/>
      <c r="J147" s="178"/>
    </row>
    <row r="148" spans="1:10" s="62" customFormat="1" x14ac:dyDescent="0.25">
      <c r="A148"/>
      <c r="B148"/>
      <c r="C148"/>
      <c r="D148" s="59"/>
      <c r="E148" s="57"/>
      <c r="G148"/>
      <c r="H148" s="57"/>
      <c r="I148" s="178"/>
      <c r="J148" s="178"/>
    </row>
    <row r="149" spans="1:10" s="62" customFormat="1" x14ac:dyDescent="0.25">
      <c r="A149"/>
      <c r="B149"/>
      <c r="C149"/>
      <c r="D149" s="59"/>
      <c r="E149" s="57"/>
      <c r="G149"/>
      <c r="H149" s="57"/>
      <c r="I149" s="178"/>
      <c r="J149" s="178"/>
    </row>
    <row r="150" spans="1:10" s="62" customFormat="1" x14ac:dyDescent="0.25">
      <c r="A150"/>
      <c r="B150"/>
      <c r="C150"/>
      <c r="D150"/>
      <c r="E150"/>
      <c r="G150"/>
      <c r="H150"/>
      <c r="I150" s="106"/>
      <c r="J150" s="106"/>
    </row>
    <row r="151" spans="1:10" s="62" customFormat="1" x14ac:dyDescent="0.25">
      <c r="A151"/>
      <c r="B151"/>
      <c r="C151"/>
      <c r="D151"/>
      <c r="E151"/>
      <c r="G151"/>
      <c r="H151"/>
      <c r="I151" s="106"/>
      <c r="J151" s="106"/>
    </row>
    <row r="152" spans="1:10" s="62" customFormat="1" x14ac:dyDescent="0.25">
      <c r="A152"/>
      <c r="B152"/>
      <c r="C152"/>
      <c r="D152"/>
      <c r="E152"/>
      <c r="G152"/>
      <c r="H152"/>
      <c r="I152" s="106"/>
      <c r="J152" s="106"/>
    </row>
    <row r="153" spans="1:10" s="62" customFormat="1" x14ac:dyDescent="0.25">
      <c r="A153"/>
      <c r="B153"/>
      <c r="C153"/>
      <c r="D153"/>
      <c r="E153"/>
      <c r="G153"/>
      <c r="H153"/>
      <c r="I153" s="106"/>
      <c r="J153" s="106"/>
    </row>
    <row r="154" spans="1:10" s="62" customFormat="1" x14ac:dyDescent="0.25">
      <c r="A154"/>
      <c r="B154"/>
      <c r="C154"/>
      <c r="D154"/>
      <c r="E154"/>
      <c r="G154"/>
      <c r="H154"/>
      <c r="I154" s="106"/>
      <c r="J154" s="106"/>
    </row>
    <row r="155" spans="1:10" s="62" customFormat="1" x14ac:dyDescent="0.25">
      <c r="A155"/>
      <c r="B155"/>
      <c r="C155"/>
      <c r="D155"/>
      <c r="E155"/>
      <c r="G155"/>
      <c r="H155"/>
      <c r="I155" s="106"/>
      <c r="J155" s="106"/>
    </row>
    <row r="156" spans="1:10" s="62" customFormat="1" x14ac:dyDescent="0.25">
      <c r="A156"/>
      <c r="B156"/>
      <c r="C156"/>
      <c r="D156"/>
      <c r="E156"/>
      <c r="G156"/>
      <c r="H156"/>
      <c r="I156" s="106"/>
      <c r="J156" s="106"/>
    </row>
    <row r="157" spans="1:10" s="62" customFormat="1" x14ac:dyDescent="0.25">
      <c r="A157"/>
      <c r="B157"/>
      <c r="C157"/>
      <c r="D157"/>
      <c r="E157"/>
      <c r="G157"/>
      <c r="H157"/>
      <c r="I157" s="106"/>
      <c r="J157" s="106"/>
    </row>
    <row r="158" spans="1:10" s="62" customFormat="1" x14ac:dyDescent="0.25">
      <c r="A158"/>
      <c r="B158"/>
      <c r="C158"/>
      <c r="D158"/>
      <c r="E158"/>
      <c r="G158"/>
      <c r="H158"/>
      <c r="I158" s="106"/>
      <c r="J158" s="106"/>
    </row>
    <row r="159" spans="1:10" s="62" customFormat="1" x14ac:dyDescent="0.25">
      <c r="A159"/>
      <c r="B159"/>
      <c r="C159"/>
      <c r="D159"/>
      <c r="E159"/>
      <c r="G159"/>
      <c r="H159"/>
      <c r="I159" s="106"/>
      <c r="J159" s="106"/>
    </row>
    <row r="160" spans="1:10" s="62" customFormat="1" x14ac:dyDescent="0.25">
      <c r="A160"/>
      <c r="B160"/>
      <c r="C160"/>
      <c r="D160"/>
      <c r="E160"/>
      <c r="G160"/>
      <c r="H160"/>
      <c r="I160" s="106"/>
      <c r="J160" s="106"/>
    </row>
    <row r="161" spans="1:10" s="62" customFormat="1" x14ac:dyDescent="0.25">
      <c r="A161"/>
      <c r="B161"/>
      <c r="C161"/>
      <c r="D161"/>
      <c r="E161"/>
      <c r="G161"/>
      <c r="H161"/>
      <c r="I161" s="106"/>
      <c r="J161" s="106"/>
    </row>
    <row r="162" spans="1:10" s="62" customFormat="1" x14ac:dyDescent="0.25">
      <c r="A162"/>
      <c r="B162"/>
      <c r="C162"/>
      <c r="D162"/>
      <c r="E162"/>
      <c r="G162"/>
      <c r="H162"/>
      <c r="I162" s="106"/>
      <c r="J162" s="106"/>
    </row>
    <row r="163" spans="1:10" s="62" customFormat="1" x14ac:dyDescent="0.25">
      <c r="A163"/>
      <c r="B163"/>
      <c r="C163"/>
      <c r="D163"/>
      <c r="E163"/>
      <c r="G163"/>
      <c r="H163"/>
      <c r="I163" s="106"/>
      <c r="J163" s="106"/>
    </row>
    <row r="164" spans="1:10" s="62" customFormat="1" x14ac:dyDescent="0.25">
      <c r="A164"/>
      <c r="B164"/>
      <c r="C164"/>
      <c r="D164"/>
      <c r="E164"/>
      <c r="G164"/>
      <c r="H164"/>
      <c r="I164" s="106"/>
      <c r="J164" s="106"/>
    </row>
    <row r="165" spans="1:10" s="62" customFormat="1" x14ac:dyDescent="0.25">
      <c r="A165"/>
      <c r="B165"/>
      <c r="C165"/>
      <c r="D165"/>
      <c r="E165"/>
      <c r="G165"/>
      <c r="H165"/>
      <c r="I165" s="106"/>
      <c r="J165" s="106"/>
    </row>
    <row r="166" spans="1:10" s="62" customFormat="1" x14ac:dyDescent="0.25">
      <c r="A166"/>
      <c r="B166"/>
      <c r="C166"/>
      <c r="D166"/>
      <c r="E166"/>
      <c r="G166"/>
      <c r="H166"/>
      <c r="I166" s="106"/>
      <c r="J166" s="106"/>
    </row>
    <row r="167" spans="1:10" s="62" customFormat="1" x14ac:dyDescent="0.25">
      <c r="A167"/>
      <c r="B167"/>
      <c r="C167"/>
      <c r="D167"/>
      <c r="E167"/>
      <c r="G167"/>
      <c r="H167"/>
      <c r="I167" s="106"/>
      <c r="J167" s="106"/>
    </row>
    <row r="168" spans="1:10" s="62" customFormat="1" x14ac:dyDescent="0.25">
      <c r="A168"/>
      <c r="B168"/>
      <c r="C168"/>
      <c r="D168"/>
      <c r="E168"/>
      <c r="G168"/>
      <c r="H168"/>
      <c r="I168" s="106"/>
      <c r="J168" s="106"/>
    </row>
    <row r="169" spans="1:10" s="62" customFormat="1" x14ac:dyDescent="0.25">
      <c r="A169"/>
      <c r="B169"/>
      <c r="C169"/>
      <c r="D169"/>
      <c r="E169"/>
      <c r="G169"/>
      <c r="H169"/>
      <c r="I169" s="106"/>
      <c r="J169" s="106"/>
    </row>
    <row r="170" spans="1:10" s="62" customFormat="1" x14ac:dyDescent="0.25">
      <c r="A170"/>
      <c r="B170"/>
      <c r="C170"/>
      <c r="D170"/>
      <c r="E170"/>
      <c r="G170"/>
      <c r="H170"/>
      <c r="I170" s="106"/>
      <c r="J170" s="106"/>
    </row>
    <row r="171" spans="1:10" s="62" customFormat="1" x14ac:dyDescent="0.25">
      <c r="A171"/>
      <c r="B171"/>
      <c r="C171"/>
      <c r="D171"/>
      <c r="E171"/>
      <c r="G171"/>
      <c r="H171"/>
      <c r="I171" s="106"/>
      <c r="J171" s="106"/>
    </row>
    <row r="172" spans="1:10" s="62" customFormat="1" x14ac:dyDescent="0.25">
      <c r="A172"/>
      <c r="B172"/>
      <c r="C172"/>
      <c r="D172"/>
      <c r="E172"/>
      <c r="G172"/>
      <c r="H172"/>
      <c r="I172" s="106"/>
      <c r="J172" s="106"/>
    </row>
    <row r="173" spans="1:10" s="62" customFormat="1" x14ac:dyDescent="0.25">
      <c r="A173"/>
      <c r="B173"/>
      <c r="C173"/>
      <c r="D173"/>
      <c r="E173"/>
      <c r="G173"/>
      <c r="H173"/>
      <c r="I173" s="106"/>
      <c r="J173" s="106"/>
    </row>
    <row r="174" spans="1:10" s="62" customFormat="1" x14ac:dyDescent="0.25">
      <c r="A174"/>
      <c r="B174"/>
      <c r="C174"/>
      <c r="D174"/>
      <c r="E174"/>
      <c r="G174"/>
      <c r="H174"/>
      <c r="I174" s="106"/>
      <c r="J174" s="106"/>
    </row>
    <row r="175" spans="1:10" s="62" customFormat="1" x14ac:dyDescent="0.25">
      <c r="A175"/>
      <c r="B175"/>
      <c r="C175"/>
      <c r="D175"/>
      <c r="E175"/>
      <c r="G175"/>
      <c r="H175"/>
      <c r="I175" s="106"/>
      <c r="J175" s="106"/>
    </row>
    <row r="176" spans="1:10" s="62" customFormat="1" x14ac:dyDescent="0.25">
      <c r="A176"/>
      <c r="B176"/>
      <c r="C176"/>
      <c r="D176"/>
      <c r="E176"/>
      <c r="G176"/>
      <c r="H176"/>
      <c r="I176" s="106"/>
      <c r="J176" s="106"/>
    </row>
    <row r="177" spans="1:10" s="62" customFormat="1" x14ac:dyDescent="0.25">
      <c r="A177"/>
      <c r="B177"/>
      <c r="C177"/>
      <c r="D177"/>
      <c r="E177"/>
      <c r="G177"/>
      <c r="H177"/>
      <c r="I177" s="106"/>
      <c r="J177" s="106"/>
    </row>
    <row r="178" spans="1:10" s="62" customFormat="1" x14ac:dyDescent="0.25">
      <c r="A178"/>
      <c r="B178"/>
      <c r="C178"/>
      <c r="D178"/>
      <c r="E178"/>
      <c r="G178"/>
      <c r="H178"/>
      <c r="I178" s="106"/>
      <c r="J178" s="106"/>
    </row>
    <row r="179" spans="1:10" s="62" customFormat="1" x14ac:dyDescent="0.25">
      <c r="A179"/>
      <c r="B179"/>
      <c r="C179"/>
      <c r="D179"/>
      <c r="E179"/>
      <c r="G179"/>
      <c r="H179"/>
      <c r="I179" s="106"/>
      <c r="J179" s="106"/>
    </row>
    <row r="180" spans="1:10" s="62" customFormat="1" x14ac:dyDescent="0.25">
      <c r="A180"/>
      <c r="B180"/>
      <c r="C180"/>
      <c r="D180"/>
      <c r="E180"/>
      <c r="G180"/>
      <c r="H180"/>
      <c r="I180" s="106"/>
      <c r="J180" s="106"/>
    </row>
  </sheetData>
  <autoFilter ref="A2:E151" xr:uid="{00000000-0009-0000-0000-000003000000}"/>
  <sortState xmlns:xlrd2="http://schemas.microsoft.com/office/spreadsheetml/2017/richdata2" ref="A3:DT66">
    <sortCondition ref="E3:E66"/>
    <sortCondition ref="A3:A66"/>
  </sortState>
  <pageMargins left="0.5" right="0.5" top="0.75" bottom="0.75" header="0.3" footer="0.3"/>
  <pageSetup orientation="landscape" r:id="rId1"/>
  <headerFooter>
    <oddHeader>&amp;LDRAFT - DO NOT CITE&amp;C2010 Hypothetical Ozone Designations
&amp;A&amp;R8/27/2010</oddHead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Source xmlns="http://schemas.microsoft.com/sharepoint/v3/fields" xsi:nil="true"/>
    <Language xmlns="http://schemas.microsoft.com/sharepoint/v3">English</Language>
    <Records_x0020_Date xmlns="6d824ec8-eff4-4383-8641-438e48224e8a" xsi:nil="true"/>
    <j747ac98061d40f0aa7bd47e1db5675d xmlns="4ffa91fb-a0ff-4ac5-b2db-65c790d184a4">
      <Terms xmlns="http://schemas.microsoft.com/office/infopath/2007/PartnerControls"/>
    </j747ac98061d40f0aa7bd47e1db5675d>
    <Records_x0020_Status xmlns="6d824ec8-eff4-4383-8641-438e48224e8a">Pending</Records_x0020_Status>
    <External_x0020_Contributor xmlns="4ffa91fb-a0ff-4ac5-b2db-65c790d184a4" xsi:nil="true"/>
    <TaxKeywordTaxHTField xmlns="4ffa91fb-a0ff-4ac5-b2db-65c790d184a4">
      <Terms xmlns="http://schemas.microsoft.com/office/infopath/2007/PartnerControls"/>
    </TaxKeywordTaxHTField>
    <Record xmlns="4ffa91fb-a0ff-4ac5-b2db-65c790d184a4">Shared</Record>
    <Rights xmlns="4ffa91fb-a0ff-4ac5-b2db-65c790d184a4" xsi:nil="true"/>
    <Document_x0020_Creation_x0020_Date xmlns="4ffa91fb-a0ff-4ac5-b2db-65c790d184a4">2020-03-19T18:03:59+00:00</Document_x0020_Creation_x0020_Date>
    <EPA_x0020_Office xmlns="4ffa91fb-a0ff-4ac5-b2db-65c790d184a4" xsi:nil="true"/>
    <CategoryDescription xmlns="http://schemas.microsoft.com/sharepoint.v3" xsi:nil="true"/>
    <Identifier xmlns="4ffa91fb-a0ff-4ac5-b2db-65c790d184a4" xsi:nil="true"/>
    <_Coverage xmlns="http://schemas.microsoft.com/sharepoint/v3/fields" xsi:nil="true"/>
    <Creator xmlns="4ffa91fb-a0ff-4ac5-b2db-65c790d184a4">
      <UserInfo>
        <DisplayName/>
        <AccountId xsi:nil="true"/>
        <AccountType/>
      </UserInfo>
    </Creator>
    <EPA_x0020_Related_x0020_Documents xmlns="4ffa91fb-a0ff-4ac5-b2db-65c790d184a4" xsi:nil="true"/>
    <EPA_x0020_Contributor xmlns="4ffa91fb-a0ff-4ac5-b2db-65c790d184a4">
      <UserInfo>
        <DisplayName/>
        <AccountId xsi:nil="true"/>
        <AccountType/>
      </UserInfo>
    </EPA_x0020_Contributor>
    <TaxCatchAll xmlns="4ffa91fb-a0ff-4ac5-b2db-65c790d184a4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13309AF2AADD44927CE3D5FA71DEB0" ma:contentTypeVersion="26" ma:contentTypeDescription="Create a new document." ma:contentTypeScope="" ma:versionID="713468bfe905fa94a6b91774803b6b80">
  <xsd:schema xmlns:xsd="http://www.w3.org/2001/XMLSchema" xmlns:xs="http://www.w3.org/2001/XMLSchema" xmlns:p="http://schemas.microsoft.com/office/2006/metadata/properties" xmlns:ns1="http://schemas.microsoft.com/sharepoint/v3" xmlns:ns3="4ffa91fb-a0ff-4ac5-b2db-65c790d184a4" xmlns:ns4="http://schemas.microsoft.com/sharepoint.v3" xmlns:ns5="http://schemas.microsoft.com/sharepoint/v3/fields" xmlns:ns6="6d824ec8-eff4-4383-8641-438e48224e8a" xmlns:ns7="e06c7fa4-dfb9-4ed1-9453-59917a54ab84" targetNamespace="http://schemas.microsoft.com/office/2006/metadata/properties" ma:root="true" ma:fieldsID="e0faa2a968f4b4d7b3067287cf6770d1" ns1:_="" ns3:_="" ns4:_="" ns5:_="" ns6:_="" ns7:_="">
    <xsd:import namespace="http://schemas.microsoft.com/sharepoint/v3"/>
    <xsd:import namespace="4ffa91fb-a0ff-4ac5-b2db-65c790d184a4"/>
    <xsd:import namespace="http://schemas.microsoft.com/sharepoint.v3"/>
    <xsd:import namespace="http://schemas.microsoft.com/sharepoint/v3/fields"/>
    <xsd:import namespace="6d824ec8-eff4-4383-8641-438e48224e8a"/>
    <xsd:import namespace="e06c7fa4-dfb9-4ed1-9453-59917a54ab84"/>
    <xsd:element name="properties">
      <xsd:complexType>
        <xsd:sequence>
          <xsd:element name="documentManagement">
            <xsd:complexType>
              <xsd:all>
                <xsd:element ref="ns3:Document_x0020_Creation_x0020_Date" minOccurs="0"/>
                <xsd:element ref="ns3:Creator" minOccurs="0"/>
                <xsd:element ref="ns3:EPA_x0020_Office" minOccurs="0"/>
                <xsd:element ref="ns3:Record" minOccurs="0"/>
                <xsd:element ref="ns4:CategoryDescription" minOccurs="0"/>
                <xsd:element ref="ns3:Identifier" minOccurs="0"/>
                <xsd:element ref="ns3:EPA_x0020_Contributor" minOccurs="0"/>
                <xsd:element ref="ns3:External_x0020_Contributor" minOccurs="0"/>
                <xsd:element ref="ns5:_Coverage" minOccurs="0"/>
                <xsd:element ref="ns3:EPA_x0020_Related_x0020_Documents" minOccurs="0"/>
                <xsd:element ref="ns5:_Source" minOccurs="0"/>
                <xsd:element ref="ns3:Rights" minOccurs="0"/>
                <xsd:element ref="ns1:Language" minOccurs="0"/>
                <xsd:element ref="ns3:j747ac98061d40f0aa7bd47e1db5675d" minOccurs="0"/>
                <xsd:element ref="ns3:TaxKeywordTaxHTField" minOccurs="0"/>
                <xsd:element ref="ns3:TaxCatchAllLabel" minOccurs="0"/>
                <xsd:element ref="ns3:TaxCatchAll" minOccurs="0"/>
                <xsd:element ref="ns6:SharedWithUsers" minOccurs="0"/>
                <xsd:element ref="ns6:SharedWithDetails" minOccurs="0"/>
                <xsd:element ref="ns6:SharingHintHash" minOccurs="0"/>
                <xsd:element ref="ns7:MediaServiceMetadata" minOccurs="0"/>
                <xsd:element ref="ns7:MediaServiceFastMetadata" minOccurs="0"/>
                <xsd:element ref="ns6:Records_x0020_Status" minOccurs="0"/>
                <xsd:element ref="ns6:Records_x0020_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17" nillable="true" ma:displayName="Language" ma:default="English" ma:description="Select the document language from the drop down." ma:format="Dropdown" ma:internalName="Language" ma:readOnly="false">
      <xsd:simpleType>
        <xsd:restriction base="dms:Choice">
          <xsd:enumeration value="Arabic (Saudi Arabia)"/>
          <xsd:enumeration value="Bulgarian (Bulgaria)"/>
          <xsd:enumeration value="Chinese (Hong Kong S.A.R.)"/>
          <xsd:enumeration value="Chinese (People's Republic of China)"/>
          <xsd:enumeration value="Chinese (Taiwan)"/>
          <xsd:enumeration value="Croatian (Croatia)"/>
          <xsd:enumeration value="Czech (Czech Republic)"/>
          <xsd:enumeration value="Danish (Denmark)"/>
          <xsd:enumeration value="Dutch (Netherlands)"/>
          <xsd:enumeration value="English"/>
          <xsd:enumeration value="Estonian (Estonia)"/>
          <xsd:enumeration value="Finnish (Finland)"/>
          <xsd:enumeration value="French (France)"/>
          <xsd:enumeration value="German (Germany)"/>
          <xsd:enumeration value="Greek (Greece)"/>
          <xsd:enumeration value="Hebrew (Israel)"/>
          <xsd:enumeration value="Hindi (India)"/>
          <xsd:enumeration value="Hungarian (Hungary)"/>
          <xsd:enumeration value="Indonesian (Indonesia)"/>
          <xsd:enumeration value="Italian (Italy)"/>
          <xsd:enumeration value="Japanese (Japan)"/>
          <xsd:enumeration value="Korean (Korea)"/>
          <xsd:enumeration value="Latvian (Latvia)"/>
          <xsd:enumeration value="Lithuanian (Lithuania)"/>
          <xsd:enumeration value="Malay (Malaysia)"/>
          <xsd:enumeration value="Norwegian (Bokmal) (Norway)"/>
          <xsd:enumeration value="Polish (Poland)"/>
          <xsd:enumeration value="Portuguese (Brazil)"/>
          <xsd:enumeration value="Portuguese (Portugal)"/>
          <xsd:enumeration value="Romanian (Romania)"/>
          <xsd:enumeration value="Russian (Russia)"/>
          <xsd:enumeration value="Serbian (Latin) (Serbia)"/>
          <xsd:enumeration value="Slovak (Slovakia)"/>
          <xsd:enumeration value="Slovenian (Slovenia)"/>
          <xsd:enumeration value="Spanish (Spain)"/>
          <xsd:enumeration value="Swedish (Sweden)"/>
          <xsd:enumeration value="Thai (Thailand)"/>
          <xsd:enumeration value="Turkish (Turkey)"/>
          <xsd:enumeration value="Ukrainian (Ukraine)"/>
          <xsd:enumeration value="Urdu (Islamic Republic of Pakistan)"/>
          <xsd:enumeration value="Vietnamese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a91fb-a0ff-4ac5-b2db-65c790d184a4" elementFormDefault="qualified">
    <xsd:import namespace="http://schemas.microsoft.com/office/2006/documentManagement/types"/>
    <xsd:import namespace="http://schemas.microsoft.com/office/infopath/2007/PartnerControls"/>
    <xsd:element name="Document_x0020_Creation_x0020_Date" ma:index="2" nillable="true" ma:displayName="Document Date" ma:default="[today]" ma:description="Enter the date this document was last modified. The upload date has been entered by default." ma:format="DateOnly" ma:internalName="Document_x0020_Creation_x0020_Date" ma:readOnly="false">
      <xsd:simpleType>
        <xsd:restriction base="dms:DateTime"/>
      </xsd:simpleType>
    </xsd:element>
    <xsd:element name="Creator" ma:index="3" nillable="true" ma:displayName="Creator" ma:description="Enter the person primarily responsible for the document. The name of the person uploading the document has been entered by default." ma:list="UserInfo" ma:SharePointGroup="0" ma:internalName="Creato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PA_x0020_Office" ma:index="4" nillable="true" ma:displayName="EPA Office" ma:description="Enter the EPA organization primarily responsible for the document. The office of the person uploading the document has been entered by default." ma:internalName="EPA_x0020_Office">
      <xsd:simpleType>
        <xsd:restriction base="dms:Text">
          <xsd:maxLength value="255"/>
        </xsd:restriction>
      </xsd:simpleType>
    </xsd:element>
    <xsd:element name="Record" ma:index="5" nillable="true" ma:displayName="Record" ma:default="Shared" ma:description="For documents that provide evidence of EPA decisions and actions, select &quot;Shared&quot; (open access) or &quot;Private&quot; (restricted access)." ma:format="Dropdown" ma:internalName="Record">
      <xsd:simpleType>
        <xsd:restriction base="dms:Choice">
          <xsd:enumeration value="None"/>
          <xsd:enumeration value="Shared"/>
          <xsd:enumeration value="Private"/>
        </xsd:restriction>
      </xsd:simpleType>
    </xsd:element>
    <xsd:element name="Identifier" ma:index="9" nillable="true" ma:displayName="Identifier" ma:description="Enter all EPA identification numbers applicable to this document, one on each line." ma:internalName="Identifier" ma:readOnly="false">
      <xsd:simpleType>
        <xsd:restriction base="dms:Note">
          <xsd:maxLength value="255"/>
        </xsd:restriction>
      </xsd:simpleType>
    </xsd:element>
    <xsd:element name="EPA_x0020_Contributor" ma:index="11" nillable="true" ma:displayName="EPA Contributor" ma:description="Enter an EPA person who contributed to the creation of the document but is not the primary author." ma:list="UserInfo" ma:SharePointGroup="0" ma:internalName="EPA_x0020_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xternal_x0020_Contributor" ma:index="12" nillable="true" ma:displayName="External Contributor" ma:description="Enter a non-EPA person who contributed to the creation of the document but is not the primary author." ma:internalName="External_x0020_Contributor" ma:readOnly="false">
      <xsd:simpleType>
        <xsd:restriction base="dms:Note">
          <xsd:maxLength value="255"/>
        </xsd:restriction>
      </xsd:simpleType>
    </xsd:element>
    <xsd:element name="EPA_x0020_Related_x0020_Documents" ma:index="14" nillable="true" ma:displayName="Other Related Documents" ma:description="Enter any related document." ma:internalName="EPA_x0020_Related_x0020_Documents">
      <xsd:simpleType>
        <xsd:restriction base="dms:Note">
          <xsd:maxLength value="255"/>
        </xsd:restriction>
      </xsd:simpleType>
    </xsd:element>
    <xsd:element name="Rights" ma:index="16" nillable="true" ma:displayName="Rights" ma:description="Enter information about intellectual property rights held over the document (e.g. copyright, patent, trademark)." ma:internalName="Rights" ma:readOnly="false">
      <xsd:simpleType>
        <xsd:restriction base="dms:Note">
          <xsd:maxLength value="255"/>
        </xsd:restriction>
      </xsd:simpleType>
    </xsd:element>
    <xsd:element name="j747ac98061d40f0aa7bd47e1db5675d" ma:index="19" nillable="true" ma:taxonomy="true" ma:internalName="j747ac98061d40f0aa7bd47e1db5675d" ma:taxonomyFieldName="Document_x0020_Type" ma:displayName="Document Type" ma:readOnly="false" ma:default="" ma:fieldId="{3747ac98-061d-40f0-aa7b-d47e1db5675d}" ma:sspId="29f62856-1543-49d4-a736-4569d363f533" ma:termSetId="e06cd6a9-a175-4da0-81cb-8dba7aa394a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1" nillable="true" ma:taxonomy="true" ma:internalName="TaxKeywordTaxHTField" ma:taxonomyFieldName="TaxKeyword" ma:displayName="Enterprise Keywords" ma:readOnly="false" ma:fieldId="{23f27201-bee3-471e-b2e7-b64fd8b7ca38}" ma:taxonomyMulti="true" ma:sspId="29f62856-1543-49d4-a736-4569d363f533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Label" ma:index="23" nillable="true" ma:displayName="Taxonomy Catch All Column1" ma:hidden="true" ma:list="{9ee9076b-1dd2-45d7-a2dc-8683fc5d0f60}" ma:internalName="TaxCatchAllLabel" ma:readOnly="true" ma:showField="CatchAllDataLabel" ma:web="6d824ec8-eff4-4383-8641-438e48224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4" nillable="true" ma:displayName="Taxonomy Catch All Column" ma:hidden="true" ma:list="{9ee9076b-1dd2-45d7-a2dc-8683fc5d0f60}" ma:internalName="TaxCatchAll" ma:showField="CatchAllData" ma:web="6d824ec8-eff4-4383-8641-438e48224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6" nillable="true" ma:displayName="Description" ma:description="Enter a brief description." ma:internalName="CategoryDescription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Coverage" ma:index="13" nillable="true" ma:displayName="Coverage" ma:description="Enter the geographic location, jurisdiction, or time period for which the document is relevant." ma:internalName="_Coverage" ma:readOnly="false">
      <xsd:simpleType>
        <xsd:restriction base="dms:Text">
          <xsd:maxLength value="255"/>
        </xsd:restriction>
      </xsd:simpleType>
    </xsd:element>
    <xsd:element name="_Source" ma:index="15" nillable="true" ma:displayName="Source" ma:description="Enter a source from which the document is derived." ma:internalName="_Source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824ec8-eff4-4383-8641-438e48224e8a" elementFormDefault="qualified">
    <xsd:import namespace="http://schemas.microsoft.com/office/2006/documentManagement/types"/>
    <xsd:import namespace="http://schemas.microsoft.com/office/infopath/2007/PartnerControls"/>
    <xsd:element name="SharedWithUsers" ma:index="2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30" nillable="true" ma:displayName="Sharing Hint Hash" ma:description="" ma:hidden="true" ma:internalName="SharingHintHash" ma:readOnly="true">
      <xsd:simpleType>
        <xsd:restriction base="dms:Text"/>
      </xsd:simpleType>
    </xsd:element>
    <xsd:element name="Records_x0020_Status" ma:index="33" nillable="true" ma:displayName="Records Status" ma:default="Pending" ma:internalName="Records_x0020_Status">
      <xsd:simpleType>
        <xsd:restriction base="dms:Text"/>
      </xsd:simpleType>
    </xsd:element>
    <xsd:element name="Records_x0020_Date" ma:index="34" nillable="true" ma:displayName="Records Date" ma:hidden="true" ma:internalName="Records_x0020_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6c7fa4-dfb9-4ed1-9453-59917a54ab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32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29f62856-1543-49d4-a736-4569d363f533" ContentTypeId="0x0101" PreviousValue="fals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111C18-9A8F-414E-875E-85AD953C3B68}">
  <ds:schemaRefs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sharepoint.v3"/>
    <ds:schemaRef ds:uri="http://schemas.openxmlformats.org/package/2006/metadata/core-properties"/>
    <ds:schemaRef ds:uri="http://purl.org/dc/dcmitype/"/>
    <ds:schemaRef ds:uri="http://schemas.microsoft.com/sharepoint/v3"/>
    <ds:schemaRef ds:uri="e06c7fa4-dfb9-4ed1-9453-59917a54ab84"/>
    <ds:schemaRef ds:uri="http://schemas.microsoft.com/sharepoint/v3/fields"/>
    <ds:schemaRef ds:uri="http://purl.org/dc/elements/1.1/"/>
    <ds:schemaRef ds:uri="http://schemas.microsoft.com/office/2006/metadata/properties"/>
    <ds:schemaRef ds:uri="6d824ec8-eff4-4383-8641-438e48224e8a"/>
    <ds:schemaRef ds:uri="4ffa91fb-a0ff-4ac5-b2db-65c790d184a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1D95609-D229-441F-BFEE-2D52D733AE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ffa91fb-a0ff-4ac5-b2db-65c790d184a4"/>
    <ds:schemaRef ds:uri="http://schemas.microsoft.com/sharepoint.v3"/>
    <ds:schemaRef ds:uri="http://schemas.microsoft.com/sharepoint/v3/fields"/>
    <ds:schemaRef ds:uri="6d824ec8-eff4-4383-8641-438e48224e8a"/>
    <ds:schemaRef ds:uri="e06c7fa4-dfb9-4ed1-9453-59917a54ab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A19FB8D-072B-44C7-BD62-669ADA246D15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B3DDCEB7-FFCA-4129-B5E5-1FBD03B940F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15</vt:i4>
      </vt:variant>
    </vt:vector>
  </HeadingPairs>
  <TitlesOfParts>
    <vt:vector size="30" baseType="lpstr">
      <vt:lpstr>ICR summary</vt:lpstr>
      <vt:lpstr>Final State Summary</vt:lpstr>
      <vt:lpstr>Present Value Costs</vt:lpstr>
      <vt:lpstr>2015NAAcount</vt:lpstr>
      <vt:lpstr>2015MarNAAcount</vt:lpstr>
      <vt:lpstr>2015 Marg bumpups</vt:lpstr>
      <vt:lpstr>Prel2020determinations</vt:lpstr>
      <vt:lpstr>NAAs by State</vt:lpstr>
      <vt:lpstr>2015Areas by Class</vt:lpstr>
      <vt:lpstr>new2008Sev15</vt:lpstr>
      <vt:lpstr>2008serious</vt:lpstr>
      <vt:lpstr>Table 6 and 7</vt:lpstr>
      <vt:lpstr>Table10</vt:lpstr>
      <vt:lpstr>Reg lookup</vt:lpstr>
      <vt:lpstr>Updated labor rates</vt:lpstr>
      <vt:lpstr>Abbn</vt:lpstr>
      <vt:lpstr>MPs_1997</vt:lpstr>
      <vt:lpstr>'Table 6 and 7'!NewSev15NAAs</vt:lpstr>
      <vt:lpstr>NewSev15NAAs</vt:lpstr>
      <vt:lpstr>'Updated labor rates'!Print_Area</vt:lpstr>
      <vt:lpstr>'2015Areas by Class'!Print_Titles</vt:lpstr>
      <vt:lpstr>'Final State Summary'!Print_Titles</vt:lpstr>
      <vt:lpstr>'NAAs by State'!Print_Titles</vt:lpstr>
      <vt:lpstr>'Present Value Costs'!Print_Titles</vt:lpstr>
      <vt:lpstr>Regionnum</vt:lpstr>
      <vt:lpstr>Regions</vt:lpstr>
      <vt:lpstr>State_abrv</vt:lpstr>
      <vt:lpstr>'2015Areas by Class'!Statename</vt:lpstr>
      <vt:lpstr>Statename</vt:lpstr>
      <vt:lpstr>StateReg</vt:lpstr>
    </vt:vector>
  </TitlesOfParts>
  <Company>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Butch</dc:creator>
  <cp:lastModifiedBy>Salahuddin, Diane</cp:lastModifiedBy>
  <cp:lastPrinted>2012-07-02T21:37:09Z</cp:lastPrinted>
  <dcterms:created xsi:type="dcterms:W3CDTF">2010-08-26T14:40:11Z</dcterms:created>
  <dcterms:modified xsi:type="dcterms:W3CDTF">2021-03-05T14:18:41Z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0x010100E713309AF2AADD44927CE3D5FA71DEB0</vt:lpwstr>
  </property>
</Properties>
</file>