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fileSharing readOnlyRecommended="1"/>
  <workbookPr/>
  <mc:AlternateContent xmlns:mc="http://schemas.openxmlformats.org/markup-compatibility/2006">
    <mc:Choice Requires="x15">
      <x15ac:absPath xmlns:x15ac="http://schemas.microsoft.com/office/spreadsheetml/2010/11/ac" url="https://usdagcc-my.sharepoint.com/personal/jamia_franklin_usda_gov/Documents/Documents/FNS ICRs/Regular ICRs 2024/2024–2025 National School Foods Study/New packet/NSFS appendices/"/>
    </mc:Choice>
  </mc:AlternateContent>
  <xr:revisionPtr revIDLastSave="45" documentId="8_{9E0CC9BA-F9C3-4F69-8929-F6B10817FD21}" xr6:coauthVersionLast="47" xr6:coauthVersionMax="47" xr10:uidLastSave="{AE4428F3-CFF5-4437-A5FA-D6E07DFD5282}"/>
  <bookViews>
    <workbookView xWindow="-108" yWindow="-108" windowWidth="23256" windowHeight="12576" xr2:uid="{00000000-000D-0000-FFFF-FFFF00000000}"/>
  </bookViews>
  <sheets>
    <sheet name="Burden Table" sheetId="1" r:id="rId1"/>
    <sheet name="SampleSizes" sheetId="6" r:id="rId2"/>
    <sheet name="Resp_NonResp" sheetId="3" r:id="rId3"/>
    <sheet name="Hourly Wages" sheetId="4" r:id="rId4"/>
  </sheets>
  <externalReferences>
    <externalReference r:id="rId5"/>
    <externalReference r:id="rId6"/>
  </externalReferences>
  <definedNames>
    <definedName name="_xlnm._FilterDatabase" localSheetId="0" hidden="1">'Burden Table'!$A$3:$Q$203</definedName>
    <definedName name="AK_SFAComplete">#REF!</definedName>
    <definedName name="AK_SFAReleased" localSheetId="3">[1]SampleSizes!$G$3</definedName>
    <definedName name="AK_SFAReleased">#REF!</definedName>
    <definedName name="FOA_SFACost_completed">#REF!</definedName>
    <definedName name="FullOA_completes" localSheetId="3">[1]SampleSizes!$J$5</definedName>
    <definedName name="FullOA_completes">#REF!</definedName>
    <definedName name="FullOA_SchoolsRecruited" localSheetId="3">[1]SampleSizes!$J$7</definedName>
    <definedName name="FullOA_SchoolsRecruited">#REF!</definedName>
    <definedName name="FullOA_SchoolsVisitComplete">#REF!</definedName>
    <definedName name="FullOA_SFARecruited" localSheetId="3">[1]SampleSizes!$J$4</definedName>
    <definedName name="FullOA_SFARecruited">#REF!</definedName>
    <definedName name="FullOA_SFAReleased" localSheetId="3">[1]SampleSizes!$J$3</definedName>
    <definedName name="FullOA_SFAReleased">#REF!</definedName>
    <definedName name="FullOACS_EAFO" localSheetId="3">'Hourly Wages'!$G$15</definedName>
    <definedName name="FullOACS_EAFO">'[2]Hourly Wages'!$G$15</definedName>
    <definedName name="FullOACS_FSMCManager" localSheetId="3">'Hourly Wages'!$G$17</definedName>
    <definedName name="FullOACS_FSMCManager">'[2]Hourly Wages'!$G$17</definedName>
    <definedName name="FullOACS_Principal" localSheetId="3">'Hourly Wages'!$G$18</definedName>
    <definedName name="FullOACS_Principal">'[2]Hourly Wages'!$G$18</definedName>
    <definedName name="FullOACS_SFA_LEA_Superintendent_CNDirector" localSheetId="3">'Hourly Wages'!$G$14</definedName>
    <definedName name="FullOACS_SFA_LEA_Superintendent_CNDirector">'[2]Hourly Wages'!$G$14</definedName>
    <definedName name="FullOACS_SNM" localSheetId="3">'Hourly Wages'!$G$16</definedName>
    <definedName name="FullOACS_SNM">'[2]Hourly Wages'!$G$16</definedName>
    <definedName name="G1_completes" localSheetId="3">[1]SampleSizes!$B$6</definedName>
    <definedName name="G1_completes">#REF!</definedName>
    <definedName name="G1_SFAReleased" localSheetId="3">[1]SampleSizes!$B$3</definedName>
    <definedName name="G1_SFAReleased">#REF!</definedName>
    <definedName name="G2_completes" localSheetId="3">[1]SampleSizes!$C$6</definedName>
    <definedName name="G2_completes">#REF!</definedName>
    <definedName name="G2_ElemCompletes" localSheetId="3">[1]SampleSizes!$C$11</definedName>
    <definedName name="G2_ElemCompletes">#REF!</definedName>
    <definedName name="G2_ElemPart2Complete" localSheetId="3">[1]SampleSizes!$C$14</definedName>
    <definedName name="G2_ElemPart2Complete">#REF!</definedName>
    <definedName name="G2_G3_certaintycompletes" localSheetId="3">[1]SampleSizes!$D$6</definedName>
    <definedName name="G2_G3_certaintycompletes">#REF!</definedName>
    <definedName name="G2_G3_certaintyrecruited" localSheetId="3">[1]SampleSizes!$D$4</definedName>
    <definedName name="G2_G3_certaintyrecruited">#REF!</definedName>
    <definedName name="G2_G3_SchoolsComplete" localSheetId="3">[1]SampleSizes!$F$8</definedName>
    <definedName name="G2_G3_SchoolsComplete">#REF!</definedName>
    <definedName name="G2_G3_SchoolsRecruited" localSheetId="3">[1]SampleSizes!$F$7</definedName>
    <definedName name="G2_G3_SchoolsRecruited">#REF!</definedName>
    <definedName name="G2_G3_SFARecruited" localSheetId="3">[1]SampleSizes!$F$4</definedName>
    <definedName name="G2_G3_SFARecruited">#REF!</definedName>
    <definedName name="G2_G3_SFAReleased" localSheetId="3">[1]SampleSizes!$F$3</definedName>
    <definedName name="G2_G3_SFAReleased">#REF!</definedName>
    <definedName name="G2_G3_SFAVisitComplete">#REF!</definedName>
    <definedName name="G2_MHCompletes">#REF!</definedName>
    <definedName name="G2_ParentCompletes" localSheetId="3">[1]SampleSizes!$C$13</definedName>
    <definedName name="G2_ParentCompletes">#REF!</definedName>
    <definedName name="G2_SchoolsComplete" localSheetId="3">[1]SampleSizes!$C$8</definedName>
    <definedName name="G2_SchoolsComplete">#REF!</definedName>
    <definedName name="G2_SchoolsRecruited" localSheetId="3">[1]SampleSizes!$C$7</definedName>
    <definedName name="G2_SchoolsRecruited">#REF!</definedName>
    <definedName name="G2_SFARecruited" localSheetId="3">[1]SampleSizes!$C$4</definedName>
    <definedName name="G2_SFARecruited">#REF!</definedName>
    <definedName name="G2_SFAReleased">#REF!</definedName>
    <definedName name="G2_SFAVisitComplete">#REF!</definedName>
    <definedName name="G2_StudentCompletes" localSheetId="3">[1]SampleSizes!$C$10</definedName>
    <definedName name="G2_StudentCompletes">#REF!</definedName>
    <definedName name="G2_UsualIntake" localSheetId="3">[1]SampleSizes!$C$15</definedName>
    <definedName name="G2_UsualIntake">#REF!</definedName>
    <definedName name="G2a_ParentIntElem_completed">#REF!</definedName>
    <definedName name="G2a_ParentIntElem_released">#REF!</definedName>
    <definedName name="G2a_ParentIntMiddHigh_completed">#REF!</definedName>
    <definedName name="G2a_ParentIntMiddHigh_released">#REF!</definedName>
    <definedName name="G2b_ParentIntElem_completed">#REF!</definedName>
    <definedName name="G2b_ParentIntElem_released">#REF!</definedName>
    <definedName name="G3_completes" localSheetId="3">[1]SampleSizes!$E$6</definedName>
    <definedName name="G3_completes">#REF!</definedName>
    <definedName name="G3_SchoolsComplete" localSheetId="3">[1]SampleSizes!$E$8</definedName>
    <definedName name="G3_SchoolsComplete">#REF!</definedName>
    <definedName name="G3_SchoolsRecruited" localSheetId="3">[1]SampleSizes!$E$7</definedName>
    <definedName name="G3_SchoolsRecruited">#REF!</definedName>
    <definedName name="G3_SFACost_completed">#REF!</definedName>
    <definedName name="G3_SFARecruited" localSheetId="3">[1]SampleSizes!$E$4</definedName>
    <definedName name="G3_SFARecruited">#REF!</definedName>
    <definedName name="G3_SFAReleased">#REF!</definedName>
    <definedName name="G3_SFAVisitComplete">#REF!</definedName>
    <definedName name="HI_SFAReleased" localSheetId="3">[1]SampleSizes!$I$3</definedName>
    <definedName name="HI_SFAReleased">#REF!</definedName>
    <definedName name="LimOACS_SFA_LEA_Superintendent_CNDirector" localSheetId="3">'Hourly Wages'!$F$22</definedName>
    <definedName name="LimOACS_SFA_LEA_Superintendent_CNDirector">'[2]Hourly Wages'!$F$22</definedName>
    <definedName name="LtdOA_SFAsReleased" localSheetId="3">[1]SampleSizes!$K$3</definedName>
    <definedName name="LtdOA_SFAsReleased">#REF!</definedName>
    <definedName name="Main_CNDirector_EAFO" localSheetId="3">'Hourly Wages'!$D$4</definedName>
    <definedName name="Main_CNDirector_EAFO">'[2]Hourly Wages'!$D$4</definedName>
    <definedName name="Main_Distributor">'Hourly Wages'!$D$10</definedName>
    <definedName name="Main_FSMCManager" localSheetId="3">'Hourly Wages'!$D$9</definedName>
    <definedName name="Main_FSMCManager">'[2]Hourly Wages'!$D$10</definedName>
    <definedName name="Main_MenuPlanner" localSheetId="3">'Hourly Wages'!#REF!</definedName>
    <definedName name="Main_MenuPlanner">'[2]Hourly Wages'!$D$6</definedName>
    <definedName name="Main_Parent" localSheetId="3">'Hourly Wages'!$D$8</definedName>
    <definedName name="Main_Parent">'[2]Hourly Wages'!$D$9</definedName>
    <definedName name="Main_Principal" localSheetId="3">'Hourly Wages'!$D$7</definedName>
    <definedName name="Main_Principal">'[2]Hourly Wages'!$D$8</definedName>
    <definedName name="Main_SchoolStaffLiaison" localSheetId="3">'Hourly Wages'!$D$6</definedName>
    <definedName name="Main_SchoolStaffLiaison">'[2]Hourly Wages'!$D$7</definedName>
    <definedName name="Main_SFA_LEA" localSheetId="3">'Hourly Wages'!$D$2</definedName>
    <definedName name="Main_SFA_LEA">'[2]Hourly Wages'!$D$2</definedName>
    <definedName name="Main_SNM" localSheetId="3">'Hourly Wages'!$D$5</definedName>
    <definedName name="Main_SNM">'[2]Hourly Wages'!$D$5</definedName>
    <definedName name="Main_Superintendent" localSheetId="3">'Hourly Wages'!$D$3</definedName>
    <definedName name="Main_Superintendent">'[2]Hourly Wages'!$D$3</definedName>
    <definedName name="PW_Completes" localSheetId="3">[1]SampleSizes!$E$9</definedName>
    <definedName name="PW_Complet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78" i="1" l="1"/>
  <c r="L179" i="1" l="1"/>
  <c r="F201" i="1" l="1"/>
  <c r="G139" i="1"/>
  <c r="G151" i="1"/>
  <c r="F151" i="1"/>
  <c r="F139" i="1"/>
  <c r="F179" i="1"/>
  <c r="F191" i="1"/>
  <c r="F202" i="1" l="1"/>
  <c r="F110" i="1"/>
  <c r="F152" i="1" s="1"/>
  <c r="L90" i="1"/>
  <c r="N90" i="1" s="1"/>
  <c r="P90" i="1" s="1"/>
  <c r="I90" i="1"/>
  <c r="K90" i="1" s="1"/>
  <c r="L12" i="1"/>
  <c r="N12" i="1" s="1"/>
  <c r="P12" i="1" s="1"/>
  <c r="F203" i="1" l="1"/>
  <c r="Q90" i="1"/>
  <c r="S90" i="1" s="1"/>
  <c r="I12" i="1"/>
  <c r="K12" i="1" s="1"/>
  <c r="Q12" i="1" s="1"/>
  <c r="S12" i="1" s="1"/>
  <c r="I75" i="1"/>
  <c r="K75" i="1" s="1"/>
  <c r="L75" i="1" l="1"/>
  <c r="N75" i="1" s="1"/>
  <c r="P75" i="1" s="1"/>
  <c r="Q75" i="1" s="1"/>
  <c r="S75" i="1" s="1"/>
  <c r="I46" i="1"/>
  <c r="K46" i="1" s="1"/>
  <c r="I38" i="1"/>
  <c r="K38" i="1" s="1"/>
  <c r="N158" i="1"/>
  <c r="P158" i="1" s="1"/>
  <c r="I158" i="1"/>
  <c r="K158" i="1" s="1"/>
  <c r="L163" i="1"/>
  <c r="N163" i="1" s="1"/>
  <c r="P163" i="1" s="1"/>
  <c r="I163" i="1"/>
  <c r="K163" i="1" s="1"/>
  <c r="N153" i="1"/>
  <c r="I153" i="1"/>
  <c r="L192" i="1"/>
  <c r="N192" i="1" s="1"/>
  <c r="I192" i="1"/>
  <c r="L111" i="1"/>
  <c r="N111" i="1" s="1"/>
  <c r="I111" i="1"/>
  <c r="L20" i="1"/>
  <c r="N20" i="1" s="1"/>
  <c r="P20" i="1" s="1"/>
  <c r="I20" i="1"/>
  <c r="K20" i="1" s="1"/>
  <c r="L34" i="1"/>
  <c r="N34" i="1" s="1"/>
  <c r="P34" i="1" s="1"/>
  <c r="I34" i="1"/>
  <c r="K34" i="1" s="1"/>
  <c r="I127" i="1"/>
  <c r="K127" i="1" s="1"/>
  <c r="I117" i="1"/>
  <c r="K117" i="1" s="1"/>
  <c r="K192" i="1" l="1"/>
  <c r="P192" i="1"/>
  <c r="K153" i="1"/>
  <c r="Q153" i="1" s="1"/>
  <c r="S153" i="1" s="1"/>
  <c r="K111" i="1"/>
  <c r="P111" i="1"/>
  <c r="L46" i="1"/>
  <c r="N46" i="1" s="1"/>
  <c r="P46" i="1" s="1"/>
  <c r="Q46" i="1" s="1"/>
  <c r="S46" i="1" s="1"/>
  <c r="L38" i="1"/>
  <c r="N38" i="1" s="1"/>
  <c r="P38" i="1" s="1"/>
  <c r="Q38" i="1" s="1"/>
  <c r="S38" i="1" s="1"/>
  <c r="Q158" i="1"/>
  <c r="S158" i="1" s="1"/>
  <c r="Q163" i="1"/>
  <c r="S163" i="1" s="1"/>
  <c r="L117" i="1"/>
  <c r="N117" i="1" s="1"/>
  <c r="P117" i="1" s="1"/>
  <c r="Q117" i="1" s="1"/>
  <c r="S117" i="1" s="1"/>
  <c r="Q34" i="1"/>
  <c r="S34" i="1" s="1"/>
  <c r="L127" i="1"/>
  <c r="N127" i="1" s="1"/>
  <c r="P127" i="1" s="1"/>
  <c r="Q127" i="1" s="1"/>
  <c r="S127" i="1" s="1"/>
  <c r="Q20" i="1"/>
  <c r="S20" i="1" s="1"/>
  <c r="E22" i="4"/>
  <c r="Q111" i="1" l="1"/>
  <c r="S111" i="1" s="1"/>
  <c r="Q192" i="1"/>
  <c r="S192" i="1" s="1"/>
  <c r="D14" i="4"/>
  <c r="C12" i="3"/>
  <c r="D10" i="4"/>
  <c r="L162" i="1"/>
  <c r="N162" i="1" s="1"/>
  <c r="P162" i="1" s="1"/>
  <c r="I162" i="1"/>
  <c r="K162" i="1" s="1"/>
  <c r="L161" i="1"/>
  <c r="N161" i="1" s="1"/>
  <c r="P161" i="1" s="1"/>
  <c r="I161" i="1"/>
  <c r="K161" i="1" s="1"/>
  <c r="L160" i="1"/>
  <c r="N160" i="1" s="1"/>
  <c r="P160" i="1" s="1"/>
  <c r="I160" i="1"/>
  <c r="K160" i="1" s="1"/>
  <c r="L159" i="1"/>
  <c r="N159" i="1" s="1"/>
  <c r="P159" i="1" s="1"/>
  <c r="I159" i="1"/>
  <c r="K159" i="1" s="1"/>
  <c r="D12" i="3" l="1"/>
  <c r="E12" i="3" s="1"/>
  <c r="Q162" i="1"/>
  <c r="S162" i="1" s="1"/>
  <c r="Q160" i="1"/>
  <c r="S160" i="1" s="1"/>
  <c r="Q159" i="1"/>
  <c r="S159" i="1" s="1"/>
  <c r="Q161" i="1"/>
  <c r="S161" i="1" s="1"/>
  <c r="F11" i="3" l="1"/>
  <c r="I175" i="1"/>
  <c r="I174" i="1"/>
  <c r="I169" i="1"/>
  <c r="I168" i="1"/>
  <c r="I166" i="1"/>
  <c r="I165" i="1"/>
  <c r="I114" i="1"/>
  <c r="I74" i="1"/>
  <c r="I45" i="1"/>
  <c r="C4" i="3"/>
  <c r="F4" i="3" l="1"/>
  <c r="C8" i="3"/>
  <c r="G191" i="1"/>
  <c r="C13" i="3"/>
  <c r="C10" i="3"/>
  <c r="F13" i="3"/>
  <c r="F10" i="3"/>
  <c r="F3" i="3"/>
  <c r="F8" i="3"/>
  <c r="L35" i="1"/>
  <c r="N35" i="1" s="1"/>
  <c r="P35" i="1" s="1"/>
  <c r="F7" i="3"/>
  <c r="C5" i="3"/>
  <c r="K45" i="1"/>
  <c r="L73" i="1" l="1"/>
  <c r="L74" i="1"/>
  <c r="L76" i="1"/>
  <c r="L200" i="1"/>
  <c r="N200" i="1" s="1"/>
  <c r="P200" i="1" s="1"/>
  <c r="L199" i="1"/>
  <c r="N199" i="1" s="1"/>
  <c r="P199" i="1" s="1"/>
  <c r="I200" i="1"/>
  <c r="K200" i="1" s="1"/>
  <c r="I199" i="1"/>
  <c r="K199" i="1" s="1"/>
  <c r="I142" i="1"/>
  <c r="I141" i="1"/>
  <c r="I140" i="1"/>
  <c r="I35" i="1"/>
  <c r="I9" i="1"/>
  <c r="K9" i="1" s="1"/>
  <c r="L9" i="1"/>
  <c r="N9" i="1" s="1"/>
  <c r="P9" i="1" s="1"/>
  <c r="I4" i="1"/>
  <c r="I69" i="1"/>
  <c r="K69" i="1" s="1"/>
  <c r="I23" i="1"/>
  <c r="K23" i="1" s="1"/>
  <c r="I24" i="1"/>
  <c r="K24" i="1" s="1"/>
  <c r="L21" i="1"/>
  <c r="D4" i="3" s="1"/>
  <c r="I22" i="1"/>
  <c r="K22" i="1" s="1"/>
  <c r="L36" i="1"/>
  <c r="L37" i="1"/>
  <c r="N37" i="1" s="1"/>
  <c r="P37" i="1" s="1"/>
  <c r="L39" i="1"/>
  <c r="N39" i="1" s="1"/>
  <c r="P39" i="1" s="1"/>
  <c r="L40" i="1"/>
  <c r="N40" i="1" s="1"/>
  <c r="P40" i="1" s="1"/>
  <c r="L41" i="1"/>
  <c r="N41" i="1" s="1"/>
  <c r="P41" i="1" s="1"/>
  <c r="I36" i="1"/>
  <c r="K36" i="1" s="1"/>
  <c r="I37" i="1"/>
  <c r="K37" i="1" s="1"/>
  <c r="I39" i="1"/>
  <c r="K39" i="1" s="1"/>
  <c r="I40" i="1"/>
  <c r="K40" i="1" s="1"/>
  <c r="I41" i="1"/>
  <c r="K41" i="1" s="1"/>
  <c r="I42" i="1"/>
  <c r="K42" i="1" s="1"/>
  <c r="I43" i="1"/>
  <c r="I44" i="1"/>
  <c r="I47" i="1"/>
  <c r="K47" i="1" s="1"/>
  <c r="I48" i="1"/>
  <c r="K48" i="1" s="1"/>
  <c r="I49" i="1"/>
  <c r="K49" i="1" s="1"/>
  <c r="L122" i="1"/>
  <c r="N122" i="1" s="1"/>
  <c r="P122" i="1" s="1"/>
  <c r="I120" i="1"/>
  <c r="K120" i="1" s="1"/>
  <c r="I121" i="1"/>
  <c r="I122" i="1"/>
  <c r="K122" i="1" s="1"/>
  <c r="I123" i="1"/>
  <c r="K123" i="1" s="1"/>
  <c r="K35" i="1" l="1"/>
  <c r="Q35" i="1" s="1"/>
  <c r="S35" i="1" s="1"/>
  <c r="L29" i="1"/>
  <c r="K43" i="1"/>
  <c r="K4" i="1"/>
  <c r="Q200" i="1"/>
  <c r="S200" i="1" s="1"/>
  <c r="Q199" i="1"/>
  <c r="S199" i="1" s="1"/>
  <c r="N36" i="1"/>
  <c r="P36" i="1" s="1"/>
  <c r="Q36" i="1" s="1"/>
  <c r="S36" i="1" s="1"/>
  <c r="K44" i="1"/>
  <c r="K121" i="1"/>
  <c r="N21" i="1"/>
  <c r="P21" i="1" s="1"/>
  <c r="E4" i="3"/>
  <c r="L4" i="1"/>
  <c r="N4" i="1" s="1"/>
  <c r="L8" i="1"/>
  <c r="L6" i="1"/>
  <c r="L7" i="1"/>
  <c r="N7" i="1" s="1"/>
  <c r="P7" i="1" s="1"/>
  <c r="Q9" i="1"/>
  <c r="S9" i="1" s="1"/>
  <c r="L22" i="1"/>
  <c r="N22" i="1" s="1"/>
  <c r="P22" i="1" s="1"/>
  <c r="Q22" i="1" s="1"/>
  <c r="S22" i="1" s="1"/>
  <c r="I21" i="1"/>
  <c r="L59" i="1"/>
  <c r="L24" i="1"/>
  <c r="N24" i="1" s="1"/>
  <c r="P24" i="1" s="1"/>
  <c r="Q24" i="1" s="1"/>
  <c r="S24" i="1" s="1"/>
  <c r="L23" i="1"/>
  <c r="N23" i="1" s="1"/>
  <c r="P23" i="1" s="1"/>
  <c r="Q23" i="1" s="1"/>
  <c r="S23" i="1" s="1"/>
  <c r="Q37" i="1"/>
  <c r="S37" i="1" s="1"/>
  <c r="Q41" i="1"/>
  <c r="S41" i="1" s="1"/>
  <c r="Q40" i="1"/>
  <c r="S40" i="1" s="1"/>
  <c r="Q122" i="1"/>
  <c r="S122" i="1" s="1"/>
  <c r="Q39" i="1"/>
  <c r="S39" i="1" s="1"/>
  <c r="I31" i="1"/>
  <c r="K31" i="1" s="1"/>
  <c r="I28" i="1"/>
  <c r="K28" i="1" s="1"/>
  <c r="I27" i="1"/>
  <c r="K27" i="1" s="1"/>
  <c r="L27" i="1"/>
  <c r="N27" i="1" s="1"/>
  <c r="I26" i="1"/>
  <c r="K26" i="1" s="1"/>
  <c r="L26" i="1"/>
  <c r="N26" i="1" s="1"/>
  <c r="C11" i="3"/>
  <c r="L167" i="1"/>
  <c r="N167" i="1" s="1"/>
  <c r="P167" i="1" s="1"/>
  <c r="I167" i="1"/>
  <c r="K167" i="1" s="1"/>
  <c r="L166" i="1"/>
  <c r="N166" i="1" s="1"/>
  <c r="P166" i="1" s="1"/>
  <c r="K166" i="1"/>
  <c r="L165" i="1"/>
  <c r="N165" i="1" s="1"/>
  <c r="P165" i="1" s="1"/>
  <c r="K165" i="1"/>
  <c r="L164" i="1"/>
  <c r="N164" i="1" s="1"/>
  <c r="P164" i="1" s="1"/>
  <c r="I164" i="1"/>
  <c r="K164" i="1" s="1"/>
  <c r="K21" i="1" l="1"/>
  <c r="Q21" i="1" s="1"/>
  <c r="S21" i="1" s="1"/>
  <c r="G4" i="3"/>
  <c r="L5" i="1"/>
  <c r="C2" i="3"/>
  <c r="I7" i="1"/>
  <c r="K7" i="1" s="1"/>
  <c r="Q7" i="1" s="1"/>
  <c r="S7" i="1" s="1"/>
  <c r="P4" i="1"/>
  <c r="I107" i="1"/>
  <c r="K107" i="1" s="1"/>
  <c r="I104" i="1"/>
  <c r="K104" i="1" s="1"/>
  <c r="L101" i="1"/>
  <c r="N101" i="1" s="1"/>
  <c r="P101" i="1" s="1"/>
  <c r="I101" i="1"/>
  <c r="K101" i="1" s="1"/>
  <c r="I30" i="1"/>
  <c r="K30" i="1" s="1"/>
  <c r="I32" i="1"/>
  <c r="K32" i="1" s="1"/>
  <c r="L31" i="1"/>
  <c r="N31" i="1" s="1"/>
  <c r="P31" i="1" s="1"/>
  <c r="Q31" i="1" s="1"/>
  <c r="S31" i="1" s="1"/>
  <c r="L28" i="1"/>
  <c r="N28" i="1" s="1"/>
  <c r="P28" i="1" s="1"/>
  <c r="Q28" i="1" s="1"/>
  <c r="S28" i="1" s="1"/>
  <c r="P27" i="1"/>
  <c r="Q27" i="1" s="1"/>
  <c r="S27" i="1" s="1"/>
  <c r="P26" i="1"/>
  <c r="Q26" i="1" s="1"/>
  <c r="S26" i="1" s="1"/>
  <c r="Q164" i="1"/>
  <c r="S164" i="1" s="1"/>
  <c r="Q165" i="1"/>
  <c r="S165" i="1" s="1"/>
  <c r="Q167" i="1"/>
  <c r="S167" i="1" s="1"/>
  <c r="Q166" i="1"/>
  <c r="S166" i="1" s="1"/>
  <c r="F22" i="4"/>
  <c r="F18" i="4"/>
  <c r="G18" i="4" s="1"/>
  <c r="F17" i="4"/>
  <c r="G17" i="4" s="1"/>
  <c r="F16" i="4"/>
  <c r="G16" i="4" s="1"/>
  <c r="F15" i="4"/>
  <c r="G15" i="4" s="1"/>
  <c r="F14" i="4"/>
  <c r="G14" i="4" s="1"/>
  <c r="D9" i="4"/>
  <c r="D8" i="4"/>
  <c r="D7" i="4"/>
  <c r="D6" i="4"/>
  <c r="D5" i="4"/>
  <c r="D4" i="4"/>
  <c r="D3" i="4"/>
  <c r="D2" i="4"/>
  <c r="Q4" i="1" l="1"/>
  <c r="S4" i="1" s="1"/>
  <c r="L107" i="1"/>
  <c r="N107" i="1" s="1"/>
  <c r="L104" i="1"/>
  <c r="N104" i="1" s="1"/>
  <c r="P104" i="1" s="1"/>
  <c r="Q104" i="1" s="1"/>
  <c r="S104" i="1" s="1"/>
  <c r="Q101" i="1"/>
  <c r="S101" i="1" s="1"/>
  <c r="L30" i="1"/>
  <c r="N30" i="1" s="1"/>
  <c r="P30" i="1" s="1"/>
  <c r="Q30" i="1" s="1"/>
  <c r="S30" i="1" s="1"/>
  <c r="L32" i="1"/>
  <c r="N32" i="1" s="1"/>
  <c r="P32" i="1" s="1"/>
  <c r="Q32" i="1" s="1"/>
  <c r="S32" i="1" s="1"/>
  <c r="L156" i="1"/>
  <c r="N156" i="1" s="1"/>
  <c r="P156" i="1" s="1"/>
  <c r="I156" i="1"/>
  <c r="K156" i="1" s="1"/>
  <c r="P107" i="1" l="1"/>
  <c r="Q107" i="1" s="1"/>
  <c r="S107" i="1" s="1"/>
  <c r="Q156" i="1"/>
  <c r="S156" i="1" s="1"/>
  <c r="I14" i="1" l="1"/>
  <c r="K14" i="1" l="1"/>
  <c r="I188" i="1"/>
  <c r="I10" i="1" l="1"/>
  <c r="I11" i="1"/>
  <c r="I13" i="1"/>
  <c r="C3" i="3" l="1"/>
  <c r="L190" i="1" l="1"/>
  <c r="L188" i="1"/>
  <c r="L187" i="1"/>
  <c r="L186" i="1"/>
  <c r="L178" i="1"/>
  <c r="L177" i="1"/>
  <c r="L175" i="1"/>
  <c r="N175" i="1" s="1"/>
  <c r="P175" i="1" s="1"/>
  <c r="L176" i="1"/>
  <c r="L174" i="1"/>
  <c r="N174" i="1" s="1"/>
  <c r="P174" i="1" s="1"/>
  <c r="L173" i="1"/>
  <c r="L172" i="1"/>
  <c r="L169" i="1"/>
  <c r="L170" i="1"/>
  <c r="L171" i="1"/>
  <c r="N171" i="1" s="1"/>
  <c r="P171" i="1" s="1"/>
  <c r="L168" i="1"/>
  <c r="L157" i="1"/>
  <c r="L155" i="1"/>
  <c r="L154" i="1"/>
  <c r="L105" i="1"/>
  <c r="L19" i="1"/>
  <c r="L18" i="1"/>
  <c r="L17" i="1"/>
  <c r="L15" i="1"/>
  <c r="L16" i="1"/>
  <c r="L14" i="1"/>
  <c r="L11" i="1"/>
  <c r="L13" i="1"/>
  <c r="L10" i="1"/>
  <c r="D2" i="3" l="1"/>
  <c r="D11" i="3"/>
  <c r="E11" i="3" s="1"/>
  <c r="D3" i="3"/>
  <c r="E3" i="3" s="1"/>
  <c r="E2" i="3" l="1"/>
  <c r="L83" i="1" l="1"/>
  <c r="L189" i="1" l="1"/>
  <c r="L197" i="1" l="1"/>
  <c r="L185" i="1"/>
  <c r="L184" i="1"/>
  <c r="L183" i="1"/>
  <c r="L138" i="1"/>
  <c r="L106" i="1" l="1"/>
  <c r="L182" i="1"/>
  <c r="L130" i="1"/>
  <c r="L98" i="1"/>
  <c r="L137" i="1"/>
  <c r="L109" i="1"/>
  <c r="N109" i="1" s="1"/>
  <c r="P109" i="1" s="1"/>
  <c r="L146" i="1"/>
  <c r="L149" i="1"/>
  <c r="L97" i="1"/>
  <c r="L99" i="1"/>
  <c r="L100" i="1"/>
  <c r="L147" i="1"/>
  <c r="L102" i="1"/>
  <c r="L118" i="1"/>
  <c r="L180" i="1"/>
  <c r="L129" i="1"/>
  <c r="L198" i="1"/>
  <c r="L108" i="1" l="1"/>
  <c r="D7" i="3" s="1"/>
  <c r="L181" i="1"/>
  <c r="L191" i="1" s="1"/>
  <c r="L136" i="1"/>
  <c r="D9" i="3" s="1"/>
  <c r="C9" i="3"/>
  <c r="C7" i="3"/>
  <c r="L135" i="1"/>
  <c r="L150" i="1"/>
  <c r="L140" i="1"/>
  <c r="L141" i="1"/>
  <c r="L113" i="1"/>
  <c r="L133" i="1"/>
  <c r="L144" i="1"/>
  <c r="L143" i="1"/>
  <c r="L132" i="1"/>
  <c r="L148" i="1"/>
  <c r="L142" i="1"/>
  <c r="L131" i="1"/>
  <c r="E16" i="3" l="1"/>
  <c r="L151" i="1"/>
  <c r="D10" i="3"/>
  <c r="D13" i="3"/>
  <c r="E13" i="3" s="1"/>
  <c r="H7" i="3"/>
  <c r="E9" i="3"/>
  <c r="L134" i="1"/>
  <c r="L145" i="1"/>
  <c r="L112" i="1"/>
  <c r="F6" i="3"/>
  <c r="L96" i="1"/>
  <c r="D8" i="3" l="1"/>
  <c r="E8" i="3" s="1"/>
  <c r="L139" i="1"/>
  <c r="I25" i="1"/>
  <c r="K25" i="1" s="1"/>
  <c r="E7" i="3"/>
  <c r="E10" i="3"/>
  <c r="L95" i="1"/>
  <c r="L60" i="1"/>
  <c r="L57" i="1"/>
  <c r="G110" i="1" l="1"/>
  <c r="G152" i="1" s="1"/>
  <c r="L79" i="1"/>
  <c r="N79" i="1" s="1"/>
  <c r="L80" i="1"/>
  <c r="N80" i="1" s="1"/>
  <c r="L33" i="1"/>
  <c r="N33" i="1" s="1"/>
  <c r="L88" i="1"/>
  <c r="L91" i="1"/>
  <c r="N91" i="1" s="1"/>
  <c r="L81" i="1"/>
  <c r="N81" i="1" s="1"/>
  <c r="L94" i="1"/>
  <c r="N94" i="1" s="1"/>
  <c r="L78" i="1"/>
  <c r="N78" i="1" s="1"/>
  <c r="L92" i="1"/>
  <c r="N92" i="1" s="1"/>
  <c r="L89" i="1"/>
  <c r="L93" i="1"/>
  <c r="N93" i="1" s="1"/>
  <c r="L77" i="1"/>
  <c r="N77" i="1" s="1"/>
  <c r="P77" i="1" s="1"/>
  <c r="L65" i="1"/>
  <c r="L66" i="1"/>
  <c r="C6" i="3" l="1"/>
  <c r="L87" i="1"/>
  <c r="I29" i="1"/>
  <c r="K29" i="1" s="1"/>
  <c r="N29" i="1"/>
  <c r="P29" i="1" s="1"/>
  <c r="L56" i="1"/>
  <c r="L51" i="1"/>
  <c r="L55" i="1"/>
  <c r="L54" i="1"/>
  <c r="N188" i="1"/>
  <c r="P188" i="1" s="1"/>
  <c r="K188" i="1"/>
  <c r="N184" i="1"/>
  <c r="P184" i="1" s="1"/>
  <c r="I184" i="1"/>
  <c r="K184" i="1" s="1"/>
  <c r="N182" i="1"/>
  <c r="P182" i="1" s="1"/>
  <c r="I182" i="1"/>
  <c r="K182" i="1" s="1"/>
  <c r="N181" i="1"/>
  <c r="P181" i="1" s="1"/>
  <c r="I181" i="1"/>
  <c r="K181" i="1" s="1"/>
  <c r="N173" i="1"/>
  <c r="P173" i="1" s="1"/>
  <c r="I173" i="1"/>
  <c r="K173" i="1" s="1"/>
  <c r="N169" i="1"/>
  <c r="P169" i="1" s="1"/>
  <c r="K169" i="1"/>
  <c r="N155" i="1"/>
  <c r="P155" i="1" s="1"/>
  <c r="I155" i="1"/>
  <c r="K155" i="1" s="1"/>
  <c r="N144" i="1"/>
  <c r="P144" i="1" s="1"/>
  <c r="I144" i="1"/>
  <c r="N141" i="1"/>
  <c r="P141" i="1" s="1"/>
  <c r="K141" i="1"/>
  <c r="I126" i="1"/>
  <c r="K126" i="1" s="1"/>
  <c r="I116" i="1"/>
  <c r="K116" i="1" s="1"/>
  <c r="N96" i="1"/>
  <c r="P96" i="1" s="1"/>
  <c r="I96" i="1"/>
  <c r="K96" i="1" s="1"/>
  <c r="N83" i="1"/>
  <c r="P83" i="1" s="1"/>
  <c r="I83" i="1"/>
  <c r="K83" i="1" s="1"/>
  <c r="I61" i="1"/>
  <c r="K61" i="1" s="1"/>
  <c r="I65" i="1"/>
  <c r="K65" i="1" s="1"/>
  <c r="P93" i="1"/>
  <c r="I93" i="1"/>
  <c r="K93" i="1" s="1"/>
  <c r="P92" i="1"/>
  <c r="I92" i="1"/>
  <c r="K92" i="1" s="1"/>
  <c r="P80" i="1"/>
  <c r="P79" i="1"/>
  <c r="I80" i="1"/>
  <c r="K80" i="1" s="1"/>
  <c r="I79" i="1"/>
  <c r="K79" i="1" s="1"/>
  <c r="D6" i="3" l="1"/>
  <c r="Q29" i="1"/>
  <c r="S29" i="1" s="1"/>
  <c r="L25" i="1"/>
  <c r="L110" i="1" s="1"/>
  <c r="I53" i="1"/>
  <c r="K53" i="1" s="1"/>
  <c r="L52" i="1"/>
  <c r="N52" i="1" s="1"/>
  <c r="P52" i="1" s="1"/>
  <c r="Q141" i="1"/>
  <c r="S141" i="1" s="1"/>
  <c r="Q155" i="1"/>
  <c r="S155" i="1" s="1"/>
  <c r="Q181" i="1"/>
  <c r="S181" i="1" s="1"/>
  <c r="Q188" i="1"/>
  <c r="S188" i="1" s="1"/>
  <c r="Q184" i="1"/>
  <c r="S184" i="1" s="1"/>
  <c r="Q182" i="1"/>
  <c r="S182" i="1" s="1"/>
  <c r="Q173" i="1"/>
  <c r="S173" i="1" s="1"/>
  <c r="Q169" i="1"/>
  <c r="S169" i="1" s="1"/>
  <c r="K144" i="1"/>
  <c r="Q144" i="1" s="1"/>
  <c r="S144" i="1" s="1"/>
  <c r="Q93" i="1"/>
  <c r="S93" i="1" s="1"/>
  <c r="Q92" i="1"/>
  <c r="S92" i="1" s="1"/>
  <c r="Q96" i="1"/>
  <c r="S96" i="1" s="1"/>
  <c r="Q83" i="1"/>
  <c r="S83" i="1" s="1"/>
  <c r="Q79" i="1"/>
  <c r="S79" i="1" s="1"/>
  <c r="Q80" i="1"/>
  <c r="S80" i="1" s="1"/>
  <c r="N59" i="1"/>
  <c r="P59" i="1" s="1"/>
  <c r="N56" i="1"/>
  <c r="P56" i="1" s="1"/>
  <c r="I59" i="1"/>
  <c r="K59" i="1" s="1"/>
  <c r="I56" i="1"/>
  <c r="N88" i="1"/>
  <c r="P88" i="1" s="1"/>
  <c r="I88" i="1"/>
  <c r="K88" i="1" s="1"/>
  <c r="N74" i="1"/>
  <c r="P74" i="1" s="1"/>
  <c r="K74" i="1"/>
  <c r="N25" i="1" l="1"/>
  <c r="P25" i="1" s="1"/>
  <c r="Q25" i="1" s="1"/>
  <c r="S25" i="1" s="1"/>
  <c r="D5" i="3"/>
  <c r="I52" i="1"/>
  <c r="K52" i="1" s="1"/>
  <c r="Q52" i="1" s="1"/>
  <c r="S52" i="1" s="1"/>
  <c r="L53" i="1"/>
  <c r="N53" i="1" s="1"/>
  <c r="P53" i="1" s="1"/>
  <c r="Q53" i="1" s="1"/>
  <c r="S53" i="1" s="1"/>
  <c r="Q59" i="1"/>
  <c r="S59" i="1" s="1"/>
  <c r="Q74" i="1"/>
  <c r="S74" i="1" s="1"/>
  <c r="Q88" i="1"/>
  <c r="S88" i="1" s="1"/>
  <c r="K56" i="1"/>
  <c r="Q56" i="1" s="1"/>
  <c r="S56" i="1" s="1"/>
  <c r="E5" i="3" l="1"/>
  <c r="H5" i="3"/>
  <c r="N19" i="1"/>
  <c r="P19" i="1" s="1"/>
  <c r="N18" i="1"/>
  <c r="P18" i="1" s="1"/>
  <c r="I18" i="1"/>
  <c r="K18" i="1" s="1"/>
  <c r="I19" i="1"/>
  <c r="K19" i="1" s="1"/>
  <c r="N16" i="1"/>
  <c r="P16" i="1" s="1"/>
  <c r="N15" i="1"/>
  <c r="P15" i="1" s="1"/>
  <c r="I16" i="1"/>
  <c r="K16" i="1" s="1"/>
  <c r="I15" i="1"/>
  <c r="N13" i="1"/>
  <c r="P13" i="1" s="1"/>
  <c r="N11" i="1"/>
  <c r="P11" i="1" s="1"/>
  <c r="K13" i="1"/>
  <c r="K11" i="1"/>
  <c r="N8" i="1"/>
  <c r="P8" i="1" s="1"/>
  <c r="N6" i="1"/>
  <c r="P6" i="1" s="1"/>
  <c r="I8" i="1"/>
  <c r="K8" i="1" s="1"/>
  <c r="I6" i="1"/>
  <c r="K6" i="1" s="1"/>
  <c r="I5" i="1"/>
  <c r="G2" i="3" l="1"/>
  <c r="H6" i="3"/>
  <c r="H15" i="3" s="1"/>
  <c r="E6" i="3"/>
  <c r="K15" i="1"/>
  <c r="G3" i="3"/>
  <c r="K5" i="1"/>
  <c r="Q6" i="1"/>
  <c r="S6" i="1" s="1"/>
  <c r="Q11" i="1"/>
  <c r="S11" i="1" s="1"/>
  <c r="Q16" i="1"/>
  <c r="S16" i="1" s="1"/>
  <c r="Q19" i="1"/>
  <c r="S19" i="1" s="1"/>
  <c r="Q8" i="1"/>
  <c r="S8" i="1" s="1"/>
  <c r="Q13" i="1"/>
  <c r="S13" i="1" s="1"/>
  <c r="Q18" i="1"/>
  <c r="S18" i="1" s="1"/>
  <c r="Q15" i="1" l="1"/>
  <c r="S15" i="1" s="1"/>
  <c r="N198" i="1"/>
  <c r="P198" i="1" s="1"/>
  <c r="I198" i="1"/>
  <c r="K198" i="1" s="1"/>
  <c r="N197" i="1"/>
  <c r="P197" i="1" s="1"/>
  <c r="I197" i="1"/>
  <c r="K197" i="1" s="1"/>
  <c r="N190" i="1"/>
  <c r="P190" i="1" s="1"/>
  <c r="I190" i="1"/>
  <c r="K190" i="1" s="1"/>
  <c r="N189" i="1"/>
  <c r="P189" i="1" s="1"/>
  <c r="N187" i="1"/>
  <c r="P187" i="1" s="1"/>
  <c r="N186" i="1"/>
  <c r="P186" i="1" s="1"/>
  <c r="I186" i="1"/>
  <c r="N185" i="1"/>
  <c r="P185" i="1" s="1"/>
  <c r="I185" i="1"/>
  <c r="K185" i="1" s="1"/>
  <c r="N183" i="1"/>
  <c r="I183" i="1"/>
  <c r="N180" i="1"/>
  <c r="I180" i="1"/>
  <c r="K180" i="1" s="1"/>
  <c r="N178" i="1"/>
  <c r="P178" i="1" s="1"/>
  <c r="I178" i="1"/>
  <c r="K178" i="1" s="1"/>
  <c r="N177" i="1"/>
  <c r="P177" i="1" s="1"/>
  <c r="I177" i="1"/>
  <c r="N176" i="1"/>
  <c r="P176" i="1" s="1"/>
  <c r="I176" i="1"/>
  <c r="K175" i="1"/>
  <c r="Q175" i="1" s="1"/>
  <c r="S175" i="1" s="1"/>
  <c r="K174" i="1"/>
  <c r="Q174" i="1" s="1"/>
  <c r="S174" i="1" s="1"/>
  <c r="N172" i="1"/>
  <c r="I172" i="1"/>
  <c r="I171" i="1"/>
  <c r="K171" i="1" s="1"/>
  <c r="Q171" i="1" s="1"/>
  <c r="S171" i="1" s="1"/>
  <c r="N170" i="1"/>
  <c r="P170" i="1" s="1"/>
  <c r="I170" i="1"/>
  <c r="K170" i="1" s="1"/>
  <c r="N157" i="1"/>
  <c r="P157" i="1" s="1"/>
  <c r="I157" i="1"/>
  <c r="K157" i="1" s="1"/>
  <c r="N168" i="1"/>
  <c r="P168" i="1" s="1"/>
  <c r="K168" i="1"/>
  <c r="N154" i="1"/>
  <c r="I154" i="1"/>
  <c r="N150" i="1"/>
  <c r="P150" i="1" s="1"/>
  <c r="I150" i="1"/>
  <c r="K150" i="1" s="1"/>
  <c r="N149" i="1"/>
  <c r="P149" i="1" s="1"/>
  <c r="I149" i="1"/>
  <c r="K149" i="1" s="1"/>
  <c r="N147" i="1"/>
  <c r="I147" i="1"/>
  <c r="K147" i="1" s="1"/>
  <c r="N143" i="1"/>
  <c r="P143" i="1" s="1"/>
  <c r="I143" i="1"/>
  <c r="N145" i="1"/>
  <c r="P145" i="1" s="1"/>
  <c r="I145" i="1"/>
  <c r="N142" i="1"/>
  <c r="P142" i="1" s="1"/>
  <c r="K142" i="1"/>
  <c r="N146" i="1"/>
  <c r="P146" i="1" s="1"/>
  <c r="I146" i="1"/>
  <c r="K146" i="1" s="1"/>
  <c r="N148" i="1"/>
  <c r="P148" i="1" s="1"/>
  <c r="I148" i="1"/>
  <c r="K148" i="1" s="1"/>
  <c r="N140" i="1"/>
  <c r="N138" i="1"/>
  <c r="P138" i="1" s="1"/>
  <c r="I138" i="1"/>
  <c r="K138" i="1" s="1"/>
  <c r="N137" i="1"/>
  <c r="P137" i="1" s="1"/>
  <c r="I137" i="1"/>
  <c r="K137" i="1" s="1"/>
  <c r="N136" i="1"/>
  <c r="P136" i="1" s="1"/>
  <c r="I136" i="1"/>
  <c r="N130" i="1"/>
  <c r="P130" i="1" s="1"/>
  <c r="I130" i="1"/>
  <c r="K130" i="1" s="1"/>
  <c r="N118" i="1"/>
  <c r="P118" i="1" s="1"/>
  <c r="I118" i="1"/>
  <c r="K118" i="1" s="1"/>
  <c r="I119" i="1"/>
  <c r="K119" i="1" s="1"/>
  <c r="N129" i="1"/>
  <c r="P129" i="1" s="1"/>
  <c r="I129" i="1"/>
  <c r="K129" i="1" s="1"/>
  <c r="N135" i="1"/>
  <c r="P135" i="1" s="1"/>
  <c r="I135" i="1"/>
  <c r="K135" i="1" s="1"/>
  <c r="I128" i="1"/>
  <c r="K128" i="1" s="1"/>
  <c r="N134" i="1"/>
  <c r="P134" i="1" s="1"/>
  <c r="I134" i="1"/>
  <c r="K134" i="1" s="1"/>
  <c r="I125" i="1"/>
  <c r="K125" i="1" s="1"/>
  <c r="I115" i="1"/>
  <c r="N133" i="1"/>
  <c r="P133" i="1" s="1"/>
  <c r="I133" i="1"/>
  <c r="K133" i="1" s="1"/>
  <c r="N113" i="1"/>
  <c r="P113" i="1" s="1"/>
  <c r="I113" i="1"/>
  <c r="K113" i="1" s="1"/>
  <c r="N132" i="1"/>
  <c r="P132" i="1" s="1"/>
  <c r="I132" i="1"/>
  <c r="K132" i="1" s="1"/>
  <c r="I124" i="1"/>
  <c r="K124" i="1" s="1"/>
  <c r="N131" i="1"/>
  <c r="P131" i="1" s="1"/>
  <c r="I131" i="1"/>
  <c r="K131" i="1" s="1"/>
  <c r="N112" i="1"/>
  <c r="I112" i="1"/>
  <c r="N100" i="1"/>
  <c r="P100" i="1" s="1"/>
  <c r="I100" i="1"/>
  <c r="K100" i="1" s="1"/>
  <c r="I109" i="1"/>
  <c r="K109" i="1" s="1"/>
  <c r="Q109" i="1" s="1"/>
  <c r="S109" i="1" s="1"/>
  <c r="N106" i="1"/>
  <c r="P106" i="1" s="1"/>
  <c r="I106" i="1"/>
  <c r="K106" i="1" s="1"/>
  <c r="N99" i="1"/>
  <c r="P99" i="1" s="1"/>
  <c r="I99" i="1"/>
  <c r="K99" i="1" s="1"/>
  <c r="I86" i="1"/>
  <c r="K86" i="1" s="1"/>
  <c r="N98" i="1"/>
  <c r="P98" i="1" s="1"/>
  <c r="I98" i="1"/>
  <c r="K98" i="1" s="1"/>
  <c r="I85" i="1"/>
  <c r="K85" i="1" s="1"/>
  <c r="N97" i="1"/>
  <c r="P97" i="1" s="1"/>
  <c r="I97" i="1"/>
  <c r="K97" i="1" s="1"/>
  <c r="N108" i="1"/>
  <c r="P108" i="1" s="1"/>
  <c r="I108" i="1"/>
  <c r="K108" i="1" s="1"/>
  <c r="N105" i="1"/>
  <c r="P105" i="1" s="1"/>
  <c r="I105" i="1"/>
  <c r="K105" i="1" s="1"/>
  <c r="N102" i="1"/>
  <c r="P102" i="1" s="1"/>
  <c r="I102" i="1"/>
  <c r="N95" i="1"/>
  <c r="I95" i="1"/>
  <c r="N60" i="1"/>
  <c r="P94" i="1"/>
  <c r="I94" i="1"/>
  <c r="K94" i="1" s="1"/>
  <c r="P81" i="1"/>
  <c r="I81" i="1"/>
  <c r="K81" i="1" s="1"/>
  <c r="N57" i="1"/>
  <c r="P57" i="1" s="1"/>
  <c r="I57" i="1"/>
  <c r="K57" i="1" s="1"/>
  <c r="I58" i="1"/>
  <c r="K58" i="1" s="1"/>
  <c r="I70" i="1"/>
  <c r="K70" i="1" s="1"/>
  <c r="I68" i="1"/>
  <c r="K68" i="1" s="1"/>
  <c r="N66" i="1"/>
  <c r="P66" i="1" s="1"/>
  <c r="I66" i="1"/>
  <c r="K66" i="1" s="1"/>
  <c r="N65" i="1"/>
  <c r="P65" i="1" s="1"/>
  <c r="P91" i="1"/>
  <c r="I91" i="1"/>
  <c r="P78" i="1"/>
  <c r="I78" i="1"/>
  <c r="N55" i="1"/>
  <c r="P55" i="1" s="1"/>
  <c r="I55" i="1"/>
  <c r="N89" i="1"/>
  <c r="P89" i="1" s="1"/>
  <c r="I89" i="1"/>
  <c r="K89" i="1" s="1"/>
  <c r="N76" i="1"/>
  <c r="P76" i="1" s="1"/>
  <c r="I76" i="1"/>
  <c r="K76" i="1" s="1"/>
  <c r="N54" i="1"/>
  <c r="P54" i="1" s="1"/>
  <c r="I54" i="1"/>
  <c r="K54" i="1" s="1"/>
  <c r="N87" i="1"/>
  <c r="P87" i="1" s="1"/>
  <c r="I87" i="1"/>
  <c r="K87" i="1" s="1"/>
  <c r="I77" i="1"/>
  <c r="K77" i="1" s="1"/>
  <c r="Q77" i="1" s="1"/>
  <c r="S77" i="1" s="1"/>
  <c r="N73" i="1"/>
  <c r="P73" i="1" s="1"/>
  <c r="I73" i="1"/>
  <c r="K73" i="1" s="1"/>
  <c r="N51" i="1"/>
  <c r="P51" i="1" s="1"/>
  <c r="I51" i="1"/>
  <c r="K51" i="1" s="1"/>
  <c r="P33" i="1"/>
  <c r="I33" i="1"/>
  <c r="K33" i="1" s="1"/>
  <c r="N17" i="1"/>
  <c r="P17" i="1" s="1"/>
  <c r="I17" i="1"/>
  <c r="N10" i="1"/>
  <c r="P10" i="1" s="1"/>
  <c r="K10" i="1"/>
  <c r="I179" i="1" l="1"/>
  <c r="I139" i="1"/>
  <c r="H139" i="1" s="1"/>
  <c r="I151" i="1"/>
  <c r="P183" i="1"/>
  <c r="N191" i="1"/>
  <c r="K183" i="1"/>
  <c r="P112" i="1"/>
  <c r="K112" i="1"/>
  <c r="N151" i="1"/>
  <c r="M151" i="1" s="1"/>
  <c r="G8" i="3"/>
  <c r="K172" i="1"/>
  <c r="G11" i="3"/>
  <c r="K176" i="1"/>
  <c r="Q176" i="1" s="1"/>
  <c r="S176" i="1" s="1"/>
  <c r="Q108" i="1"/>
  <c r="S108" i="1" s="1"/>
  <c r="G10" i="3"/>
  <c r="K17" i="1"/>
  <c r="P140" i="1"/>
  <c r="K115" i="1"/>
  <c r="K177" i="1"/>
  <c r="Q177" i="1" s="1"/>
  <c r="S177" i="1" s="1"/>
  <c r="K102" i="1"/>
  <c r="Q102" i="1" s="1"/>
  <c r="S102" i="1" s="1"/>
  <c r="G7" i="3"/>
  <c r="K136" i="1"/>
  <c r="Q136" i="1" s="1"/>
  <c r="S136" i="1" s="1"/>
  <c r="G9" i="3"/>
  <c r="K114" i="1"/>
  <c r="K145" i="1"/>
  <c r="Q145" i="1" s="1"/>
  <c r="S145" i="1" s="1"/>
  <c r="Q198" i="1"/>
  <c r="S198" i="1" s="1"/>
  <c r="Q185" i="1"/>
  <c r="S185" i="1" s="1"/>
  <c r="K78" i="1"/>
  <c r="Q78" i="1" s="1"/>
  <c r="S78" i="1" s="1"/>
  <c r="Q98" i="1"/>
  <c r="S98" i="1" s="1"/>
  <c r="Q133" i="1"/>
  <c r="S133" i="1" s="1"/>
  <c r="P172" i="1"/>
  <c r="S178" i="1"/>
  <c r="Q149" i="1"/>
  <c r="S149" i="1" s="1"/>
  <c r="Q57" i="1"/>
  <c r="S57" i="1" s="1"/>
  <c r="Q134" i="1"/>
  <c r="S134" i="1" s="1"/>
  <c r="Q73" i="1"/>
  <c r="S73" i="1" s="1"/>
  <c r="Q76" i="1"/>
  <c r="S76" i="1" s="1"/>
  <c r="P95" i="1"/>
  <c r="K140" i="1"/>
  <c r="Q148" i="1"/>
  <c r="S148" i="1" s="1"/>
  <c r="N5" i="1"/>
  <c r="K55" i="1"/>
  <c r="Q55" i="1" s="1"/>
  <c r="S55" i="1" s="1"/>
  <c r="K91" i="1"/>
  <c r="Q91" i="1" s="1"/>
  <c r="S91" i="1" s="1"/>
  <c r="Q105" i="1"/>
  <c r="S105" i="1" s="1"/>
  <c r="Q100" i="1"/>
  <c r="S100" i="1" s="1"/>
  <c r="Q33" i="1"/>
  <c r="S33" i="1" s="1"/>
  <c r="Q106" i="1"/>
  <c r="S106" i="1" s="1"/>
  <c r="Q51" i="1"/>
  <c r="S51" i="1" s="1"/>
  <c r="Q94" i="1"/>
  <c r="S94" i="1" s="1"/>
  <c r="Q54" i="1"/>
  <c r="S54" i="1" s="1"/>
  <c r="Q65" i="1"/>
  <c r="S65" i="1" s="1"/>
  <c r="Q66" i="1"/>
  <c r="S66" i="1" s="1"/>
  <c r="Q99" i="1"/>
  <c r="S99" i="1" s="1"/>
  <c r="Q132" i="1"/>
  <c r="S132" i="1" s="1"/>
  <c r="Q150" i="1"/>
  <c r="S150" i="1" s="1"/>
  <c r="Q157" i="1"/>
  <c r="S157" i="1" s="1"/>
  <c r="Q197" i="1"/>
  <c r="S197" i="1" s="1"/>
  <c r="Q10" i="1"/>
  <c r="S10" i="1" s="1"/>
  <c r="Q87" i="1"/>
  <c r="S87" i="1" s="1"/>
  <c r="P60" i="1"/>
  <c r="K95" i="1"/>
  <c r="Q113" i="1"/>
  <c r="S113" i="1" s="1"/>
  <c r="Q129" i="1"/>
  <c r="S129" i="1" s="1"/>
  <c r="Q118" i="1"/>
  <c r="S118" i="1" s="1"/>
  <c r="Q138" i="1"/>
  <c r="S138" i="1" s="1"/>
  <c r="K143" i="1"/>
  <c r="Q143" i="1" s="1"/>
  <c r="S143" i="1" s="1"/>
  <c r="Q190" i="1"/>
  <c r="S190" i="1" s="1"/>
  <c r="K186" i="1"/>
  <c r="Q186" i="1" s="1"/>
  <c r="S186" i="1" s="1"/>
  <c r="Q168" i="1"/>
  <c r="S168" i="1" s="1"/>
  <c r="Q135" i="1"/>
  <c r="S135" i="1" s="1"/>
  <c r="Q130" i="1"/>
  <c r="S130" i="1" s="1"/>
  <c r="Q137" i="1"/>
  <c r="S137" i="1" s="1"/>
  <c r="Q142" i="1"/>
  <c r="S142" i="1" s="1"/>
  <c r="Q97" i="1"/>
  <c r="S97" i="1" s="1"/>
  <c r="P147" i="1"/>
  <c r="Q147" i="1" s="1"/>
  <c r="S147" i="1" s="1"/>
  <c r="Q81" i="1"/>
  <c r="S81" i="1" s="1"/>
  <c r="Q131" i="1"/>
  <c r="S131" i="1" s="1"/>
  <c r="Q146" i="1"/>
  <c r="S146" i="1" s="1"/>
  <c r="Q170" i="1"/>
  <c r="S170" i="1" s="1"/>
  <c r="Q89" i="1"/>
  <c r="S89" i="1" s="1"/>
  <c r="K154" i="1"/>
  <c r="P154" i="1"/>
  <c r="P180" i="1"/>
  <c r="P191" i="1" l="1"/>
  <c r="O191" i="1" s="1"/>
  <c r="Q183" i="1"/>
  <c r="S183" i="1" s="1"/>
  <c r="Q112" i="1"/>
  <c r="S112" i="1" s="1"/>
  <c r="Q17" i="1"/>
  <c r="S17" i="1" s="1"/>
  <c r="K151" i="1"/>
  <c r="J151" i="1" s="1"/>
  <c r="K139" i="1"/>
  <c r="J139" i="1" s="1"/>
  <c r="P151" i="1"/>
  <c r="H151" i="1"/>
  <c r="K179" i="1"/>
  <c r="J179" i="1" s="1"/>
  <c r="Q172" i="1"/>
  <c r="S172" i="1" s="1"/>
  <c r="P5" i="1"/>
  <c r="M191" i="1"/>
  <c r="Q140" i="1"/>
  <c r="Q95" i="1"/>
  <c r="S95" i="1" s="1"/>
  <c r="Q154" i="1"/>
  <c r="Q180" i="1"/>
  <c r="S180" i="1" s="1"/>
  <c r="S140" i="1" l="1"/>
  <c r="S151" i="1" s="1"/>
  <c r="S154" i="1"/>
  <c r="S179" i="1" s="1"/>
  <c r="Q5" i="1"/>
  <c r="S5" i="1" s="1"/>
  <c r="I60" i="1" l="1"/>
  <c r="L62" i="1" l="1"/>
  <c r="N62" i="1" s="1"/>
  <c r="P62" i="1" s="1"/>
  <c r="K60" i="1"/>
  <c r="I62" i="1"/>
  <c r="K62" i="1" s="1"/>
  <c r="Q62" i="1" l="1"/>
  <c r="S62" i="1" s="1"/>
  <c r="Q60" i="1"/>
  <c r="S60" i="1" s="1"/>
  <c r="L103" i="1"/>
  <c r="L64" i="1"/>
  <c r="N64" i="1" s="1"/>
  <c r="P64" i="1" s="1"/>
  <c r="L63" i="1"/>
  <c r="I103" i="1" l="1"/>
  <c r="I63" i="1"/>
  <c r="N63" i="1"/>
  <c r="P63" i="1" s="1"/>
  <c r="N103" i="1"/>
  <c r="P103" i="1" s="1"/>
  <c r="I64" i="1"/>
  <c r="K64" i="1" s="1"/>
  <c r="Q64" i="1" s="1"/>
  <c r="S64" i="1" s="1"/>
  <c r="K103" i="1" l="1"/>
  <c r="K63" i="1"/>
  <c r="Q103" i="1" l="1"/>
  <c r="S103" i="1" s="1"/>
  <c r="Q63" i="1"/>
  <c r="S63" i="1" s="1"/>
  <c r="I187" i="1" l="1"/>
  <c r="I189" i="1"/>
  <c r="G13" i="3" s="1"/>
  <c r="K187" i="1" l="1"/>
  <c r="Q187" i="1" s="1"/>
  <c r="S187" i="1" s="1"/>
  <c r="I191" i="1"/>
  <c r="K189" i="1"/>
  <c r="K191" i="1" l="1"/>
  <c r="Q189" i="1"/>
  <c r="H191" i="1"/>
  <c r="S189" i="1" l="1"/>
  <c r="Q191" i="1"/>
  <c r="J191" i="1"/>
  <c r="S191" i="1" l="1"/>
  <c r="S202" i="1" s="1"/>
  <c r="N14" i="1"/>
  <c r="P14" i="1" l="1"/>
  <c r="Q151" i="1"/>
  <c r="O151" i="1"/>
  <c r="Q14" i="1" l="1"/>
  <c r="S14" i="1" s="1"/>
  <c r="I82" i="1"/>
  <c r="G6" i="3" s="1"/>
  <c r="L82" i="1"/>
  <c r="N82" i="1" l="1"/>
  <c r="L86" i="1"/>
  <c r="N86" i="1" s="1"/>
  <c r="P86" i="1" s="1"/>
  <c r="L85" i="1"/>
  <c r="N85" i="1" s="1"/>
  <c r="P85" i="1" s="1"/>
  <c r="Q85" i="1" s="1"/>
  <c r="S85" i="1" s="1"/>
  <c r="L84" i="1"/>
  <c r="N84" i="1" s="1"/>
  <c r="P84" i="1" s="1"/>
  <c r="I84" i="1"/>
  <c r="K84" i="1" s="1"/>
  <c r="K82" i="1"/>
  <c r="Q86" i="1" l="1"/>
  <c r="S86" i="1" s="1"/>
  <c r="P82" i="1"/>
  <c r="Q82" i="1" s="1"/>
  <c r="S82" i="1" s="1"/>
  <c r="Q84" i="1"/>
  <c r="S84" i="1" s="1"/>
  <c r="L152" i="1"/>
  <c r="L121" i="1" l="1"/>
  <c r="N121" i="1" s="1"/>
  <c r="P121" i="1" s="1"/>
  <c r="Q121" i="1" s="1"/>
  <c r="S121" i="1" s="1"/>
  <c r="L61" i="1"/>
  <c r="N61" i="1" s="1"/>
  <c r="P61" i="1" s="1"/>
  <c r="Q61" i="1" s="1"/>
  <c r="S61" i="1" s="1"/>
  <c r="I196" i="1" l="1"/>
  <c r="L70" i="1"/>
  <c r="N70" i="1" s="1"/>
  <c r="P70" i="1" s="1"/>
  <c r="Q70" i="1" s="1"/>
  <c r="S70" i="1" s="1"/>
  <c r="C14" i="3" l="1"/>
  <c r="C15" i="3" s="1"/>
  <c r="G201" i="1"/>
  <c r="G202" i="1" s="1"/>
  <c r="F14" i="3"/>
  <c r="L193" i="1"/>
  <c r="L201" i="1" s="1"/>
  <c r="I193" i="1"/>
  <c r="L194" i="1"/>
  <c r="N194" i="1" s="1"/>
  <c r="P194" i="1" s="1"/>
  <c r="I194" i="1"/>
  <c r="K194" i="1" s="1"/>
  <c r="L69" i="1"/>
  <c r="N69" i="1" s="1"/>
  <c r="P69" i="1" s="1"/>
  <c r="Q69" i="1" s="1"/>
  <c r="S69" i="1" s="1"/>
  <c r="L195" i="1"/>
  <c r="N195" i="1" s="1"/>
  <c r="P195" i="1" s="1"/>
  <c r="I195" i="1"/>
  <c r="G14" i="3" s="1"/>
  <c r="L124" i="1"/>
  <c r="N124" i="1" s="1"/>
  <c r="P124" i="1" s="1"/>
  <c r="Q124" i="1" s="1"/>
  <c r="S124" i="1" s="1"/>
  <c r="L49" i="1"/>
  <c r="N49" i="1" s="1"/>
  <c r="P49" i="1" s="1"/>
  <c r="Q49" i="1" s="1"/>
  <c r="S49" i="1" s="1"/>
  <c r="L48" i="1"/>
  <c r="N48" i="1" s="1"/>
  <c r="P48" i="1" s="1"/>
  <c r="Q48" i="1" s="1"/>
  <c r="S48" i="1" s="1"/>
  <c r="L196" i="1"/>
  <c r="N196" i="1" s="1"/>
  <c r="P196" i="1" s="1"/>
  <c r="K196" i="1"/>
  <c r="I201" i="1" l="1"/>
  <c r="I202" i="1" s="1"/>
  <c r="G203" i="1"/>
  <c r="C16" i="3" s="1"/>
  <c r="L202" i="1"/>
  <c r="L203" i="1" s="1"/>
  <c r="D16" i="3" s="1"/>
  <c r="D14" i="3"/>
  <c r="F15" i="3"/>
  <c r="K193" i="1"/>
  <c r="N193" i="1"/>
  <c r="N201" i="1" s="1"/>
  <c r="Q194" i="1"/>
  <c r="S194" i="1" s="1"/>
  <c r="K195" i="1"/>
  <c r="Q195" i="1" s="1"/>
  <c r="S195" i="1" s="1"/>
  <c r="G15" i="3"/>
  <c r="Q196" i="1"/>
  <c r="S196" i="1" s="1"/>
  <c r="K201" i="1" l="1"/>
  <c r="E14" i="3"/>
  <c r="D15" i="3"/>
  <c r="E15" i="3" s="1"/>
  <c r="L42" i="1"/>
  <c r="N42" i="1" s="1"/>
  <c r="P42" i="1" s="1"/>
  <c r="L45" i="1"/>
  <c r="N45" i="1" s="1"/>
  <c r="P45" i="1" s="1"/>
  <c r="Q45" i="1" s="1"/>
  <c r="S45" i="1" s="1"/>
  <c r="L47" i="1"/>
  <c r="N47" i="1" s="1"/>
  <c r="P47" i="1" s="1"/>
  <c r="Q47" i="1" s="1"/>
  <c r="S47" i="1" s="1"/>
  <c r="L44" i="1"/>
  <c r="N44" i="1" s="1"/>
  <c r="P44" i="1" s="1"/>
  <c r="Q44" i="1" s="1"/>
  <c r="S44" i="1" s="1"/>
  <c r="P193" i="1"/>
  <c r="P201" i="1" s="1"/>
  <c r="L123" i="1"/>
  <c r="N123" i="1" s="1"/>
  <c r="P123" i="1" s="1"/>
  <c r="Q123" i="1" s="1"/>
  <c r="S123" i="1" s="1"/>
  <c r="L115" i="1"/>
  <c r="N115" i="1" s="1"/>
  <c r="P115" i="1" s="1"/>
  <c r="Q115" i="1" s="1"/>
  <c r="S115" i="1" s="1"/>
  <c r="L116" i="1"/>
  <c r="N116" i="1" s="1"/>
  <c r="P116" i="1" s="1"/>
  <c r="Q116" i="1" s="1"/>
  <c r="S116" i="1" s="1"/>
  <c r="I67" i="1"/>
  <c r="K67" i="1" s="1"/>
  <c r="L68" i="1"/>
  <c r="N68" i="1" s="1"/>
  <c r="P68" i="1" s="1"/>
  <c r="Q68" i="1" s="1"/>
  <c r="S68" i="1" s="1"/>
  <c r="L128" i="1"/>
  <c r="N128" i="1" s="1"/>
  <c r="P128" i="1" s="1"/>
  <c r="Q128" i="1" s="1"/>
  <c r="S128" i="1" s="1"/>
  <c r="L126" i="1"/>
  <c r="N126" i="1" s="1"/>
  <c r="P126" i="1" s="1"/>
  <c r="Q126" i="1" s="1"/>
  <c r="S126" i="1" s="1"/>
  <c r="L125" i="1"/>
  <c r="N125" i="1" s="1"/>
  <c r="P125" i="1" s="1"/>
  <c r="Q125" i="1" s="1"/>
  <c r="S125" i="1" s="1"/>
  <c r="L119" i="1"/>
  <c r="N119" i="1" s="1"/>
  <c r="P119" i="1" s="1"/>
  <c r="Q119" i="1" s="1"/>
  <c r="S119" i="1" s="1"/>
  <c r="L120" i="1"/>
  <c r="N120" i="1" s="1"/>
  <c r="P120" i="1" s="1"/>
  <c r="Q120" i="1" s="1"/>
  <c r="S120" i="1" s="1"/>
  <c r="L114" i="1"/>
  <c r="N114" i="1" s="1"/>
  <c r="L58" i="1"/>
  <c r="N58" i="1" s="1"/>
  <c r="H201" i="1"/>
  <c r="N139" i="1" l="1"/>
  <c r="Q42" i="1"/>
  <c r="S42" i="1" s="1"/>
  <c r="Q193" i="1"/>
  <c r="S193" i="1" s="1"/>
  <c r="I71" i="1"/>
  <c r="K71" i="1" s="1"/>
  <c r="L43" i="1"/>
  <c r="N43" i="1" s="1"/>
  <c r="P43" i="1" s="1"/>
  <c r="Q43" i="1" s="1"/>
  <c r="S43" i="1" s="1"/>
  <c r="H202" i="1"/>
  <c r="P202" i="1"/>
  <c r="O201" i="1"/>
  <c r="Q201" i="1"/>
  <c r="Q202" i="1" s="1"/>
  <c r="J201" i="1"/>
  <c r="K202" i="1"/>
  <c r="P114" i="1"/>
  <c r="P139" i="1" s="1"/>
  <c r="Q139" i="1" s="1"/>
  <c r="P58" i="1"/>
  <c r="Q58" i="1" s="1"/>
  <c r="S58" i="1" s="1"/>
  <c r="L67" i="1"/>
  <c r="N67" i="1" s="1"/>
  <c r="P67" i="1" s="1"/>
  <c r="Q67" i="1" s="1"/>
  <c r="S67" i="1" s="1"/>
  <c r="M201" i="1"/>
  <c r="N202" i="1"/>
  <c r="L71" i="1" l="1"/>
  <c r="N71" i="1" s="1"/>
  <c r="P71" i="1" s="1"/>
  <c r="Q71" i="1" s="1"/>
  <c r="S71" i="1" s="1"/>
  <c r="I50" i="1"/>
  <c r="M139" i="1"/>
  <c r="Q114" i="1"/>
  <c r="I72" i="1"/>
  <c r="K72" i="1" s="1"/>
  <c r="M202" i="1"/>
  <c r="J202" i="1"/>
  <c r="O202" i="1"/>
  <c r="I110" i="1" l="1"/>
  <c r="H110" i="1" s="1"/>
  <c r="S114" i="1"/>
  <c r="S139" i="1" s="1"/>
  <c r="L50" i="1"/>
  <c r="N50" i="1" s="1"/>
  <c r="P50" i="1" s="1"/>
  <c r="L72" i="1"/>
  <c r="N72" i="1" s="1"/>
  <c r="O139" i="1"/>
  <c r="K50" i="1"/>
  <c r="K110" i="1" s="1"/>
  <c r="I152" i="1" l="1"/>
  <c r="I203" i="1" s="1"/>
  <c r="H203" i="1" s="1"/>
  <c r="N110" i="1"/>
  <c r="N152" i="1" s="1"/>
  <c r="P72" i="1"/>
  <c r="Q50" i="1"/>
  <c r="S50" i="1" s="1"/>
  <c r="N203" i="1" l="1"/>
  <c r="Q72" i="1"/>
  <c r="S72" i="1" s="1"/>
  <c r="S110" i="1" s="1"/>
  <c r="P110" i="1"/>
  <c r="Q110" i="1" s="1"/>
  <c r="Q152" i="1" s="1"/>
  <c r="Q203" i="1" s="1"/>
  <c r="H152" i="1"/>
  <c r="M110" i="1"/>
  <c r="K152" i="1"/>
  <c r="J110" i="1"/>
  <c r="M152" i="1"/>
  <c r="M203" i="1" l="1"/>
  <c r="S152" i="1"/>
  <c r="S203" i="1" s="1"/>
  <c r="O110" i="1"/>
  <c r="P152" i="1"/>
  <c r="J152" i="1"/>
  <c r="K203" i="1"/>
  <c r="J203" i="1" l="1"/>
  <c r="P203" i="1"/>
  <c r="O152" i="1"/>
  <c r="O203" i="1" l="1"/>
</calcChain>
</file>

<file path=xl/sharedStrings.xml><?xml version="1.0" encoding="utf-8"?>
<sst xmlns="http://schemas.openxmlformats.org/spreadsheetml/2006/main" count="989" uniqueCount="532">
  <si>
    <t>Burden Table</t>
  </si>
  <si>
    <t>Responsive</t>
  </si>
  <si>
    <t>Non-Responsive</t>
  </si>
  <si>
    <t>Respondent Category</t>
  </si>
  <si>
    <t>Type of respondents</t>
  </si>
  <si>
    <t>Instruments</t>
  </si>
  <si>
    <t>NSFS Appendix #</t>
  </si>
  <si>
    <t>Document</t>
  </si>
  <si>
    <t>Sample Size</t>
  </si>
  <si>
    <t>Number of respondents</t>
  </si>
  <si>
    <t>Frequency of response</t>
  </si>
  <si>
    <t>Total Annual responses</t>
  </si>
  <si>
    <t>Hours per response</t>
  </si>
  <si>
    <t>Annual burden (hours)</t>
  </si>
  <si>
    <t>Number of Non-respondents</t>
  </si>
  <si>
    <t>Grand Total Annual Burden Estimate (hours)</t>
  </si>
  <si>
    <t>Hourly Wage Rate</t>
  </si>
  <si>
    <t>Total Annualized Cost of Respondent Burden (l)</t>
  </si>
  <si>
    <t>State/Local Government</t>
  </si>
  <si>
    <t>State Child Nutrition Agency Directors (Groups 1a, 1b, 2a, 2b, 3)</t>
  </si>
  <si>
    <t>Recruitment (Group 1a, 1b, 2a, 2b, 3) (a)</t>
  </si>
  <si>
    <t>C11</t>
  </si>
  <si>
    <t>Study Webinar Invitation and Webinar</t>
  </si>
  <si>
    <t>C06</t>
  </si>
  <si>
    <t>C03</t>
  </si>
  <si>
    <t>Study Overview</t>
  </si>
  <si>
    <t>C05</t>
  </si>
  <si>
    <t xml:space="preserve">Sample Notification Email from Regional Offices to State Child Nutrition Directors </t>
  </si>
  <si>
    <t>C07</t>
  </si>
  <si>
    <t>SFA Director Sample Notification Email from State CN Directors</t>
  </si>
  <si>
    <t>State Child Nutrition Agency Directors (Full and Limited Outlying Areas)</t>
  </si>
  <si>
    <t>Recruitment (Full and Limited Outlying Areas) (a)</t>
  </si>
  <si>
    <t>E02/E13</t>
  </si>
  <si>
    <t>E01/E14</t>
  </si>
  <si>
    <t>Outlying Areas Overview</t>
  </si>
  <si>
    <t>E03/E15</t>
  </si>
  <si>
    <t>State Education Agency Finance Officers (Group 3)</t>
  </si>
  <si>
    <t>Indirect Cost Survey (Group 3) (a)</t>
  </si>
  <si>
    <t>F05.11</t>
  </si>
  <si>
    <t>F05.01</t>
  </si>
  <si>
    <t>State Agency Indirect Cost Survey (c)(i)</t>
  </si>
  <si>
    <t>State Education Agency Finance Officers (Full Outlying Areas)</t>
  </si>
  <si>
    <t>Indirect Cost Survey (Full Outlying Areas) (a)</t>
  </si>
  <si>
    <t>State Agency Indirect Cost Survey (c)(d)(i)</t>
  </si>
  <si>
    <t>C23</t>
  </si>
  <si>
    <t>E01</t>
  </si>
  <si>
    <t>State Distributing Agency Directors (Group 1a, 1b, 3)</t>
  </si>
  <si>
    <t>Pretest SFPS</t>
  </si>
  <si>
    <t>NA</t>
  </si>
  <si>
    <t>Pretest</t>
  </si>
  <si>
    <t xml:space="preserve">State Distributing Agency Directors </t>
  </si>
  <si>
    <t>Quarterly USDA Foods Data Request (Group 1a, 1b, 3) (a)</t>
  </si>
  <si>
    <t>F01.05</t>
  </si>
  <si>
    <t>F01.10</t>
  </si>
  <si>
    <t>SFPS Overview of USDA Foods Data</t>
  </si>
  <si>
    <t>F01.11</t>
  </si>
  <si>
    <t>SFPS Reminder Email for USDA Foods Data</t>
  </si>
  <si>
    <t>F01.12</t>
  </si>
  <si>
    <t>SFPS Reminder Script to Collect USDA Foods Data</t>
  </si>
  <si>
    <t>Superintendents (Group 2a, 2b, 3)</t>
  </si>
  <si>
    <t>Recruitment (Groups 2a, 2b, 3) (a)</t>
  </si>
  <si>
    <t>C10</t>
  </si>
  <si>
    <t>C12</t>
  </si>
  <si>
    <t>SFA Director Recruitment Advance Letter/Email</t>
  </si>
  <si>
    <t>C09</t>
  </si>
  <si>
    <t>Endorsement Letters Template</t>
  </si>
  <si>
    <t>C13</t>
  </si>
  <si>
    <t>Recruiting Call Script</t>
  </si>
  <si>
    <t>Superintendents (Full Outlying Areas)</t>
  </si>
  <si>
    <t xml:space="preserve"> Recruitment (Full Outlying Areas) (a)</t>
  </si>
  <si>
    <t>E04</t>
  </si>
  <si>
    <t>Endorsement Letters Template (j)</t>
  </si>
  <si>
    <t>Superintendents (Limited Outlying Areas)</t>
  </si>
  <si>
    <t xml:space="preserve"> Recruitment (Limited Outlying Areas) (a)</t>
  </si>
  <si>
    <t>C13/E09</t>
  </si>
  <si>
    <t>SFA Directors</t>
  </si>
  <si>
    <t>SFA Directors (Group 1a, 1b, 2a, 2b, 3)</t>
  </si>
  <si>
    <t>Recruitment (Group 1a, 1b, 2a, 2b, 3)</t>
  </si>
  <si>
    <t xml:space="preserve">SFA Directors (Group 1a, 1b) </t>
  </si>
  <si>
    <t>Recruitment (Group 1a, 1b)</t>
  </si>
  <si>
    <t>C04</t>
  </si>
  <si>
    <t>SFPS Brochure</t>
  </si>
  <si>
    <t>Data Collection Coordination (Group 1a, 1b)</t>
  </si>
  <si>
    <t>C14</t>
  </si>
  <si>
    <t>SFPS Food Purchase Planning Interview</t>
  </si>
  <si>
    <t>Quarterly Program Data Form and Food Purchase Data Request (Group 1a, 1b)</t>
  </si>
  <si>
    <t>C15</t>
  </si>
  <si>
    <t>SFPS Purchase Data Webinar Invitation and Webinar</t>
  </si>
  <si>
    <t>F01.01/F01.02</t>
  </si>
  <si>
    <t>SFPS Quarterly Program Data Form and Food Purchase Data Request Email with SFPS Food Purchase Data Checklist (c)</t>
  </si>
  <si>
    <t>F01.03</t>
  </si>
  <si>
    <t>SFPS Quarterly Program Data Form (c) (i)</t>
  </si>
  <si>
    <t>F01.06</t>
  </si>
  <si>
    <t>SFPS Quarterly Reminder Email</t>
  </si>
  <si>
    <t>F01.07</t>
  </si>
  <si>
    <t>SFPS Telephone Script for Quarterly Data Clarifications and Confirmation</t>
  </si>
  <si>
    <t>F01.08</t>
  </si>
  <si>
    <t>SFPS Reminder Call Scripts to Collect Quarterly and Program Data</t>
  </si>
  <si>
    <t>Year-End Follow-Up Survey (Group 1a, 1b)</t>
  </si>
  <si>
    <t>F01.09</t>
  </si>
  <si>
    <t>SFPS SFA Year-End Follow-Up Survey Invitation</t>
  </si>
  <si>
    <t>F01.04</t>
  </si>
  <si>
    <t>SFPS SFA Year-End Follow-Up Survey (c)</t>
  </si>
  <si>
    <t>SFA Directors (Groups 2a, 2b, 3)</t>
  </si>
  <si>
    <t xml:space="preserve"> Data Collection Coordination (Groups 2a, 2b, 3)</t>
  </si>
  <si>
    <t>C16</t>
  </si>
  <si>
    <t xml:space="preserve">SFA Director Planning Interview </t>
  </si>
  <si>
    <t>C17</t>
  </si>
  <si>
    <t>SFA Post-Planning Email</t>
  </si>
  <si>
    <t>C22</t>
  </si>
  <si>
    <t>Pre-Visit Reminder Email</t>
  </si>
  <si>
    <t>SFA Directors (Group 2a, 2b)</t>
  </si>
  <si>
    <t>Data Collection Coordination (Group 2a, 2b)</t>
  </si>
  <si>
    <t>D01</t>
  </si>
  <si>
    <t>School Roster Data Request (k)</t>
  </si>
  <si>
    <t>SFA Directors (Group 3)</t>
  </si>
  <si>
    <t>Data Collection Coordination (Group 3)</t>
  </si>
  <si>
    <t>C18</t>
  </si>
  <si>
    <t>Data Collection Activities and Respondents</t>
  </si>
  <si>
    <t>Cost Interview (Group 3)</t>
  </si>
  <si>
    <t>G3</t>
  </si>
  <si>
    <t>F05.02</t>
  </si>
  <si>
    <t>SFA On-Site Cost Interview with Reference Guide (c)</t>
  </si>
  <si>
    <t>F05.04</t>
  </si>
  <si>
    <t>Food Cost Worksheet</t>
  </si>
  <si>
    <t>Follow-up Web Survey (Group 3)</t>
  </si>
  <si>
    <t>F05.14</t>
  </si>
  <si>
    <t xml:space="preserve">SFA Follow-Up Web Survey and Interview Planning Email </t>
  </si>
  <si>
    <t>F05.06</t>
  </si>
  <si>
    <r>
      <rPr>
        <sz val="10"/>
        <color rgb="FF000000"/>
        <rFont val="Calibri"/>
        <scheme val="minor"/>
      </rPr>
      <t>SFA Follow-Up Web Survey</t>
    </r>
    <r>
      <rPr>
        <sz val="10"/>
        <color rgb="FFFF0000"/>
        <rFont val="Calibri"/>
        <scheme val="minor"/>
      </rPr>
      <t xml:space="preserve"> </t>
    </r>
    <r>
      <rPr>
        <sz val="10"/>
        <color rgb="FF000000"/>
        <rFont val="Calibri"/>
        <scheme val="minor"/>
      </rPr>
      <t>(c)</t>
    </r>
  </si>
  <si>
    <t>Follow-up Cost Interview (Group 3)</t>
  </si>
  <si>
    <t>F05.08</t>
  </si>
  <si>
    <t>SFA Follow-Up Cost Interview with Reference Guide</t>
  </si>
  <si>
    <t>SFA Directors (Groups 1a, 1b, 1c, 2a, 2b, 3)</t>
  </si>
  <si>
    <t>SFA Director Survey (Group 1c) (a)</t>
  </si>
  <si>
    <t>F03.02</t>
  </si>
  <si>
    <t>F03.04</t>
  </si>
  <si>
    <t>SFA Director Survey (Groups 1a, 1b, 2a, 3)</t>
  </si>
  <si>
    <t>F03.03</t>
  </si>
  <si>
    <t>SFA Director Survey (Group 1a)</t>
  </si>
  <si>
    <t>F03.01</t>
  </si>
  <si>
    <t>SFA Director Survey (Group 1b)</t>
  </si>
  <si>
    <t>SFA Director Survey (Groups 1c, 2a, 3)</t>
  </si>
  <si>
    <t>SFA Director Survey (Groups 1a, 1b, 1c, 2a, 3)</t>
  </si>
  <si>
    <t>F03.05</t>
  </si>
  <si>
    <t>F03.06</t>
  </si>
  <si>
    <t>SFA Director Survey Reminder Call Script</t>
  </si>
  <si>
    <t>SFA Directors (Full Outlying Areas)</t>
  </si>
  <si>
    <t xml:space="preserve"> Data Collection Coordination (Full Outlying Areas)</t>
  </si>
  <si>
    <t>E05</t>
  </si>
  <si>
    <t>E08</t>
  </si>
  <si>
    <t>Pre-Target Week Reminder Email</t>
  </si>
  <si>
    <t>Cost Interview (Full Outlying Areas)</t>
  </si>
  <si>
    <t>SFA On-Site Cost Interview with Reference Guide (c) (i)</t>
  </si>
  <si>
    <t xml:space="preserve"> Follow-up Web Survey (Full  Outlying Areas)</t>
  </si>
  <si>
    <t>SFA Follow-Up Web Survey (c)</t>
  </si>
  <si>
    <t>Follow-up Cost Interview (Full Outlying Areas)</t>
  </si>
  <si>
    <t>SFA Directors (Limited Outlying Areas)</t>
  </si>
  <si>
    <t>E04/E16</t>
  </si>
  <si>
    <t>C11/E10</t>
  </si>
  <si>
    <t>Data Collection Coordination (Limited Outlying Areas)</t>
  </si>
  <si>
    <t>C16/E11</t>
  </si>
  <si>
    <t>SFA Director Planning Interview</t>
  </si>
  <si>
    <t>E05/E18</t>
  </si>
  <si>
    <t>C18/E12</t>
  </si>
  <si>
    <t>E08/E17</t>
  </si>
  <si>
    <t>Cost Interview (Limited Outlying Areas)</t>
  </si>
  <si>
    <t>F05.02/F05.03</t>
  </si>
  <si>
    <t>F05.04/F05.05</t>
  </si>
  <si>
    <t>Follow-up Web Survey (Limited Outlying Areas)</t>
  </si>
  <si>
    <t>F05.14/F05.15</t>
  </si>
  <si>
    <t>F05.06/F05.07</t>
  </si>
  <si>
    <t>Follow-up Cost Interview (Limited Outlying Areas)</t>
  </si>
  <si>
    <t>F05.08/F05.09</t>
  </si>
  <si>
    <t>Menu Survey (Limited Outlying Areas)</t>
  </si>
  <si>
    <t xml:space="preserve">LEA Business Managers (Group 3) </t>
  </si>
  <si>
    <t>Cost Interview (Group 3) (a)</t>
  </si>
  <si>
    <t>LEA Business Managers (Full Outlying Areas)</t>
  </si>
  <si>
    <t>Cost Interview (Full Outlying Areas) (a)</t>
  </si>
  <si>
    <t xml:space="preserve">LEA Business Managers (Limited Outlying Areas) </t>
  </si>
  <si>
    <t>Cost Interview (Limited Outlying Areas) (a)</t>
  </si>
  <si>
    <t xml:space="preserve">Subtotal of State CN Agency Directors, State Education Agency Finance Officers, State Distributing Agency Directors, Superintendents, SFA Directors, and LEA Business Managers </t>
  </si>
  <si>
    <t>-</t>
  </si>
  <si>
    <t>School Nutrition Managers</t>
  </si>
  <si>
    <t>Pretest FFVP</t>
  </si>
  <si>
    <t>School Nutrition Managers (Groups 2a, 2b, 3)</t>
  </si>
  <si>
    <t>Data Collection Coordination (Groups 2a, 2b, 3) (a)</t>
  </si>
  <si>
    <t>C19</t>
  </si>
  <si>
    <t>C20</t>
  </si>
  <si>
    <t>SNM Introduction Email</t>
  </si>
  <si>
    <t>Data Collection Coordination (Groups 2a, 2b, 3)</t>
  </si>
  <si>
    <t>Observation (Groups 2a, 2b, 3)</t>
  </si>
  <si>
    <t>F07</t>
  </si>
  <si>
    <t>Observation Guide (c)(e)</t>
  </si>
  <si>
    <t>School Nutrition Managers (Group 2a)</t>
  </si>
  <si>
    <t>Menu Survey (Group 2a)</t>
  </si>
  <si>
    <t>F02.01</t>
  </si>
  <si>
    <t>Menu Survey (c) (i)</t>
  </si>
  <si>
    <t>School Nutrition Manager Survey (Group 2a)</t>
  </si>
  <si>
    <t>F04.01</t>
  </si>
  <si>
    <t>SNM Survey (c)</t>
  </si>
  <si>
    <t>Fruit and Vegetable Questions and Meal Pattern Crediting Report (Group 2a)</t>
  </si>
  <si>
    <t xml:space="preserve">Fruit and Vegetable Questions and Meal Pattern Crediting Report </t>
  </si>
  <si>
    <t>Reimbursable Meal Sales Data (Group 2a)</t>
  </si>
  <si>
    <t>F06</t>
  </si>
  <si>
    <t>Reimbursable Meal Sale Data Request Form</t>
  </si>
  <si>
    <t>School Sources of Food Form (Group 2a)</t>
  </si>
  <si>
    <t>F08.03</t>
  </si>
  <si>
    <t>School Sources of Food Form (e)</t>
  </si>
  <si>
    <t>School Nutrition Managers (Group 2b)</t>
  </si>
  <si>
    <t>Menu Survey (Group 2b)</t>
  </si>
  <si>
    <t>FFVP Menu Survey (i)</t>
  </si>
  <si>
    <t>School Nutrition Manager Survey (Group 2b)</t>
  </si>
  <si>
    <t>F04.02</t>
  </si>
  <si>
    <t>Reimbursable Meal Sales Data (Group 2b)</t>
  </si>
  <si>
    <t>Point of Sale Form (Group 2b)</t>
  </si>
  <si>
    <t>School Nutrition Managers (Group 3)</t>
  </si>
  <si>
    <t xml:space="preserve"> Data Collection Coordination (Group 3)</t>
  </si>
  <si>
    <t>School Planning Interview (c)</t>
  </si>
  <si>
    <t>Menu Survey (Group 3)</t>
  </si>
  <si>
    <t>School Nutrition Manager Survey (Group 3)</t>
  </si>
  <si>
    <t>Fruit and Vegetable Questions and Meal Pattern Crediting Report (Group 3)</t>
  </si>
  <si>
    <t>F05.10</t>
  </si>
  <si>
    <t>On-Site Self-Serve/Made-to-Order Bar Form (Group 3)</t>
  </si>
  <si>
    <t>F05.13</t>
  </si>
  <si>
    <t>Plate Waste Observation (Group 3)</t>
  </si>
  <si>
    <t>F09</t>
  </si>
  <si>
    <t>Plate Waste Observation Booklet (e)</t>
  </si>
  <si>
    <t xml:space="preserve">School Nutrition Managers (Full Outlying Areas) </t>
  </si>
  <si>
    <t>Data Collection Coordination (Full Outlying Areas) (a)</t>
  </si>
  <si>
    <t>E07</t>
  </si>
  <si>
    <t>SNM Introduction Letter</t>
  </si>
  <si>
    <t>Data Collection Coordination (Full Outlying Areas)</t>
  </si>
  <si>
    <t>Menu Survey (Full Outlying Areas)</t>
  </si>
  <si>
    <t>School Liaisons (Group 2a, 2b)</t>
  </si>
  <si>
    <t>Data Collection Coordination (Group 2a, 2b) (a)</t>
  </si>
  <si>
    <t>Subtotal of School Nutrition Managers and School Liaisons</t>
  </si>
  <si>
    <t>Principals (Groups 2a, 2b, 3)</t>
  </si>
  <si>
    <t xml:space="preserve"> Data Collection Coordination (Groups 2a, 2b, 3) (a)</t>
  </si>
  <si>
    <t xml:space="preserve">Principal Introduction Email to Schools </t>
  </si>
  <si>
    <t>Principals (Groups 2a, 3)</t>
  </si>
  <si>
    <t xml:space="preserve">Principal Survey (Groups 2a, 3) </t>
  </si>
  <si>
    <t>F03.08</t>
  </si>
  <si>
    <t>Principal Survey Reminder Call Script</t>
  </si>
  <si>
    <t>F03.07</t>
  </si>
  <si>
    <t>Principal Survey (c) (i)</t>
  </si>
  <si>
    <t>Principals (Group 2a, 2b)</t>
  </si>
  <si>
    <t>C21</t>
  </si>
  <si>
    <t>Next Steps for Principals Email</t>
  </si>
  <si>
    <t>Principals (Group 3)</t>
  </si>
  <si>
    <t>F05.12</t>
  </si>
  <si>
    <t>Principal Cost Interview with Reference Guide (c)</t>
  </si>
  <si>
    <t>Principals (Full Outlying Areas)</t>
  </si>
  <si>
    <t>E06</t>
  </si>
  <si>
    <t>Principal Introduction Letter to Schools</t>
  </si>
  <si>
    <t xml:space="preserve">Cost Interview (Full Outlying Areas) </t>
  </si>
  <si>
    <t>Principal Cost Interview with Reference Guide (c) (i)</t>
  </si>
  <si>
    <t>Subtotal of Principals</t>
  </si>
  <si>
    <t>Subtotal State/Local Governments</t>
  </si>
  <si>
    <t>Businesses</t>
  </si>
  <si>
    <t>FSMC Managers (Group  1a, 1b, 2a, 2b, 3)</t>
  </si>
  <si>
    <t>Food Service Management Company Manager Recruitment (Groups  1a, 1b, 2a, 2b, 3) (a)</t>
  </si>
  <si>
    <t>C08</t>
  </si>
  <si>
    <t>FSMC/Distributor Recruitment Letter/Email</t>
  </si>
  <si>
    <t xml:space="preserve">FSMC/Distributor Recruiting Call Script </t>
  </si>
  <si>
    <t>Distributors (Group 1a, 1b)</t>
  </si>
  <si>
    <t>Distributor Recruitment (Group 1a, 1b) (a)</t>
  </si>
  <si>
    <t xml:space="preserve">FSMC/Distributor Recruitment Letter/Email </t>
  </si>
  <si>
    <t xml:space="preserve">FSMC Managers (Full Outlying Managers) </t>
  </si>
  <si>
    <t>Food Service Management Company Manager Recruitment (Full Outlying Areas) (a) (f)</t>
  </si>
  <si>
    <t>Food Service Management Company Manager Recruitment (Full Outlying Areas) (a,f)</t>
  </si>
  <si>
    <t>Food Service Management Company Manager Cost Interview (Full Outlying Areas)</t>
  </si>
  <si>
    <t>SFA On-Site Cost Interview with Reference Guide (i)</t>
  </si>
  <si>
    <t>Food Service Management Company Manager Follow-up Web Survey (Full Outlying Areas)</t>
  </si>
  <si>
    <t>Food Service Management Company Manager Follow-up Cost Interview (Full Outlying Areas)</t>
  </si>
  <si>
    <t>FSMC Regional Operations Managers (Full Outlying Managers) (f)</t>
  </si>
  <si>
    <t>Food Service Management Company Regional Operations Manager Menu Survey (Full Outlying Areas) (a)</t>
  </si>
  <si>
    <t>Food Service Management Company Regional Operations Manager Cost Interview (Full Outlying Areas)</t>
  </si>
  <si>
    <t>Subtotal Businesses</t>
  </si>
  <si>
    <t>Individuals</t>
  </si>
  <si>
    <t>Parents/Guardians (Group 2)</t>
  </si>
  <si>
    <t>Parents/Guardians Recruitment (Group 2a, 2b) (a)(b)(g)</t>
  </si>
  <si>
    <t>D02/D03</t>
  </si>
  <si>
    <t>School Endorsement Letter</t>
  </si>
  <si>
    <t>D04/D05</t>
  </si>
  <si>
    <t>Parent (Household) Advance Letter</t>
  </si>
  <si>
    <t>D06/D07</t>
  </si>
  <si>
    <t>Household Brochure</t>
  </si>
  <si>
    <t>D08/D09</t>
  </si>
  <si>
    <t>Parent Passive Consent Form</t>
  </si>
  <si>
    <t>D10/D11</t>
  </si>
  <si>
    <t>Parent Active Consent Form</t>
  </si>
  <si>
    <t xml:space="preserve">Parents/Guardians Parent Interview (Group 2a) </t>
  </si>
  <si>
    <t>F08.04</t>
  </si>
  <si>
    <t>Parents/Guardians Dietary Recall (Group 2a)</t>
  </si>
  <si>
    <t>Food Diary</t>
  </si>
  <si>
    <t>F08.02</t>
  </si>
  <si>
    <t>AMPM (24-Hour Dietary Recall), Day 1 (c)</t>
  </si>
  <si>
    <r>
      <rPr>
        <sz val="10"/>
        <color rgb="FF000000"/>
        <rFont val="Calibri"/>
        <scheme val="minor"/>
      </rPr>
      <t>AMPM (24-Hour Dietary Recall), Day</t>
    </r>
    <r>
      <rPr>
        <sz val="10"/>
        <color rgb="FFFF0000"/>
        <rFont val="Calibri"/>
        <scheme val="minor"/>
      </rPr>
      <t xml:space="preserve"> </t>
    </r>
    <r>
      <rPr>
        <sz val="10"/>
        <color rgb="FF000000"/>
        <rFont val="Calibri"/>
        <scheme val="minor"/>
      </rPr>
      <t>2 (c)</t>
    </r>
  </si>
  <si>
    <t>Subtotal of Parents/Guardians</t>
  </si>
  <si>
    <t>Students</t>
  </si>
  <si>
    <t>Students (Group 2a, 2b)</t>
  </si>
  <si>
    <t>Students Recruitment (Group 2a, 2b) (a)</t>
  </si>
  <si>
    <t>D12/D13</t>
  </si>
  <si>
    <t>Student Assent Form</t>
  </si>
  <si>
    <t>Student Interview Reminder Flyer</t>
  </si>
  <si>
    <t>Students (Group 2a)</t>
  </si>
  <si>
    <t>Students Student Interview and Day 1 Dietary Recall (Group 2a) (b)</t>
  </si>
  <si>
    <t>F08.01</t>
  </si>
  <si>
    <t>Students Day 2 Dietary Recall (Group 2a)</t>
  </si>
  <si>
    <t>AMPM (24-Hour Dietary Recall), Day 2 (c)</t>
  </si>
  <si>
    <t>Students (Group 2b)</t>
  </si>
  <si>
    <t>Students Student Interview and Dietary Recall (Group 2b) (b)</t>
  </si>
  <si>
    <t>AMPM (In-school Intake Dietary Recall) (c)</t>
  </si>
  <si>
    <t>Subtotal of Students</t>
  </si>
  <si>
    <t>Subtotal Individuals</t>
  </si>
  <si>
    <t>Total</t>
  </si>
  <si>
    <t xml:space="preserve">Notes: "State" includes both States and Territories. </t>
  </si>
  <si>
    <t>The estimated number of small entities includes SFAs with a population of less than 50,000. The respondents from these SFAs include superintendents, SFA directors, and LEA business managers. Of the unique SFA-level respondents, 97% are expected to be from small entities. The total number of respondents from small entities are shown on the Resp_NonResp tab of this workbook.</t>
  </si>
  <si>
    <t>Federal staff will receive the Notification to Regional Offices. No public burden is associated with this activity and therefore it is not reported in the respondent burden table.</t>
  </si>
  <si>
    <t>The assumed response rate for SFAs in the limited data collection in outlying areas (Puerto Rico and the U.S. Virgin Islands) is 100%. The assumed response rate for the full data collection in outlying areas is 100% for Hawaii and Guam. (The assumed response rate for FSMC sample members in Guam is also 100%.) Because of the greater number of SFAs in the Alaska sample, the response rate for the SFA On-Site Cost Interview is assumed to align with the response rate for SFAs in Group 3, with 100% for the SFA Follow-Up Cost Interview. The assumed response rate for schools in the outlying areas is the same as for schools in Group 3.</t>
  </si>
  <si>
    <t xml:space="preserve">(a) The estimated number of unique respondents and non-respondents who will be contacted for notification, recruiting, and data collection purposes. Totals by type of respondent are shown on the Resp_NonResp tab of this workbook. Activities marked with (a) or highlighted in the same color as this cell identify those that contribute to the cumulative number of unique members of the public that will be initially contacted to participate in the study. </t>
  </si>
  <si>
    <t>(b) The primary data collection activity associated with parent/guardian recruitment is the Student Interview, and therefore the total number of respondents to "Parents/Guardians Recruitment" equals the number of respondents to "Student Interview."</t>
  </si>
  <si>
    <t>(c) The estimated number of responses collected electronically via web, CAPI, CATI, or submission of an electronic spreadsheet. Activities marked with (c) or highlighted in the same color as this cell identify those that contribute to this number, and the calculations are shown on the Resp_NonResp tab of this workbook.</t>
  </si>
  <si>
    <t>(d) For the full data collection in outlying areas, the State Agency Indirect Cost Survey will be fielded to the State Education Agency Finance Officer in Alaska.</t>
  </si>
  <si>
    <t>(f) An FSMC operates the school meals program in the majority of Guam’s schools. Data will be collected from one central and four regional FSMC managers to help estimate the cost of producing school meals excluding the FSMC operating profits. We assume that one FSMC operates in several SFAs in Alaska.</t>
  </si>
  <si>
    <t>(g) The estimated number of parents/guardians who are non-respondents to the study consent form assumes that 20 percent of Group 2 SFAs will require active consent.</t>
  </si>
  <si>
    <t>(h) The estimated time to complete the Parent Interview is an average of the amount of time expected to complete by web, CATI, or CAPI. We estimate 30% of the responses are completed by web (estimated burden of 0.3 hours) and 70% of the responses are completed by CATI or CAPI (estimated burden of 0.47 hours).</t>
  </si>
  <si>
    <t>(i) Respondents are those who complete the primary data collection activity for the respondent group. The rows showing the number of unique respondents expected to provide data for the study are marked with an (i) or highlighted in the same color as this cell.</t>
  </si>
  <si>
    <t xml:space="preserve">(j) Among the SFAs included in the full data collection for outlying areas, the SNA endorsement applies only to HI and AK and not the SFA in Guam. </t>
  </si>
  <si>
    <t>(k) SFAs in G2a and G2b will be asked to provide student rosters for selected school; school liaisons will be asked for the rosters if SFAs cannot provide them. We estimate 20% of rosters collected at the SFA-level, and 80% collected at the school-level.</t>
  </si>
  <si>
    <t>G1a</t>
  </si>
  <si>
    <t>G1b</t>
  </si>
  <si>
    <t>G1c</t>
  </si>
  <si>
    <t>G2a (SNMCS)</t>
  </si>
  <si>
    <t>G2b (FFVP)</t>
  </si>
  <si>
    <t>Full OA</t>
  </si>
  <si>
    <t>Ltd OA</t>
  </si>
  <si>
    <t>Instrument</t>
  </si>
  <si>
    <t>Respondent</t>
  </si>
  <si>
    <t>Objective(s)</t>
  </si>
  <si>
    <t>Mode</t>
  </si>
  <si>
    <t>Group</t>
  </si>
  <si>
    <t>n</t>
  </si>
  <si>
    <t>x</t>
  </si>
  <si>
    <t>RR</t>
  </si>
  <si>
    <t>National</t>
  </si>
  <si>
    <t>USDA Quarterly Data Request</t>
  </si>
  <si>
    <t>FNS</t>
  </si>
  <si>
    <t>Objective 5a</t>
  </si>
  <si>
    <t>N/A</t>
  </si>
  <si>
    <t>Quarterly</t>
  </si>
  <si>
    <t>Objective 5d</t>
  </si>
  <si>
    <t>States</t>
  </si>
  <si>
    <t>State Agency Indirect Cost Survey</t>
  </si>
  <si>
    <t>Ed or CN agency dirs</t>
  </si>
  <si>
    <t>Objective 3a</t>
  </si>
  <si>
    <t>Web</t>
  </si>
  <si>
    <t>Recruit</t>
  </si>
  <si>
    <t>Objective 6</t>
  </si>
  <si>
    <t xml:space="preserve">SDA Quarterly USDA Foods Data </t>
  </si>
  <si>
    <t>SDA dirs</t>
  </si>
  <si>
    <t>Objective 5b</t>
  </si>
  <si>
    <t>Objective 5c</t>
  </si>
  <si>
    <t>SFAs</t>
  </si>
  <si>
    <t>SFA Recruitment, includes:</t>
  </si>
  <si>
    <t>SFA dirs</t>
  </si>
  <si>
    <t>n/a</t>
  </si>
  <si>
    <t>-Recruitment Database (RDB)</t>
  </si>
  <si>
    <t xml:space="preserve">-SFA Director Planning Interview </t>
  </si>
  <si>
    <t>-Food Purchase Planning Interview (Confirmit)</t>
  </si>
  <si>
    <t>SFA Director Survey, includes modules for:</t>
  </si>
  <si>
    <t>Objective 1</t>
  </si>
  <si>
    <t>Field</t>
  </si>
  <si>
    <t>1) SFPS</t>
  </si>
  <si>
    <t>Objective 2a</t>
  </si>
  <si>
    <t>2) SNMCS</t>
  </si>
  <si>
    <t>Quarterly Program Data Form</t>
  </si>
  <si>
    <t>Quarterly Food Purchase Data</t>
  </si>
  <si>
    <t>Instrument to Code School Food Purchase Data</t>
  </si>
  <si>
    <t>SFA Year-End Follow-Up Survey</t>
  </si>
  <si>
    <t>Follow</t>
  </si>
  <si>
    <t>Plate Waste</t>
  </si>
  <si>
    <t>SFA On-Site Cost Interview</t>
  </si>
  <si>
    <t>Web/CAPI</t>
  </si>
  <si>
    <t>Objective 3b</t>
  </si>
  <si>
    <t>Paper</t>
  </si>
  <si>
    <t>SFA Follow-Up Web Survey</t>
  </si>
  <si>
    <t>SFA Follow-Up Cost Interview, includes:</t>
  </si>
  <si>
    <t>Web + Webex</t>
  </si>
  <si>
    <t>-Food Service Expense Statement Follow-Up</t>
  </si>
  <si>
    <t>-Food Service Revenue Statement</t>
  </si>
  <si>
    <t>-Food Service Indirect Cost Follow up Questionnaire</t>
  </si>
  <si>
    <t>Schools</t>
  </si>
  <si>
    <t>Schools Recruited, includes data collection coordination:</t>
  </si>
  <si>
    <t>SNMs or sch liaisons</t>
  </si>
  <si>
    <t>Coord</t>
  </si>
  <si>
    <t>-School Planning Interview</t>
  </si>
  <si>
    <t>-Child Roster Request/Child sampling (Excel upload to SMS)</t>
  </si>
  <si>
    <t>School Data Collection</t>
  </si>
  <si>
    <t>Menu Survey, including:</t>
  </si>
  <si>
    <t>SNMs</t>
  </si>
  <si>
    <t>Web, paper</t>
  </si>
  <si>
    <t>School Nutrition Manager Survey (SNM) Survey (G2a, G3)</t>
  </si>
  <si>
    <t>Objective 2a (basic and expanded)</t>
  </si>
  <si>
    <t>Fruit and Vegetable Questions and Meal Pattern Crediting Report</t>
  </si>
  <si>
    <t>Objective 2b</t>
  </si>
  <si>
    <t>Objective 3a (expanded)</t>
  </si>
  <si>
    <t>Objective 4a (expanded)</t>
  </si>
  <si>
    <t>FFVP Menu Survey</t>
  </si>
  <si>
    <t>FIs</t>
  </si>
  <si>
    <t>FFVP School Nutrition Manager Survey</t>
  </si>
  <si>
    <t>Observation Guide</t>
  </si>
  <si>
    <t>Objective 4a</t>
  </si>
  <si>
    <t>Point of Sale (and Milk) Form</t>
  </si>
  <si>
    <t>Objective 4</t>
  </si>
  <si>
    <t>Principal Survey</t>
  </si>
  <si>
    <t>Principals</t>
  </si>
  <si>
    <t>Principal Cost Interview</t>
  </si>
  <si>
    <t>School Nutrition Manager (SNM) Cost Interview</t>
  </si>
  <si>
    <t>Objective 4b</t>
  </si>
  <si>
    <t>On-Site Self-Serve/Made-to-Order Bar Form</t>
  </si>
  <si>
    <t>Parent</t>
  </si>
  <si>
    <t>Parent Interview - Elementary</t>
  </si>
  <si>
    <t>Parents</t>
  </si>
  <si>
    <t>Phone</t>
  </si>
  <si>
    <t>Objective 4c</t>
  </si>
  <si>
    <t>Parent Interview - Middle/High</t>
  </si>
  <si>
    <t>Phone/Web</t>
  </si>
  <si>
    <t>Student</t>
  </si>
  <si>
    <t>Student Interview - Elementary</t>
  </si>
  <si>
    <t>Student Interview - Middle/High</t>
  </si>
  <si>
    <t>Plate Waste Observation Booklet - Tray level - Breakfast</t>
  </si>
  <si>
    <t>Plate Waste Observation Booklet - Tray level - Lunch</t>
  </si>
  <si>
    <t>Notes:</t>
  </si>
  <si>
    <t>The starting and completed sample sizes and response rates in this tab are the same as those shown in the tables of OMB package Appendix B, "Summary of the Data Collection Plan," which lists instruments with starting and completed sample sizes and response rates. Greater detail is shown on this tab to appropriately reflect the recruitment and data collection activities in the burden table.</t>
  </si>
  <si>
    <t>Starting sample sizes are among those recruited. For example, in Group 1a, the starting sample for the SFA Director Survey (cell G20) is equal to recruited SFA sample (H16)</t>
  </si>
  <si>
    <t>Affected Public</t>
  </si>
  <si>
    <t>Respondents</t>
  </si>
  <si>
    <t>Unique respondents (footnote a)</t>
  </si>
  <si>
    <t>Unique non-respondents (footnote a)</t>
  </si>
  <si>
    <t>Unique respondents + non-respondents total</t>
  </si>
  <si>
    <t>Unique respondents to data collection (footnote i)</t>
  </si>
  <si>
    <t>Electronic responses (footnote c)</t>
  </si>
  <si>
    <t>Small entities</t>
  </si>
  <si>
    <t>State Child Nutrition Agency Directors</t>
  </si>
  <si>
    <t>State Education Agency (SEA) finance officers</t>
  </si>
  <si>
    <t>State Distributing Agency (SDA) Directors</t>
  </si>
  <si>
    <t>District superintendents</t>
  </si>
  <si>
    <t>School Food Authority (SFA) directors</t>
  </si>
  <si>
    <t>Local Educational Agency (LEA) business managers</t>
  </si>
  <si>
    <t>School Nutrition Managers (SNMs)</t>
  </si>
  <si>
    <t>School liaisons</t>
  </si>
  <si>
    <t>Business</t>
  </si>
  <si>
    <t>Food service management company (FSMC) managers</t>
  </si>
  <si>
    <t>Distributors</t>
  </si>
  <si>
    <t>Individuals/Household</t>
  </si>
  <si>
    <t>Parents/guardians</t>
  </si>
  <si>
    <t>Check total against burden table grand total</t>
  </si>
  <si>
    <t>G1,G2,G3 study respondent type</t>
  </si>
  <si>
    <t>BLS 2022 labor category</t>
  </si>
  <si>
    <t>Group 1a, 1b, 2a, 2b, 3</t>
  </si>
  <si>
    <t>Hourly wage with fringe</t>
  </si>
  <si>
    <t>SFA Director or LEA Business Manager</t>
  </si>
  <si>
    <t>Education Administrators, All Other</t>
  </si>
  <si>
    <t>Superintendent</t>
  </si>
  <si>
    <t>Education Administrators, Postsecondary</t>
  </si>
  <si>
    <t>State Child Nutrition Director, State Distributing Agency Director, or Education Agency Financial Officer</t>
  </si>
  <si>
    <t>Financial Analysts and Advisors</t>
  </si>
  <si>
    <t>School Nutrition Manager</t>
  </si>
  <si>
    <t>Food Service Managers</t>
  </si>
  <si>
    <t>School Liaison</t>
  </si>
  <si>
    <t>Educational Instruction and Library Occupations</t>
  </si>
  <si>
    <t>Principal</t>
  </si>
  <si>
    <t>Education and Childhood Administrators</t>
  </si>
  <si>
    <t>All Occupations</t>
  </si>
  <si>
    <t>FSMC Manager</t>
  </si>
  <si>
    <t>General and Operations Managers</t>
  </si>
  <si>
    <t>Distributor</t>
  </si>
  <si>
    <t>Full OA respondent type</t>
  </si>
  <si>
    <t>Alaska</t>
  </si>
  <si>
    <t>Guam</t>
  </si>
  <si>
    <t>Hawaii</t>
  </si>
  <si>
    <t>Full OACS Average (Guam, Hawaii, Alaska)</t>
  </si>
  <si>
    <t>Full OACS hourly wage with fringe</t>
  </si>
  <si>
    <t>SFA Director, LEA Business Manager, Superintendent or State Child Nutrition Director</t>
  </si>
  <si>
    <t>Education Administrators, All Other (Alaska, Hawaii)
Education Administrators, Kindergarten through Secondary (Guam)*</t>
  </si>
  <si>
    <t>State Education Agency Finance Officer</t>
  </si>
  <si>
    <t>Business Operations Specialists, All Other</t>
  </si>
  <si>
    <t>Education Administrators, Kindergarten through Secondary*</t>
  </si>
  <si>
    <t>*Wages for Education Administrators, Kindergarten through Secondary, were calculated by dividing total annual salaries by 2,080 work hours per year (40-hour weeks for 52 weeks).</t>
  </si>
  <si>
    <t>Limited OA respondent type</t>
  </si>
  <si>
    <t>Puerto Rico</t>
  </si>
  <si>
    <t>US Virgin Islands*</t>
  </si>
  <si>
    <t>Limited OACS Average (PR/USVI)</t>
  </si>
  <si>
    <t>Limited OACS Average with fringe</t>
  </si>
  <si>
    <t>Education Administrators, All Other (Puerto Rico)
Education Administrators, Kindergarten through Secondary (USVI)</t>
  </si>
  <si>
    <t>*Wages for USVI Education Administrators, Kindergarten through Secondary, were calculated by dividing total annual salaries by 2,080 work hours per year (40-hour weeks for 52 weeks).</t>
  </si>
  <si>
    <t>Parent Interview (c)(h) (i)</t>
  </si>
  <si>
    <t>State CN Director Study Introduction and Data Request Email (c)</t>
  </si>
  <si>
    <t>State Agency Indirect Cost Survey Invitation Letter/Email</t>
  </si>
  <si>
    <t>SFA Director Survey Email Invitation</t>
  </si>
  <si>
    <t>SFA Director and Principal E-mail Invitation</t>
  </si>
  <si>
    <t>SFA Director Survey (SNMCS-II &amp; SFPS-IV) (c) (i)</t>
  </si>
  <si>
    <t>SFA Director Survey (SFPS-IV) (c) (i)</t>
  </si>
  <si>
    <t>SFA Director Survey (SNMCS-II) (c) (i)</t>
  </si>
  <si>
    <t>SFA Director and Principal Surveys Follow-Up Email</t>
  </si>
  <si>
    <t>F02.02</t>
  </si>
  <si>
    <t>LOA Menu Survey</t>
  </si>
  <si>
    <t>F02.03</t>
  </si>
  <si>
    <t>F02.04</t>
  </si>
  <si>
    <t>FFVP SNM Survey (c)</t>
  </si>
  <si>
    <t>On-Site SS/MTO Bar Form (e)</t>
  </si>
  <si>
    <t>FOA Menu Survey (c) (i)</t>
  </si>
  <si>
    <t>AMPM = Automated Multiple-Pass Method; CAPI = computer-assisted personal interview; CATI = computer-assisted telephone interview; CN = child nutrition; FOA = outlying areas cost sample full approach; FSMC = food service management company; LEA = local educational agency; LOA = outlying areas cost sample limited approach; OA = outlying areas; RO = regional office; SFA = school food authority; SNM = school nutrition manager; SS/MTO = Self-Serve/Made-to-Order.</t>
  </si>
  <si>
    <t>SNM Cost Interview with Reference Guide (c)</t>
  </si>
  <si>
    <t>F08.11/F08.12</t>
  </si>
  <si>
    <t>Parent Interview Invitation</t>
  </si>
  <si>
    <t>F08.09/F08.10</t>
  </si>
  <si>
    <t>Dietary Recall Reminders, Day 1/Day 2</t>
  </si>
  <si>
    <t>F08.05/F08.06</t>
  </si>
  <si>
    <t>F08.07/F08.08</t>
  </si>
  <si>
    <t>Student Interview- SNMCS (c) (i)</t>
  </si>
  <si>
    <t>Dietary Recall Reminders, Day 2</t>
  </si>
  <si>
    <t>Student Interview- FFVP (c) (i)</t>
  </si>
  <si>
    <t>Objective 3</t>
  </si>
  <si>
    <t>AK, GU, HI</t>
  </si>
  <si>
    <t>PR, USVI</t>
  </si>
  <si>
    <t>Request to SDAs to Submit USDA Foods Data (c) (i)</t>
  </si>
  <si>
    <t>(l) Total annualized cost represents total hours multiplied by hourly wage rate, multiplied by 1.33 to include estimated associated fringe benefit costs.</t>
  </si>
  <si>
    <t>SFA Director Survey Advance Letter/Email</t>
  </si>
  <si>
    <t>(e) The On-Site Self-Serve/Made-to-Order Bar Form, Observation Guide, School Sources of Food Form, and Plate Waste Observation Booklet are all completed on-site by contractor staff, but require SNM assistance.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</si>
</sst>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0.0000"/>
  </numFmts>
  <fonts count="18" x14ac:knownFonts="1">
    <font>
      <sz val="11"/>
      <color theme="1"/>
      <name val="Calibri"/>
      <family val="2"/>
      <scheme val="minor"/>
    </font>
    <font>
      <b/>
      <sz val="11"/>
      <color theme="1"/>
      <name val="Calibri"/>
      <family val="2"/>
      <scheme val="minor"/>
    </font>
    <font>
      <sz val="11"/>
      <color rgb="FFFF0000"/>
      <name val="Calibri"/>
      <family val="2"/>
      <scheme val="minor"/>
    </font>
    <font>
      <b/>
      <sz val="10"/>
      <name val="Calibri"/>
      <family val="2"/>
      <scheme val="minor"/>
    </font>
    <font>
      <b/>
      <sz val="10"/>
      <color theme="1"/>
      <name val="Calibri"/>
      <family val="2"/>
      <scheme val="minor"/>
    </font>
    <font>
      <sz val="10"/>
      <color theme="1"/>
      <name val="Calibri"/>
      <family val="2"/>
      <scheme val="minor"/>
    </font>
    <font>
      <sz val="10"/>
      <name val="Calibri"/>
      <family val="2"/>
      <scheme val="minor"/>
    </font>
    <font>
      <sz val="11"/>
      <color theme="1"/>
      <name val="Calibri"/>
      <family val="2"/>
      <scheme val="minor"/>
    </font>
    <font>
      <sz val="11"/>
      <name val="Calibri"/>
      <family val="2"/>
      <scheme val="minor"/>
    </font>
    <font>
      <b/>
      <sz val="10"/>
      <color rgb="FF000000"/>
      <name val="Calibri"/>
      <family val="2"/>
      <scheme val="minor"/>
    </font>
    <font>
      <sz val="10"/>
      <color rgb="FF000000"/>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i/>
      <sz val="11"/>
      <color rgb="FF000000"/>
      <name val="Calibri"/>
      <family val="2"/>
      <scheme val="minor"/>
    </font>
    <font>
      <sz val="10"/>
      <color rgb="FF000000"/>
      <name val="Calibri"/>
      <scheme val="minor"/>
    </font>
    <font>
      <sz val="10"/>
      <color rgb="FFFF0000"/>
      <name val="Calibri"/>
      <scheme val="minor"/>
    </font>
    <font>
      <sz val="10"/>
      <name val="Calibri"/>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rgb="FF808080"/>
        <bgColor rgb="FF000000"/>
      </patternFill>
    </fill>
    <fill>
      <patternFill patternType="solid">
        <fgColor rgb="FFE2EFDA"/>
        <bgColor rgb="FF000000"/>
      </patternFill>
    </fill>
    <fill>
      <patternFill patternType="solid">
        <fgColor rgb="FFFFFFFF"/>
        <bgColor rgb="FF000000"/>
      </patternFill>
    </fill>
  </fills>
  <borders count="44">
    <border>
      <left/>
      <right/>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bottom style="thin">
        <color indexed="64"/>
      </bottom>
      <diagonal/>
    </border>
    <border>
      <left style="thin">
        <color indexed="64"/>
      </left>
      <right/>
      <top/>
      <bottom style="thin">
        <color auto="1"/>
      </bottom>
      <diagonal/>
    </border>
    <border>
      <left/>
      <right/>
      <top style="thin">
        <color auto="1"/>
      </top>
      <bottom style="thin">
        <color auto="1"/>
      </bottom>
      <diagonal/>
    </border>
    <border>
      <left/>
      <right/>
      <top style="thin">
        <color auto="1"/>
      </top>
      <bottom/>
      <diagonal/>
    </border>
    <border>
      <left/>
      <right style="thin">
        <color indexed="64"/>
      </right>
      <top style="thin">
        <color indexed="64"/>
      </top>
      <bottom/>
      <diagonal/>
    </border>
    <border>
      <left style="thin">
        <color indexed="64"/>
      </left>
      <right/>
      <top style="thin">
        <color auto="1"/>
      </top>
      <bottom/>
      <diagonal/>
    </border>
    <border>
      <left/>
      <right style="thin">
        <color indexed="64"/>
      </right>
      <top style="thin">
        <color auto="1"/>
      </top>
      <bottom style="thin">
        <color auto="1"/>
      </bottom>
      <diagonal/>
    </border>
    <border>
      <left style="thin">
        <color indexed="64"/>
      </left>
      <right/>
      <top style="thin">
        <color auto="1"/>
      </top>
      <bottom style="thin">
        <color auto="1"/>
      </bottom>
      <diagonal/>
    </border>
    <border>
      <left/>
      <right style="thin">
        <color indexed="64"/>
      </right>
      <top/>
      <bottom/>
      <diagonal/>
    </border>
    <border>
      <left style="thin">
        <color indexed="64"/>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indexed="64"/>
      </right>
      <top/>
      <bottom style="thin">
        <color auto="1"/>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rgb="FF000000"/>
      </bottom>
      <diagonal/>
    </border>
    <border>
      <left/>
      <right style="thin">
        <color theme="0" tint="-0.14999847407452621"/>
      </right>
      <top style="thin">
        <color theme="0" tint="-0.14999847407452621"/>
      </top>
      <bottom style="thin">
        <color theme="0" tint="-0.14999847407452621"/>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auto="1"/>
      </top>
      <bottom/>
      <diagonal/>
    </border>
    <border>
      <left style="medium">
        <color indexed="64"/>
      </left>
      <right style="medium">
        <color indexed="64"/>
      </right>
      <top/>
      <bottom style="thin">
        <color indexed="64"/>
      </bottom>
      <diagonal/>
    </border>
    <border>
      <left style="medium">
        <color indexed="64"/>
      </left>
      <right/>
      <top style="thin">
        <color auto="1"/>
      </top>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s>
  <cellStyleXfs count="2">
    <xf numFmtId="0" fontId="0" fillId="0" borderId="0"/>
    <xf numFmtId="44" fontId="7" fillId="0" borderId="0" applyFont="0" applyFill="0" applyBorder="0" applyAlignment="0" applyProtection="0"/>
  </cellStyleXfs>
  <cellXfs count="240">
    <xf numFmtId="0" fontId="0" fillId="0" borderId="0" xfId="0"/>
    <xf numFmtId="0" fontId="2" fillId="0" borderId="0" xfId="0" applyFont="1"/>
    <xf numFmtId="0" fontId="4" fillId="0" borderId="0" xfId="0" applyFont="1" applyAlignment="1">
      <alignment horizontal="center" vertical="center"/>
    </xf>
    <xf numFmtId="0" fontId="5" fillId="0" borderId="0" xfId="0" applyFont="1" applyAlignment="1">
      <alignment horizontal="center" wrapText="1"/>
    </xf>
    <xf numFmtId="0" fontId="5" fillId="0" borderId="0" xfId="0" applyFont="1"/>
    <xf numFmtId="164" fontId="5" fillId="0" borderId="0" xfId="0" applyNumberFormat="1" applyFont="1"/>
    <xf numFmtId="0" fontId="5" fillId="6" borderId="13" xfId="0" applyFont="1" applyFill="1" applyBorder="1"/>
    <xf numFmtId="0" fontId="4" fillId="0" borderId="0" xfId="0" applyFont="1"/>
    <xf numFmtId="0" fontId="5"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3" fillId="0" borderId="0" xfId="0" applyFont="1" applyAlignment="1">
      <alignment horizontal="left"/>
    </xf>
    <xf numFmtId="0" fontId="5" fillId="0" borderId="0" xfId="0" applyFont="1" applyAlignment="1">
      <alignment horizontal="left"/>
    </xf>
    <xf numFmtId="0" fontId="5" fillId="0" borderId="0" xfId="0" applyFont="1" applyAlignment="1">
      <alignment horizontal="center"/>
    </xf>
    <xf numFmtId="0" fontId="1" fillId="0" borderId="0" xfId="0" applyFont="1"/>
    <xf numFmtId="0" fontId="0" fillId="0" borderId="15" xfId="0" applyBorder="1"/>
    <xf numFmtId="0" fontId="1" fillId="0" borderId="15" xfId="0" applyFont="1" applyBorder="1"/>
    <xf numFmtId="0" fontId="1" fillId="4" borderId="15" xfId="0" applyFont="1" applyFill="1" applyBorder="1" applyAlignment="1">
      <alignment wrapText="1"/>
    </xf>
    <xf numFmtId="3" fontId="1" fillId="4" borderId="15" xfId="0" applyNumberFormat="1" applyFont="1" applyFill="1" applyBorder="1" applyAlignment="1">
      <alignment wrapText="1"/>
    </xf>
    <xf numFmtId="0" fontId="1" fillId="5" borderId="15" xfId="0" applyFont="1" applyFill="1" applyBorder="1" applyAlignment="1">
      <alignment wrapText="1"/>
    </xf>
    <xf numFmtId="0" fontId="0" fillId="2" borderId="15" xfId="0" applyFill="1" applyBorder="1"/>
    <xf numFmtId="3" fontId="0" fillId="4" borderId="15" xfId="0" applyNumberFormat="1" applyFill="1" applyBorder="1" applyAlignment="1">
      <alignment horizontal="right"/>
    </xf>
    <xf numFmtId="3" fontId="0" fillId="5" borderId="15" xfId="0" applyNumberFormat="1" applyFill="1" applyBorder="1" applyAlignment="1">
      <alignment horizontal="right"/>
    </xf>
    <xf numFmtId="3" fontId="0" fillId="0" borderId="15" xfId="0" applyNumberFormat="1" applyBorder="1" applyAlignment="1">
      <alignment horizontal="right"/>
    </xf>
    <xf numFmtId="3" fontId="0" fillId="2" borderId="15" xfId="0" applyNumberFormat="1" applyFill="1" applyBorder="1" applyAlignment="1">
      <alignment horizontal="right"/>
    </xf>
    <xf numFmtId="0" fontId="0" fillId="0" borderId="0" xfId="0" applyAlignment="1">
      <alignment wrapText="1"/>
    </xf>
    <xf numFmtId="3" fontId="1" fillId="4" borderId="15" xfId="0" applyNumberFormat="1" applyFont="1" applyFill="1" applyBorder="1" applyAlignment="1">
      <alignment horizontal="right"/>
    </xf>
    <xf numFmtId="3" fontId="1" fillId="5" borderId="15" xfId="0" applyNumberFormat="1" applyFont="1" applyFill="1" applyBorder="1" applyAlignment="1">
      <alignment horizontal="right"/>
    </xf>
    <xf numFmtId="3" fontId="1" fillId="0" borderId="15" xfId="0" applyNumberFormat="1" applyFont="1" applyBorder="1" applyAlignment="1">
      <alignment horizontal="right"/>
    </xf>
    <xf numFmtId="0" fontId="6" fillId="0" borderId="0" xfId="0" applyFont="1"/>
    <xf numFmtId="0" fontId="5" fillId="0" borderId="16" xfId="0" applyFont="1" applyBorder="1"/>
    <xf numFmtId="44" fontId="5" fillId="0" borderId="0" xfId="0" applyNumberFormat="1" applyFont="1"/>
    <xf numFmtId="0" fontId="1" fillId="0" borderId="10" xfId="0" applyFont="1" applyBorder="1"/>
    <xf numFmtId="0" fontId="1" fillId="0" borderId="5" xfId="0" applyFont="1" applyBorder="1"/>
    <xf numFmtId="0" fontId="1" fillId="0" borderId="5" xfId="0" applyFont="1" applyBorder="1" applyAlignment="1">
      <alignment wrapText="1"/>
    </xf>
    <xf numFmtId="0" fontId="1" fillId="0" borderId="9" xfId="0" applyFont="1" applyBorder="1" applyAlignment="1">
      <alignment wrapText="1"/>
    </xf>
    <xf numFmtId="0" fontId="0" fillId="0" borderId="12" xfId="0" applyBorder="1" applyAlignment="1">
      <alignment wrapText="1"/>
    </xf>
    <xf numFmtId="8" fontId="0" fillId="0" borderId="0" xfId="0" applyNumberFormat="1"/>
    <xf numFmtId="8" fontId="0" fillId="0" borderId="11" xfId="0" applyNumberFormat="1" applyBorder="1"/>
    <xf numFmtId="0" fontId="0" fillId="0" borderId="4" xfId="0" applyBorder="1" applyAlignment="1">
      <alignment wrapText="1"/>
    </xf>
    <xf numFmtId="8" fontId="0" fillId="0" borderId="14" xfId="0" applyNumberFormat="1" applyBorder="1"/>
    <xf numFmtId="0" fontId="1" fillId="0" borderId="10" xfId="0" applyFont="1" applyBorder="1" applyAlignment="1">
      <alignment wrapText="1"/>
    </xf>
    <xf numFmtId="0" fontId="1" fillId="0" borderId="3" xfId="0" applyFont="1" applyBorder="1" applyAlignment="1">
      <alignment wrapText="1"/>
    </xf>
    <xf numFmtId="3" fontId="6" fillId="0" borderId="15" xfId="0" applyNumberFormat="1" applyFont="1" applyBorder="1" applyAlignment="1">
      <alignment horizontal="center" vertical="center" wrapText="1"/>
    </xf>
    <xf numFmtId="0" fontId="5" fillId="0" borderId="15" xfId="0" applyFont="1" applyBorder="1" applyAlignment="1">
      <alignment horizontal="center" vertical="center"/>
    </xf>
    <xf numFmtId="3" fontId="1" fillId="7" borderId="15" xfId="0" applyNumberFormat="1" applyFont="1" applyFill="1" applyBorder="1" applyAlignment="1">
      <alignment wrapText="1"/>
    </xf>
    <xf numFmtId="3" fontId="0" fillId="7" borderId="15" xfId="0" applyNumberFormat="1" applyFill="1" applyBorder="1" applyAlignment="1">
      <alignment horizontal="right"/>
    </xf>
    <xf numFmtId="3" fontId="1" fillId="7" borderId="15" xfId="0" applyNumberFormat="1" applyFont="1" applyFill="1" applyBorder="1" applyAlignment="1">
      <alignment horizontal="right"/>
    </xf>
    <xf numFmtId="0" fontId="5" fillId="7" borderId="15" xfId="0" applyFont="1" applyFill="1" applyBorder="1" applyAlignment="1">
      <alignment horizontal="center" vertical="center"/>
    </xf>
    <xf numFmtId="3" fontId="6" fillId="7" borderId="15" xfId="0" applyNumberFormat="1" applyFont="1" applyFill="1" applyBorder="1" applyAlignment="1">
      <alignment horizontal="center" vertical="center" wrapText="1"/>
    </xf>
    <xf numFmtId="0" fontId="6" fillId="0" borderId="9" xfId="0" applyFont="1" applyBorder="1" applyAlignment="1">
      <alignment horizontal="center" vertical="center" wrapText="1"/>
    </xf>
    <xf numFmtId="0" fontId="0" fillId="0" borderId="8" xfId="0" applyBorder="1" applyAlignment="1">
      <alignment wrapText="1"/>
    </xf>
    <xf numFmtId="0" fontId="1" fillId="0" borderId="6" xfId="0" applyFont="1" applyBorder="1"/>
    <xf numFmtId="8" fontId="0" fillId="0" borderId="7" xfId="0" applyNumberFormat="1" applyBorder="1"/>
    <xf numFmtId="8" fontId="0" fillId="4" borderId="6" xfId="0" applyNumberFormat="1" applyFill="1" applyBorder="1"/>
    <xf numFmtId="8" fontId="0" fillId="4" borderId="0" xfId="0" applyNumberFormat="1" applyFill="1"/>
    <xf numFmtId="8" fontId="0" fillId="4" borderId="3" xfId="0" applyNumberFormat="1" applyFill="1" applyBorder="1"/>
    <xf numFmtId="0" fontId="1" fillId="0" borderId="25" xfId="0" applyFont="1" applyBorder="1"/>
    <xf numFmtId="0" fontId="8" fillId="0" borderId="4" xfId="0" applyFont="1" applyBorder="1" applyAlignment="1">
      <alignment wrapText="1"/>
    </xf>
    <xf numFmtId="8" fontId="0" fillId="0" borderId="3" xfId="0" applyNumberFormat="1" applyBorder="1"/>
    <xf numFmtId="0" fontId="1" fillId="0" borderId="0" xfId="0" applyFont="1" applyAlignment="1">
      <alignment wrapText="1"/>
    </xf>
    <xf numFmtId="0" fontId="0" fillId="0" borderId="3" xfId="0" applyBorder="1"/>
    <xf numFmtId="2" fontId="0" fillId="0" borderId="3" xfId="0" applyNumberFormat="1" applyBorder="1"/>
    <xf numFmtId="0" fontId="3" fillId="2" borderId="5" xfId="0" applyFont="1" applyFill="1" applyBorder="1" applyAlignment="1">
      <alignment horizontal="right" vertical="center" wrapText="1"/>
    </xf>
    <xf numFmtId="0" fontId="5" fillId="0" borderId="0" xfId="0" applyFont="1" applyAlignment="1">
      <alignment horizontal="left" vertical="center" wrapText="1"/>
    </xf>
    <xf numFmtId="0" fontId="5" fillId="6" borderId="26" xfId="0" applyFont="1" applyFill="1" applyBorder="1"/>
    <xf numFmtId="0" fontId="6" fillId="0" borderId="15" xfId="0" applyFont="1" applyBorder="1" applyAlignment="1">
      <alignment horizontal="center" vertical="center" wrapText="1"/>
    </xf>
    <xf numFmtId="3" fontId="6" fillId="0" borderId="15" xfId="0" applyNumberFormat="1" applyFont="1" applyBorder="1" applyAlignment="1">
      <alignment horizontal="center" vertical="center"/>
    </xf>
    <xf numFmtId="0" fontId="6" fillId="0" borderId="15" xfId="0" applyFont="1" applyBorder="1" applyAlignment="1">
      <alignment horizontal="center" vertical="center"/>
    </xf>
    <xf numFmtId="164" fontId="6" fillId="0" borderId="15" xfId="0" applyNumberFormat="1" applyFont="1" applyBorder="1" applyAlignment="1">
      <alignment horizontal="center" vertical="center"/>
    </xf>
    <xf numFmtId="2" fontId="6" fillId="0" borderId="15" xfId="0" applyNumberFormat="1" applyFont="1" applyBorder="1" applyAlignment="1">
      <alignment horizontal="center" vertical="center"/>
    </xf>
    <xf numFmtId="44" fontId="6" fillId="0" borderId="15" xfId="1" applyFont="1" applyBorder="1" applyAlignment="1">
      <alignment horizontal="center" vertical="center"/>
    </xf>
    <xf numFmtId="44" fontId="5" fillId="0" borderId="15" xfId="1" applyFont="1" applyFill="1" applyBorder="1" applyAlignment="1">
      <alignment horizontal="center" vertical="center"/>
    </xf>
    <xf numFmtId="0" fontId="6" fillId="5" borderId="15" xfId="0" applyFont="1" applyFill="1" applyBorder="1" applyAlignment="1">
      <alignment horizontal="center" vertical="center"/>
    </xf>
    <xf numFmtId="2" fontId="6" fillId="6" borderId="15" xfId="0" applyNumberFormat="1" applyFont="1" applyFill="1" applyBorder="1" applyAlignment="1">
      <alignment horizontal="center" vertical="center"/>
    </xf>
    <xf numFmtId="1" fontId="6" fillId="0" borderId="15" xfId="0" applyNumberFormat="1" applyFont="1" applyBorder="1" applyAlignment="1">
      <alignment horizontal="center" vertical="center"/>
    </xf>
    <xf numFmtId="44" fontId="6" fillId="0" borderId="15" xfId="1" applyFont="1" applyFill="1" applyBorder="1" applyAlignment="1">
      <alignment horizontal="center" vertical="center"/>
    </xf>
    <xf numFmtId="1" fontId="6" fillId="0" borderId="15" xfId="0" applyNumberFormat="1" applyFont="1" applyBorder="1" applyAlignment="1">
      <alignment horizontal="center" vertical="center" wrapText="1"/>
    </xf>
    <xf numFmtId="1" fontId="6" fillId="5" borderId="15" xfId="0" applyNumberFormat="1" applyFont="1" applyFill="1" applyBorder="1" applyAlignment="1">
      <alignment horizontal="center" vertical="center"/>
    </xf>
    <xf numFmtId="3" fontId="6" fillId="7" borderId="15" xfId="0" applyNumberFormat="1" applyFont="1" applyFill="1" applyBorder="1" applyAlignment="1">
      <alignment horizontal="center" vertical="center"/>
    </xf>
    <xf numFmtId="3" fontId="3" fillId="2" borderId="15" xfId="0" applyNumberFormat="1" applyFont="1" applyFill="1" applyBorder="1" applyAlignment="1">
      <alignment horizontal="center" vertical="center"/>
    </xf>
    <xf numFmtId="2" fontId="3" fillId="2" borderId="15" xfId="0" applyNumberFormat="1" applyFont="1" applyFill="1" applyBorder="1" applyAlignment="1">
      <alignment horizontal="center" vertical="center"/>
    </xf>
    <xf numFmtId="164" fontId="3" fillId="2" borderId="15" xfId="0" applyNumberFormat="1" applyFont="1" applyFill="1" applyBorder="1" applyAlignment="1">
      <alignment horizontal="center" vertical="center"/>
    </xf>
    <xf numFmtId="4" fontId="3" fillId="2" borderId="15" xfId="0" applyNumberFormat="1" applyFont="1" applyFill="1" applyBorder="1" applyAlignment="1">
      <alignment horizontal="center" vertical="center"/>
    </xf>
    <xf numFmtId="44" fontId="3" fillId="2" borderId="15" xfId="1" applyFont="1" applyFill="1" applyBorder="1" applyAlignment="1">
      <alignment horizontal="center" vertical="center"/>
    </xf>
    <xf numFmtId="44" fontId="4" fillId="2" borderId="15" xfId="1" applyFont="1" applyFill="1" applyBorder="1" applyAlignment="1">
      <alignment horizontal="center" vertical="center"/>
    </xf>
    <xf numFmtId="3" fontId="6" fillId="5" borderId="15" xfId="0" applyNumberFormat="1" applyFont="1" applyFill="1" applyBorder="1" applyAlignment="1">
      <alignment horizontal="center" vertical="center"/>
    </xf>
    <xf numFmtId="2" fontId="3" fillId="2" borderId="15" xfId="0" quotePrefix="1" applyNumberFormat="1" applyFont="1" applyFill="1" applyBorder="1" applyAlignment="1">
      <alignment horizontal="center" vertical="center"/>
    </xf>
    <xf numFmtId="3" fontId="3" fillId="2" borderId="15" xfId="0" applyNumberFormat="1" applyFont="1" applyFill="1" applyBorder="1" applyAlignment="1">
      <alignment horizontal="center" vertical="center" wrapText="1"/>
    </xf>
    <xf numFmtId="4" fontId="3" fillId="2" borderId="15" xfId="0" applyNumberFormat="1" applyFont="1" applyFill="1" applyBorder="1" applyAlignment="1">
      <alignment horizontal="center" vertical="center" wrapText="1"/>
    </xf>
    <xf numFmtId="3" fontId="10" fillId="0" borderId="15" xfId="0" applyNumberFormat="1" applyFont="1" applyBorder="1" applyAlignment="1">
      <alignment horizontal="center" vertical="center" wrapText="1"/>
    </xf>
    <xf numFmtId="44" fontId="5" fillId="0" borderId="15" xfId="1" applyFont="1" applyBorder="1" applyAlignment="1">
      <alignment horizontal="center" vertical="center"/>
    </xf>
    <xf numFmtId="0" fontId="5" fillId="0" borderId="15" xfId="0" applyFont="1" applyBorder="1" applyAlignment="1">
      <alignment horizontal="center" vertical="center" wrapText="1"/>
    </xf>
    <xf numFmtId="44" fontId="4" fillId="3" borderId="15" xfId="1" applyFont="1" applyFill="1" applyBorder="1" applyAlignment="1">
      <alignment horizontal="center" vertical="center"/>
    </xf>
    <xf numFmtId="44" fontId="5" fillId="3" borderId="15" xfId="1" quotePrefix="1" applyFont="1" applyFill="1" applyBorder="1" applyAlignment="1">
      <alignment horizontal="center" vertical="center"/>
    </xf>
    <xf numFmtId="0" fontId="6" fillId="0" borderId="10" xfId="0" applyFont="1" applyBorder="1" applyAlignment="1">
      <alignment vertical="center" wrapText="1"/>
    </xf>
    <xf numFmtId="0" fontId="6" fillId="4" borderId="10" xfId="0" applyFont="1" applyFill="1" applyBorder="1" applyAlignment="1">
      <alignment vertical="center" wrapText="1"/>
    </xf>
    <xf numFmtId="0" fontId="6" fillId="4"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4" fillId="0" borderId="15" xfId="0" applyFont="1" applyBorder="1" applyAlignment="1">
      <alignment horizontal="center" wrapText="1"/>
    </xf>
    <xf numFmtId="164" fontId="4" fillId="0" borderId="15" xfId="0" applyNumberFormat="1" applyFont="1" applyBorder="1" applyAlignment="1">
      <alignment horizontal="center" wrapText="1"/>
    </xf>
    <xf numFmtId="0" fontId="3" fillId="0" borderId="15" xfId="0" applyFont="1" applyBorder="1" applyAlignment="1">
      <alignment horizontal="center" wrapText="1"/>
    </xf>
    <xf numFmtId="0" fontId="4" fillId="0" borderId="15" xfId="0" applyFont="1" applyBorder="1" applyAlignment="1">
      <alignment horizontal="left" wrapText="1"/>
    </xf>
    <xf numFmtId="44" fontId="4" fillId="2" borderId="15" xfId="0" applyNumberFormat="1" applyFont="1" applyFill="1" applyBorder="1" applyAlignment="1">
      <alignment horizontal="center" vertical="center"/>
    </xf>
    <xf numFmtId="3" fontId="3" fillId="3" borderId="15" xfId="0" applyNumberFormat="1" applyFont="1" applyFill="1" applyBorder="1" applyAlignment="1">
      <alignment horizontal="center" vertical="center"/>
    </xf>
    <xf numFmtId="2" fontId="3" fillId="3" borderId="15" xfId="0" applyNumberFormat="1" applyFont="1" applyFill="1" applyBorder="1" applyAlignment="1">
      <alignment horizontal="center" vertical="center"/>
    </xf>
    <xf numFmtId="164" fontId="3" fillId="3" borderId="15" xfId="0" applyNumberFormat="1" applyFont="1" applyFill="1" applyBorder="1" applyAlignment="1">
      <alignment horizontal="center" vertical="center"/>
    </xf>
    <xf numFmtId="4" fontId="3" fillId="3" borderId="15" xfId="0" applyNumberFormat="1" applyFont="1" applyFill="1" applyBorder="1" applyAlignment="1">
      <alignment horizontal="center" vertical="center"/>
    </xf>
    <xf numFmtId="0" fontId="3" fillId="2" borderId="5" xfId="0" applyFont="1" applyFill="1" applyBorder="1" applyAlignment="1">
      <alignment vertical="center" wrapText="1"/>
    </xf>
    <xf numFmtId="0" fontId="6" fillId="0" borderId="10" xfId="0" applyFont="1" applyBorder="1" applyAlignment="1">
      <alignment horizontal="center" vertical="center" wrapText="1"/>
    </xf>
    <xf numFmtId="0" fontId="11" fillId="0" borderId="0" xfId="0" applyFont="1" applyAlignment="1">
      <alignment horizontal="center" wrapText="1"/>
    </xf>
    <xf numFmtId="0" fontId="11" fillId="0" borderId="0" xfId="0" applyFont="1" applyAlignment="1">
      <alignment horizontal="center" vertical="center"/>
    </xf>
    <xf numFmtId="0" fontId="9" fillId="0" borderId="15" xfId="0" applyFont="1" applyBorder="1" applyAlignment="1">
      <alignment horizontal="center" wrapText="1"/>
    </xf>
    <xf numFmtId="0" fontId="10" fillId="0" borderId="0" xfId="0" applyFont="1" applyAlignment="1">
      <alignment horizontal="center" vertical="center" wrapText="1"/>
    </xf>
    <xf numFmtId="3" fontId="5" fillId="0" borderId="0" xfId="0" applyNumberFormat="1" applyFont="1" applyAlignment="1">
      <alignment vertical="center"/>
    </xf>
    <xf numFmtId="4" fontId="5" fillId="0" borderId="0" xfId="0" applyNumberFormat="1" applyFont="1" applyAlignment="1">
      <alignment vertical="center"/>
    </xf>
    <xf numFmtId="0" fontId="12" fillId="0" borderId="0" xfId="0" applyFont="1"/>
    <xf numFmtId="0" fontId="12" fillId="0" borderId="20" xfId="0" applyFont="1" applyBorder="1"/>
    <xf numFmtId="0" fontId="13" fillId="0" borderId="21" xfId="0" applyFont="1" applyBorder="1" applyAlignment="1">
      <alignment horizontal="center"/>
    </xf>
    <xf numFmtId="0" fontId="12" fillId="0" borderId="20" xfId="0" applyFont="1" applyBorder="1" applyAlignment="1">
      <alignment horizontal="center"/>
    </xf>
    <xf numFmtId="0" fontId="12" fillId="0" borderId="22" xfId="0" applyFont="1" applyBorder="1" applyAlignment="1">
      <alignment horizontal="center"/>
    </xf>
    <xf numFmtId="0" fontId="12" fillId="0" borderId="6" xfId="0" applyFont="1" applyBorder="1" applyAlignment="1">
      <alignment horizontal="center"/>
    </xf>
    <xf numFmtId="0" fontId="11" fillId="0" borderId="20" xfId="0" applyFont="1" applyBorder="1" applyAlignment="1">
      <alignment wrapText="1"/>
    </xf>
    <xf numFmtId="0" fontId="11" fillId="0" borderId="27" xfId="0" applyFont="1" applyBorder="1" applyAlignment="1">
      <alignment wrapText="1"/>
    </xf>
    <xf numFmtId="0" fontId="11" fillId="9" borderId="20" xfId="0" applyFont="1" applyFill="1" applyBorder="1" applyAlignment="1">
      <alignment wrapText="1"/>
    </xf>
    <xf numFmtId="0" fontId="2" fillId="9" borderId="27" xfId="0" applyFont="1" applyFill="1" applyBorder="1" applyAlignment="1">
      <alignment wrapText="1"/>
    </xf>
    <xf numFmtId="0" fontId="11" fillId="0" borderId="30" xfId="0" applyFont="1" applyBorder="1" applyAlignment="1">
      <alignment wrapText="1"/>
    </xf>
    <xf numFmtId="0" fontId="11" fillId="0" borderId="20" xfId="0" applyFont="1" applyBorder="1" applyAlignment="1">
      <alignment vertical="top" wrapText="1"/>
    </xf>
    <xf numFmtId="0" fontId="11" fillId="0" borderId="30" xfId="0" applyFont="1" applyBorder="1" applyAlignment="1">
      <alignment vertical="top" wrapText="1"/>
    </xf>
    <xf numFmtId="0" fontId="11" fillId="0" borderId="27" xfId="0" applyFont="1" applyBorder="1" applyAlignment="1">
      <alignment vertical="top" wrapText="1"/>
    </xf>
    <xf numFmtId="0" fontId="12" fillId="0" borderId="15" xfId="0" applyFont="1" applyBorder="1"/>
    <xf numFmtId="0" fontId="11" fillId="0" borderId="15" xfId="0" applyFont="1" applyBorder="1"/>
    <xf numFmtId="0" fontId="14" fillId="0" borderId="23" xfId="0" applyFont="1" applyBorder="1"/>
    <xf numFmtId="9" fontId="11" fillId="0" borderId="24" xfId="0" applyNumberFormat="1" applyFont="1" applyBorder="1"/>
    <xf numFmtId="0" fontId="14" fillId="8" borderId="23" xfId="0" applyFont="1" applyFill="1" applyBorder="1"/>
    <xf numFmtId="0" fontId="11" fillId="8" borderId="15" xfId="0" applyFont="1" applyFill="1" applyBorder="1"/>
    <xf numFmtId="0" fontId="11" fillId="8" borderId="24" xfId="0" applyFont="1" applyFill="1" applyBorder="1"/>
    <xf numFmtId="0" fontId="11" fillId="0" borderId="15" xfId="0" applyFont="1" applyBorder="1" applyAlignment="1">
      <alignment horizontal="left" wrapText="1"/>
    </xf>
    <xf numFmtId="0" fontId="11" fillId="0" borderId="24" xfId="0" applyFont="1" applyBorder="1"/>
    <xf numFmtId="0" fontId="11" fillId="0" borderId="15" xfId="0" applyFont="1" applyBorder="1" applyAlignment="1">
      <alignment wrapText="1"/>
    </xf>
    <xf numFmtId="0" fontId="17" fillId="0" borderId="10" xfId="0" applyFont="1" applyBorder="1" applyAlignment="1">
      <alignment vertical="center" wrapText="1"/>
    </xf>
    <xf numFmtId="0" fontId="15" fillId="0" borderId="10" xfId="0" applyFont="1" applyBorder="1" applyAlignment="1">
      <alignment vertical="center" wrapText="1"/>
    </xf>
    <xf numFmtId="0" fontId="15" fillId="4" borderId="10" xfId="0" applyFont="1" applyFill="1" applyBorder="1" applyAlignment="1">
      <alignment vertical="center" wrapText="1"/>
    </xf>
    <xf numFmtId="0" fontId="6" fillId="0" borderId="0" xfId="0" applyFont="1" applyAlignment="1">
      <alignment horizontal="center" wrapText="1"/>
    </xf>
    <xf numFmtId="0" fontId="13" fillId="0" borderId="0" xfId="0" applyFont="1"/>
    <xf numFmtId="0" fontId="12" fillId="0" borderId="8" xfId="0" applyFont="1" applyBorder="1" applyAlignment="1">
      <alignment horizontal="center"/>
    </xf>
    <xf numFmtId="0" fontId="11" fillId="8" borderId="10" xfId="0" applyFont="1" applyFill="1" applyBorder="1"/>
    <xf numFmtId="0" fontId="11" fillId="0" borderId="10" xfId="0" applyFont="1" applyBorder="1"/>
    <xf numFmtId="0" fontId="12" fillId="0" borderId="23" xfId="0" applyFont="1" applyBorder="1" applyAlignment="1">
      <alignment horizontal="center"/>
    </xf>
    <xf numFmtId="0" fontId="12" fillId="0" borderId="24" xfId="0" applyFont="1" applyBorder="1" applyAlignment="1">
      <alignment horizontal="center"/>
    </xf>
    <xf numFmtId="0" fontId="11" fillId="8" borderId="23" xfId="0" applyFont="1" applyFill="1" applyBorder="1"/>
    <xf numFmtId="0" fontId="3" fillId="0" borderId="15" xfId="0" applyFont="1" applyBorder="1" applyAlignment="1">
      <alignment horizontal="center" vertical="center" wrapText="1"/>
    </xf>
    <xf numFmtId="0" fontId="5" fillId="0" borderId="18" xfId="0" applyFont="1" applyBorder="1" applyAlignment="1">
      <alignment horizontal="center" wrapText="1"/>
    </xf>
    <xf numFmtId="0" fontId="5" fillId="0" borderId="1" xfId="0" applyFont="1" applyBorder="1" applyAlignment="1">
      <alignment horizontal="center"/>
    </xf>
    <xf numFmtId="0" fontId="6"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4" fillId="0" borderId="2" xfId="0" applyFont="1" applyBorder="1" applyAlignment="1">
      <alignment horizontal="center"/>
    </xf>
    <xf numFmtId="0" fontId="5" fillId="0" borderId="0" xfId="0" applyFont="1" applyAlignment="1">
      <alignment horizontal="left" vertical="center" wrapText="1"/>
    </xf>
    <xf numFmtId="0" fontId="5" fillId="0" borderId="0" xfId="0" applyFont="1" applyAlignment="1">
      <alignment horizontal="left" vertical="top"/>
    </xf>
    <xf numFmtId="0" fontId="5" fillId="5" borderId="0" xfId="0" applyFont="1" applyFill="1" applyAlignment="1">
      <alignment horizontal="left" vertical="center" wrapText="1"/>
    </xf>
    <xf numFmtId="0" fontId="5" fillId="0" borderId="0" xfId="0" applyFont="1" applyAlignment="1">
      <alignment horizontal="left" vertical="top" wrapText="1"/>
    </xf>
    <xf numFmtId="0" fontId="6" fillId="4" borderId="0" xfId="0" applyFont="1" applyFill="1" applyAlignment="1">
      <alignment horizontal="left" vertical="center" wrapText="1"/>
    </xf>
    <xf numFmtId="0" fontId="6" fillId="0" borderId="0" xfId="0" applyFont="1" applyAlignment="1">
      <alignment horizontal="left" vertical="top" wrapText="1"/>
    </xf>
    <xf numFmtId="0" fontId="6" fillId="0" borderId="20"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7" xfId="0" applyFont="1" applyBorder="1" applyAlignment="1">
      <alignment horizontal="center" vertical="center" wrapText="1"/>
    </xf>
    <xf numFmtId="0" fontId="3" fillId="2" borderId="5" xfId="0" applyFont="1" applyFill="1" applyBorder="1" applyAlignment="1">
      <alignment horizontal="left" vertical="center" wrapText="1"/>
    </xf>
    <xf numFmtId="0" fontId="3" fillId="3" borderId="10" xfId="0" applyFont="1" applyFill="1" applyBorder="1" applyAlignment="1">
      <alignment horizontal="left"/>
    </xf>
    <xf numFmtId="0" fontId="3" fillId="3" borderId="5" xfId="0" applyFont="1" applyFill="1" applyBorder="1" applyAlignment="1">
      <alignment horizontal="left"/>
    </xf>
    <xf numFmtId="0" fontId="3" fillId="2" borderId="5" xfId="0" applyFont="1" applyFill="1" applyBorder="1" applyAlignment="1">
      <alignment horizontal="right" vertical="center" wrapText="1"/>
    </xf>
    <xf numFmtId="0" fontId="5" fillId="7" borderId="0" xfId="0" applyFont="1" applyFill="1" applyAlignment="1">
      <alignment horizontal="left" vertical="top" wrapText="1"/>
    </xf>
    <xf numFmtId="0" fontId="12" fillId="0" borderId="17" xfId="0" applyFont="1" applyBorder="1" applyAlignment="1">
      <alignment horizontal="center"/>
    </xf>
    <xf numFmtId="0" fontId="12" fillId="0" borderId="19" xfId="0" applyFont="1" applyBorder="1" applyAlignment="1">
      <alignment horizontal="center"/>
    </xf>
    <xf numFmtId="0" fontId="12" fillId="0" borderId="18" xfId="0" applyFont="1" applyBorder="1" applyAlignment="1">
      <alignment horizontal="center"/>
    </xf>
    <xf numFmtId="0" fontId="12" fillId="0" borderId="20" xfId="0" applyFont="1" applyBorder="1"/>
    <xf numFmtId="0" fontId="12" fillId="0" borderId="27" xfId="0" applyFont="1" applyBorder="1"/>
    <xf numFmtId="0" fontId="11" fillId="0" borderId="20" xfId="0" applyFont="1" applyBorder="1"/>
    <xf numFmtId="0" fontId="11" fillId="0" borderId="27" xfId="0" applyFont="1" applyBorder="1"/>
    <xf numFmtId="0" fontId="11" fillId="0" borderId="21" xfId="0" applyFont="1" applyBorder="1"/>
    <xf numFmtId="0" fontId="11" fillId="0" borderId="28" xfId="0" applyFont="1" applyBorder="1"/>
    <xf numFmtId="0" fontId="11" fillId="8" borderId="24" xfId="0" applyFont="1" applyFill="1" applyBorder="1"/>
    <xf numFmtId="0" fontId="11" fillId="8" borderId="22" xfId="0" applyFont="1" applyFill="1" applyBorder="1"/>
    <xf numFmtId="0" fontId="11" fillId="8" borderId="29" xfId="0" applyFont="1" applyFill="1" applyBorder="1"/>
    <xf numFmtId="0" fontId="14" fillId="8" borderId="21" xfId="0" applyFont="1" applyFill="1" applyBorder="1"/>
    <xf numFmtId="0" fontId="14" fillId="8" borderId="28" xfId="0" applyFont="1" applyFill="1" applyBorder="1"/>
    <xf numFmtId="0" fontId="11" fillId="8" borderId="8" xfId="0" applyFont="1" applyFill="1" applyBorder="1"/>
    <xf numFmtId="0" fontId="11" fillId="8" borderId="4" xfId="0" applyFont="1" applyFill="1" applyBorder="1"/>
    <xf numFmtId="0" fontId="11" fillId="8" borderId="33" xfId="0" applyFont="1" applyFill="1" applyBorder="1"/>
    <xf numFmtId="0" fontId="11" fillId="8" borderId="34" xfId="0" applyFont="1" applyFill="1" applyBorder="1"/>
    <xf numFmtId="0" fontId="11" fillId="8" borderId="20" xfId="0" applyFont="1" applyFill="1" applyBorder="1"/>
    <xf numFmtId="0" fontId="11" fillId="8" borderId="27" xfId="0" applyFont="1" applyFill="1" applyBorder="1"/>
    <xf numFmtId="9" fontId="11" fillId="0" borderId="22" xfId="0" applyNumberFormat="1" applyFont="1" applyBorder="1"/>
    <xf numFmtId="9" fontId="11" fillId="0" borderId="29" xfId="0" applyNumberFormat="1" applyFont="1" applyBorder="1"/>
    <xf numFmtId="0" fontId="11" fillId="8" borderId="30" xfId="0" applyFont="1" applyFill="1" applyBorder="1"/>
    <xf numFmtId="0" fontId="11" fillId="8" borderId="32" xfId="0" applyFont="1" applyFill="1" applyBorder="1"/>
    <xf numFmtId="0" fontId="11" fillId="8" borderId="23" xfId="0" applyFont="1" applyFill="1" applyBorder="1"/>
    <xf numFmtId="0" fontId="11" fillId="0" borderId="8" xfId="0" applyFont="1" applyBorder="1"/>
    <xf numFmtId="0" fontId="11" fillId="0" borderId="4" xfId="0" applyFont="1" applyBorder="1"/>
    <xf numFmtId="0" fontId="14" fillId="0" borderId="21" xfId="0" applyFont="1" applyBorder="1"/>
    <xf numFmtId="0" fontId="14" fillId="0" borderId="28" xfId="0" applyFont="1" applyBorder="1"/>
    <xf numFmtId="0" fontId="14" fillId="8" borderId="31" xfId="0" applyFont="1" applyFill="1" applyBorder="1"/>
    <xf numFmtId="0" fontId="11" fillId="8" borderId="12" xfId="0" applyFont="1" applyFill="1" applyBorder="1"/>
    <xf numFmtId="0" fontId="12" fillId="0" borderId="30" xfId="0" applyFont="1" applyBorder="1"/>
    <xf numFmtId="0" fontId="11" fillId="0" borderId="30" xfId="0" applyFont="1" applyBorder="1"/>
    <xf numFmtId="0" fontId="11" fillId="8" borderId="37" xfId="0" applyFont="1" applyFill="1" applyBorder="1"/>
    <xf numFmtId="0" fontId="14" fillId="0" borderId="31" xfId="0" applyFont="1" applyBorder="1"/>
    <xf numFmtId="9" fontId="11" fillId="0" borderId="32" xfId="0" applyNumberFormat="1" applyFont="1" applyBorder="1"/>
    <xf numFmtId="0" fontId="11" fillId="0" borderId="12" xfId="0" applyFont="1" applyBorder="1"/>
    <xf numFmtId="0" fontId="11" fillId="0" borderId="23" xfId="0" applyFont="1" applyBorder="1"/>
    <xf numFmtId="0" fontId="11" fillId="0" borderId="24" xfId="0" applyFont="1" applyBorder="1"/>
    <xf numFmtId="0" fontId="11" fillId="0" borderId="22" xfId="0" applyFont="1" applyBorder="1"/>
    <xf numFmtId="0" fontId="11" fillId="0" borderId="32" xfId="0" applyFont="1" applyBorder="1"/>
    <xf numFmtId="0" fontId="11" fillId="0" borderId="29" xfId="0" applyFont="1" applyBorder="1"/>
    <xf numFmtId="9" fontId="11" fillId="0" borderId="33" xfId="0" applyNumberFormat="1" applyFont="1" applyBorder="1"/>
    <xf numFmtId="9" fontId="11" fillId="0" borderId="37" xfId="0" applyNumberFormat="1" applyFont="1" applyBorder="1"/>
    <xf numFmtId="9" fontId="11" fillId="0" borderId="34" xfId="0" applyNumberFormat="1" applyFont="1" applyBorder="1"/>
    <xf numFmtId="0" fontId="11" fillId="0" borderId="20" xfId="0" applyFont="1" applyBorder="1" applyAlignment="1">
      <alignment horizontal="left" wrapText="1"/>
    </xf>
    <xf numFmtId="0" fontId="11" fillId="0" borderId="30" xfId="0" applyFont="1" applyBorder="1" applyAlignment="1">
      <alignment horizontal="left" wrapText="1"/>
    </xf>
    <xf numFmtId="0" fontId="11" fillId="0" borderId="27" xfId="0" applyFont="1" applyBorder="1" applyAlignment="1">
      <alignment horizontal="left" wrapText="1"/>
    </xf>
    <xf numFmtId="0" fontId="14" fillId="0" borderId="21" xfId="0" applyFont="1" applyBorder="1" applyAlignment="1">
      <alignment horizontal="right"/>
    </xf>
    <xf numFmtId="0" fontId="14" fillId="0" borderId="31" xfId="0" applyFont="1" applyBorder="1" applyAlignment="1">
      <alignment horizontal="right"/>
    </xf>
    <xf numFmtId="0" fontId="14" fillId="0" borderId="28" xfId="0" applyFont="1" applyBorder="1" applyAlignment="1">
      <alignment horizontal="right"/>
    </xf>
    <xf numFmtId="0" fontId="14" fillId="0" borderId="33" xfId="0" applyFont="1" applyBorder="1"/>
    <xf numFmtId="0" fontId="14" fillId="0" borderId="34" xfId="0" applyFont="1" applyBorder="1"/>
    <xf numFmtId="0" fontId="11" fillId="10" borderId="35" xfId="0" applyFont="1" applyFill="1" applyBorder="1"/>
    <xf numFmtId="0" fontId="11" fillId="10" borderId="36" xfId="0" applyFont="1" applyFill="1" applyBorder="1"/>
    <xf numFmtId="0" fontId="11" fillId="8" borderId="41" xfId="0" applyFont="1" applyFill="1" applyBorder="1"/>
    <xf numFmtId="0" fontId="2" fillId="0" borderId="0" xfId="0" applyFont="1" applyAlignment="1">
      <alignment wrapText="1"/>
    </xf>
    <xf numFmtId="0" fontId="0" fillId="0" borderId="0" xfId="0"/>
    <xf numFmtId="0" fontId="11" fillId="0" borderId="41" xfId="0" applyFont="1" applyBorder="1"/>
    <xf numFmtId="0" fontId="11" fillId="0" borderId="42" xfId="0" applyFont="1" applyBorder="1"/>
    <xf numFmtId="0" fontId="14" fillId="8" borderId="40" xfId="0" applyFont="1" applyFill="1" applyBorder="1"/>
    <xf numFmtId="0" fontId="11" fillId="8" borderId="43" xfId="0" applyFont="1" applyFill="1" applyBorder="1"/>
    <xf numFmtId="0" fontId="11" fillId="8" borderId="38" xfId="0" applyFont="1" applyFill="1" applyBorder="1"/>
    <xf numFmtId="0" fontId="11" fillId="8" borderId="39" xfId="0" applyFont="1" applyFill="1" applyBorder="1"/>
    <xf numFmtId="0" fontId="11" fillId="8" borderId="42" xfId="0" applyFont="1" applyFill="1" applyBorder="1"/>
    <xf numFmtId="0" fontId="14" fillId="0" borderId="40" xfId="0" applyFont="1" applyBorder="1"/>
    <xf numFmtId="0" fontId="5" fillId="0" borderId="6" xfId="0" applyFont="1" applyBorder="1" applyAlignment="1">
      <alignment horizontal="left" wrapText="1"/>
    </xf>
    <xf numFmtId="0" fontId="5" fillId="0" borderId="6" xfId="0" applyFont="1" applyBorder="1" applyAlignment="1">
      <alignment horizontal="left" vertical="top" wrapText="1"/>
    </xf>
    <xf numFmtId="0" fontId="5" fillId="0" borderId="6" xfId="0" applyFont="1" applyBorder="1" applyAlignment="1">
      <alignment horizontal="left" vertical="top"/>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ogresstogether.sharepoint.com/Project/50522_SNMCS2/NJ1/Task%203%20OMB%20&amp;%20IRB/Working%20docs/P%20SNMCS-II%20burden%20table_unduplicated_2021.7.23_from%20D%20OM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rogresstogether.sharepoint.com/Project/50522_SNMCS2/NJ1/Task%203%20OMB%20&amp;%20IRB/3.3%20Draft%20OMB%20to%20FNS%202021.7.23/Appendices/P%20SNMCS-II%20burden%20table_unduplicated_2021.7.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rden Table"/>
      <sheetName val="SampleSizes"/>
      <sheetName val="Resp_NonResp"/>
      <sheetName val="Hourly Wages"/>
    </sheetNames>
    <sheetDataSet>
      <sheetData sheetId="0" refreshError="1"/>
      <sheetData sheetId="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rden Table"/>
      <sheetName val="SampleSizes"/>
      <sheetName val="Resp_NonResp"/>
      <sheetName val="Hourly Wage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26"/>
  <sheetViews>
    <sheetView tabSelected="1" zoomScale="75" zoomScaleNormal="75" workbookViewId="0">
      <pane xSplit="3" ySplit="3" topLeftCell="H186" activePane="bottomRight" state="frozen"/>
      <selection pane="topRight" activeCell="D1" sqref="D1"/>
      <selection pane="bottomLeft" activeCell="A4" sqref="A4"/>
      <selection pane="bottomRight" activeCell="Q178" sqref="Q178"/>
    </sheetView>
  </sheetViews>
  <sheetFormatPr defaultColWidth="8.77734375" defaultRowHeight="13.8" x14ac:dyDescent="0.3"/>
  <cols>
    <col min="1" max="1" width="11.44140625" style="12" customWidth="1"/>
    <col min="2" max="2" width="18.44140625" style="10" customWidth="1"/>
    <col min="3" max="3" width="20.5546875" style="10" customWidth="1"/>
    <col min="4" max="4" width="21.5546875" style="10" bestFit="1" customWidth="1"/>
    <col min="5" max="5" width="51.21875" style="4" bestFit="1" customWidth="1"/>
    <col min="6" max="6" width="22.5546875" style="13" customWidth="1"/>
    <col min="7" max="7" width="20.44140625" style="4" bestFit="1" customWidth="1"/>
    <col min="8" max="8" width="22.109375" style="4" customWidth="1"/>
    <col min="9" max="9" width="20.109375" style="4" bestFit="1" customWidth="1"/>
    <col min="10" max="10" width="18.88671875" style="5" bestFit="1" customWidth="1"/>
    <col min="11" max="11" width="11.77734375" style="4" customWidth="1"/>
    <col min="12" max="12" width="22.33203125" style="4" bestFit="1" customWidth="1"/>
    <col min="13" max="13" width="18.88671875" style="4" bestFit="1" customWidth="1"/>
    <col min="14" max="14" width="20.109375" style="4" bestFit="1" customWidth="1"/>
    <col min="15" max="15" width="20.33203125" style="4" bestFit="1" customWidth="1"/>
    <col min="16" max="16" width="17.109375" style="4" bestFit="1" customWidth="1"/>
    <col min="17" max="17" width="35.21875" style="4" bestFit="1" customWidth="1"/>
    <col min="18" max="18" width="14.77734375" style="4" customWidth="1"/>
    <col min="19" max="19" width="24.21875" style="4" customWidth="1"/>
    <col min="20" max="16384" width="8.77734375" style="4"/>
  </cols>
  <sheetData>
    <row r="1" spans="1:19" ht="13.5" thickBot="1" x14ac:dyDescent="0.35">
      <c r="A1" s="11" t="s">
        <v>0</v>
      </c>
      <c r="B1" s="2"/>
      <c r="C1" s="2"/>
      <c r="D1" s="2"/>
      <c r="E1" s="3"/>
      <c r="R1" s="30"/>
      <c r="S1" s="30"/>
    </row>
    <row r="2" spans="1:19" ht="14.55" customHeight="1" x14ac:dyDescent="0.3">
      <c r="A2" s="152"/>
      <c r="B2" s="152"/>
      <c r="C2" s="152"/>
      <c r="D2" s="152"/>
      <c r="E2" s="152"/>
      <c r="F2" s="152"/>
      <c r="G2" s="156" t="s">
        <v>1</v>
      </c>
      <c r="H2" s="156"/>
      <c r="I2" s="156"/>
      <c r="J2" s="156"/>
      <c r="K2" s="156"/>
      <c r="L2" s="156" t="s">
        <v>2</v>
      </c>
      <c r="M2" s="156"/>
      <c r="N2" s="156"/>
      <c r="O2" s="156"/>
      <c r="P2" s="156"/>
      <c r="Q2" s="153"/>
      <c r="R2" s="153"/>
      <c r="S2" s="153"/>
    </row>
    <row r="3" spans="1:19" ht="39" x14ac:dyDescent="0.3">
      <c r="A3" s="102" t="s">
        <v>3</v>
      </c>
      <c r="B3" s="99" t="s">
        <v>4</v>
      </c>
      <c r="C3" s="99" t="s">
        <v>5</v>
      </c>
      <c r="D3" s="112" t="s">
        <v>6</v>
      </c>
      <c r="E3" s="99" t="s">
        <v>7</v>
      </c>
      <c r="F3" s="99" t="s">
        <v>8</v>
      </c>
      <c r="G3" s="99" t="s">
        <v>9</v>
      </c>
      <c r="H3" s="99" t="s">
        <v>10</v>
      </c>
      <c r="I3" s="99" t="s">
        <v>11</v>
      </c>
      <c r="J3" s="100" t="s">
        <v>12</v>
      </c>
      <c r="K3" s="99" t="s">
        <v>13</v>
      </c>
      <c r="L3" s="99" t="s">
        <v>14</v>
      </c>
      <c r="M3" s="99" t="s">
        <v>10</v>
      </c>
      <c r="N3" s="99" t="s">
        <v>11</v>
      </c>
      <c r="O3" s="99" t="s">
        <v>12</v>
      </c>
      <c r="P3" s="99" t="s">
        <v>13</v>
      </c>
      <c r="Q3" s="99" t="s">
        <v>15</v>
      </c>
      <c r="R3" s="101" t="s">
        <v>16</v>
      </c>
      <c r="S3" s="101" t="s">
        <v>17</v>
      </c>
    </row>
    <row r="4" spans="1:19" s="29" customFormat="1" ht="51.75" customHeight="1" x14ac:dyDescent="0.3">
      <c r="A4" s="151" t="s">
        <v>18</v>
      </c>
      <c r="B4" s="155" t="s">
        <v>19</v>
      </c>
      <c r="C4" s="154" t="s">
        <v>20</v>
      </c>
      <c r="D4" s="109" t="s">
        <v>21</v>
      </c>
      <c r="E4" s="95" t="s">
        <v>22</v>
      </c>
      <c r="F4" s="66">
        <v>49</v>
      </c>
      <c r="G4" s="67">
        <v>49</v>
      </c>
      <c r="H4" s="68">
        <v>1</v>
      </c>
      <c r="I4" s="68">
        <f t="shared" ref="I4:I9" si="0">G4*H4</f>
        <v>49</v>
      </c>
      <c r="J4" s="69">
        <v>0.75</v>
      </c>
      <c r="K4" s="70">
        <f t="shared" ref="K4:K9" si="1">I4*J4</f>
        <v>36.75</v>
      </c>
      <c r="L4" s="67">
        <f t="shared" ref="L4:L10" si="2">F4-G4</f>
        <v>0</v>
      </c>
      <c r="M4" s="68">
        <v>0</v>
      </c>
      <c r="N4" s="67">
        <f t="shared" ref="N4:P4" si="3">L4*M4</f>
        <v>0</v>
      </c>
      <c r="O4" s="69">
        <v>5.0099999999999999E-2</v>
      </c>
      <c r="P4" s="70">
        <f t="shared" si="3"/>
        <v>0</v>
      </c>
      <c r="Q4" s="70">
        <f>K4+P4</f>
        <v>36.75</v>
      </c>
      <c r="R4" s="71">
        <v>56.14</v>
      </c>
      <c r="S4" s="72">
        <f>Q4*R4*1.33</f>
        <v>2743.9828500000003</v>
      </c>
    </row>
    <row r="5" spans="1:19" ht="45" customHeight="1" x14ac:dyDescent="0.3">
      <c r="A5" s="151"/>
      <c r="B5" s="155"/>
      <c r="C5" s="154"/>
      <c r="D5" s="109" t="s">
        <v>23</v>
      </c>
      <c r="E5" s="96" t="s">
        <v>499</v>
      </c>
      <c r="F5" s="66">
        <v>49</v>
      </c>
      <c r="G5" s="67">
        <v>49</v>
      </c>
      <c r="H5" s="68">
        <v>1</v>
      </c>
      <c r="I5" s="73">
        <f t="shared" si="0"/>
        <v>49</v>
      </c>
      <c r="J5" s="69">
        <v>0.33400000000000002</v>
      </c>
      <c r="K5" s="70">
        <f t="shared" si="1"/>
        <v>16.366</v>
      </c>
      <c r="L5" s="67">
        <f t="shared" si="2"/>
        <v>0</v>
      </c>
      <c r="M5" s="68">
        <v>0</v>
      </c>
      <c r="N5" s="67">
        <f t="shared" ref="N5:N50" si="4">L5*M5</f>
        <v>0</v>
      </c>
      <c r="O5" s="69">
        <v>2.23E-2</v>
      </c>
      <c r="P5" s="70">
        <f t="shared" ref="P5:P131" si="5">N5*O5</f>
        <v>0</v>
      </c>
      <c r="Q5" s="70">
        <f>K5+P5</f>
        <v>16.366</v>
      </c>
      <c r="R5" s="71">
        <v>56.14</v>
      </c>
      <c r="S5" s="72">
        <f t="shared" ref="S5:S64" si="6">Q5*R5*1.33</f>
        <v>1221.9870292000001</v>
      </c>
    </row>
    <row r="6" spans="1:19" ht="45" customHeight="1" x14ac:dyDescent="0.3">
      <c r="A6" s="151"/>
      <c r="B6" s="155"/>
      <c r="C6" s="154"/>
      <c r="D6" s="109" t="s">
        <v>24</v>
      </c>
      <c r="E6" s="95" t="s">
        <v>25</v>
      </c>
      <c r="F6" s="66">
        <v>49</v>
      </c>
      <c r="G6" s="67">
        <v>49</v>
      </c>
      <c r="H6" s="68">
        <v>1</v>
      </c>
      <c r="I6" s="68">
        <f t="shared" si="0"/>
        <v>49</v>
      </c>
      <c r="J6" s="69">
        <v>3.3399999999999999E-2</v>
      </c>
      <c r="K6" s="70">
        <f t="shared" si="1"/>
        <v>1.6366000000000001</v>
      </c>
      <c r="L6" s="67">
        <f t="shared" si="2"/>
        <v>0</v>
      </c>
      <c r="M6" s="68">
        <v>0</v>
      </c>
      <c r="N6" s="67">
        <f>L6*M6</f>
        <v>0</v>
      </c>
      <c r="O6" s="69">
        <v>2.23E-2</v>
      </c>
      <c r="P6" s="70">
        <f>N6*O6</f>
        <v>0</v>
      </c>
      <c r="Q6" s="74">
        <f t="shared" ref="Q6" si="7">K6+P6</f>
        <v>1.6366000000000001</v>
      </c>
      <c r="R6" s="71">
        <v>56.14</v>
      </c>
      <c r="S6" s="72">
        <f t="shared" si="6"/>
        <v>122.19870292000002</v>
      </c>
    </row>
    <row r="7" spans="1:19" ht="45" customHeight="1" x14ac:dyDescent="0.3">
      <c r="A7" s="151"/>
      <c r="B7" s="155"/>
      <c r="C7" s="154"/>
      <c r="D7" s="109" t="s">
        <v>26</v>
      </c>
      <c r="E7" s="95" t="s">
        <v>27</v>
      </c>
      <c r="F7" s="66">
        <v>49</v>
      </c>
      <c r="G7" s="67">
        <v>49</v>
      </c>
      <c r="H7" s="68">
        <v>1</v>
      </c>
      <c r="I7" s="68">
        <f t="shared" si="0"/>
        <v>49</v>
      </c>
      <c r="J7" s="69">
        <v>8.3500000000000005E-2</v>
      </c>
      <c r="K7" s="70">
        <f t="shared" si="1"/>
        <v>4.0914999999999999</v>
      </c>
      <c r="L7" s="67">
        <f t="shared" si="2"/>
        <v>0</v>
      </c>
      <c r="M7" s="68">
        <v>0</v>
      </c>
      <c r="N7" s="67">
        <f>L7*M7</f>
        <v>0</v>
      </c>
      <c r="O7" s="69">
        <v>2.23E-2</v>
      </c>
      <c r="P7" s="70">
        <f>N7*O7</f>
        <v>0</v>
      </c>
      <c r="Q7" s="74">
        <f t="shared" ref="Q7" si="8">K7+P7</f>
        <v>4.0914999999999999</v>
      </c>
      <c r="R7" s="71">
        <v>56.14</v>
      </c>
      <c r="S7" s="72">
        <f t="shared" si="6"/>
        <v>305.49675730000001</v>
      </c>
    </row>
    <row r="8" spans="1:19" ht="45" customHeight="1" x14ac:dyDescent="0.3">
      <c r="A8" s="151"/>
      <c r="B8" s="155"/>
      <c r="C8" s="154"/>
      <c r="D8" s="109" t="s">
        <v>28</v>
      </c>
      <c r="E8" s="95" t="s">
        <v>29</v>
      </c>
      <c r="F8" s="66">
        <v>49</v>
      </c>
      <c r="G8" s="67">
        <v>49</v>
      </c>
      <c r="H8" s="68">
        <v>1</v>
      </c>
      <c r="I8" s="68">
        <f t="shared" si="0"/>
        <v>49</v>
      </c>
      <c r="J8" s="69">
        <v>3.3399999999999999E-2</v>
      </c>
      <c r="K8" s="70">
        <f t="shared" si="1"/>
        <v>1.6366000000000001</v>
      </c>
      <c r="L8" s="67">
        <f t="shared" si="2"/>
        <v>0</v>
      </c>
      <c r="M8" s="68">
        <v>0</v>
      </c>
      <c r="N8" s="67">
        <f t="shared" ref="N8" si="9">L8*M8</f>
        <v>0</v>
      </c>
      <c r="O8" s="69">
        <v>2.23E-2</v>
      </c>
      <c r="P8" s="70">
        <f>N8*O8</f>
        <v>0</v>
      </c>
      <c r="Q8" s="74">
        <f t="shared" ref="Q8" si="10">K8+P8</f>
        <v>1.6366000000000001</v>
      </c>
      <c r="R8" s="71">
        <v>56.14</v>
      </c>
      <c r="S8" s="72">
        <f t="shared" si="6"/>
        <v>122.19870292000002</v>
      </c>
    </row>
    <row r="9" spans="1:19" s="29" customFormat="1" ht="45" customHeight="1" x14ac:dyDescent="0.3">
      <c r="A9" s="151"/>
      <c r="B9" s="155" t="s">
        <v>30</v>
      </c>
      <c r="C9" s="154" t="s">
        <v>31</v>
      </c>
      <c r="D9" s="109" t="s">
        <v>21</v>
      </c>
      <c r="E9" s="95" t="s">
        <v>22</v>
      </c>
      <c r="F9" s="66">
        <v>5</v>
      </c>
      <c r="G9" s="67">
        <v>5</v>
      </c>
      <c r="H9" s="68">
        <v>1</v>
      </c>
      <c r="I9" s="68">
        <f t="shared" si="0"/>
        <v>5</v>
      </c>
      <c r="J9" s="69">
        <v>0.75</v>
      </c>
      <c r="K9" s="70">
        <f t="shared" si="1"/>
        <v>3.75</v>
      </c>
      <c r="L9" s="67">
        <f t="shared" si="2"/>
        <v>0</v>
      </c>
      <c r="M9" s="68">
        <v>0</v>
      </c>
      <c r="N9" s="67">
        <f>L9*M9</f>
        <v>0</v>
      </c>
      <c r="O9" s="69">
        <v>5.0099999999999999E-2</v>
      </c>
      <c r="P9" s="70">
        <f>N9*O9</f>
        <v>0</v>
      </c>
      <c r="Q9" s="70">
        <f>K9+P9</f>
        <v>3.75</v>
      </c>
      <c r="R9" s="71">
        <v>39</v>
      </c>
      <c r="S9" s="72">
        <f t="shared" si="6"/>
        <v>194.51250000000002</v>
      </c>
    </row>
    <row r="10" spans="1:19" ht="40.5" customHeight="1" x14ac:dyDescent="0.3">
      <c r="A10" s="151"/>
      <c r="B10" s="155"/>
      <c r="C10" s="154"/>
      <c r="D10" s="109" t="s">
        <v>32</v>
      </c>
      <c r="E10" s="96" t="s">
        <v>499</v>
      </c>
      <c r="F10" s="66">
        <v>5</v>
      </c>
      <c r="G10" s="67">
        <v>5</v>
      </c>
      <c r="H10" s="68">
        <v>1</v>
      </c>
      <c r="I10" s="73">
        <f t="shared" ref="I10:I13" si="11">G10*H10</f>
        <v>5</v>
      </c>
      <c r="J10" s="69">
        <v>0.33400000000000002</v>
      </c>
      <c r="K10" s="70">
        <f t="shared" ref="K10:K131" si="12">I10*J10</f>
        <v>1.6700000000000002</v>
      </c>
      <c r="L10" s="67">
        <f t="shared" si="2"/>
        <v>0</v>
      </c>
      <c r="M10" s="68">
        <v>0</v>
      </c>
      <c r="N10" s="67">
        <f t="shared" si="4"/>
        <v>0</v>
      </c>
      <c r="O10" s="69">
        <v>2.23E-2</v>
      </c>
      <c r="P10" s="70">
        <f t="shared" si="5"/>
        <v>0</v>
      </c>
      <c r="Q10" s="70">
        <f t="shared" ref="Q10:Q131" si="13">K10+P10</f>
        <v>1.6700000000000002</v>
      </c>
      <c r="R10" s="71">
        <v>39</v>
      </c>
      <c r="S10" s="72">
        <f t="shared" si="6"/>
        <v>86.622900000000016</v>
      </c>
    </row>
    <row r="11" spans="1:19" ht="35.1" customHeight="1" x14ac:dyDescent="0.3">
      <c r="A11" s="151"/>
      <c r="B11" s="155"/>
      <c r="C11" s="154"/>
      <c r="D11" s="109" t="s">
        <v>33</v>
      </c>
      <c r="E11" s="95" t="s">
        <v>34</v>
      </c>
      <c r="F11" s="66">
        <v>5</v>
      </c>
      <c r="G11" s="67">
        <v>5</v>
      </c>
      <c r="H11" s="68">
        <v>1</v>
      </c>
      <c r="I11" s="68">
        <f t="shared" si="11"/>
        <v>5</v>
      </c>
      <c r="J11" s="69">
        <v>3.3399999999999999E-2</v>
      </c>
      <c r="K11" s="70">
        <f t="shared" si="12"/>
        <v>0.16699999999999998</v>
      </c>
      <c r="L11" s="67">
        <f t="shared" ref="L11:L13" si="14">F11-G11</f>
        <v>0</v>
      </c>
      <c r="M11" s="68">
        <v>0</v>
      </c>
      <c r="N11" s="67">
        <f t="shared" ref="N11:N13" si="15">L11*M11</f>
        <v>0</v>
      </c>
      <c r="O11" s="69">
        <v>2.23E-2</v>
      </c>
      <c r="P11" s="70">
        <f t="shared" ref="P11:P13" si="16">N11*O11</f>
        <v>0</v>
      </c>
      <c r="Q11" s="74">
        <f t="shared" ref="Q11:Q12" si="17">K11+P11</f>
        <v>0.16699999999999998</v>
      </c>
      <c r="R11" s="71">
        <v>39</v>
      </c>
      <c r="S11" s="72">
        <f t="shared" si="6"/>
        <v>8.6622899999999987</v>
      </c>
    </row>
    <row r="12" spans="1:19" ht="35.1" customHeight="1" x14ac:dyDescent="0.3">
      <c r="A12" s="151"/>
      <c r="B12" s="155"/>
      <c r="C12" s="154"/>
      <c r="D12" s="109" t="s">
        <v>26</v>
      </c>
      <c r="E12" s="95" t="s">
        <v>27</v>
      </c>
      <c r="F12" s="66">
        <v>5</v>
      </c>
      <c r="G12" s="67">
        <v>5</v>
      </c>
      <c r="H12" s="68">
        <v>1</v>
      </c>
      <c r="I12" s="68">
        <f t="shared" si="11"/>
        <v>5</v>
      </c>
      <c r="J12" s="69">
        <v>8.3500000000000005E-2</v>
      </c>
      <c r="K12" s="70">
        <f t="shared" si="12"/>
        <v>0.41750000000000004</v>
      </c>
      <c r="L12" s="67">
        <f t="shared" si="14"/>
        <v>0</v>
      </c>
      <c r="M12" s="68">
        <v>0</v>
      </c>
      <c r="N12" s="67">
        <f t="shared" si="15"/>
        <v>0</v>
      </c>
      <c r="O12" s="69">
        <v>2.23E-2</v>
      </c>
      <c r="P12" s="70">
        <f t="shared" si="16"/>
        <v>0</v>
      </c>
      <c r="Q12" s="74">
        <f t="shared" si="17"/>
        <v>0.41750000000000004</v>
      </c>
      <c r="R12" s="71">
        <v>39</v>
      </c>
      <c r="S12" s="72">
        <f t="shared" si="6"/>
        <v>21.655725000000004</v>
      </c>
    </row>
    <row r="13" spans="1:19" ht="35.1" customHeight="1" x14ac:dyDescent="0.3">
      <c r="A13" s="151"/>
      <c r="B13" s="155"/>
      <c r="C13" s="154"/>
      <c r="D13" s="109" t="s">
        <v>35</v>
      </c>
      <c r="E13" s="95" t="s">
        <v>29</v>
      </c>
      <c r="F13" s="66">
        <v>5</v>
      </c>
      <c r="G13" s="67">
        <v>5</v>
      </c>
      <c r="H13" s="68">
        <v>1</v>
      </c>
      <c r="I13" s="68">
        <f t="shared" si="11"/>
        <v>5</v>
      </c>
      <c r="J13" s="69">
        <v>3.3399999999999999E-2</v>
      </c>
      <c r="K13" s="70">
        <f t="shared" si="12"/>
        <v>0.16699999999999998</v>
      </c>
      <c r="L13" s="67">
        <f t="shared" si="14"/>
        <v>0</v>
      </c>
      <c r="M13" s="68">
        <v>0</v>
      </c>
      <c r="N13" s="67">
        <f t="shared" si="15"/>
        <v>0</v>
      </c>
      <c r="O13" s="69">
        <v>2.23E-2</v>
      </c>
      <c r="P13" s="70">
        <f t="shared" si="16"/>
        <v>0</v>
      </c>
      <c r="Q13" s="74">
        <f t="shared" ref="Q13" si="18">K13+P13</f>
        <v>0.16699999999999998</v>
      </c>
      <c r="R13" s="71">
        <v>39</v>
      </c>
      <c r="S13" s="72">
        <f t="shared" si="6"/>
        <v>8.6622899999999987</v>
      </c>
    </row>
    <row r="14" spans="1:19" ht="38.549999999999997" customHeight="1" x14ac:dyDescent="0.3">
      <c r="A14" s="151"/>
      <c r="B14" s="155" t="s">
        <v>36</v>
      </c>
      <c r="C14" s="154" t="s">
        <v>37</v>
      </c>
      <c r="D14" s="109" t="s">
        <v>38</v>
      </c>
      <c r="E14" s="95" t="s">
        <v>500</v>
      </c>
      <c r="F14" s="44">
        <v>49</v>
      </c>
      <c r="G14" s="44">
        <v>47</v>
      </c>
      <c r="H14" s="68">
        <v>1</v>
      </c>
      <c r="I14" s="68">
        <f>G14*H14</f>
        <v>47</v>
      </c>
      <c r="J14" s="69">
        <v>3.3399999999999999E-2</v>
      </c>
      <c r="K14" s="70">
        <f>I14*J14</f>
        <v>1.5697999999999999</v>
      </c>
      <c r="L14" s="67">
        <f>F14-G14</f>
        <v>2</v>
      </c>
      <c r="M14" s="68">
        <v>1</v>
      </c>
      <c r="N14" s="67">
        <f t="shared" si="4"/>
        <v>2</v>
      </c>
      <c r="O14" s="69">
        <v>2.23E-2</v>
      </c>
      <c r="P14" s="70">
        <f>N14*O14</f>
        <v>4.4600000000000001E-2</v>
      </c>
      <c r="Q14" s="70">
        <f>K14+P14</f>
        <v>1.6143999999999998</v>
      </c>
      <c r="R14" s="72">
        <v>56.14</v>
      </c>
      <c r="S14" s="72">
        <f t="shared" si="6"/>
        <v>120.54111327999999</v>
      </c>
    </row>
    <row r="15" spans="1:19" ht="28.8" customHeight="1" x14ac:dyDescent="0.3">
      <c r="A15" s="151"/>
      <c r="B15" s="155"/>
      <c r="C15" s="154"/>
      <c r="D15" s="109" t="s">
        <v>39</v>
      </c>
      <c r="E15" s="96" t="s">
        <v>40</v>
      </c>
      <c r="F15" s="44">
        <v>49</v>
      </c>
      <c r="G15" s="48">
        <v>47</v>
      </c>
      <c r="H15" s="68">
        <v>1</v>
      </c>
      <c r="I15" s="73">
        <f t="shared" ref="I15:I16" si="19">G15*H15</f>
        <v>47</v>
      </c>
      <c r="J15" s="69">
        <v>0.16700000000000001</v>
      </c>
      <c r="K15" s="70">
        <f t="shared" si="12"/>
        <v>7.8490000000000002</v>
      </c>
      <c r="L15" s="67">
        <f t="shared" ref="L15:L16" si="20">F15-G15</f>
        <v>2</v>
      </c>
      <c r="M15" s="68">
        <v>1</v>
      </c>
      <c r="N15" s="67">
        <f t="shared" ref="N15:N16" si="21">L15*M15</f>
        <v>2</v>
      </c>
      <c r="O15" s="69">
        <v>2.23E-2</v>
      </c>
      <c r="P15" s="70">
        <f t="shared" si="5"/>
        <v>4.4600000000000001E-2</v>
      </c>
      <c r="Q15" s="74">
        <f t="shared" ref="Q15" si="22">K15+P15</f>
        <v>7.8936000000000002</v>
      </c>
      <c r="R15" s="72">
        <v>56.14</v>
      </c>
      <c r="S15" s="72">
        <f t="shared" si="6"/>
        <v>589.38511632000007</v>
      </c>
    </row>
    <row r="16" spans="1:19" ht="28.8" customHeight="1" x14ac:dyDescent="0.3">
      <c r="A16" s="151"/>
      <c r="B16" s="155"/>
      <c r="C16" s="154"/>
      <c r="D16" s="109" t="s">
        <v>24</v>
      </c>
      <c r="E16" s="95" t="s">
        <v>25</v>
      </c>
      <c r="F16" s="44">
        <v>49</v>
      </c>
      <c r="G16" s="44">
        <v>47</v>
      </c>
      <c r="H16" s="68">
        <v>1</v>
      </c>
      <c r="I16" s="68">
        <f t="shared" si="19"/>
        <v>47</v>
      </c>
      <c r="J16" s="69">
        <v>3.3399999999999999E-2</v>
      </c>
      <c r="K16" s="70">
        <f t="shared" si="12"/>
        <v>1.5697999999999999</v>
      </c>
      <c r="L16" s="67">
        <f t="shared" si="20"/>
        <v>2</v>
      </c>
      <c r="M16" s="68">
        <v>1</v>
      </c>
      <c r="N16" s="67">
        <f t="shared" si="21"/>
        <v>2</v>
      </c>
      <c r="O16" s="69">
        <v>2.23E-2</v>
      </c>
      <c r="P16" s="70">
        <f t="shared" si="5"/>
        <v>4.4600000000000001E-2</v>
      </c>
      <c r="Q16" s="74">
        <f t="shared" ref="Q16" si="23">K16+P16</f>
        <v>1.6143999999999998</v>
      </c>
      <c r="R16" s="72">
        <v>56.14</v>
      </c>
      <c r="S16" s="72">
        <f t="shared" si="6"/>
        <v>120.54111327999999</v>
      </c>
    </row>
    <row r="17" spans="1:19" ht="38.549999999999997" customHeight="1" x14ac:dyDescent="0.3">
      <c r="A17" s="151"/>
      <c r="B17" s="155" t="s">
        <v>41</v>
      </c>
      <c r="C17" s="154" t="s">
        <v>42</v>
      </c>
      <c r="D17" s="109" t="s">
        <v>38</v>
      </c>
      <c r="E17" s="95" t="s">
        <v>500</v>
      </c>
      <c r="F17" s="44">
        <v>1</v>
      </c>
      <c r="G17" s="44">
        <v>1</v>
      </c>
      <c r="H17" s="68">
        <v>1</v>
      </c>
      <c r="I17" s="68">
        <f t="shared" ref="I17:I131" si="24">G17*H17</f>
        <v>1</v>
      </c>
      <c r="J17" s="69">
        <v>3.3399999999999999E-2</v>
      </c>
      <c r="K17" s="70">
        <f t="shared" si="12"/>
        <v>3.3399999999999999E-2</v>
      </c>
      <c r="L17" s="67">
        <f t="shared" ref="L17:L50" si="25">F17-G17</f>
        <v>0</v>
      </c>
      <c r="M17" s="68">
        <v>0</v>
      </c>
      <c r="N17" s="67">
        <f t="shared" si="4"/>
        <v>0</v>
      </c>
      <c r="O17" s="69">
        <v>2.23E-2</v>
      </c>
      <c r="P17" s="70">
        <f t="shared" si="5"/>
        <v>0</v>
      </c>
      <c r="Q17" s="70">
        <f t="shared" si="13"/>
        <v>3.3399999999999999E-2</v>
      </c>
      <c r="R17" s="72">
        <v>39.200000000000003</v>
      </c>
      <c r="S17" s="72">
        <f t="shared" si="6"/>
        <v>1.7413424000000002</v>
      </c>
    </row>
    <row r="18" spans="1:19" ht="38.549999999999997" customHeight="1" x14ac:dyDescent="0.3">
      <c r="A18" s="151"/>
      <c r="B18" s="155"/>
      <c r="C18" s="154"/>
      <c r="D18" s="109" t="s">
        <v>39</v>
      </c>
      <c r="E18" s="96" t="s">
        <v>43</v>
      </c>
      <c r="F18" s="44">
        <v>1</v>
      </c>
      <c r="G18" s="48">
        <v>1</v>
      </c>
      <c r="H18" s="68">
        <v>1</v>
      </c>
      <c r="I18" s="73">
        <f>G18*H18</f>
        <v>1</v>
      </c>
      <c r="J18" s="69">
        <v>0.16700000000000001</v>
      </c>
      <c r="K18" s="70">
        <f t="shared" si="12"/>
        <v>0.16700000000000001</v>
      </c>
      <c r="L18" s="67">
        <f t="shared" si="25"/>
        <v>0</v>
      </c>
      <c r="M18" s="68">
        <v>0</v>
      </c>
      <c r="N18" s="67">
        <f t="shared" ref="N18:N24" si="26">L18*M18</f>
        <v>0</v>
      </c>
      <c r="O18" s="69">
        <v>2.23E-2</v>
      </c>
      <c r="P18" s="70">
        <f t="shared" si="5"/>
        <v>0</v>
      </c>
      <c r="Q18" s="74">
        <f t="shared" ref="Q18" si="27">K18+P18</f>
        <v>0.16700000000000001</v>
      </c>
      <c r="R18" s="72">
        <v>39.200000000000003</v>
      </c>
      <c r="S18" s="72">
        <f t="shared" si="6"/>
        <v>8.7067120000000013</v>
      </c>
    </row>
    <row r="19" spans="1:19" ht="38.549999999999997" customHeight="1" x14ac:dyDescent="0.3">
      <c r="A19" s="151"/>
      <c r="B19" s="155"/>
      <c r="C19" s="154"/>
      <c r="D19" s="109" t="s">
        <v>45</v>
      </c>
      <c r="E19" s="95" t="s">
        <v>34</v>
      </c>
      <c r="F19" s="44">
        <v>1</v>
      </c>
      <c r="G19" s="44">
        <v>1</v>
      </c>
      <c r="H19" s="68">
        <v>1</v>
      </c>
      <c r="I19" s="68">
        <f t="shared" ref="I19:I24" si="28">G19*H19</f>
        <v>1</v>
      </c>
      <c r="J19" s="69">
        <v>3.3399999999999999E-2</v>
      </c>
      <c r="K19" s="70">
        <f t="shared" si="12"/>
        <v>3.3399999999999999E-2</v>
      </c>
      <c r="L19" s="67">
        <f t="shared" si="25"/>
        <v>0</v>
      </c>
      <c r="M19" s="68">
        <v>0</v>
      </c>
      <c r="N19" s="67">
        <f t="shared" si="26"/>
        <v>0</v>
      </c>
      <c r="O19" s="69">
        <v>2.23E-2</v>
      </c>
      <c r="P19" s="70">
        <f t="shared" si="5"/>
        <v>0</v>
      </c>
      <c r="Q19" s="74">
        <f t="shared" ref="Q19:Q24" si="29">K19+P19</f>
        <v>3.3399999999999999E-2</v>
      </c>
      <c r="R19" s="72">
        <v>39.200000000000003</v>
      </c>
      <c r="S19" s="72">
        <f t="shared" si="6"/>
        <v>1.7413424000000002</v>
      </c>
    </row>
    <row r="20" spans="1:19" ht="38.549999999999997" customHeight="1" x14ac:dyDescent="0.3">
      <c r="A20" s="151"/>
      <c r="B20" s="50" t="s">
        <v>46</v>
      </c>
      <c r="C20" s="66" t="s">
        <v>47</v>
      </c>
      <c r="D20" s="109" t="s">
        <v>48</v>
      </c>
      <c r="E20" s="95" t="s">
        <v>49</v>
      </c>
      <c r="F20" s="44">
        <v>2</v>
      </c>
      <c r="G20" s="44">
        <v>2</v>
      </c>
      <c r="H20" s="68">
        <v>1</v>
      </c>
      <c r="I20" s="68">
        <f t="shared" si="28"/>
        <v>2</v>
      </c>
      <c r="J20" s="69">
        <v>3</v>
      </c>
      <c r="K20" s="70">
        <f t="shared" si="12"/>
        <v>6</v>
      </c>
      <c r="L20" s="67">
        <f t="shared" si="25"/>
        <v>0</v>
      </c>
      <c r="M20" s="68">
        <v>0</v>
      </c>
      <c r="N20" s="67">
        <f t="shared" si="26"/>
        <v>0</v>
      </c>
      <c r="O20" s="69">
        <v>2.23E-2</v>
      </c>
      <c r="P20" s="70">
        <f t="shared" si="5"/>
        <v>0</v>
      </c>
      <c r="Q20" s="74">
        <f t="shared" si="29"/>
        <v>6</v>
      </c>
      <c r="R20" s="72">
        <v>56.14</v>
      </c>
      <c r="S20" s="72">
        <f t="shared" si="6"/>
        <v>447.99720000000008</v>
      </c>
    </row>
    <row r="21" spans="1:19" ht="38.549999999999997" customHeight="1" x14ac:dyDescent="0.3">
      <c r="A21" s="151"/>
      <c r="B21" s="155" t="s">
        <v>50</v>
      </c>
      <c r="C21" s="154" t="s">
        <v>51</v>
      </c>
      <c r="D21" s="109" t="s">
        <v>52</v>
      </c>
      <c r="E21" s="96" t="s">
        <v>528</v>
      </c>
      <c r="F21" s="44">
        <v>49</v>
      </c>
      <c r="G21" s="48">
        <v>49</v>
      </c>
      <c r="H21" s="68">
        <v>4</v>
      </c>
      <c r="I21" s="73">
        <f t="shared" si="28"/>
        <v>196</v>
      </c>
      <c r="J21" s="69">
        <v>0.5</v>
      </c>
      <c r="K21" s="70">
        <f t="shared" si="12"/>
        <v>98</v>
      </c>
      <c r="L21" s="67">
        <f>F21-G21</f>
        <v>0</v>
      </c>
      <c r="M21" s="68">
        <v>0</v>
      </c>
      <c r="N21" s="67">
        <f t="shared" si="26"/>
        <v>0</v>
      </c>
      <c r="O21" s="69">
        <v>5.0099999999999999E-2</v>
      </c>
      <c r="P21" s="70">
        <f t="shared" si="5"/>
        <v>0</v>
      </c>
      <c r="Q21" s="74">
        <f t="shared" si="29"/>
        <v>98</v>
      </c>
      <c r="R21" s="72">
        <v>56.14</v>
      </c>
      <c r="S21" s="72">
        <f t="shared" si="6"/>
        <v>7317.2876000000006</v>
      </c>
    </row>
    <row r="22" spans="1:19" ht="38.549999999999997" customHeight="1" x14ac:dyDescent="0.3">
      <c r="A22" s="151"/>
      <c r="B22" s="155"/>
      <c r="C22" s="154"/>
      <c r="D22" s="109" t="s">
        <v>53</v>
      </c>
      <c r="E22" s="95" t="s">
        <v>54</v>
      </c>
      <c r="F22" s="44">
        <v>49</v>
      </c>
      <c r="G22" s="44">
        <v>49</v>
      </c>
      <c r="H22" s="68">
        <v>4</v>
      </c>
      <c r="I22" s="68">
        <f t="shared" si="28"/>
        <v>196</v>
      </c>
      <c r="J22" s="69">
        <v>5.0099999999999999E-2</v>
      </c>
      <c r="K22" s="70">
        <f t="shared" si="12"/>
        <v>9.8195999999999994</v>
      </c>
      <c r="L22" s="67">
        <f>F22-G22</f>
        <v>0</v>
      </c>
      <c r="M22" s="68">
        <v>0</v>
      </c>
      <c r="N22" s="67">
        <f t="shared" si="26"/>
        <v>0</v>
      </c>
      <c r="O22" s="69">
        <v>2.23E-2</v>
      </c>
      <c r="P22" s="70">
        <f t="shared" si="5"/>
        <v>0</v>
      </c>
      <c r="Q22" s="74">
        <f t="shared" si="29"/>
        <v>9.8195999999999994</v>
      </c>
      <c r="R22" s="72">
        <v>56.14</v>
      </c>
      <c r="S22" s="72">
        <f t="shared" si="6"/>
        <v>733.19221751999999</v>
      </c>
    </row>
    <row r="23" spans="1:19" ht="38.549999999999997" customHeight="1" x14ac:dyDescent="0.3">
      <c r="A23" s="151"/>
      <c r="B23" s="155"/>
      <c r="C23" s="154"/>
      <c r="D23" s="109" t="s">
        <v>55</v>
      </c>
      <c r="E23" s="95" t="s">
        <v>56</v>
      </c>
      <c r="F23" s="44">
        <v>49</v>
      </c>
      <c r="G23" s="44">
        <v>42</v>
      </c>
      <c r="H23" s="68">
        <v>8</v>
      </c>
      <c r="I23" s="68">
        <f t="shared" si="28"/>
        <v>336</v>
      </c>
      <c r="J23" s="69">
        <v>1.67E-2</v>
      </c>
      <c r="K23" s="70">
        <f t="shared" si="12"/>
        <v>5.6112000000000002</v>
      </c>
      <c r="L23" s="67">
        <f>F23-G23</f>
        <v>7</v>
      </c>
      <c r="M23" s="68">
        <v>8</v>
      </c>
      <c r="N23" s="67">
        <f t="shared" si="26"/>
        <v>56</v>
      </c>
      <c r="O23" s="69">
        <v>2.23E-2</v>
      </c>
      <c r="P23" s="70">
        <f t="shared" si="5"/>
        <v>1.2488000000000001</v>
      </c>
      <c r="Q23" s="74">
        <f t="shared" si="29"/>
        <v>6.86</v>
      </c>
      <c r="R23" s="72">
        <v>56.14</v>
      </c>
      <c r="S23" s="72">
        <f t="shared" si="6"/>
        <v>512.21013200000004</v>
      </c>
    </row>
    <row r="24" spans="1:19" ht="38.549999999999997" customHeight="1" x14ac:dyDescent="0.3">
      <c r="A24" s="151"/>
      <c r="B24" s="155"/>
      <c r="C24" s="154"/>
      <c r="D24" s="109" t="s">
        <v>57</v>
      </c>
      <c r="E24" s="95" t="s">
        <v>58</v>
      </c>
      <c r="F24" s="44">
        <v>49</v>
      </c>
      <c r="G24" s="44">
        <v>34</v>
      </c>
      <c r="H24" s="68">
        <v>4</v>
      </c>
      <c r="I24" s="68">
        <f t="shared" si="28"/>
        <v>136</v>
      </c>
      <c r="J24" s="69">
        <v>8.3500000000000005E-2</v>
      </c>
      <c r="K24" s="70">
        <f t="shared" si="12"/>
        <v>11.356</v>
      </c>
      <c r="L24" s="67">
        <f>F24-G24</f>
        <v>15</v>
      </c>
      <c r="M24" s="68">
        <v>4</v>
      </c>
      <c r="N24" s="67">
        <f t="shared" si="26"/>
        <v>60</v>
      </c>
      <c r="O24" s="69">
        <v>2.23E-2</v>
      </c>
      <c r="P24" s="70">
        <f t="shared" si="5"/>
        <v>1.3380000000000001</v>
      </c>
      <c r="Q24" s="74">
        <f t="shared" si="29"/>
        <v>12.693999999999999</v>
      </c>
      <c r="R24" s="72">
        <v>56.14</v>
      </c>
      <c r="S24" s="72">
        <f t="shared" si="6"/>
        <v>947.81274279999991</v>
      </c>
    </row>
    <row r="25" spans="1:19" ht="26.1" customHeight="1" x14ac:dyDescent="0.3">
      <c r="A25" s="151"/>
      <c r="B25" s="155" t="s">
        <v>59</v>
      </c>
      <c r="C25" s="154" t="s">
        <v>60</v>
      </c>
      <c r="D25" s="109" t="s">
        <v>62</v>
      </c>
      <c r="E25" s="96" t="s">
        <v>63</v>
      </c>
      <c r="F25" s="43">
        <v>818</v>
      </c>
      <c r="G25" s="67">
        <v>572</v>
      </c>
      <c r="H25" s="68">
        <v>2</v>
      </c>
      <c r="I25" s="75">
        <f t="shared" ref="I25:I27" si="30">G25*H25</f>
        <v>1144</v>
      </c>
      <c r="J25" s="69">
        <v>3.3399999999999999E-2</v>
      </c>
      <c r="K25" s="70">
        <f t="shared" ref="K25:K27" si="31">I25*J25</f>
        <v>38.209600000000002</v>
      </c>
      <c r="L25" s="67">
        <f t="shared" si="25"/>
        <v>246</v>
      </c>
      <c r="M25" s="68">
        <v>2</v>
      </c>
      <c r="N25" s="67">
        <f t="shared" ref="N25:N27" si="32">L25*M25</f>
        <v>492</v>
      </c>
      <c r="O25" s="69">
        <v>2.23E-2</v>
      </c>
      <c r="P25" s="70">
        <f t="shared" si="5"/>
        <v>10.9716</v>
      </c>
      <c r="Q25" s="70">
        <f t="shared" ref="Q25:Q27" si="33">K25+P25</f>
        <v>49.181200000000004</v>
      </c>
      <c r="R25" s="76">
        <v>55.38</v>
      </c>
      <c r="S25" s="72">
        <f t="shared" si="6"/>
        <v>3622.460958480001</v>
      </c>
    </row>
    <row r="26" spans="1:19" ht="26.1" customHeight="1" x14ac:dyDescent="0.3">
      <c r="A26" s="151"/>
      <c r="B26" s="155"/>
      <c r="C26" s="154"/>
      <c r="D26" s="109" t="s">
        <v>64</v>
      </c>
      <c r="E26" s="95" t="s">
        <v>65</v>
      </c>
      <c r="F26" s="43">
        <v>818</v>
      </c>
      <c r="G26" s="67">
        <v>572</v>
      </c>
      <c r="H26" s="68">
        <v>1</v>
      </c>
      <c r="I26" s="75">
        <f t="shared" si="30"/>
        <v>572</v>
      </c>
      <c r="J26" s="69">
        <v>3.3399999999999999E-2</v>
      </c>
      <c r="K26" s="70">
        <f t="shared" si="31"/>
        <v>19.104800000000001</v>
      </c>
      <c r="L26" s="67">
        <f t="shared" si="25"/>
        <v>246</v>
      </c>
      <c r="M26" s="68">
        <v>1</v>
      </c>
      <c r="N26" s="67">
        <f t="shared" si="32"/>
        <v>246</v>
      </c>
      <c r="O26" s="69">
        <v>2.23E-2</v>
      </c>
      <c r="P26" s="70">
        <f t="shared" ref="P26:P27" si="34">N26*O26</f>
        <v>5.4858000000000002</v>
      </c>
      <c r="Q26" s="74">
        <f t="shared" si="33"/>
        <v>24.590600000000002</v>
      </c>
      <c r="R26" s="76">
        <v>55.38</v>
      </c>
      <c r="S26" s="72">
        <f t="shared" si="6"/>
        <v>1811.2304792400005</v>
      </c>
    </row>
    <row r="27" spans="1:19" ht="26.1" customHeight="1" x14ac:dyDescent="0.3">
      <c r="A27" s="151"/>
      <c r="B27" s="155"/>
      <c r="C27" s="154"/>
      <c r="D27" s="109" t="s">
        <v>24</v>
      </c>
      <c r="E27" s="95" t="s">
        <v>25</v>
      </c>
      <c r="F27" s="43">
        <v>818</v>
      </c>
      <c r="G27" s="67">
        <v>572</v>
      </c>
      <c r="H27" s="68">
        <v>1</v>
      </c>
      <c r="I27" s="75">
        <f t="shared" si="30"/>
        <v>572</v>
      </c>
      <c r="J27" s="69">
        <v>3.3399999999999999E-2</v>
      </c>
      <c r="K27" s="70">
        <f t="shared" si="31"/>
        <v>19.104800000000001</v>
      </c>
      <c r="L27" s="67">
        <f t="shared" si="25"/>
        <v>246</v>
      </c>
      <c r="M27" s="68">
        <v>1</v>
      </c>
      <c r="N27" s="67">
        <f t="shared" si="32"/>
        <v>246</v>
      </c>
      <c r="O27" s="69">
        <v>2.23E-2</v>
      </c>
      <c r="P27" s="70">
        <f t="shared" si="34"/>
        <v>5.4858000000000002</v>
      </c>
      <c r="Q27" s="74">
        <f t="shared" si="33"/>
        <v>24.590600000000002</v>
      </c>
      <c r="R27" s="76">
        <v>55.38</v>
      </c>
      <c r="S27" s="72">
        <f t="shared" si="6"/>
        <v>1811.2304792400005</v>
      </c>
    </row>
    <row r="28" spans="1:19" ht="26.1" customHeight="1" x14ac:dyDescent="0.3">
      <c r="A28" s="151"/>
      <c r="B28" s="155"/>
      <c r="C28" s="154"/>
      <c r="D28" s="109" t="s">
        <v>66</v>
      </c>
      <c r="E28" s="95" t="s">
        <v>67</v>
      </c>
      <c r="F28" s="43">
        <v>818</v>
      </c>
      <c r="G28" s="67">
        <v>572</v>
      </c>
      <c r="H28" s="68">
        <v>1</v>
      </c>
      <c r="I28" s="75">
        <f>G28*H28</f>
        <v>572</v>
      </c>
      <c r="J28" s="69">
        <v>0.5</v>
      </c>
      <c r="K28" s="70">
        <f>I28*J28</f>
        <v>286</v>
      </c>
      <c r="L28" s="67">
        <f t="shared" si="25"/>
        <v>246</v>
      </c>
      <c r="M28" s="68">
        <v>1</v>
      </c>
      <c r="N28" s="67">
        <f>L28*M28</f>
        <v>246</v>
      </c>
      <c r="O28" s="69">
        <v>6.6799999999999998E-2</v>
      </c>
      <c r="P28" s="70">
        <f>N28*O28</f>
        <v>16.4328</v>
      </c>
      <c r="Q28" s="70">
        <f>K28+P28</f>
        <v>302.43279999999999</v>
      </c>
      <c r="R28" s="76">
        <v>55.38</v>
      </c>
      <c r="S28" s="72">
        <f t="shared" si="6"/>
        <v>22275.808857120002</v>
      </c>
    </row>
    <row r="29" spans="1:19" x14ac:dyDescent="0.3">
      <c r="A29" s="151"/>
      <c r="B29" s="155" t="s">
        <v>68</v>
      </c>
      <c r="C29" s="154" t="s">
        <v>69</v>
      </c>
      <c r="D29" s="109" t="s">
        <v>70</v>
      </c>
      <c r="E29" s="96" t="s">
        <v>63</v>
      </c>
      <c r="F29" s="43">
        <v>34</v>
      </c>
      <c r="G29" s="67">
        <v>32</v>
      </c>
      <c r="H29" s="68">
        <v>2</v>
      </c>
      <c r="I29" s="75">
        <f t="shared" ref="I29" si="35">G29*H29</f>
        <v>64</v>
      </c>
      <c r="J29" s="69">
        <v>3.3399999999999999E-2</v>
      </c>
      <c r="K29" s="70">
        <f t="shared" ref="K29" si="36">I29*J29</f>
        <v>2.1375999999999999</v>
      </c>
      <c r="L29" s="67">
        <f t="shared" si="25"/>
        <v>2</v>
      </c>
      <c r="M29" s="68">
        <v>2</v>
      </c>
      <c r="N29" s="67">
        <f t="shared" ref="N29" si="37">L29*M29</f>
        <v>4</v>
      </c>
      <c r="O29" s="69">
        <v>2.23E-2</v>
      </c>
      <c r="P29" s="70">
        <f t="shared" ref="P29" si="38">N29*O29</f>
        <v>8.9200000000000002E-2</v>
      </c>
      <c r="Q29" s="70">
        <f t="shared" ref="Q29" si="39">K29+P29</f>
        <v>2.2267999999999999</v>
      </c>
      <c r="R29" s="76">
        <v>38.11</v>
      </c>
      <c r="S29" s="72">
        <f t="shared" si="6"/>
        <v>112.86825284</v>
      </c>
    </row>
    <row r="30" spans="1:19" ht="21.6" customHeight="1" x14ac:dyDescent="0.3">
      <c r="A30" s="151"/>
      <c r="B30" s="155"/>
      <c r="C30" s="154"/>
      <c r="D30" s="109" t="s">
        <v>66</v>
      </c>
      <c r="E30" s="95" t="s">
        <v>67</v>
      </c>
      <c r="F30" s="43">
        <v>34</v>
      </c>
      <c r="G30" s="67">
        <v>32</v>
      </c>
      <c r="H30" s="68">
        <v>1</v>
      </c>
      <c r="I30" s="75">
        <f t="shared" ref="I30:I32" si="40">G30*H30</f>
        <v>32</v>
      </c>
      <c r="J30" s="69">
        <v>0.5</v>
      </c>
      <c r="K30" s="70">
        <f t="shared" ref="K30" si="41">I30*J30</f>
        <v>16</v>
      </c>
      <c r="L30" s="67">
        <f t="shared" ref="L30" si="42">F30-G30</f>
        <v>2</v>
      </c>
      <c r="M30" s="68">
        <v>1</v>
      </c>
      <c r="N30" s="67">
        <f t="shared" ref="N30" si="43">L30*M30</f>
        <v>2</v>
      </c>
      <c r="O30" s="69">
        <v>6.6799999999999998E-2</v>
      </c>
      <c r="P30" s="70">
        <f>N30*O30</f>
        <v>0.1336</v>
      </c>
      <c r="Q30" s="70">
        <f t="shared" ref="Q30:Q32" si="44">K30+P30</f>
        <v>16.133600000000001</v>
      </c>
      <c r="R30" s="76">
        <v>38.11</v>
      </c>
      <c r="S30" s="72">
        <f t="shared" si="6"/>
        <v>817.75248968000005</v>
      </c>
    </row>
    <row r="31" spans="1:19" ht="21.6" customHeight="1" x14ac:dyDescent="0.3">
      <c r="A31" s="151"/>
      <c r="B31" s="155"/>
      <c r="C31" s="154"/>
      <c r="D31" s="109" t="s">
        <v>45</v>
      </c>
      <c r="E31" s="95" t="s">
        <v>34</v>
      </c>
      <c r="F31" s="43">
        <v>34</v>
      </c>
      <c r="G31" s="67">
        <v>32</v>
      </c>
      <c r="H31" s="68">
        <v>1</v>
      </c>
      <c r="I31" s="75">
        <f t="shared" si="40"/>
        <v>32</v>
      </c>
      <c r="J31" s="69">
        <v>3.3399999999999999E-2</v>
      </c>
      <c r="K31" s="70">
        <f>I31*J31</f>
        <v>1.0688</v>
      </c>
      <c r="L31" s="67">
        <f t="shared" si="25"/>
        <v>2</v>
      </c>
      <c r="M31" s="68">
        <v>1</v>
      </c>
      <c r="N31" s="67">
        <f t="shared" si="4"/>
        <v>2</v>
      </c>
      <c r="O31" s="69">
        <v>2.23E-2</v>
      </c>
      <c r="P31" s="70">
        <f t="shared" ref="P31" si="45">N31*O31</f>
        <v>4.4600000000000001E-2</v>
      </c>
      <c r="Q31" s="74">
        <f t="shared" si="44"/>
        <v>1.1133999999999999</v>
      </c>
      <c r="R31" s="76">
        <v>38.11</v>
      </c>
      <c r="S31" s="72">
        <f t="shared" si="6"/>
        <v>56.434126419999998</v>
      </c>
    </row>
    <row r="32" spans="1:19" ht="21.6" customHeight="1" x14ac:dyDescent="0.3">
      <c r="A32" s="151"/>
      <c r="B32" s="155"/>
      <c r="C32" s="154"/>
      <c r="D32" s="109" t="s">
        <v>64</v>
      </c>
      <c r="E32" s="95" t="s">
        <v>71</v>
      </c>
      <c r="F32" s="77">
        <v>33</v>
      </c>
      <c r="G32" s="67">
        <v>32</v>
      </c>
      <c r="H32" s="68">
        <v>1</v>
      </c>
      <c r="I32" s="75">
        <f t="shared" si="40"/>
        <v>32</v>
      </c>
      <c r="J32" s="69">
        <v>3.3399999999999999E-2</v>
      </c>
      <c r="K32" s="70">
        <f t="shared" ref="K32" si="46">I32*J32</f>
        <v>1.0688</v>
      </c>
      <c r="L32" s="67">
        <f t="shared" si="25"/>
        <v>1</v>
      </c>
      <c r="M32" s="68">
        <v>1</v>
      </c>
      <c r="N32" s="67">
        <f t="shared" si="4"/>
        <v>1</v>
      </c>
      <c r="O32" s="69">
        <v>2.23E-2</v>
      </c>
      <c r="P32" s="70">
        <f t="shared" si="5"/>
        <v>2.23E-2</v>
      </c>
      <c r="Q32" s="70">
        <f t="shared" si="44"/>
        <v>1.0911</v>
      </c>
      <c r="R32" s="76">
        <v>38.11</v>
      </c>
      <c r="S32" s="72">
        <f t="shared" si="6"/>
        <v>55.303821929999998</v>
      </c>
    </row>
    <row r="33" spans="1:19" ht="41.4" x14ac:dyDescent="0.3">
      <c r="A33" s="151"/>
      <c r="B33" s="50" t="s">
        <v>72</v>
      </c>
      <c r="C33" s="66" t="s">
        <v>73</v>
      </c>
      <c r="D33" s="109" t="s">
        <v>74</v>
      </c>
      <c r="E33" s="96" t="s">
        <v>67</v>
      </c>
      <c r="F33" s="43">
        <v>3</v>
      </c>
      <c r="G33" s="43">
        <v>3</v>
      </c>
      <c r="H33" s="68">
        <v>1</v>
      </c>
      <c r="I33" s="75">
        <f t="shared" si="24"/>
        <v>3</v>
      </c>
      <c r="J33" s="69">
        <v>0.5</v>
      </c>
      <c r="K33" s="70">
        <f t="shared" si="12"/>
        <v>1.5</v>
      </c>
      <c r="L33" s="67">
        <f t="shared" si="25"/>
        <v>0</v>
      </c>
      <c r="M33" s="68">
        <v>0</v>
      </c>
      <c r="N33" s="67">
        <f t="shared" si="4"/>
        <v>0</v>
      </c>
      <c r="O33" s="69">
        <v>6.6799999999999998E-2</v>
      </c>
      <c r="P33" s="70">
        <f t="shared" si="5"/>
        <v>0</v>
      </c>
      <c r="Q33" s="70">
        <f t="shared" si="13"/>
        <v>1.5</v>
      </c>
      <c r="R33" s="76">
        <v>39</v>
      </c>
      <c r="S33" s="72">
        <f t="shared" si="6"/>
        <v>77.805000000000007</v>
      </c>
    </row>
    <row r="34" spans="1:19" x14ac:dyDescent="0.3">
      <c r="A34" s="151"/>
      <c r="B34" s="50" t="s">
        <v>75</v>
      </c>
      <c r="C34" s="66" t="s">
        <v>47</v>
      </c>
      <c r="D34" s="109" t="s">
        <v>48</v>
      </c>
      <c r="E34" s="96" t="s">
        <v>49</v>
      </c>
      <c r="F34" s="43">
        <v>3</v>
      </c>
      <c r="G34" s="43">
        <v>3</v>
      </c>
      <c r="H34" s="68">
        <v>1</v>
      </c>
      <c r="I34" s="75">
        <f t="shared" si="24"/>
        <v>3</v>
      </c>
      <c r="J34" s="69">
        <v>8.25</v>
      </c>
      <c r="K34" s="70">
        <f t="shared" si="12"/>
        <v>24.75</v>
      </c>
      <c r="L34" s="67">
        <f t="shared" si="25"/>
        <v>0</v>
      </c>
      <c r="M34" s="68">
        <v>0</v>
      </c>
      <c r="N34" s="67">
        <f t="shared" si="4"/>
        <v>0</v>
      </c>
      <c r="O34" s="69">
        <v>6.6799999999999998E-2</v>
      </c>
      <c r="P34" s="70">
        <f t="shared" si="5"/>
        <v>0</v>
      </c>
      <c r="Q34" s="70">
        <f t="shared" si="13"/>
        <v>24.75</v>
      </c>
      <c r="R34" s="71">
        <v>47.99</v>
      </c>
      <c r="S34" s="72">
        <f t="shared" si="6"/>
        <v>1579.7108250000001</v>
      </c>
    </row>
    <row r="35" spans="1:19" s="29" customFormat="1" ht="25.5" customHeight="1" x14ac:dyDescent="0.3">
      <c r="A35" s="151"/>
      <c r="B35" s="50" t="s">
        <v>76</v>
      </c>
      <c r="C35" s="66" t="s">
        <v>77</v>
      </c>
      <c r="D35" s="109" t="s">
        <v>21</v>
      </c>
      <c r="E35" s="95" t="s">
        <v>22</v>
      </c>
      <c r="F35" s="67">
        <v>1535</v>
      </c>
      <c r="G35" s="67">
        <v>507</v>
      </c>
      <c r="H35" s="68">
        <v>1</v>
      </c>
      <c r="I35" s="67">
        <f t="shared" ref="I35" si="47">G35*H35</f>
        <v>507</v>
      </c>
      <c r="J35" s="69">
        <v>0.75</v>
      </c>
      <c r="K35" s="70">
        <f t="shared" si="12"/>
        <v>380.25</v>
      </c>
      <c r="L35" s="67">
        <f t="shared" si="25"/>
        <v>1028</v>
      </c>
      <c r="M35" s="68">
        <v>1</v>
      </c>
      <c r="N35" s="67">
        <f t="shared" si="4"/>
        <v>1028</v>
      </c>
      <c r="O35" s="69">
        <v>5.0099999999999999E-2</v>
      </c>
      <c r="P35" s="70">
        <f t="shared" si="5"/>
        <v>51.502800000000001</v>
      </c>
      <c r="Q35" s="70">
        <f t="shared" si="13"/>
        <v>431.75279999999998</v>
      </c>
      <c r="R35" s="71">
        <v>47.99</v>
      </c>
      <c r="S35" s="72">
        <f t="shared" si="6"/>
        <v>27557.356439760002</v>
      </c>
    </row>
    <row r="36" spans="1:19" x14ac:dyDescent="0.3">
      <c r="A36" s="151"/>
      <c r="B36" s="155" t="s">
        <v>78</v>
      </c>
      <c r="C36" s="154" t="s">
        <v>79</v>
      </c>
      <c r="D36" s="109" t="s">
        <v>62</v>
      </c>
      <c r="E36" s="96" t="s">
        <v>63</v>
      </c>
      <c r="F36" s="66">
        <v>683</v>
      </c>
      <c r="G36" s="67">
        <v>479</v>
      </c>
      <c r="H36" s="68">
        <v>2</v>
      </c>
      <c r="I36" s="75">
        <f t="shared" si="24"/>
        <v>958</v>
      </c>
      <c r="J36" s="69">
        <v>3.3399999999999999E-2</v>
      </c>
      <c r="K36" s="70">
        <f t="shared" si="12"/>
        <v>31.997199999999999</v>
      </c>
      <c r="L36" s="67">
        <f t="shared" si="25"/>
        <v>204</v>
      </c>
      <c r="M36" s="68">
        <v>2</v>
      </c>
      <c r="N36" s="67">
        <f t="shared" si="4"/>
        <v>408</v>
      </c>
      <c r="O36" s="69">
        <v>2.23E-2</v>
      </c>
      <c r="P36" s="70">
        <f t="shared" si="5"/>
        <v>9.0983999999999998</v>
      </c>
      <c r="Q36" s="70">
        <f t="shared" si="13"/>
        <v>41.095599999999997</v>
      </c>
      <c r="R36" s="71">
        <v>47.99</v>
      </c>
      <c r="S36" s="72">
        <f t="shared" si="6"/>
        <v>2622.9965325200001</v>
      </c>
    </row>
    <row r="37" spans="1:19" ht="15" customHeight="1" x14ac:dyDescent="0.3">
      <c r="A37" s="151"/>
      <c r="B37" s="155"/>
      <c r="C37" s="154"/>
      <c r="D37" s="109" t="s">
        <v>64</v>
      </c>
      <c r="E37" s="95" t="s">
        <v>65</v>
      </c>
      <c r="F37" s="66">
        <v>683</v>
      </c>
      <c r="G37" s="67">
        <v>479</v>
      </c>
      <c r="H37" s="68">
        <v>1</v>
      </c>
      <c r="I37" s="75">
        <f t="shared" si="24"/>
        <v>479</v>
      </c>
      <c r="J37" s="69">
        <v>3.3399999999999999E-2</v>
      </c>
      <c r="K37" s="70">
        <f t="shared" si="12"/>
        <v>15.9986</v>
      </c>
      <c r="L37" s="67">
        <f t="shared" si="25"/>
        <v>204</v>
      </c>
      <c r="M37" s="68">
        <v>1</v>
      </c>
      <c r="N37" s="67">
        <f t="shared" si="4"/>
        <v>204</v>
      </c>
      <c r="O37" s="69">
        <v>2.23E-2</v>
      </c>
      <c r="P37" s="70">
        <f t="shared" si="5"/>
        <v>4.5491999999999999</v>
      </c>
      <c r="Q37" s="70">
        <f t="shared" si="13"/>
        <v>20.547799999999999</v>
      </c>
      <c r="R37" s="71">
        <v>47.99</v>
      </c>
      <c r="S37" s="72">
        <f t="shared" si="6"/>
        <v>1311.49826626</v>
      </c>
    </row>
    <row r="38" spans="1:19" ht="15" customHeight="1" x14ac:dyDescent="0.3">
      <c r="A38" s="151"/>
      <c r="B38" s="155"/>
      <c r="C38" s="154"/>
      <c r="D38" s="109" t="s">
        <v>80</v>
      </c>
      <c r="E38" s="95" t="s">
        <v>81</v>
      </c>
      <c r="F38" s="66">
        <v>683</v>
      </c>
      <c r="G38" s="67">
        <v>479</v>
      </c>
      <c r="H38" s="68">
        <v>1</v>
      </c>
      <c r="I38" s="75">
        <f>G38*H38</f>
        <v>479</v>
      </c>
      <c r="J38" s="69">
        <v>3.3399999999999999E-2</v>
      </c>
      <c r="K38" s="70">
        <f>I38*J38</f>
        <v>15.9986</v>
      </c>
      <c r="L38" s="67">
        <f>F38-G38</f>
        <v>204</v>
      </c>
      <c r="M38" s="68">
        <v>1</v>
      </c>
      <c r="N38" s="67">
        <f>L38*M38</f>
        <v>204</v>
      </c>
      <c r="O38" s="69">
        <v>2.23E-2</v>
      </c>
      <c r="P38" s="70">
        <f>N38*O38</f>
        <v>4.5491999999999999</v>
      </c>
      <c r="Q38" s="70">
        <f>K38+P38</f>
        <v>20.547799999999999</v>
      </c>
      <c r="R38" s="71">
        <v>47.99</v>
      </c>
      <c r="S38" s="72">
        <f>Q38*R38*1.33</f>
        <v>1311.49826626</v>
      </c>
    </row>
    <row r="39" spans="1:19" ht="15" customHeight="1" x14ac:dyDescent="0.3">
      <c r="A39" s="151"/>
      <c r="B39" s="155"/>
      <c r="C39" s="154"/>
      <c r="D39" s="109" t="s">
        <v>24</v>
      </c>
      <c r="E39" s="95" t="s">
        <v>25</v>
      </c>
      <c r="F39" s="66">
        <v>683</v>
      </c>
      <c r="G39" s="67">
        <v>479</v>
      </c>
      <c r="H39" s="68">
        <v>1</v>
      </c>
      <c r="I39" s="75">
        <f t="shared" si="24"/>
        <v>479</v>
      </c>
      <c r="J39" s="69">
        <v>3.3399999999999999E-2</v>
      </c>
      <c r="K39" s="70">
        <f t="shared" si="12"/>
        <v>15.9986</v>
      </c>
      <c r="L39" s="67">
        <f t="shared" si="25"/>
        <v>204</v>
      </c>
      <c r="M39" s="68">
        <v>1</v>
      </c>
      <c r="N39" s="67">
        <f t="shared" si="4"/>
        <v>204</v>
      </c>
      <c r="O39" s="69">
        <v>2.23E-2</v>
      </c>
      <c r="P39" s="70">
        <f t="shared" si="5"/>
        <v>4.5491999999999999</v>
      </c>
      <c r="Q39" s="70">
        <f t="shared" si="13"/>
        <v>20.547799999999999</v>
      </c>
      <c r="R39" s="71">
        <v>47.99</v>
      </c>
      <c r="S39" s="72">
        <f t="shared" si="6"/>
        <v>1311.49826626</v>
      </c>
    </row>
    <row r="40" spans="1:19" ht="15" customHeight="1" x14ac:dyDescent="0.3">
      <c r="A40" s="151"/>
      <c r="B40" s="155"/>
      <c r="C40" s="154"/>
      <c r="D40" s="109" t="s">
        <v>66</v>
      </c>
      <c r="E40" s="95" t="s">
        <v>67</v>
      </c>
      <c r="F40" s="66">
        <v>683</v>
      </c>
      <c r="G40" s="67">
        <v>479</v>
      </c>
      <c r="H40" s="68">
        <v>1</v>
      </c>
      <c r="I40" s="75">
        <f t="shared" si="24"/>
        <v>479</v>
      </c>
      <c r="J40" s="69">
        <v>0.5</v>
      </c>
      <c r="K40" s="70">
        <f t="shared" si="12"/>
        <v>239.5</v>
      </c>
      <c r="L40" s="67">
        <f t="shared" si="25"/>
        <v>204</v>
      </c>
      <c r="M40" s="68">
        <v>1</v>
      </c>
      <c r="N40" s="67">
        <f t="shared" si="4"/>
        <v>204</v>
      </c>
      <c r="O40" s="69">
        <v>6.6799999999999998E-2</v>
      </c>
      <c r="P40" s="70">
        <f t="shared" si="5"/>
        <v>13.6272</v>
      </c>
      <c r="Q40" s="70">
        <f t="shared" si="13"/>
        <v>253.12719999999999</v>
      </c>
      <c r="R40" s="71">
        <v>47.99</v>
      </c>
      <c r="S40" s="72">
        <f t="shared" si="6"/>
        <v>16156.273856240001</v>
      </c>
    </row>
    <row r="41" spans="1:19" ht="40.5" customHeight="1" x14ac:dyDescent="0.3">
      <c r="A41" s="151"/>
      <c r="B41" s="155"/>
      <c r="C41" s="66" t="s">
        <v>82</v>
      </c>
      <c r="D41" s="109" t="s">
        <v>83</v>
      </c>
      <c r="E41" s="95" t="s">
        <v>84</v>
      </c>
      <c r="F41" s="66">
        <v>683</v>
      </c>
      <c r="G41" s="67">
        <v>479</v>
      </c>
      <c r="H41" s="68">
        <v>1</v>
      </c>
      <c r="I41" s="75">
        <f t="shared" si="24"/>
        <v>479</v>
      </c>
      <c r="J41" s="69">
        <v>0.25</v>
      </c>
      <c r="K41" s="70">
        <f t="shared" si="12"/>
        <v>119.75</v>
      </c>
      <c r="L41" s="67">
        <f t="shared" si="25"/>
        <v>204</v>
      </c>
      <c r="M41" s="68">
        <v>1</v>
      </c>
      <c r="N41" s="67">
        <f t="shared" si="4"/>
        <v>204</v>
      </c>
      <c r="O41" s="69">
        <v>6.6799999999999998E-2</v>
      </c>
      <c r="P41" s="70">
        <f t="shared" si="5"/>
        <v>13.6272</v>
      </c>
      <c r="Q41" s="70">
        <f t="shared" si="13"/>
        <v>133.37719999999999</v>
      </c>
      <c r="R41" s="71">
        <v>47.99</v>
      </c>
      <c r="S41" s="72">
        <f t="shared" si="6"/>
        <v>8513.0265312400006</v>
      </c>
    </row>
    <row r="42" spans="1:19" ht="40.5" customHeight="1" x14ac:dyDescent="0.3">
      <c r="A42" s="151"/>
      <c r="B42" s="155"/>
      <c r="C42" s="154" t="s">
        <v>85</v>
      </c>
      <c r="D42" s="109" t="s">
        <v>86</v>
      </c>
      <c r="E42" s="95" t="s">
        <v>87</v>
      </c>
      <c r="F42" s="66">
        <v>479</v>
      </c>
      <c r="G42" s="67">
        <v>402</v>
      </c>
      <c r="H42" s="68">
        <v>1</v>
      </c>
      <c r="I42" s="75">
        <f t="shared" si="24"/>
        <v>402</v>
      </c>
      <c r="J42" s="69">
        <v>1.0501</v>
      </c>
      <c r="K42" s="70">
        <f t="shared" si="12"/>
        <v>422.14019999999999</v>
      </c>
      <c r="L42" s="67">
        <f t="shared" si="25"/>
        <v>77</v>
      </c>
      <c r="M42" s="68">
        <v>1</v>
      </c>
      <c r="N42" s="67">
        <f t="shared" si="4"/>
        <v>77</v>
      </c>
      <c r="O42" s="69">
        <v>2.23E-2</v>
      </c>
      <c r="P42" s="70">
        <f t="shared" si="5"/>
        <v>1.7171000000000001</v>
      </c>
      <c r="Q42" s="70">
        <f t="shared" si="13"/>
        <v>423.85730000000001</v>
      </c>
      <c r="R42" s="71">
        <v>47.99</v>
      </c>
      <c r="S42" s="72">
        <f t="shared" si="6"/>
        <v>27053.41272991</v>
      </c>
    </row>
    <row r="43" spans="1:19" ht="49.05" customHeight="1" x14ac:dyDescent="0.3">
      <c r="A43" s="151"/>
      <c r="B43" s="155"/>
      <c r="C43" s="154"/>
      <c r="D43" s="109" t="s">
        <v>88</v>
      </c>
      <c r="E43" s="95" t="s">
        <v>89</v>
      </c>
      <c r="F43" s="66">
        <v>479</v>
      </c>
      <c r="G43" s="67">
        <v>402</v>
      </c>
      <c r="H43" s="68">
        <v>1</v>
      </c>
      <c r="I43" s="78">
        <f t="shared" si="24"/>
        <v>402</v>
      </c>
      <c r="J43" s="69">
        <v>6</v>
      </c>
      <c r="K43" s="70">
        <f t="shared" si="12"/>
        <v>2412</v>
      </c>
      <c r="L43" s="67">
        <f t="shared" si="25"/>
        <v>77</v>
      </c>
      <c r="M43" s="68">
        <v>1</v>
      </c>
      <c r="N43" s="67">
        <f t="shared" si="4"/>
        <v>77</v>
      </c>
      <c r="O43" s="69">
        <v>2.23E-2</v>
      </c>
      <c r="P43" s="70">
        <f t="shared" si="5"/>
        <v>1.7171000000000001</v>
      </c>
      <c r="Q43" s="70">
        <f t="shared" si="13"/>
        <v>2413.7170999999998</v>
      </c>
      <c r="R43" s="71">
        <v>47.99</v>
      </c>
      <c r="S43" s="72">
        <f t="shared" si="6"/>
        <v>154059.59722657001</v>
      </c>
    </row>
    <row r="44" spans="1:19" ht="15" customHeight="1" x14ac:dyDescent="0.3">
      <c r="A44" s="151"/>
      <c r="B44" s="155"/>
      <c r="C44" s="154"/>
      <c r="D44" s="109" t="s">
        <v>90</v>
      </c>
      <c r="E44" s="95" t="s">
        <v>91</v>
      </c>
      <c r="F44" s="66">
        <v>479</v>
      </c>
      <c r="G44" s="67">
        <v>402</v>
      </c>
      <c r="H44" s="68">
        <v>1</v>
      </c>
      <c r="I44" s="78">
        <f t="shared" si="24"/>
        <v>402</v>
      </c>
      <c r="J44" s="69">
        <v>0.25</v>
      </c>
      <c r="K44" s="70">
        <f t="shared" si="12"/>
        <v>100.5</v>
      </c>
      <c r="L44" s="67">
        <f t="shared" si="25"/>
        <v>77</v>
      </c>
      <c r="M44" s="68">
        <v>1</v>
      </c>
      <c r="N44" s="67">
        <f t="shared" si="4"/>
        <v>77</v>
      </c>
      <c r="O44" s="69">
        <v>6.6799999999999998E-2</v>
      </c>
      <c r="P44" s="70">
        <f t="shared" si="5"/>
        <v>5.1436000000000002</v>
      </c>
      <c r="Q44" s="70">
        <f t="shared" si="13"/>
        <v>105.64360000000001</v>
      </c>
      <c r="R44" s="71">
        <v>47.99</v>
      </c>
      <c r="S44" s="72">
        <f t="shared" si="6"/>
        <v>6742.8823641200015</v>
      </c>
    </row>
    <row r="45" spans="1:19" ht="15" customHeight="1" x14ac:dyDescent="0.3">
      <c r="A45" s="151"/>
      <c r="B45" s="155"/>
      <c r="C45" s="154"/>
      <c r="D45" s="109" t="s">
        <v>92</v>
      </c>
      <c r="E45" s="95" t="s">
        <v>93</v>
      </c>
      <c r="F45" s="66">
        <v>479</v>
      </c>
      <c r="G45" s="67">
        <v>402</v>
      </c>
      <c r="H45" s="68">
        <v>2</v>
      </c>
      <c r="I45" s="75">
        <f t="shared" si="24"/>
        <v>804</v>
      </c>
      <c r="J45" s="69">
        <v>5.0099999999999999E-2</v>
      </c>
      <c r="K45" s="70">
        <f t="shared" si="12"/>
        <v>40.2804</v>
      </c>
      <c r="L45" s="67">
        <f t="shared" si="25"/>
        <v>77</v>
      </c>
      <c r="M45" s="68">
        <v>2</v>
      </c>
      <c r="N45" s="67">
        <f t="shared" si="4"/>
        <v>154</v>
      </c>
      <c r="O45" s="69">
        <v>2.23E-2</v>
      </c>
      <c r="P45" s="70">
        <f t="shared" si="5"/>
        <v>3.4342000000000001</v>
      </c>
      <c r="Q45" s="70">
        <f t="shared" si="13"/>
        <v>43.714599999999997</v>
      </c>
      <c r="R45" s="71">
        <v>47.99</v>
      </c>
      <c r="S45" s="72">
        <f t="shared" si="6"/>
        <v>2790.1586598199997</v>
      </c>
    </row>
    <row r="46" spans="1:19" ht="28.05" customHeight="1" x14ac:dyDescent="0.3">
      <c r="A46" s="151"/>
      <c r="B46" s="155"/>
      <c r="C46" s="154"/>
      <c r="D46" s="109" t="s">
        <v>94</v>
      </c>
      <c r="E46" s="95" t="s">
        <v>95</v>
      </c>
      <c r="F46" s="66">
        <v>479</v>
      </c>
      <c r="G46" s="67">
        <v>402</v>
      </c>
      <c r="H46" s="68">
        <v>1</v>
      </c>
      <c r="I46" s="75">
        <f t="shared" si="24"/>
        <v>402</v>
      </c>
      <c r="J46" s="69">
        <v>8.3500000000000005E-2</v>
      </c>
      <c r="K46" s="70">
        <f t="shared" si="12"/>
        <v>33.567</v>
      </c>
      <c r="L46" s="67">
        <f t="shared" si="25"/>
        <v>77</v>
      </c>
      <c r="M46" s="68">
        <v>1</v>
      </c>
      <c r="N46" s="67">
        <f t="shared" si="4"/>
        <v>77</v>
      </c>
      <c r="O46" s="69">
        <v>2.23E-2</v>
      </c>
      <c r="P46" s="70">
        <f t="shared" si="5"/>
        <v>1.7171000000000001</v>
      </c>
      <c r="Q46" s="70">
        <f t="shared" si="13"/>
        <v>35.284100000000002</v>
      </c>
      <c r="R46" s="71">
        <v>47.99</v>
      </c>
      <c r="S46" s="72">
        <f t="shared" si="6"/>
        <v>2252.0676654700001</v>
      </c>
    </row>
    <row r="47" spans="1:19" ht="28.5" customHeight="1" x14ac:dyDescent="0.3">
      <c r="A47" s="151"/>
      <c r="B47" s="155"/>
      <c r="C47" s="154"/>
      <c r="D47" s="109" t="s">
        <v>96</v>
      </c>
      <c r="E47" s="95" t="s">
        <v>97</v>
      </c>
      <c r="F47" s="66">
        <v>479</v>
      </c>
      <c r="G47" s="67">
        <v>402</v>
      </c>
      <c r="H47" s="68">
        <v>2</v>
      </c>
      <c r="I47" s="75">
        <f t="shared" si="24"/>
        <v>804</v>
      </c>
      <c r="J47" s="69">
        <v>8.3500000000000005E-2</v>
      </c>
      <c r="K47" s="70">
        <f t="shared" si="12"/>
        <v>67.134</v>
      </c>
      <c r="L47" s="67">
        <f t="shared" si="25"/>
        <v>77</v>
      </c>
      <c r="M47" s="68">
        <v>2</v>
      </c>
      <c r="N47" s="67">
        <f t="shared" si="4"/>
        <v>154</v>
      </c>
      <c r="O47" s="69">
        <v>2.23E-2</v>
      </c>
      <c r="P47" s="70">
        <f t="shared" si="5"/>
        <v>3.4342000000000001</v>
      </c>
      <c r="Q47" s="70">
        <f t="shared" si="13"/>
        <v>70.568200000000004</v>
      </c>
      <c r="R47" s="71">
        <v>47.99</v>
      </c>
      <c r="S47" s="72">
        <f t="shared" si="6"/>
        <v>4504.1353309400001</v>
      </c>
    </row>
    <row r="48" spans="1:19" x14ac:dyDescent="0.3">
      <c r="A48" s="151"/>
      <c r="B48" s="155"/>
      <c r="C48" s="154" t="s">
        <v>98</v>
      </c>
      <c r="D48" s="109" t="s">
        <v>99</v>
      </c>
      <c r="E48" s="95" t="s">
        <v>100</v>
      </c>
      <c r="F48" s="66">
        <v>402</v>
      </c>
      <c r="G48" s="67">
        <v>362</v>
      </c>
      <c r="H48" s="68">
        <v>1</v>
      </c>
      <c r="I48" s="75">
        <f t="shared" si="24"/>
        <v>362</v>
      </c>
      <c r="J48" s="69">
        <v>5.0099999999999999E-2</v>
      </c>
      <c r="K48" s="70">
        <f t="shared" si="12"/>
        <v>18.136199999999999</v>
      </c>
      <c r="L48" s="67">
        <f t="shared" si="25"/>
        <v>40</v>
      </c>
      <c r="M48" s="68">
        <v>1</v>
      </c>
      <c r="N48" s="67">
        <f t="shared" si="4"/>
        <v>40</v>
      </c>
      <c r="O48" s="69">
        <v>2.23E-2</v>
      </c>
      <c r="P48" s="70">
        <f t="shared" si="5"/>
        <v>0.89200000000000002</v>
      </c>
      <c r="Q48" s="70">
        <f t="shared" si="13"/>
        <v>19.028199999999998</v>
      </c>
      <c r="R48" s="71">
        <v>47.99</v>
      </c>
      <c r="S48" s="72">
        <f t="shared" si="6"/>
        <v>1214.50721294</v>
      </c>
    </row>
    <row r="49" spans="1:20" ht="15" customHeight="1" x14ac:dyDescent="0.3">
      <c r="A49" s="151"/>
      <c r="B49" s="155"/>
      <c r="C49" s="154"/>
      <c r="D49" s="109" t="s">
        <v>101</v>
      </c>
      <c r="E49" s="95" t="s">
        <v>102</v>
      </c>
      <c r="F49" s="66">
        <v>402</v>
      </c>
      <c r="G49" s="67">
        <v>362</v>
      </c>
      <c r="H49" s="68">
        <v>1</v>
      </c>
      <c r="I49" s="78">
        <f t="shared" si="24"/>
        <v>362</v>
      </c>
      <c r="J49" s="69">
        <v>0.25</v>
      </c>
      <c r="K49" s="70">
        <f t="shared" si="12"/>
        <v>90.5</v>
      </c>
      <c r="L49" s="67">
        <f t="shared" si="25"/>
        <v>40</v>
      </c>
      <c r="M49" s="68">
        <v>1</v>
      </c>
      <c r="N49" s="67">
        <f t="shared" si="4"/>
        <v>40</v>
      </c>
      <c r="O49" s="69">
        <v>2.23E-2</v>
      </c>
      <c r="P49" s="70">
        <f t="shared" si="5"/>
        <v>0.89200000000000002</v>
      </c>
      <c r="Q49" s="70">
        <f t="shared" si="13"/>
        <v>91.391999999999996</v>
      </c>
      <c r="R49" s="71">
        <v>47.99</v>
      </c>
      <c r="S49" s="72">
        <f t="shared" si="6"/>
        <v>5833.2497664000002</v>
      </c>
    </row>
    <row r="50" spans="1:20" ht="25.5" customHeight="1" x14ac:dyDescent="0.3">
      <c r="A50" s="151"/>
      <c r="B50" s="155"/>
      <c r="C50" s="154"/>
      <c r="D50" s="109" t="s">
        <v>96</v>
      </c>
      <c r="E50" s="95" t="s">
        <v>97</v>
      </c>
      <c r="F50" s="66">
        <v>239</v>
      </c>
      <c r="G50" s="67">
        <v>239</v>
      </c>
      <c r="H50" s="68">
        <v>1</v>
      </c>
      <c r="I50" s="75">
        <f t="shared" si="24"/>
        <v>239</v>
      </c>
      <c r="J50" s="69">
        <v>8.3500000000000005E-2</v>
      </c>
      <c r="K50" s="70">
        <f t="shared" si="12"/>
        <v>19.956500000000002</v>
      </c>
      <c r="L50" s="67">
        <f t="shared" si="25"/>
        <v>0</v>
      </c>
      <c r="M50" s="68">
        <v>0</v>
      </c>
      <c r="N50" s="67">
        <f t="shared" si="4"/>
        <v>0</v>
      </c>
      <c r="O50" s="69">
        <v>2.23E-2</v>
      </c>
      <c r="P50" s="70">
        <f t="shared" si="5"/>
        <v>0</v>
      </c>
      <c r="Q50" s="70">
        <f t="shared" si="13"/>
        <v>19.956500000000002</v>
      </c>
      <c r="R50" s="71">
        <v>47.99</v>
      </c>
      <c r="S50" s="72">
        <f t="shared" si="6"/>
        <v>1273.7575385500002</v>
      </c>
    </row>
    <row r="51" spans="1:20" x14ac:dyDescent="0.3">
      <c r="A51" s="151"/>
      <c r="B51" s="155" t="s">
        <v>103</v>
      </c>
      <c r="C51" s="154" t="s">
        <v>60</v>
      </c>
      <c r="D51" s="109" t="s">
        <v>62</v>
      </c>
      <c r="E51" s="96" t="s">
        <v>63</v>
      </c>
      <c r="F51" s="43">
        <v>818</v>
      </c>
      <c r="G51" s="67">
        <v>572</v>
      </c>
      <c r="H51" s="68">
        <v>2</v>
      </c>
      <c r="I51" s="75">
        <f t="shared" si="24"/>
        <v>1144</v>
      </c>
      <c r="J51" s="69">
        <v>3.3399999999999999E-2</v>
      </c>
      <c r="K51" s="70">
        <f t="shared" si="12"/>
        <v>38.209600000000002</v>
      </c>
      <c r="L51" s="67">
        <f t="shared" ref="L51:L67" si="48">F51-G51</f>
        <v>246</v>
      </c>
      <c r="M51" s="68">
        <v>2</v>
      </c>
      <c r="N51" s="67">
        <f t="shared" ref="N51:N154" si="49">L51*M51</f>
        <v>492</v>
      </c>
      <c r="O51" s="69">
        <v>2.23E-2</v>
      </c>
      <c r="P51" s="70">
        <f t="shared" si="5"/>
        <v>10.9716</v>
      </c>
      <c r="Q51" s="70">
        <f t="shared" si="13"/>
        <v>49.181200000000004</v>
      </c>
      <c r="R51" s="71">
        <v>47.99</v>
      </c>
      <c r="S51" s="72">
        <f t="shared" si="6"/>
        <v>3139.0736980400006</v>
      </c>
    </row>
    <row r="52" spans="1:20" ht="19.350000000000001" customHeight="1" x14ac:dyDescent="0.3">
      <c r="A52" s="151"/>
      <c r="B52" s="155"/>
      <c r="C52" s="154"/>
      <c r="D52" s="109" t="s">
        <v>64</v>
      </c>
      <c r="E52" s="95" t="s">
        <v>65</v>
      </c>
      <c r="F52" s="43">
        <v>818</v>
      </c>
      <c r="G52" s="67">
        <v>572</v>
      </c>
      <c r="H52" s="68">
        <v>1</v>
      </c>
      <c r="I52" s="75">
        <f t="shared" ref="I52:I53" si="50">G52*H52</f>
        <v>572</v>
      </c>
      <c r="J52" s="69">
        <v>3.3399999999999999E-2</v>
      </c>
      <c r="K52" s="70">
        <f t="shared" ref="K52:K53" si="51">I52*J52</f>
        <v>19.104800000000001</v>
      </c>
      <c r="L52" s="67">
        <f t="shared" si="48"/>
        <v>246</v>
      </c>
      <c r="M52" s="68">
        <v>1</v>
      </c>
      <c r="N52" s="67">
        <f t="shared" ref="N52:N53" si="52">L52*M52</f>
        <v>246</v>
      </c>
      <c r="O52" s="69">
        <v>2.23E-2</v>
      </c>
      <c r="P52" s="70">
        <f t="shared" ref="P52:P53" si="53">N52*O52</f>
        <v>5.4858000000000002</v>
      </c>
      <c r="Q52" s="74">
        <f t="shared" ref="Q52" si="54">K52+P52</f>
        <v>24.590600000000002</v>
      </c>
      <c r="R52" s="71">
        <v>47.99</v>
      </c>
      <c r="S52" s="72">
        <f t="shared" si="6"/>
        <v>1569.5368490200003</v>
      </c>
    </row>
    <row r="53" spans="1:20" ht="19.350000000000001" customHeight="1" x14ac:dyDescent="0.3">
      <c r="A53" s="151"/>
      <c r="B53" s="155"/>
      <c r="C53" s="154"/>
      <c r="D53" s="109" t="s">
        <v>24</v>
      </c>
      <c r="E53" s="95" t="s">
        <v>25</v>
      </c>
      <c r="F53" s="43">
        <v>818</v>
      </c>
      <c r="G53" s="67">
        <v>572</v>
      </c>
      <c r="H53" s="68">
        <v>1</v>
      </c>
      <c r="I53" s="75">
        <f t="shared" si="50"/>
        <v>572</v>
      </c>
      <c r="J53" s="69">
        <v>3.3399999999999999E-2</v>
      </c>
      <c r="K53" s="70">
        <f t="shared" si="51"/>
        <v>19.104800000000001</v>
      </c>
      <c r="L53" s="67">
        <f t="shared" si="48"/>
        <v>246</v>
      </c>
      <c r="M53" s="68">
        <v>1</v>
      </c>
      <c r="N53" s="67">
        <f t="shared" si="52"/>
        <v>246</v>
      </c>
      <c r="O53" s="69">
        <v>2.23E-2</v>
      </c>
      <c r="P53" s="70">
        <f t="shared" si="53"/>
        <v>5.4858000000000002</v>
      </c>
      <c r="Q53" s="74">
        <f t="shared" ref="Q53" si="55">K53+P53</f>
        <v>24.590600000000002</v>
      </c>
      <c r="R53" s="71">
        <v>47.99</v>
      </c>
      <c r="S53" s="72">
        <f t="shared" si="6"/>
        <v>1569.5368490200003</v>
      </c>
    </row>
    <row r="54" spans="1:20" ht="39" customHeight="1" x14ac:dyDescent="0.3">
      <c r="A54" s="151"/>
      <c r="B54" s="155"/>
      <c r="C54" s="154"/>
      <c r="D54" s="109" t="s">
        <v>66</v>
      </c>
      <c r="E54" s="95" t="s">
        <v>67</v>
      </c>
      <c r="F54" s="43">
        <v>818</v>
      </c>
      <c r="G54" s="67">
        <v>572</v>
      </c>
      <c r="H54" s="68">
        <v>1</v>
      </c>
      <c r="I54" s="75">
        <f>G54*H54</f>
        <v>572</v>
      </c>
      <c r="J54" s="69">
        <v>0.5</v>
      </c>
      <c r="K54" s="70">
        <f>I54*J54</f>
        <v>286</v>
      </c>
      <c r="L54" s="67">
        <f t="shared" si="48"/>
        <v>246</v>
      </c>
      <c r="M54" s="68">
        <v>1</v>
      </c>
      <c r="N54" s="67">
        <f>L54*M54</f>
        <v>246</v>
      </c>
      <c r="O54" s="69">
        <v>6.6799999999999998E-2</v>
      </c>
      <c r="P54" s="70">
        <f>N54*O54</f>
        <v>16.4328</v>
      </c>
      <c r="Q54" s="70">
        <f>K54+P54</f>
        <v>302.43279999999999</v>
      </c>
      <c r="R54" s="71">
        <v>47.99</v>
      </c>
      <c r="S54" s="72">
        <f t="shared" si="6"/>
        <v>19303.287595760001</v>
      </c>
    </row>
    <row r="55" spans="1:20" s="6" customFormat="1" ht="36.6" customHeight="1" x14ac:dyDescent="0.3">
      <c r="A55" s="151"/>
      <c r="B55" s="155"/>
      <c r="C55" s="154" t="s">
        <v>104</v>
      </c>
      <c r="D55" s="109" t="s">
        <v>105</v>
      </c>
      <c r="E55" s="95" t="s">
        <v>106</v>
      </c>
      <c r="F55" s="43">
        <v>572</v>
      </c>
      <c r="G55" s="67">
        <v>572</v>
      </c>
      <c r="H55" s="68">
        <v>1</v>
      </c>
      <c r="I55" s="75">
        <f>G55*H55</f>
        <v>572</v>
      </c>
      <c r="J55" s="69">
        <v>0.33400000000000002</v>
      </c>
      <c r="K55" s="70">
        <f>I55*J55</f>
        <v>191.048</v>
      </c>
      <c r="L55" s="67">
        <f t="shared" si="48"/>
        <v>0</v>
      </c>
      <c r="M55" s="68">
        <v>0</v>
      </c>
      <c r="N55" s="67">
        <f>L55*M55</f>
        <v>0</v>
      </c>
      <c r="O55" s="69">
        <v>6.6799999999999998E-2</v>
      </c>
      <c r="P55" s="70">
        <f>N55*O55</f>
        <v>0</v>
      </c>
      <c r="Q55" s="70">
        <f>K55+P55</f>
        <v>191.048</v>
      </c>
      <c r="R55" s="71">
        <v>47.99</v>
      </c>
      <c r="S55" s="72">
        <f t="shared" si="6"/>
        <v>12193.963381600001</v>
      </c>
      <c r="T55" s="65"/>
    </row>
    <row r="56" spans="1:20" ht="36.6" customHeight="1" x14ac:dyDescent="0.3">
      <c r="A56" s="151"/>
      <c r="B56" s="155"/>
      <c r="C56" s="154"/>
      <c r="D56" s="110" t="s">
        <v>107</v>
      </c>
      <c r="E56" s="95" t="s">
        <v>108</v>
      </c>
      <c r="F56" s="43">
        <v>572</v>
      </c>
      <c r="G56" s="67">
        <v>572</v>
      </c>
      <c r="H56" s="68">
        <v>1</v>
      </c>
      <c r="I56" s="75">
        <f>G56*H56</f>
        <v>572</v>
      </c>
      <c r="J56" s="69">
        <v>0.16700000000000001</v>
      </c>
      <c r="K56" s="70">
        <f>I56*J56</f>
        <v>95.524000000000001</v>
      </c>
      <c r="L56" s="67">
        <f t="shared" si="48"/>
        <v>0</v>
      </c>
      <c r="M56" s="68">
        <v>0</v>
      </c>
      <c r="N56" s="67">
        <f>L56*M56</f>
        <v>0</v>
      </c>
      <c r="O56" s="69">
        <v>2.23E-2</v>
      </c>
      <c r="P56" s="70">
        <f>N56*O56</f>
        <v>0</v>
      </c>
      <c r="Q56" s="70">
        <f>K56+P56</f>
        <v>95.524000000000001</v>
      </c>
      <c r="R56" s="71">
        <v>47.99</v>
      </c>
      <c r="S56" s="72">
        <f t="shared" si="6"/>
        <v>6096.9816908000003</v>
      </c>
    </row>
    <row r="57" spans="1:20" ht="28.8" customHeight="1" x14ac:dyDescent="0.3">
      <c r="A57" s="151"/>
      <c r="B57" s="155"/>
      <c r="C57" s="154"/>
      <c r="D57" s="109" t="s">
        <v>44</v>
      </c>
      <c r="E57" s="95" t="s">
        <v>110</v>
      </c>
      <c r="F57" s="43">
        <v>572</v>
      </c>
      <c r="G57" s="67">
        <v>572</v>
      </c>
      <c r="H57" s="68">
        <v>1</v>
      </c>
      <c r="I57" s="75">
        <f>G57*H57</f>
        <v>572</v>
      </c>
      <c r="J57" s="69">
        <v>5.0099999999999999E-2</v>
      </c>
      <c r="K57" s="70">
        <f>I57*J57</f>
        <v>28.6572</v>
      </c>
      <c r="L57" s="67">
        <f t="shared" si="48"/>
        <v>0</v>
      </c>
      <c r="M57" s="68">
        <v>0</v>
      </c>
      <c r="N57" s="67">
        <f>L57*M57</f>
        <v>0</v>
      </c>
      <c r="O57" s="69">
        <v>2.23E-2</v>
      </c>
      <c r="P57" s="70">
        <f>N57*O57</f>
        <v>0</v>
      </c>
      <c r="Q57" s="70">
        <f>K57+P57</f>
        <v>28.6572</v>
      </c>
      <c r="R57" s="71">
        <v>47.99</v>
      </c>
      <c r="S57" s="72">
        <f t="shared" si="6"/>
        <v>1829.09450724</v>
      </c>
    </row>
    <row r="58" spans="1:20" ht="41.4" x14ac:dyDescent="0.3">
      <c r="A58" s="151"/>
      <c r="B58" s="50" t="s">
        <v>111</v>
      </c>
      <c r="C58" s="66" t="s">
        <v>112</v>
      </c>
      <c r="D58" s="109" t="s">
        <v>113</v>
      </c>
      <c r="E58" s="141" t="s">
        <v>114</v>
      </c>
      <c r="F58" s="43">
        <v>260</v>
      </c>
      <c r="G58" s="67">
        <v>85.8</v>
      </c>
      <c r="H58" s="68">
        <v>1</v>
      </c>
      <c r="I58" s="75">
        <f>G58*H58</f>
        <v>85.8</v>
      </c>
      <c r="J58" s="69">
        <v>1</v>
      </c>
      <c r="K58" s="70">
        <f>I58*J58</f>
        <v>85.8</v>
      </c>
      <c r="L58" s="67">
        <f t="shared" si="48"/>
        <v>174.2</v>
      </c>
      <c r="M58" s="68">
        <v>1</v>
      </c>
      <c r="N58" s="67">
        <f>L58*M58</f>
        <v>174.2</v>
      </c>
      <c r="O58" s="69">
        <v>6.6799999999999998E-2</v>
      </c>
      <c r="P58" s="70">
        <f>N58*O58</f>
        <v>11.636559999999999</v>
      </c>
      <c r="Q58" s="70">
        <f>K58+P58</f>
        <v>97.43656</v>
      </c>
      <c r="R58" s="71">
        <v>47.99</v>
      </c>
      <c r="S58" s="72">
        <f t="shared" si="6"/>
        <v>6219.0540841520005</v>
      </c>
    </row>
    <row r="59" spans="1:20" ht="36.6" customHeight="1" x14ac:dyDescent="0.3">
      <c r="A59" s="151"/>
      <c r="B59" s="155" t="s">
        <v>115</v>
      </c>
      <c r="C59" s="66" t="s">
        <v>116</v>
      </c>
      <c r="D59" s="109" t="s">
        <v>117</v>
      </c>
      <c r="E59" s="95" t="s">
        <v>118</v>
      </c>
      <c r="F59" s="43">
        <v>312</v>
      </c>
      <c r="G59" s="67">
        <v>312</v>
      </c>
      <c r="H59" s="68">
        <v>1</v>
      </c>
      <c r="I59" s="75">
        <f t="shared" ref="I59" si="56">G59*H59</f>
        <v>312</v>
      </c>
      <c r="J59" s="69">
        <v>8.3500000000000005E-2</v>
      </c>
      <c r="K59" s="70">
        <f t="shared" ref="K59" si="57">I59*J59</f>
        <v>26.052000000000003</v>
      </c>
      <c r="L59" s="67">
        <f>F59-G59</f>
        <v>0</v>
      </c>
      <c r="M59" s="68">
        <v>0</v>
      </c>
      <c r="N59" s="67">
        <f t="shared" ref="N59" si="58">L59*M59</f>
        <v>0</v>
      </c>
      <c r="O59" s="69">
        <v>2.23E-2</v>
      </c>
      <c r="P59" s="70">
        <f t="shared" ref="P59" si="59">N59*O59</f>
        <v>0</v>
      </c>
      <c r="Q59" s="74">
        <f t="shared" ref="Q59" si="60">K59+P59</f>
        <v>26.052000000000003</v>
      </c>
      <c r="R59" s="71">
        <v>47.99</v>
      </c>
      <c r="S59" s="72">
        <f t="shared" si="6"/>
        <v>1662.8131884000004</v>
      </c>
    </row>
    <row r="60" spans="1:20" ht="36.75" customHeight="1" x14ac:dyDescent="0.3">
      <c r="A60" s="151"/>
      <c r="B60" s="155"/>
      <c r="C60" s="154" t="s">
        <v>119</v>
      </c>
      <c r="D60" s="109" t="s">
        <v>121</v>
      </c>
      <c r="E60" s="141" t="s">
        <v>122</v>
      </c>
      <c r="F60" s="43">
        <v>312</v>
      </c>
      <c r="G60" s="67">
        <v>294</v>
      </c>
      <c r="H60" s="68">
        <v>1</v>
      </c>
      <c r="I60" s="78">
        <f>G60*H60</f>
        <v>294</v>
      </c>
      <c r="J60" s="69">
        <v>3.0834999999999999</v>
      </c>
      <c r="K60" s="70">
        <f>I60*J60</f>
        <v>906.54899999999998</v>
      </c>
      <c r="L60" s="67">
        <f t="shared" si="48"/>
        <v>18</v>
      </c>
      <c r="M60" s="68">
        <v>1</v>
      </c>
      <c r="N60" s="67">
        <f>L60*M60</f>
        <v>18</v>
      </c>
      <c r="O60" s="69">
        <v>6.6799999999999998E-2</v>
      </c>
      <c r="P60" s="70">
        <f>N60*O60</f>
        <v>1.2023999999999999</v>
      </c>
      <c r="Q60" s="70">
        <f>K60+P60</f>
        <v>907.75139999999999</v>
      </c>
      <c r="R60" s="71">
        <v>47.99</v>
      </c>
      <c r="S60" s="72">
        <f t="shared" si="6"/>
        <v>57938.776282380008</v>
      </c>
    </row>
    <row r="61" spans="1:20" ht="33" customHeight="1" x14ac:dyDescent="0.3">
      <c r="A61" s="151"/>
      <c r="B61" s="155"/>
      <c r="C61" s="154"/>
      <c r="D61" s="109" t="s">
        <v>123</v>
      </c>
      <c r="E61" s="95" t="s">
        <v>124</v>
      </c>
      <c r="F61" s="43">
        <v>312</v>
      </c>
      <c r="G61" s="67">
        <v>294</v>
      </c>
      <c r="H61" s="68">
        <v>1</v>
      </c>
      <c r="I61" s="75">
        <f t="shared" ref="I61" si="61">G61*H61</f>
        <v>294</v>
      </c>
      <c r="J61" s="69">
        <v>0.16700000000000001</v>
      </c>
      <c r="K61" s="70">
        <f t="shared" ref="K61" si="62">I61*J61</f>
        <v>49.098000000000006</v>
      </c>
      <c r="L61" s="67">
        <f t="shared" si="48"/>
        <v>18</v>
      </c>
      <c r="M61" s="68">
        <v>1</v>
      </c>
      <c r="N61" s="67">
        <f t="shared" ref="N61" si="63">L61*M61</f>
        <v>18</v>
      </c>
      <c r="O61" s="69">
        <v>6.6799999999999998E-2</v>
      </c>
      <c r="P61" s="70">
        <f t="shared" ref="P61" si="64">N61*O61</f>
        <v>1.2023999999999999</v>
      </c>
      <c r="Q61" s="70">
        <f t="shared" ref="Q61" si="65">K61+P61</f>
        <v>50.300400000000003</v>
      </c>
      <c r="R61" s="71">
        <v>47.99</v>
      </c>
      <c r="S61" s="72">
        <f t="shared" si="6"/>
        <v>3210.5085406800004</v>
      </c>
    </row>
    <row r="62" spans="1:20" x14ac:dyDescent="0.3">
      <c r="A62" s="151"/>
      <c r="B62" s="155"/>
      <c r="C62" s="154" t="s">
        <v>125</v>
      </c>
      <c r="D62" s="109" t="s">
        <v>126</v>
      </c>
      <c r="E62" s="95" t="s">
        <v>127</v>
      </c>
      <c r="F62" s="43">
        <v>294</v>
      </c>
      <c r="G62" s="67">
        <v>294</v>
      </c>
      <c r="H62" s="68">
        <v>1</v>
      </c>
      <c r="I62" s="75">
        <f>G62*H62</f>
        <v>294</v>
      </c>
      <c r="J62" s="69">
        <v>5.0099999999999999E-2</v>
      </c>
      <c r="K62" s="70">
        <f>I62*J62</f>
        <v>14.7294</v>
      </c>
      <c r="L62" s="67">
        <f t="shared" si="48"/>
        <v>0</v>
      </c>
      <c r="M62" s="68">
        <v>0</v>
      </c>
      <c r="N62" s="67">
        <f>L62*M62</f>
        <v>0</v>
      </c>
      <c r="O62" s="69">
        <v>2.23E-2</v>
      </c>
      <c r="P62" s="70">
        <f>N62*O62</f>
        <v>0</v>
      </c>
      <c r="Q62" s="70">
        <f>K62+P62</f>
        <v>14.7294</v>
      </c>
      <c r="R62" s="71">
        <v>47.99</v>
      </c>
      <c r="S62" s="72">
        <f t="shared" si="6"/>
        <v>940.12899498000013</v>
      </c>
    </row>
    <row r="63" spans="1:20" ht="18" customHeight="1" x14ac:dyDescent="0.3">
      <c r="A63" s="151"/>
      <c r="B63" s="155"/>
      <c r="C63" s="154"/>
      <c r="D63" s="109" t="s">
        <v>128</v>
      </c>
      <c r="E63" s="140" t="s">
        <v>129</v>
      </c>
      <c r="F63" s="43">
        <v>294</v>
      </c>
      <c r="G63" s="67">
        <v>265</v>
      </c>
      <c r="H63" s="68">
        <v>1</v>
      </c>
      <c r="I63" s="78">
        <f>G63*H63</f>
        <v>265</v>
      </c>
      <c r="J63" s="69">
        <v>0.5</v>
      </c>
      <c r="K63" s="70">
        <f>I63*J63</f>
        <v>132.5</v>
      </c>
      <c r="L63" s="67">
        <f>F63-G63</f>
        <v>29</v>
      </c>
      <c r="M63" s="68">
        <v>1</v>
      </c>
      <c r="N63" s="67">
        <f>L63*M63</f>
        <v>29</v>
      </c>
      <c r="O63" s="69">
        <v>2.23E-2</v>
      </c>
      <c r="P63" s="70">
        <f>N63*O63</f>
        <v>0.64670000000000005</v>
      </c>
      <c r="Q63" s="70">
        <f>K63+P63</f>
        <v>133.14670000000001</v>
      </c>
      <c r="R63" s="71">
        <v>47.99</v>
      </c>
      <c r="S63" s="72">
        <f t="shared" si="6"/>
        <v>8498.314476890002</v>
      </c>
    </row>
    <row r="64" spans="1:20" ht="27.6" x14ac:dyDescent="0.3">
      <c r="A64" s="151"/>
      <c r="B64" s="155"/>
      <c r="C64" s="66" t="s">
        <v>130</v>
      </c>
      <c r="D64" s="109" t="s">
        <v>131</v>
      </c>
      <c r="E64" s="95" t="s">
        <v>132</v>
      </c>
      <c r="F64" s="43">
        <v>294</v>
      </c>
      <c r="G64" s="67">
        <v>261</v>
      </c>
      <c r="H64" s="68">
        <v>1</v>
      </c>
      <c r="I64" s="75">
        <f>G64*H64</f>
        <v>261</v>
      </c>
      <c r="J64" s="69">
        <v>2</v>
      </c>
      <c r="K64" s="70">
        <f>I64*J64</f>
        <v>522</v>
      </c>
      <c r="L64" s="67">
        <f>F64-G64</f>
        <v>33</v>
      </c>
      <c r="M64" s="68">
        <v>1</v>
      </c>
      <c r="N64" s="67">
        <f>L64*M64</f>
        <v>33</v>
      </c>
      <c r="O64" s="69">
        <v>2.23E-2</v>
      </c>
      <c r="P64" s="70">
        <f>N64*O64</f>
        <v>0.7359</v>
      </c>
      <c r="Q64" s="70">
        <f>K64+P64</f>
        <v>522.73590000000002</v>
      </c>
      <c r="R64" s="71">
        <v>47.99</v>
      </c>
      <c r="S64" s="72">
        <f t="shared" si="6"/>
        <v>33364.507468530006</v>
      </c>
    </row>
    <row r="65" spans="1:19" ht="26.1" customHeight="1" x14ac:dyDescent="0.3">
      <c r="A65" s="151"/>
      <c r="B65" s="155" t="s">
        <v>133</v>
      </c>
      <c r="C65" s="154" t="s">
        <v>134</v>
      </c>
      <c r="D65" s="109" t="s">
        <v>135</v>
      </c>
      <c r="E65" s="96" t="s">
        <v>530</v>
      </c>
      <c r="F65" s="43">
        <v>63</v>
      </c>
      <c r="G65" s="67">
        <v>63</v>
      </c>
      <c r="H65" s="68">
        <v>2</v>
      </c>
      <c r="I65" s="75">
        <f>G65*H65</f>
        <v>126</v>
      </c>
      <c r="J65" s="69">
        <v>5.0099999999999999E-2</v>
      </c>
      <c r="K65" s="70">
        <f>I65*J65</f>
        <v>6.3125999999999998</v>
      </c>
      <c r="L65" s="67">
        <f>F65-G65</f>
        <v>0</v>
      </c>
      <c r="M65" s="68">
        <v>0</v>
      </c>
      <c r="N65" s="67">
        <f>L65*M65</f>
        <v>0</v>
      </c>
      <c r="O65" s="69">
        <v>2.23E-2</v>
      </c>
      <c r="P65" s="70">
        <f>N65*O65</f>
        <v>0</v>
      </c>
      <c r="Q65" s="70">
        <f>K65+P65</f>
        <v>6.3125999999999998</v>
      </c>
      <c r="R65" s="71">
        <v>47.99</v>
      </c>
      <c r="S65" s="72">
        <f t="shared" ref="S65:S132" si="66">Q65*R65*1.33</f>
        <v>402.91242641999997</v>
      </c>
    </row>
    <row r="66" spans="1:19" ht="26.1" customHeight="1" x14ac:dyDescent="0.3">
      <c r="A66" s="151"/>
      <c r="B66" s="155"/>
      <c r="C66" s="154"/>
      <c r="D66" s="109" t="s">
        <v>136</v>
      </c>
      <c r="E66" s="95" t="s">
        <v>501</v>
      </c>
      <c r="F66" s="43">
        <v>63</v>
      </c>
      <c r="G66" s="67">
        <v>48</v>
      </c>
      <c r="H66" s="68">
        <v>1</v>
      </c>
      <c r="I66" s="75">
        <f>G66*H66</f>
        <v>48</v>
      </c>
      <c r="J66" s="69">
        <v>1.67E-2</v>
      </c>
      <c r="K66" s="70">
        <f>I66*J66</f>
        <v>0.80159999999999998</v>
      </c>
      <c r="L66" s="67">
        <f t="shared" si="48"/>
        <v>15</v>
      </c>
      <c r="M66" s="68">
        <v>1</v>
      </c>
      <c r="N66" s="67">
        <f>L66*M66</f>
        <v>15</v>
      </c>
      <c r="O66" s="69">
        <v>2.23E-2</v>
      </c>
      <c r="P66" s="70">
        <f>N66*O66</f>
        <v>0.33450000000000002</v>
      </c>
      <c r="Q66" s="70">
        <f>K66+P66</f>
        <v>1.1360999999999999</v>
      </c>
      <c r="R66" s="71">
        <v>47.99</v>
      </c>
      <c r="S66" s="72">
        <f t="shared" si="66"/>
        <v>72.513513869999997</v>
      </c>
    </row>
    <row r="67" spans="1:19" ht="27.6" x14ac:dyDescent="0.3">
      <c r="A67" s="151"/>
      <c r="B67" s="155"/>
      <c r="C67" s="66" t="s">
        <v>137</v>
      </c>
      <c r="D67" s="109" t="s">
        <v>138</v>
      </c>
      <c r="E67" s="95" t="s">
        <v>502</v>
      </c>
      <c r="F67" s="43">
        <v>940</v>
      </c>
      <c r="G67" s="67">
        <v>940</v>
      </c>
      <c r="H67" s="68">
        <v>1</v>
      </c>
      <c r="I67" s="75">
        <f t="shared" ref="I67" si="67">G67*H67</f>
        <v>940</v>
      </c>
      <c r="J67" s="69">
        <v>1.67E-2</v>
      </c>
      <c r="K67" s="70">
        <f t="shared" ref="K67" si="68">I67*J67</f>
        <v>15.698</v>
      </c>
      <c r="L67" s="67">
        <f t="shared" si="48"/>
        <v>0</v>
      </c>
      <c r="M67" s="68">
        <v>0</v>
      </c>
      <c r="N67" s="67">
        <f t="shared" ref="N67" si="69">L67*M67</f>
        <v>0</v>
      </c>
      <c r="O67" s="69">
        <v>2.23E-2</v>
      </c>
      <c r="P67" s="70">
        <f t="shared" ref="P67" si="70">N67*O67</f>
        <v>0</v>
      </c>
      <c r="Q67" s="70">
        <f t="shared" ref="Q67" si="71">K67+P67</f>
        <v>15.698</v>
      </c>
      <c r="R67" s="71">
        <v>47.99</v>
      </c>
      <c r="S67" s="72">
        <f t="shared" si="66"/>
        <v>1001.9515366000002</v>
      </c>
    </row>
    <row r="68" spans="1:19" s="29" customFormat="1" ht="27.6" x14ac:dyDescent="0.3">
      <c r="A68" s="151"/>
      <c r="B68" s="155"/>
      <c r="C68" s="66" t="s">
        <v>139</v>
      </c>
      <c r="D68" s="109" t="s">
        <v>140</v>
      </c>
      <c r="E68" s="95" t="s">
        <v>503</v>
      </c>
      <c r="F68" s="43">
        <v>116</v>
      </c>
      <c r="G68" s="49">
        <v>88</v>
      </c>
      <c r="H68" s="68">
        <v>1</v>
      </c>
      <c r="I68" s="78">
        <f t="shared" ref="I68:I71" si="72">G68*H68</f>
        <v>88</v>
      </c>
      <c r="J68" s="69">
        <v>1.5</v>
      </c>
      <c r="K68" s="70">
        <f t="shared" ref="K68:K71" si="73">I68*J68</f>
        <v>132</v>
      </c>
      <c r="L68" s="67">
        <f>F68-G68</f>
        <v>28</v>
      </c>
      <c r="M68" s="68">
        <v>1</v>
      </c>
      <c r="N68" s="67">
        <f t="shared" ref="N68:N71" si="74">L68*M68</f>
        <v>28</v>
      </c>
      <c r="O68" s="69">
        <v>2.23E-2</v>
      </c>
      <c r="P68" s="70">
        <f t="shared" ref="P68:P71" si="75">N68*O68</f>
        <v>0.62440000000000007</v>
      </c>
      <c r="Q68" s="70">
        <f t="shared" ref="Q68:Q71" si="76">K68+P68</f>
        <v>132.62440000000001</v>
      </c>
      <c r="R68" s="71">
        <v>47.99</v>
      </c>
      <c r="S68" s="72">
        <f t="shared" si="66"/>
        <v>8464.9777914800015</v>
      </c>
    </row>
    <row r="69" spans="1:19" s="29" customFormat="1" ht="27.6" x14ac:dyDescent="0.3">
      <c r="A69" s="151"/>
      <c r="B69" s="155"/>
      <c r="C69" s="66" t="s">
        <v>141</v>
      </c>
      <c r="D69" s="109" t="s">
        <v>140</v>
      </c>
      <c r="E69" s="95" t="s">
        <v>504</v>
      </c>
      <c r="F69" s="43">
        <v>363</v>
      </c>
      <c r="G69" s="49">
        <v>276</v>
      </c>
      <c r="H69" s="68">
        <v>1</v>
      </c>
      <c r="I69" s="78">
        <f t="shared" si="72"/>
        <v>276</v>
      </c>
      <c r="J69" s="69">
        <v>1.25</v>
      </c>
      <c r="K69" s="70">
        <f t="shared" si="73"/>
        <v>345</v>
      </c>
      <c r="L69" s="67">
        <f>F69-G69</f>
        <v>87</v>
      </c>
      <c r="M69" s="68">
        <v>1</v>
      </c>
      <c r="N69" s="67">
        <f t="shared" si="74"/>
        <v>87</v>
      </c>
      <c r="O69" s="69">
        <v>2.23E-2</v>
      </c>
      <c r="P69" s="70">
        <f t="shared" si="75"/>
        <v>1.9400999999999999</v>
      </c>
      <c r="Q69" s="70">
        <f t="shared" si="76"/>
        <v>346.94009999999997</v>
      </c>
      <c r="R69" s="71">
        <v>47.99</v>
      </c>
      <c r="S69" s="72">
        <f t="shared" si="66"/>
        <v>22144.041680670001</v>
      </c>
    </row>
    <row r="70" spans="1:19" s="29" customFormat="1" ht="27.6" x14ac:dyDescent="0.3">
      <c r="A70" s="151"/>
      <c r="B70" s="155"/>
      <c r="C70" s="66" t="s">
        <v>142</v>
      </c>
      <c r="D70" s="109" t="s">
        <v>140</v>
      </c>
      <c r="E70" s="95" t="s">
        <v>505</v>
      </c>
      <c r="F70" s="43">
        <v>524</v>
      </c>
      <c r="G70" s="49">
        <v>446</v>
      </c>
      <c r="H70" s="68">
        <v>1</v>
      </c>
      <c r="I70" s="78">
        <f t="shared" si="72"/>
        <v>446</v>
      </c>
      <c r="J70" s="69">
        <v>0.75</v>
      </c>
      <c r="K70" s="70">
        <f t="shared" si="73"/>
        <v>334.5</v>
      </c>
      <c r="L70" s="67">
        <f t="shared" ref="L70" si="77">F70-G70</f>
        <v>78</v>
      </c>
      <c r="M70" s="68">
        <v>1</v>
      </c>
      <c r="N70" s="67">
        <f t="shared" si="74"/>
        <v>78</v>
      </c>
      <c r="O70" s="69">
        <v>2.23E-2</v>
      </c>
      <c r="P70" s="70">
        <f t="shared" si="75"/>
        <v>1.7394000000000001</v>
      </c>
      <c r="Q70" s="70">
        <f t="shared" si="76"/>
        <v>336.23939999999999</v>
      </c>
      <c r="R70" s="71">
        <v>47.99</v>
      </c>
      <c r="S70" s="72">
        <f t="shared" si="66"/>
        <v>21461.051311980002</v>
      </c>
    </row>
    <row r="71" spans="1:19" ht="27.6" customHeight="1" x14ac:dyDescent="0.3">
      <c r="A71" s="151"/>
      <c r="B71" s="155"/>
      <c r="C71" s="154" t="s">
        <v>143</v>
      </c>
      <c r="D71" s="109" t="s">
        <v>144</v>
      </c>
      <c r="E71" s="95" t="s">
        <v>506</v>
      </c>
      <c r="F71" s="43">
        <v>1003</v>
      </c>
      <c r="G71" s="67">
        <v>810</v>
      </c>
      <c r="H71" s="68">
        <v>2</v>
      </c>
      <c r="I71" s="75">
        <f t="shared" si="72"/>
        <v>1620</v>
      </c>
      <c r="J71" s="69">
        <v>6.6799999999999998E-2</v>
      </c>
      <c r="K71" s="70">
        <f t="shared" si="73"/>
        <v>108.21599999999999</v>
      </c>
      <c r="L71" s="67">
        <f>F71-G71</f>
        <v>193</v>
      </c>
      <c r="M71" s="68">
        <v>2</v>
      </c>
      <c r="N71" s="67">
        <f t="shared" si="74"/>
        <v>386</v>
      </c>
      <c r="O71" s="69">
        <v>2.23E-2</v>
      </c>
      <c r="P71" s="70">
        <f t="shared" si="75"/>
        <v>8.607800000000001</v>
      </c>
      <c r="Q71" s="70">
        <f t="shared" si="76"/>
        <v>116.82379999999999</v>
      </c>
      <c r="R71" s="71">
        <v>47.99</v>
      </c>
      <c r="S71" s="72">
        <f t="shared" si="66"/>
        <v>7456.4776354600008</v>
      </c>
    </row>
    <row r="72" spans="1:19" ht="27.6" customHeight="1" x14ac:dyDescent="0.3">
      <c r="A72" s="151"/>
      <c r="B72" s="155"/>
      <c r="C72" s="154"/>
      <c r="D72" s="109" t="s">
        <v>145</v>
      </c>
      <c r="E72" s="95" t="s">
        <v>146</v>
      </c>
      <c r="F72" s="43">
        <v>501</v>
      </c>
      <c r="G72" s="67">
        <v>501</v>
      </c>
      <c r="H72" s="68">
        <v>1</v>
      </c>
      <c r="I72" s="75">
        <f t="shared" ref="I72" si="78">G72*H72</f>
        <v>501</v>
      </c>
      <c r="J72" s="69">
        <v>8.3500000000000005E-2</v>
      </c>
      <c r="K72" s="70">
        <f t="shared" ref="K72" si="79">I72*J72</f>
        <v>41.833500000000001</v>
      </c>
      <c r="L72" s="67">
        <f t="shared" ref="L72:L81" si="80">F72-G72</f>
        <v>0</v>
      </c>
      <c r="M72" s="68">
        <v>0</v>
      </c>
      <c r="N72" s="67">
        <f t="shared" ref="N72" si="81">L72*M72</f>
        <v>0</v>
      </c>
      <c r="O72" s="69">
        <v>2.23E-2</v>
      </c>
      <c r="P72" s="70">
        <f t="shared" ref="P72" si="82">N72*O72</f>
        <v>0</v>
      </c>
      <c r="Q72" s="70">
        <f t="shared" ref="Q72" si="83">K72+P72</f>
        <v>41.833500000000001</v>
      </c>
      <c r="R72" s="71">
        <v>47.99</v>
      </c>
      <c r="S72" s="72">
        <f t="shared" si="66"/>
        <v>2670.0942544500003</v>
      </c>
    </row>
    <row r="73" spans="1:19" ht="26.1" customHeight="1" x14ac:dyDescent="0.3">
      <c r="A73" s="151"/>
      <c r="B73" s="155" t="s">
        <v>147</v>
      </c>
      <c r="C73" s="154" t="s">
        <v>69</v>
      </c>
      <c r="D73" s="109" t="s">
        <v>70</v>
      </c>
      <c r="E73" s="96" t="s">
        <v>63</v>
      </c>
      <c r="F73" s="43">
        <v>34</v>
      </c>
      <c r="G73" s="43">
        <v>32</v>
      </c>
      <c r="H73" s="68">
        <v>2</v>
      </c>
      <c r="I73" s="75">
        <f t="shared" si="24"/>
        <v>64</v>
      </c>
      <c r="J73" s="69">
        <v>3.3399999999999999E-2</v>
      </c>
      <c r="K73" s="70">
        <f t="shared" si="12"/>
        <v>2.1375999999999999</v>
      </c>
      <c r="L73" s="67">
        <f>F73-G73</f>
        <v>2</v>
      </c>
      <c r="M73" s="68">
        <v>2</v>
      </c>
      <c r="N73" s="67">
        <f t="shared" si="49"/>
        <v>4</v>
      </c>
      <c r="O73" s="69">
        <v>2.23E-2</v>
      </c>
      <c r="P73" s="70">
        <f t="shared" si="5"/>
        <v>8.9200000000000002E-2</v>
      </c>
      <c r="Q73" s="70">
        <f t="shared" si="13"/>
        <v>2.2267999999999999</v>
      </c>
      <c r="R73" s="72">
        <v>38.11</v>
      </c>
      <c r="S73" s="72">
        <f t="shared" si="66"/>
        <v>112.86825284</v>
      </c>
    </row>
    <row r="74" spans="1:19" ht="19.350000000000001" customHeight="1" x14ac:dyDescent="0.3">
      <c r="A74" s="151"/>
      <c r="B74" s="155"/>
      <c r="C74" s="154"/>
      <c r="D74" s="109" t="s">
        <v>45</v>
      </c>
      <c r="E74" s="95" t="s">
        <v>34</v>
      </c>
      <c r="F74" s="43">
        <v>34</v>
      </c>
      <c r="G74" s="43">
        <v>32</v>
      </c>
      <c r="H74" s="68">
        <v>1</v>
      </c>
      <c r="I74" s="75">
        <f t="shared" ref="I74" si="84">G74*H74</f>
        <v>32</v>
      </c>
      <c r="J74" s="69">
        <v>3.3399999999999999E-2</v>
      </c>
      <c r="K74" s="70">
        <f>I74*J74</f>
        <v>1.0688</v>
      </c>
      <c r="L74" s="67">
        <f t="shared" ref="L74:L76" si="85">F74-G74</f>
        <v>2</v>
      </c>
      <c r="M74" s="68">
        <v>1</v>
      </c>
      <c r="N74" s="67">
        <f t="shared" ref="N74" si="86">L74*M74</f>
        <v>2</v>
      </c>
      <c r="O74" s="69">
        <v>2.23E-2</v>
      </c>
      <c r="P74" s="70">
        <f>N74*O74</f>
        <v>4.4600000000000001E-2</v>
      </c>
      <c r="Q74" s="74">
        <f t="shared" ref="Q74" si="87">K74+P74</f>
        <v>1.1133999999999999</v>
      </c>
      <c r="R74" s="72">
        <v>38.11</v>
      </c>
      <c r="S74" s="72">
        <f t="shared" si="66"/>
        <v>56.434126419999998</v>
      </c>
    </row>
    <row r="75" spans="1:19" ht="19.350000000000001" customHeight="1" x14ac:dyDescent="0.3">
      <c r="A75" s="151"/>
      <c r="B75" s="155"/>
      <c r="C75" s="154"/>
      <c r="D75" s="109" t="s">
        <v>21</v>
      </c>
      <c r="E75" s="95" t="s">
        <v>22</v>
      </c>
      <c r="F75" s="43">
        <v>34</v>
      </c>
      <c r="G75" s="43">
        <v>11</v>
      </c>
      <c r="H75" s="68">
        <v>1</v>
      </c>
      <c r="I75" s="75">
        <f>G75*H75</f>
        <v>11</v>
      </c>
      <c r="J75" s="69">
        <v>0.75</v>
      </c>
      <c r="K75" s="70">
        <f>I75*J75</f>
        <v>8.25</v>
      </c>
      <c r="L75" s="67">
        <f>F75-G75</f>
        <v>23</v>
      </c>
      <c r="M75" s="68">
        <v>1</v>
      </c>
      <c r="N75" s="67">
        <f>L75*M75</f>
        <v>23</v>
      </c>
      <c r="O75" s="69">
        <v>5.0099999999999999E-2</v>
      </c>
      <c r="P75" s="70">
        <f>N75*O75</f>
        <v>1.1522999999999999</v>
      </c>
      <c r="Q75" s="74">
        <f>K75+P75</f>
        <v>9.4023000000000003</v>
      </c>
      <c r="R75" s="72">
        <v>38.11</v>
      </c>
      <c r="S75" s="72">
        <f>Q75*R75*1.33</f>
        <v>476.56779849000009</v>
      </c>
    </row>
    <row r="76" spans="1:19" ht="18" customHeight="1" x14ac:dyDescent="0.3">
      <c r="A76" s="151"/>
      <c r="B76" s="155"/>
      <c r="C76" s="154"/>
      <c r="D76" s="109" t="s">
        <v>66</v>
      </c>
      <c r="E76" s="95" t="s">
        <v>67</v>
      </c>
      <c r="F76" s="43">
        <v>34</v>
      </c>
      <c r="G76" s="43">
        <v>32</v>
      </c>
      <c r="H76" s="68">
        <v>1</v>
      </c>
      <c r="I76" s="75">
        <f>G76*H76</f>
        <v>32</v>
      </c>
      <c r="J76" s="69">
        <v>0.5</v>
      </c>
      <c r="K76" s="70">
        <f>I76*J76</f>
        <v>16</v>
      </c>
      <c r="L76" s="67">
        <f t="shared" si="85"/>
        <v>2</v>
      </c>
      <c r="M76" s="68">
        <v>1</v>
      </c>
      <c r="N76" s="67">
        <f>L76*M76</f>
        <v>2</v>
      </c>
      <c r="O76" s="69">
        <v>6.6799999999999998E-2</v>
      </c>
      <c r="P76" s="70">
        <f>N76*O76</f>
        <v>0.1336</v>
      </c>
      <c r="Q76" s="70">
        <f>K76+P76</f>
        <v>16.133600000000001</v>
      </c>
      <c r="R76" s="72">
        <v>38.11</v>
      </c>
      <c r="S76" s="72">
        <f t="shared" si="66"/>
        <v>817.75248968000005</v>
      </c>
    </row>
    <row r="77" spans="1:19" ht="18" customHeight="1" x14ac:dyDescent="0.3">
      <c r="A77" s="151"/>
      <c r="B77" s="155"/>
      <c r="C77" s="154"/>
      <c r="D77" s="109" t="s">
        <v>64</v>
      </c>
      <c r="E77" s="95" t="s">
        <v>71</v>
      </c>
      <c r="F77" s="43">
        <v>33</v>
      </c>
      <c r="G77" s="43">
        <v>31</v>
      </c>
      <c r="H77" s="68">
        <v>1</v>
      </c>
      <c r="I77" s="75">
        <f t="shared" si="24"/>
        <v>31</v>
      </c>
      <c r="J77" s="69">
        <v>3.3399999999999999E-2</v>
      </c>
      <c r="K77" s="70">
        <f t="shared" si="12"/>
        <v>1.0353999999999999</v>
      </c>
      <c r="L77" s="67">
        <f t="shared" si="80"/>
        <v>2</v>
      </c>
      <c r="M77" s="68">
        <v>1</v>
      </c>
      <c r="N77" s="67">
        <f t="shared" ref="N77:N81" si="88">L77*M77</f>
        <v>2</v>
      </c>
      <c r="O77" s="69">
        <v>2.23E-2</v>
      </c>
      <c r="P77" s="70">
        <f t="shared" si="5"/>
        <v>4.4600000000000001E-2</v>
      </c>
      <c r="Q77" s="70">
        <f t="shared" si="13"/>
        <v>1.0799999999999998</v>
      </c>
      <c r="R77" s="72">
        <v>38.11</v>
      </c>
      <c r="S77" s="72">
        <f t="shared" si="66"/>
        <v>54.741203999999996</v>
      </c>
    </row>
    <row r="78" spans="1:19" ht="35.549999999999997" customHeight="1" x14ac:dyDescent="0.3">
      <c r="A78" s="151"/>
      <c r="B78" s="155"/>
      <c r="C78" s="154" t="s">
        <v>148</v>
      </c>
      <c r="D78" s="109" t="s">
        <v>105</v>
      </c>
      <c r="E78" s="95" t="s">
        <v>106</v>
      </c>
      <c r="F78" s="43">
        <v>32</v>
      </c>
      <c r="G78" s="43">
        <v>32</v>
      </c>
      <c r="H78" s="68">
        <v>1</v>
      </c>
      <c r="I78" s="75">
        <f>G78*H78</f>
        <v>32</v>
      </c>
      <c r="J78" s="69">
        <v>0.90180000000000005</v>
      </c>
      <c r="K78" s="70">
        <f>I78*J78</f>
        <v>28.857600000000001</v>
      </c>
      <c r="L78" s="67">
        <f t="shared" si="80"/>
        <v>0</v>
      </c>
      <c r="M78" s="68">
        <v>0</v>
      </c>
      <c r="N78" s="67">
        <f t="shared" si="88"/>
        <v>0</v>
      </c>
      <c r="O78" s="69">
        <v>6.6799999999999998E-2</v>
      </c>
      <c r="P78" s="70">
        <f>N78*O78</f>
        <v>0</v>
      </c>
      <c r="Q78" s="70">
        <f>K78+P78</f>
        <v>28.857600000000001</v>
      </c>
      <c r="R78" s="72">
        <v>38.11</v>
      </c>
      <c r="S78" s="72">
        <f t="shared" si="66"/>
        <v>1462.68497088</v>
      </c>
    </row>
    <row r="79" spans="1:19" ht="35.549999999999997" customHeight="1" x14ac:dyDescent="0.3">
      <c r="A79" s="151"/>
      <c r="B79" s="155"/>
      <c r="C79" s="154"/>
      <c r="D79" s="109" t="s">
        <v>149</v>
      </c>
      <c r="E79" s="95" t="s">
        <v>108</v>
      </c>
      <c r="F79" s="43">
        <v>32</v>
      </c>
      <c r="G79" s="43">
        <v>32</v>
      </c>
      <c r="H79" s="68">
        <v>1</v>
      </c>
      <c r="I79" s="75">
        <f t="shared" ref="I79:I80" si="89">G79*H79</f>
        <v>32</v>
      </c>
      <c r="J79" s="69">
        <v>0.16700000000000001</v>
      </c>
      <c r="K79" s="70">
        <f t="shared" ref="K79:K80" si="90">I79*J79</f>
        <v>5.3440000000000003</v>
      </c>
      <c r="L79" s="67">
        <f t="shared" si="80"/>
        <v>0</v>
      </c>
      <c r="M79" s="68">
        <v>0</v>
      </c>
      <c r="N79" s="67">
        <f t="shared" si="88"/>
        <v>0</v>
      </c>
      <c r="O79" s="69">
        <v>2.23E-2</v>
      </c>
      <c r="P79" s="70">
        <f t="shared" ref="P79:P80" si="91">N79*O79</f>
        <v>0</v>
      </c>
      <c r="Q79" s="70">
        <f t="shared" ref="Q79:Q80" si="92">K79+P79</f>
        <v>5.3440000000000003</v>
      </c>
      <c r="R79" s="72">
        <v>38.11</v>
      </c>
      <c r="S79" s="72">
        <f t="shared" si="66"/>
        <v>270.8675872</v>
      </c>
    </row>
    <row r="80" spans="1:19" ht="35.549999999999997" customHeight="1" x14ac:dyDescent="0.3">
      <c r="A80" s="151"/>
      <c r="B80" s="155"/>
      <c r="C80" s="154"/>
      <c r="D80" s="109" t="s">
        <v>117</v>
      </c>
      <c r="E80" s="95" t="s">
        <v>118</v>
      </c>
      <c r="F80" s="43">
        <v>32</v>
      </c>
      <c r="G80" s="43">
        <v>32</v>
      </c>
      <c r="H80" s="68">
        <v>1</v>
      </c>
      <c r="I80" s="75">
        <f t="shared" si="89"/>
        <v>32</v>
      </c>
      <c r="J80" s="69">
        <v>8.3500000000000005E-2</v>
      </c>
      <c r="K80" s="70">
        <f t="shared" si="90"/>
        <v>2.6720000000000002</v>
      </c>
      <c r="L80" s="67">
        <f t="shared" si="80"/>
        <v>0</v>
      </c>
      <c r="M80" s="68">
        <v>0</v>
      </c>
      <c r="N80" s="67">
        <f t="shared" si="88"/>
        <v>0</v>
      </c>
      <c r="O80" s="69">
        <v>2.23E-2</v>
      </c>
      <c r="P80" s="70">
        <f t="shared" si="91"/>
        <v>0</v>
      </c>
      <c r="Q80" s="70">
        <f t="shared" si="92"/>
        <v>2.6720000000000002</v>
      </c>
      <c r="R80" s="72">
        <v>38.11</v>
      </c>
      <c r="S80" s="72">
        <f t="shared" si="66"/>
        <v>135.4337936</v>
      </c>
    </row>
    <row r="81" spans="1:19" ht="28.8" customHeight="1" x14ac:dyDescent="0.3">
      <c r="A81" s="151"/>
      <c r="B81" s="155"/>
      <c r="C81" s="154"/>
      <c r="D81" s="109" t="s">
        <v>150</v>
      </c>
      <c r="E81" s="95" t="s">
        <v>151</v>
      </c>
      <c r="F81" s="43">
        <v>32</v>
      </c>
      <c r="G81" s="43">
        <v>32</v>
      </c>
      <c r="H81" s="68">
        <v>1</v>
      </c>
      <c r="I81" s="75">
        <f>G81*H81</f>
        <v>32</v>
      </c>
      <c r="J81" s="69">
        <v>5.0099999999999999E-2</v>
      </c>
      <c r="K81" s="70">
        <f t="shared" ref="K81:K86" si="93">I81*J81</f>
        <v>1.6032</v>
      </c>
      <c r="L81" s="67">
        <f t="shared" si="80"/>
        <v>0</v>
      </c>
      <c r="M81" s="68">
        <v>0</v>
      </c>
      <c r="N81" s="67">
        <f t="shared" si="88"/>
        <v>0</v>
      </c>
      <c r="O81" s="69">
        <v>2.23E-2</v>
      </c>
      <c r="P81" s="70">
        <f>N81*O81</f>
        <v>0</v>
      </c>
      <c r="Q81" s="70">
        <f>K81+P81</f>
        <v>1.6032</v>
      </c>
      <c r="R81" s="72">
        <v>38.11</v>
      </c>
      <c r="S81" s="72">
        <f t="shared" si="66"/>
        <v>81.260276160000004</v>
      </c>
    </row>
    <row r="82" spans="1:19" x14ac:dyDescent="0.3">
      <c r="A82" s="151"/>
      <c r="B82" s="155"/>
      <c r="C82" s="154" t="s">
        <v>152</v>
      </c>
      <c r="D82" s="109" t="s">
        <v>121</v>
      </c>
      <c r="E82" s="141" t="s">
        <v>153</v>
      </c>
      <c r="F82" s="43">
        <v>32</v>
      </c>
      <c r="G82" s="49">
        <v>31</v>
      </c>
      <c r="H82" s="68">
        <v>1</v>
      </c>
      <c r="I82" s="78">
        <f>G82*H82</f>
        <v>31</v>
      </c>
      <c r="J82" s="69">
        <v>3.0834999999999999</v>
      </c>
      <c r="K82" s="70">
        <f t="shared" si="93"/>
        <v>95.588499999999996</v>
      </c>
      <c r="L82" s="67">
        <f t="shared" ref="L82:L86" si="94">F82-G82</f>
        <v>1</v>
      </c>
      <c r="M82" s="68">
        <v>1</v>
      </c>
      <c r="N82" s="67">
        <f>L82*M82</f>
        <v>1</v>
      </c>
      <c r="O82" s="69">
        <v>6.6799999999999998E-2</v>
      </c>
      <c r="P82" s="70">
        <f>N82*O82</f>
        <v>6.6799999999999998E-2</v>
      </c>
      <c r="Q82" s="70">
        <f>K82+P82</f>
        <v>95.655299999999997</v>
      </c>
      <c r="R82" s="72">
        <v>38.11</v>
      </c>
      <c r="S82" s="72">
        <f t="shared" si="66"/>
        <v>4848.4132323900003</v>
      </c>
    </row>
    <row r="83" spans="1:19" ht="19.350000000000001" customHeight="1" x14ac:dyDescent="0.3">
      <c r="A83" s="151"/>
      <c r="B83" s="155"/>
      <c r="C83" s="154"/>
      <c r="D83" s="109" t="s">
        <v>123</v>
      </c>
      <c r="E83" s="95" t="s">
        <v>124</v>
      </c>
      <c r="F83" s="43">
        <v>32</v>
      </c>
      <c r="G83" s="43">
        <v>31</v>
      </c>
      <c r="H83" s="68">
        <v>1</v>
      </c>
      <c r="I83" s="75">
        <f t="shared" ref="I83" si="95">G83*H83</f>
        <v>31</v>
      </c>
      <c r="J83" s="69">
        <v>0.16700000000000001</v>
      </c>
      <c r="K83" s="70">
        <f t="shared" si="93"/>
        <v>5.1770000000000005</v>
      </c>
      <c r="L83" s="67">
        <f t="shared" si="94"/>
        <v>1</v>
      </c>
      <c r="M83" s="68">
        <v>1</v>
      </c>
      <c r="N83" s="67">
        <f t="shared" ref="N83" si="96">L83*M83</f>
        <v>1</v>
      </c>
      <c r="O83" s="69">
        <v>6.6799999999999998E-2</v>
      </c>
      <c r="P83" s="70">
        <f t="shared" ref="P83" si="97">N83*O83</f>
        <v>6.6799999999999998E-2</v>
      </c>
      <c r="Q83" s="70">
        <f t="shared" ref="Q83" si="98">K83+P83</f>
        <v>5.2438000000000002</v>
      </c>
      <c r="R83" s="72">
        <v>38.11</v>
      </c>
      <c r="S83" s="72">
        <f t="shared" si="66"/>
        <v>265.78881994</v>
      </c>
    </row>
    <row r="84" spans="1:19" ht="28.8" customHeight="1" x14ac:dyDescent="0.3">
      <c r="A84" s="151"/>
      <c r="B84" s="155"/>
      <c r="C84" s="154" t="s">
        <v>154</v>
      </c>
      <c r="D84" s="109" t="s">
        <v>126</v>
      </c>
      <c r="E84" s="95" t="s">
        <v>127</v>
      </c>
      <c r="F84" s="43">
        <v>31</v>
      </c>
      <c r="G84" s="43">
        <v>31</v>
      </c>
      <c r="H84" s="68">
        <v>1</v>
      </c>
      <c r="I84" s="75">
        <f>G84*H84</f>
        <v>31</v>
      </c>
      <c r="J84" s="69">
        <v>5.0099999999999999E-2</v>
      </c>
      <c r="K84" s="70">
        <f t="shared" si="93"/>
        <v>1.5530999999999999</v>
      </c>
      <c r="L84" s="67">
        <f t="shared" si="94"/>
        <v>0</v>
      </c>
      <c r="M84" s="68">
        <v>0</v>
      </c>
      <c r="N84" s="67">
        <f>L84*M84</f>
        <v>0</v>
      </c>
      <c r="O84" s="69">
        <v>2.23E-2</v>
      </c>
      <c r="P84" s="70">
        <f>N84*O84</f>
        <v>0</v>
      </c>
      <c r="Q84" s="70">
        <f>K84+P84</f>
        <v>1.5530999999999999</v>
      </c>
      <c r="R84" s="72">
        <v>38.11</v>
      </c>
      <c r="S84" s="72">
        <f t="shared" si="66"/>
        <v>78.72089253</v>
      </c>
    </row>
    <row r="85" spans="1:19" ht="28.8" customHeight="1" x14ac:dyDescent="0.3">
      <c r="A85" s="151"/>
      <c r="B85" s="155"/>
      <c r="C85" s="154"/>
      <c r="D85" s="109" t="s">
        <v>128</v>
      </c>
      <c r="E85" s="141" t="s">
        <v>155</v>
      </c>
      <c r="F85" s="43">
        <v>31</v>
      </c>
      <c r="G85" s="43">
        <v>31</v>
      </c>
      <c r="H85" s="68">
        <v>1</v>
      </c>
      <c r="I85" s="78">
        <f>G85*H85</f>
        <v>31</v>
      </c>
      <c r="J85" s="69">
        <v>0.5</v>
      </c>
      <c r="K85" s="70">
        <f t="shared" si="93"/>
        <v>15.5</v>
      </c>
      <c r="L85" s="67">
        <f t="shared" si="94"/>
        <v>0</v>
      </c>
      <c r="M85" s="68">
        <v>0</v>
      </c>
      <c r="N85" s="67">
        <f>L85*M85</f>
        <v>0</v>
      </c>
      <c r="O85" s="69">
        <v>2.23E-2</v>
      </c>
      <c r="P85" s="70">
        <f>N85*O85</f>
        <v>0</v>
      </c>
      <c r="Q85" s="70">
        <f>K85+P85</f>
        <v>15.5</v>
      </c>
      <c r="R85" s="72">
        <v>38.11</v>
      </c>
      <c r="S85" s="72">
        <f t="shared" si="66"/>
        <v>785.63765000000012</v>
      </c>
    </row>
    <row r="86" spans="1:19" ht="27.6" x14ac:dyDescent="0.3">
      <c r="A86" s="151"/>
      <c r="B86" s="155"/>
      <c r="C86" s="66" t="s">
        <v>156</v>
      </c>
      <c r="D86" s="109" t="s">
        <v>131</v>
      </c>
      <c r="E86" s="95" t="s">
        <v>132</v>
      </c>
      <c r="F86" s="43">
        <v>31</v>
      </c>
      <c r="G86" s="43">
        <v>31</v>
      </c>
      <c r="H86" s="68">
        <v>1</v>
      </c>
      <c r="I86" s="75">
        <f>G86*H86</f>
        <v>31</v>
      </c>
      <c r="J86" s="69">
        <v>2</v>
      </c>
      <c r="K86" s="70">
        <f t="shared" si="93"/>
        <v>62</v>
      </c>
      <c r="L86" s="67">
        <f t="shared" si="94"/>
        <v>0</v>
      </c>
      <c r="M86" s="68">
        <v>0</v>
      </c>
      <c r="N86" s="67">
        <f>L86*M86</f>
        <v>0</v>
      </c>
      <c r="O86" s="69">
        <v>6.6799999999999998E-2</v>
      </c>
      <c r="P86" s="70">
        <f>N86*O86</f>
        <v>0</v>
      </c>
      <c r="Q86" s="70">
        <f>K86+P86</f>
        <v>62</v>
      </c>
      <c r="R86" s="72">
        <v>38.11</v>
      </c>
      <c r="S86" s="72">
        <f t="shared" si="66"/>
        <v>3142.5506000000005</v>
      </c>
    </row>
    <row r="87" spans="1:19" ht="13.05" customHeight="1" x14ac:dyDescent="0.3">
      <c r="A87" s="151"/>
      <c r="B87" s="155" t="s">
        <v>157</v>
      </c>
      <c r="C87" s="163" t="s">
        <v>73</v>
      </c>
      <c r="D87" s="109" t="s">
        <v>158</v>
      </c>
      <c r="E87" s="96" t="s">
        <v>63</v>
      </c>
      <c r="F87" s="43">
        <v>3</v>
      </c>
      <c r="G87" s="43">
        <v>3</v>
      </c>
      <c r="H87" s="68">
        <v>1</v>
      </c>
      <c r="I87" s="75">
        <f t="shared" si="24"/>
        <v>3</v>
      </c>
      <c r="J87" s="69">
        <v>3.3399999999999999E-2</v>
      </c>
      <c r="K87" s="70">
        <f t="shared" si="12"/>
        <v>0.1002</v>
      </c>
      <c r="L87" s="67">
        <f>F87-G87</f>
        <v>0</v>
      </c>
      <c r="M87" s="68">
        <v>0</v>
      </c>
      <c r="N87" s="67">
        <f t="shared" si="49"/>
        <v>0</v>
      </c>
      <c r="O87" s="69">
        <v>2.23E-2</v>
      </c>
      <c r="P87" s="70">
        <f t="shared" si="5"/>
        <v>0</v>
      </c>
      <c r="Q87" s="70">
        <f t="shared" si="13"/>
        <v>0.1002</v>
      </c>
      <c r="R87" s="72">
        <v>39</v>
      </c>
      <c r="S87" s="72">
        <f t="shared" si="66"/>
        <v>5.1973739999999999</v>
      </c>
    </row>
    <row r="88" spans="1:19" ht="19.350000000000001" customHeight="1" x14ac:dyDescent="0.3">
      <c r="A88" s="151"/>
      <c r="B88" s="155"/>
      <c r="C88" s="164"/>
      <c r="D88" s="109" t="s">
        <v>33</v>
      </c>
      <c r="E88" s="95" t="s">
        <v>34</v>
      </c>
      <c r="F88" s="43">
        <v>3</v>
      </c>
      <c r="G88" s="43">
        <v>3</v>
      </c>
      <c r="H88" s="68">
        <v>1</v>
      </c>
      <c r="I88" s="75">
        <f t="shared" ref="I88" si="99">G88*H88</f>
        <v>3</v>
      </c>
      <c r="J88" s="69">
        <v>3.3399999999999999E-2</v>
      </c>
      <c r="K88" s="70">
        <f t="shared" ref="K88" si="100">I88*J88</f>
        <v>0.1002</v>
      </c>
      <c r="L88" s="67">
        <f t="shared" ref="L88:L101" si="101">F88-G88</f>
        <v>0</v>
      </c>
      <c r="M88" s="68">
        <v>0</v>
      </c>
      <c r="N88" s="67">
        <f t="shared" ref="N88:N94" si="102">L88*M88</f>
        <v>0</v>
      </c>
      <c r="O88" s="69">
        <v>2.23E-2</v>
      </c>
      <c r="P88" s="70">
        <f t="shared" ref="P88" si="103">N88*O88</f>
        <v>0</v>
      </c>
      <c r="Q88" s="74">
        <f t="shared" ref="Q88" si="104">K88+P88</f>
        <v>0.1002</v>
      </c>
      <c r="R88" s="72">
        <v>39</v>
      </c>
      <c r="S88" s="72">
        <f t="shared" si="66"/>
        <v>5.1973739999999999</v>
      </c>
    </row>
    <row r="89" spans="1:19" ht="18" customHeight="1" x14ac:dyDescent="0.3">
      <c r="A89" s="151"/>
      <c r="B89" s="155"/>
      <c r="C89" s="164"/>
      <c r="D89" s="109" t="s">
        <v>74</v>
      </c>
      <c r="E89" s="95" t="s">
        <v>67</v>
      </c>
      <c r="F89" s="43">
        <v>3</v>
      </c>
      <c r="G89" s="43">
        <v>3</v>
      </c>
      <c r="H89" s="68">
        <v>1</v>
      </c>
      <c r="I89" s="75">
        <f>G89*H89</f>
        <v>3</v>
      </c>
      <c r="J89" s="69">
        <v>0.5</v>
      </c>
      <c r="K89" s="70">
        <f>I89*J89</f>
        <v>1.5</v>
      </c>
      <c r="L89" s="67">
        <f t="shared" si="101"/>
        <v>0</v>
      </c>
      <c r="M89" s="68">
        <v>0</v>
      </c>
      <c r="N89" s="67">
        <f>L89*M89</f>
        <v>0</v>
      </c>
      <c r="O89" s="69">
        <v>6.6799999999999998E-2</v>
      </c>
      <c r="P89" s="70">
        <f>N89*O89</f>
        <v>0</v>
      </c>
      <c r="Q89" s="70">
        <f>K89+P89</f>
        <v>1.5</v>
      </c>
      <c r="R89" s="72">
        <v>39</v>
      </c>
      <c r="S89" s="72">
        <f t="shared" si="66"/>
        <v>77.805000000000007</v>
      </c>
    </row>
    <row r="90" spans="1:19" ht="18" customHeight="1" x14ac:dyDescent="0.3">
      <c r="A90" s="151"/>
      <c r="B90" s="155"/>
      <c r="C90" s="165"/>
      <c r="D90" s="109" t="s">
        <v>159</v>
      </c>
      <c r="E90" s="95" t="s">
        <v>22</v>
      </c>
      <c r="F90" s="43">
        <v>3</v>
      </c>
      <c r="G90" s="43">
        <v>2</v>
      </c>
      <c r="H90" s="68">
        <v>1</v>
      </c>
      <c r="I90" s="75">
        <f>G90*H90</f>
        <v>2</v>
      </c>
      <c r="J90" s="69">
        <v>0.75</v>
      </c>
      <c r="K90" s="70">
        <f>I90*J90</f>
        <v>1.5</v>
      </c>
      <c r="L90" s="67">
        <f t="shared" si="101"/>
        <v>1</v>
      </c>
      <c r="M90" s="68">
        <v>1</v>
      </c>
      <c r="N90" s="67">
        <f>L90*M90</f>
        <v>1</v>
      </c>
      <c r="O90" s="69">
        <v>5.0099999999999999E-2</v>
      </c>
      <c r="P90" s="70">
        <f>N90*O90</f>
        <v>5.0099999999999999E-2</v>
      </c>
      <c r="Q90" s="70">
        <f>K90+P90</f>
        <v>1.5501</v>
      </c>
      <c r="R90" s="72">
        <v>39</v>
      </c>
      <c r="S90" s="72">
        <f t="shared" si="66"/>
        <v>80.403687000000005</v>
      </c>
    </row>
    <row r="91" spans="1:19" ht="35.549999999999997" customHeight="1" x14ac:dyDescent="0.3">
      <c r="A91" s="151"/>
      <c r="B91" s="155"/>
      <c r="C91" s="154" t="s">
        <v>160</v>
      </c>
      <c r="D91" s="109" t="s">
        <v>161</v>
      </c>
      <c r="E91" s="95" t="s">
        <v>162</v>
      </c>
      <c r="F91" s="43">
        <v>3</v>
      </c>
      <c r="G91" s="43">
        <v>3</v>
      </c>
      <c r="H91" s="68">
        <v>1</v>
      </c>
      <c r="I91" s="75">
        <f>G91*H91</f>
        <v>3</v>
      </c>
      <c r="J91" s="69">
        <v>0.16700000000000001</v>
      </c>
      <c r="K91" s="70">
        <f>I91*J91</f>
        <v>0.501</v>
      </c>
      <c r="L91" s="67">
        <f t="shared" si="101"/>
        <v>0</v>
      </c>
      <c r="M91" s="68">
        <v>0</v>
      </c>
      <c r="N91" s="67">
        <f t="shared" si="102"/>
        <v>0</v>
      </c>
      <c r="O91" s="69">
        <v>6.6799999999999998E-2</v>
      </c>
      <c r="P91" s="70">
        <f>N91*O91</f>
        <v>0</v>
      </c>
      <c r="Q91" s="70">
        <f>K91+P91</f>
        <v>0.501</v>
      </c>
      <c r="R91" s="72">
        <v>39</v>
      </c>
      <c r="S91" s="72">
        <f t="shared" si="66"/>
        <v>25.986870000000003</v>
      </c>
    </row>
    <row r="92" spans="1:19" ht="35.549999999999997" customHeight="1" x14ac:dyDescent="0.3">
      <c r="A92" s="151"/>
      <c r="B92" s="155"/>
      <c r="C92" s="154"/>
      <c r="D92" s="109" t="s">
        <v>163</v>
      </c>
      <c r="E92" s="95" t="s">
        <v>108</v>
      </c>
      <c r="F92" s="43">
        <v>3</v>
      </c>
      <c r="G92" s="43">
        <v>3</v>
      </c>
      <c r="H92" s="68">
        <v>1</v>
      </c>
      <c r="I92" s="75">
        <f t="shared" ref="I92:I93" si="105">G92*H92</f>
        <v>3</v>
      </c>
      <c r="J92" s="69">
        <v>0.16700000000000001</v>
      </c>
      <c r="K92" s="70">
        <f t="shared" ref="K92:K93" si="106">I92*J92</f>
        <v>0.501</v>
      </c>
      <c r="L92" s="67">
        <f t="shared" si="101"/>
        <v>0</v>
      </c>
      <c r="M92" s="68">
        <v>0</v>
      </c>
      <c r="N92" s="67">
        <f t="shared" si="102"/>
        <v>0</v>
      </c>
      <c r="O92" s="69">
        <v>2.23E-2</v>
      </c>
      <c r="P92" s="70">
        <f t="shared" ref="P92:P93" si="107">N92*O92</f>
        <v>0</v>
      </c>
      <c r="Q92" s="70">
        <f t="shared" ref="Q92:Q93" si="108">K92+P92</f>
        <v>0.501</v>
      </c>
      <c r="R92" s="72">
        <v>39</v>
      </c>
      <c r="S92" s="72">
        <f t="shared" si="66"/>
        <v>25.986870000000003</v>
      </c>
    </row>
    <row r="93" spans="1:19" ht="35.549999999999997" customHeight="1" x14ac:dyDescent="0.3">
      <c r="A93" s="151"/>
      <c r="B93" s="155"/>
      <c r="C93" s="154"/>
      <c r="D93" s="109" t="s">
        <v>164</v>
      </c>
      <c r="E93" s="95" t="s">
        <v>118</v>
      </c>
      <c r="F93" s="43">
        <v>3</v>
      </c>
      <c r="G93" s="43">
        <v>3</v>
      </c>
      <c r="H93" s="68">
        <v>1</v>
      </c>
      <c r="I93" s="75">
        <f t="shared" si="105"/>
        <v>3</v>
      </c>
      <c r="J93" s="69">
        <v>8.3500000000000005E-2</v>
      </c>
      <c r="K93" s="70">
        <f t="shared" si="106"/>
        <v>0.2505</v>
      </c>
      <c r="L93" s="67">
        <f t="shared" si="101"/>
        <v>0</v>
      </c>
      <c r="M93" s="68">
        <v>0</v>
      </c>
      <c r="N93" s="67">
        <f t="shared" si="102"/>
        <v>0</v>
      </c>
      <c r="O93" s="69">
        <v>2.23E-2</v>
      </c>
      <c r="P93" s="70">
        <f t="shared" si="107"/>
        <v>0</v>
      </c>
      <c r="Q93" s="70">
        <f t="shared" si="108"/>
        <v>0.2505</v>
      </c>
      <c r="R93" s="72">
        <v>39</v>
      </c>
      <c r="S93" s="72">
        <f t="shared" si="66"/>
        <v>12.993435000000002</v>
      </c>
    </row>
    <row r="94" spans="1:19" ht="28.8" customHeight="1" x14ac:dyDescent="0.3">
      <c r="A94" s="151"/>
      <c r="B94" s="155"/>
      <c r="C94" s="154"/>
      <c r="D94" s="109" t="s">
        <v>165</v>
      </c>
      <c r="E94" s="95" t="s">
        <v>151</v>
      </c>
      <c r="F94" s="43">
        <v>3</v>
      </c>
      <c r="G94" s="43">
        <v>3</v>
      </c>
      <c r="H94" s="68">
        <v>1</v>
      </c>
      <c r="I94" s="75">
        <f>G94*H94</f>
        <v>3</v>
      </c>
      <c r="J94" s="69">
        <v>5.0099999999999999E-2</v>
      </c>
      <c r="K94" s="70">
        <f>I94*J94</f>
        <v>0.15029999999999999</v>
      </c>
      <c r="L94" s="67">
        <f t="shared" si="101"/>
        <v>0</v>
      </c>
      <c r="M94" s="68">
        <v>0</v>
      </c>
      <c r="N94" s="67">
        <f t="shared" si="102"/>
        <v>0</v>
      </c>
      <c r="O94" s="69">
        <v>2.23E-2</v>
      </c>
      <c r="P94" s="70">
        <f>N94*O94</f>
        <v>0</v>
      </c>
      <c r="Q94" s="70">
        <f>K94+P94</f>
        <v>0.15029999999999999</v>
      </c>
      <c r="R94" s="72">
        <v>39</v>
      </c>
      <c r="S94" s="72">
        <f t="shared" si="66"/>
        <v>7.7960609999999999</v>
      </c>
    </row>
    <row r="95" spans="1:19" x14ac:dyDescent="0.3">
      <c r="A95" s="151"/>
      <c r="B95" s="155"/>
      <c r="C95" s="154" t="s">
        <v>166</v>
      </c>
      <c r="D95" s="109" t="s">
        <v>167</v>
      </c>
      <c r="E95" s="141" t="s">
        <v>153</v>
      </c>
      <c r="F95" s="43">
        <v>3</v>
      </c>
      <c r="G95" s="49">
        <v>3</v>
      </c>
      <c r="H95" s="68">
        <v>1</v>
      </c>
      <c r="I95" s="78">
        <f>G95*H95</f>
        <v>3</v>
      </c>
      <c r="J95" s="69">
        <v>1.5</v>
      </c>
      <c r="K95" s="70">
        <f>I95*J95</f>
        <v>4.5</v>
      </c>
      <c r="L95" s="67">
        <f t="shared" si="101"/>
        <v>0</v>
      </c>
      <c r="M95" s="68">
        <v>0</v>
      </c>
      <c r="N95" s="67">
        <f>L95*M95</f>
        <v>0</v>
      </c>
      <c r="O95" s="69">
        <v>6.6799999999999998E-2</v>
      </c>
      <c r="P95" s="70">
        <f>N95*O95</f>
        <v>0</v>
      </c>
      <c r="Q95" s="70">
        <f>K95+P95</f>
        <v>4.5</v>
      </c>
      <c r="R95" s="72">
        <v>39</v>
      </c>
      <c r="S95" s="72">
        <f t="shared" si="66"/>
        <v>233.41500000000002</v>
      </c>
    </row>
    <row r="96" spans="1:19" ht="19.350000000000001" customHeight="1" x14ac:dyDescent="0.3">
      <c r="A96" s="151"/>
      <c r="B96" s="155"/>
      <c r="C96" s="154"/>
      <c r="D96" s="109" t="s">
        <v>168</v>
      </c>
      <c r="E96" s="95" t="s">
        <v>124</v>
      </c>
      <c r="F96" s="43">
        <v>3</v>
      </c>
      <c r="G96" s="43">
        <v>3</v>
      </c>
      <c r="H96" s="68">
        <v>1</v>
      </c>
      <c r="I96" s="75">
        <f t="shared" ref="I96" si="109">G96*H96</f>
        <v>3</v>
      </c>
      <c r="J96" s="69">
        <v>0.16700000000000001</v>
      </c>
      <c r="K96" s="70">
        <f t="shared" ref="K96" si="110">I96*J96</f>
        <v>0.501</v>
      </c>
      <c r="L96" s="67">
        <f t="shared" si="101"/>
        <v>0</v>
      </c>
      <c r="M96" s="68">
        <v>0</v>
      </c>
      <c r="N96" s="67">
        <f t="shared" ref="N96" si="111">L96*M96</f>
        <v>0</v>
      </c>
      <c r="O96" s="69">
        <v>6.6799999999999998E-2</v>
      </c>
      <c r="P96" s="70">
        <f t="shared" ref="P96" si="112">N96*O96</f>
        <v>0</v>
      </c>
      <c r="Q96" s="70">
        <f t="shared" ref="Q96" si="113">K96+P96</f>
        <v>0.501</v>
      </c>
      <c r="R96" s="72">
        <v>39</v>
      </c>
      <c r="S96" s="72">
        <f t="shared" si="66"/>
        <v>25.986870000000003</v>
      </c>
    </row>
    <row r="97" spans="1:19" ht="28.8" customHeight="1" x14ac:dyDescent="0.3">
      <c r="A97" s="151"/>
      <c r="B97" s="155"/>
      <c r="C97" s="154" t="s">
        <v>169</v>
      </c>
      <c r="D97" s="109" t="s">
        <v>170</v>
      </c>
      <c r="E97" s="95" t="s">
        <v>127</v>
      </c>
      <c r="F97" s="43">
        <v>3</v>
      </c>
      <c r="G97" s="43">
        <v>3</v>
      </c>
      <c r="H97" s="68">
        <v>1</v>
      </c>
      <c r="I97" s="75">
        <f>G97*H97</f>
        <v>3</v>
      </c>
      <c r="J97" s="69">
        <v>5.0099999999999999E-2</v>
      </c>
      <c r="K97" s="70">
        <f>I97*J97</f>
        <v>0.15029999999999999</v>
      </c>
      <c r="L97" s="67">
        <f t="shared" si="101"/>
        <v>0</v>
      </c>
      <c r="M97" s="68">
        <v>0</v>
      </c>
      <c r="N97" s="67">
        <f>L97*M97</f>
        <v>0</v>
      </c>
      <c r="O97" s="69">
        <v>2.23E-2</v>
      </c>
      <c r="P97" s="70">
        <f>N97*O97</f>
        <v>0</v>
      </c>
      <c r="Q97" s="70">
        <f>K97+P97</f>
        <v>0.15029999999999999</v>
      </c>
      <c r="R97" s="72">
        <v>39</v>
      </c>
      <c r="S97" s="72">
        <f t="shared" si="66"/>
        <v>7.7960609999999999</v>
      </c>
    </row>
    <row r="98" spans="1:19" ht="28.8" customHeight="1" x14ac:dyDescent="0.3">
      <c r="A98" s="151"/>
      <c r="B98" s="155"/>
      <c r="C98" s="154"/>
      <c r="D98" s="109" t="s">
        <v>171</v>
      </c>
      <c r="E98" s="141" t="s">
        <v>155</v>
      </c>
      <c r="F98" s="43">
        <v>3</v>
      </c>
      <c r="G98" s="43">
        <v>3</v>
      </c>
      <c r="H98" s="68">
        <v>1</v>
      </c>
      <c r="I98" s="78">
        <f>G98*H98</f>
        <v>3</v>
      </c>
      <c r="J98" s="69">
        <v>0.5</v>
      </c>
      <c r="K98" s="70">
        <f>I98*J98</f>
        <v>1.5</v>
      </c>
      <c r="L98" s="67">
        <f t="shared" si="101"/>
        <v>0</v>
      </c>
      <c r="M98" s="68">
        <v>0</v>
      </c>
      <c r="N98" s="67">
        <f>L98*M98</f>
        <v>0</v>
      </c>
      <c r="O98" s="69">
        <v>2.23E-2</v>
      </c>
      <c r="P98" s="70">
        <f>N98*O98</f>
        <v>0</v>
      </c>
      <c r="Q98" s="70">
        <f>K98+P98</f>
        <v>1.5</v>
      </c>
      <c r="R98" s="72">
        <v>39</v>
      </c>
      <c r="S98" s="72">
        <f t="shared" si="66"/>
        <v>77.805000000000007</v>
      </c>
    </row>
    <row r="99" spans="1:19" ht="27.6" x14ac:dyDescent="0.3">
      <c r="A99" s="151"/>
      <c r="B99" s="155"/>
      <c r="C99" s="66" t="s">
        <v>172</v>
      </c>
      <c r="D99" s="109" t="s">
        <v>173</v>
      </c>
      <c r="E99" s="95" t="s">
        <v>132</v>
      </c>
      <c r="F99" s="43">
        <v>3</v>
      </c>
      <c r="G99" s="43">
        <v>3</v>
      </c>
      <c r="H99" s="68">
        <v>1</v>
      </c>
      <c r="I99" s="75">
        <f>G99*H99</f>
        <v>3</v>
      </c>
      <c r="J99" s="69">
        <v>1.75</v>
      </c>
      <c r="K99" s="70">
        <f>I99*J99</f>
        <v>5.25</v>
      </c>
      <c r="L99" s="67">
        <f t="shared" si="101"/>
        <v>0</v>
      </c>
      <c r="M99" s="68">
        <v>0</v>
      </c>
      <c r="N99" s="67">
        <f>L99*M99</f>
        <v>0</v>
      </c>
      <c r="O99" s="69">
        <v>6.6799999999999998E-2</v>
      </c>
      <c r="P99" s="70">
        <f>N99*O99</f>
        <v>0</v>
      </c>
      <c r="Q99" s="70">
        <f>K99+P99</f>
        <v>5.25</v>
      </c>
      <c r="R99" s="72">
        <v>39</v>
      </c>
      <c r="S99" s="72">
        <f t="shared" si="66"/>
        <v>272.3175</v>
      </c>
    </row>
    <row r="100" spans="1:19" ht="27.6" x14ac:dyDescent="0.3">
      <c r="A100" s="151"/>
      <c r="B100" s="155"/>
      <c r="C100" s="66" t="s">
        <v>174</v>
      </c>
      <c r="D100" s="109" t="s">
        <v>507</v>
      </c>
      <c r="E100" s="95" t="s">
        <v>508</v>
      </c>
      <c r="F100" s="43">
        <v>3</v>
      </c>
      <c r="G100" s="43">
        <v>3</v>
      </c>
      <c r="H100" s="68">
        <v>1</v>
      </c>
      <c r="I100" s="75">
        <f>G100*H100</f>
        <v>3</v>
      </c>
      <c r="J100" s="69">
        <v>3.5</v>
      </c>
      <c r="K100" s="70">
        <f>I100*J100</f>
        <v>10.5</v>
      </c>
      <c r="L100" s="67">
        <f>F100-G100</f>
        <v>0</v>
      </c>
      <c r="M100" s="68">
        <v>0</v>
      </c>
      <c r="N100" s="67">
        <f>L100*M100</f>
        <v>0</v>
      </c>
      <c r="O100" s="69">
        <v>6.6799999999999998E-2</v>
      </c>
      <c r="P100" s="70">
        <f>N100*O100</f>
        <v>0</v>
      </c>
      <c r="Q100" s="70">
        <f>K100+P100</f>
        <v>10.5</v>
      </c>
      <c r="R100" s="72">
        <v>39</v>
      </c>
      <c r="S100" s="72">
        <f t="shared" si="66"/>
        <v>544.63499999999999</v>
      </c>
    </row>
    <row r="101" spans="1:19" ht="41.55" customHeight="1" x14ac:dyDescent="0.3">
      <c r="A101" s="151"/>
      <c r="B101" s="155" t="s">
        <v>175</v>
      </c>
      <c r="C101" s="66" t="s">
        <v>116</v>
      </c>
      <c r="D101" s="109" t="s">
        <v>44</v>
      </c>
      <c r="E101" s="95" t="s">
        <v>110</v>
      </c>
      <c r="F101" s="43">
        <v>312</v>
      </c>
      <c r="G101" s="67">
        <v>312</v>
      </c>
      <c r="H101" s="68">
        <v>1</v>
      </c>
      <c r="I101" s="75">
        <f>G101*H101</f>
        <v>312</v>
      </c>
      <c r="J101" s="69">
        <v>5.0099999999999999E-2</v>
      </c>
      <c r="K101" s="70">
        <f>I101*J101</f>
        <v>15.6312</v>
      </c>
      <c r="L101" s="67">
        <f t="shared" si="101"/>
        <v>0</v>
      </c>
      <c r="M101" s="68">
        <v>0</v>
      </c>
      <c r="N101" s="67">
        <f>L101*M101</f>
        <v>0</v>
      </c>
      <c r="O101" s="69">
        <v>2.23E-2</v>
      </c>
      <c r="P101" s="70">
        <f>N101*O101</f>
        <v>0</v>
      </c>
      <c r="Q101" s="70">
        <f>K101+P101</f>
        <v>15.6312</v>
      </c>
      <c r="R101" s="72">
        <v>47.99</v>
      </c>
      <c r="S101" s="72">
        <f t="shared" si="66"/>
        <v>997.68791304000013</v>
      </c>
    </row>
    <row r="102" spans="1:19" ht="34.5" customHeight="1" x14ac:dyDescent="0.3">
      <c r="A102" s="151"/>
      <c r="B102" s="155"/>
      <c r="C102" s="66" t="s">
        <v>176</v>
      </c>
      <c r="D102" s="109" t="s">
        <v>121</v>
      </c>
      <c r="E102" s="142" t="s">
        <v>153</v>
      </c>
      <c r="F102" s="43">
        <v>312</v>
      </c>
      <c r="G102" s="79">
        <v>294</v>
      </c>
      <c r="H102" s="68">
        <v>1</v>
      </c>
      <c r="I102" s="78">
        <f t="shared" si="24"/>
        <v>294</v>
      </c>
      <c r="J102" s="69">
        <v>3.0834999999999999</v>
      </c>
      <c r="K102" s="70">
        <f t="shared" si="12"/>
        <v>906.54899999999998</v>
      </c>
      <c r="L102" s="67">
        <f t="shared" ref="L102:L109" si="114">F102-G102</f>
        <v>18</v>
      </c>
      <c r="M102" s="68">
        <v>1</v>
      </c>
      <c r="N102" s="67">
        <f t="shared" si="49"/>
        <v>18</v>
      </c>
      <c r="O102" s="69">
        <v>6.6799999999999998E-2</v>
      </c>
      <c r="P102" s="70">
        <f t="shared" si="5"/>
        <v>1.2023999999999999</v>
      </c>
      <c r="Q102" s="70">
        <f t="shared" si="13"/>
        <v>907.75139999999999</v>
      </c>
      <c r="R102" s="72">
        <v>47.99</v>
      </c>
      <c r="S102" s="72">
        <f t="shared" si="66"/>
        <v>57938.776282380008</v>
      </c>
    </row>
    <row r="103" spans="1:19" ht="27.6" x14ac:dyDescent="0.3">
      <c r="A103" s="151"/>
      <c r="B103" s="155"/>
      <c r="C103" s="66" t="s">
        <v>130</v>
      </c>
      <c r="D103" s="109" t="s">
        <v>131</v>
      </c>
      <c r="E103" s="95" t="s">
        <v>132</v>
      </c>
      <c r="F103" s="43">
        <v>294</v>
      </c>
      <c r="G103" s="67">
        <v>261</v>
      </c>
      <c r="H103" s="68">
        <v>1</v>
      </c>
      <c r="I103" s="75">
        <f>G103*H103</f>
        <v>261</v>
      </c>
      <c r="J103" s="69">
        <v>2</v>
      </c>
      <c r="K103" s="70">
        <f>I103*J103</f>
        <v>522</v>
      </c>
      <c r="L103" s="67">
        <f t="shared" si="114"/>
        <v>33</v>
      </c>
      <c r="M103" s="68">
        <v>1</v>
      </c>
      <c r="N103" s="67">
        <f>L103*M103</f>
        <v>33</v>
      </c>
      <c r="O103" s="69">
        <v>6.6799999999999998E-2</v>
      </c>
      <c r="P103" s="70">
        <f>N103*O103</f>
        <v>2.2044000000000001</v>
      </c>
      <c r="Q103" s="70">
        <f>K103+P103</f>
        <v>524.20439999999996</v>
      </c>
      <c r="R103" s="72">
        <v>47.99</v>
      </c>
      <c r="S103" s="72">
        <f t="shared" si="66"/>
        <v>33458.236977479995</v>
      </c>
    </row>
    <row r="104" spans="1:19" ht="44.1" customHeight="1" x14ac:dyDescent="0.3">
      <c r="A104" s="151"/>
      <c r="B104" s="155" t="s">
        <v>177</v>
      </c>
      <c r="C104" s="66" t="s">
        <v>148</v>
      </c>
      <c r="D104" s="111" t="s">
        <v>150</v>
      </c>
      <c r="E104" s="95" t="s">
        <v>151</v>
      </c>
      <c r="F104" s="43">
        <v>32</v>
      </c>
      <c r="G104" s="43">
        <v>32</v>
      </c>
      <c r="H104" s="68">
        <v>1</v>
      </c>
      <c r="I104" s="75">
        <f>G104*H104</f>
        <v>32</v>
      </c>
      <c r="J104" s="69">
        <v>5.0099999999999999E-2</v>
      </c>
      <c r="K104" s="70">
        <f t="shared" ref="K104" si="115">I104*J104</f>
        <v>1.6032</v>
      </c>
      <c r="L104" s="67">
        <f t="shared" si="114"/>
        <v>0</v>
      </c>
      <c r="M104" s="68">
        <v>0</v>
      </c>
      <c r="N104" s="67">
        <f>L104*M104</f>
        <v>0</v>
      </c>
      <c r="O104" s="69">
        <v>2.23E-2</v>
      </c>
      <c r="P104" s="70">
        <f>N104*O104</f>
        <v>0</v>
      </c>
      <c r="Q104" s="70">
        <f>K104+P104</f>
        <v>1.6032</v>
      </c>
      <c r="R104" s="72">
        <v>38.11</v>
      </c>
      <c r="S104" s="72">
        <f t="shared" si="66"/>
        <v>81.260276160000004</v>
      </c>
    </row>
    <row r="105" spans="1:19" ht="31.5" customHeight="1" x14ac:dyDescent="0.3">
      <c r="A105" s="151"/>
      <c r="B105" s="155"/>
      <c r="C105" s="66" t="s">
        <v>178</v>
      </c>
      <c r="D105" s="109" t="s">
        <v>121</v>
      </c>
      <c r="E105" s="142" t="s">
        <v>153</v>
      </c>
      <c r="F105" s="43">
        <v>32</v>
      </c>
      <c r="G105" s="49">
        <v>31</v>
      </c>
      <c r="H105" s="68">
        <v>1</v>
      </c>
      <c r="I105" s="78">
        <f t="shared" si="24"/>
        <v>31</v>
      </c>
      <c r="J105" s="69">
        <v>3.0834999999999999</v>
      </c>
      <c r="K105" s="70">
        <f t="shared" si="12"/>
        <v>95.588499999999996</v>
      </c>
      <c r="L105" s="67">
        <f t="shared" si="114"/>
        <v>1</v>
      </c>
      <c r="M105" s="68">
        <v>1</v>
      </c>
      <c r="N105" s="67">
        <f t="shared" si="49"/>
        <v>1</v>
      </c>
      <c r="O105" s="69">
        <v>6.6799999999999998E-2</v>
      </c>
      <c r="P105" s="70">
        <f t="shared" si="5"/>
        <v>6.6799999999999998E-2</v>
      </c>
      <c r="Q105" s="70">
        <f t="shared" si="13"/>
        <v>95.655299999999997</v>
      </c>
      <c r="R105" s="72">
        <v>38.11</v>
      </c>
      <c r="S105" s="72">
        <f t="shared" si="66"/>
        <v>4848.4132323900003</v>
      </c>
    </row>
    <row r="106" spans="1:19" ht="27.6" x14ac:dyDescent="0.3">
      <c r="A106" s="151"/>
      <c r="B106" s="155"/>
      <c r="C106" s="66" t="s">
        <v>156</v>
      </c>
      <c r="D106" s="109" t="s">
        <v>131</v>
      </c>
      <c r="E106" s="95" t="s">
        <v>132</v>
      </c>
      <c r="F106" s="43">
        <v>31</v>
      </c>
      <c r="G106" s="43">
        <v>31</v>
      </c>
      <c r="H106" s="68">
        <v>1</v>
      </c>
      <c r="I106" s="75">
        <f>G106*H106</f>
        <v>31</v>
      </c>
      <c r="J106" s="69">
        <v>2</v>
      </c>
      <c r="K106" s="70">
        <f>I106*J106</f>
        <v>62</v>
      </c>
      <c r="L106" s="67">
        <f t="shared" si="114"/>
        <v>0</v>
      </c>
      <c r="M106" s="68">
        <v>0</v>
      </c>
      <c r="N106" s="67">
        <f>L106*M106</f>
        <v>0</v>
      </c>
      <c r="O106" s="69">
        <v>6.6799999999999998E-2</v>
      </c>
      <c r="P106" s="70">
        <f>N106*O106</f>
        <v>0</v>
      </c>
      <c r="Q106" s="70">
        <f>K106+P106</f>
        <v>62</v>
      </c>
      <c r="R106" s="72">
        <v>38.11</v>
      </c>
      <c r="S106" s="72">
        <f t="shared" si="66"/>
        <v>3142.5506000000005</v>
      </c>
    </row>
    <row r="107" spans="1:19" ht="42.6" customHeight="1" x14ac:dyDescent="0.3">
      <c r="A107" s="151"/>
      <c r="B107" s="155" t="s">
        <v>179</v>
      </c>
      <c r="C107" s="66" t="s">
        <v>160</v>
      </c>
      <c r="D107" s="109" t="s">
        <v>165</v>
      </c>
      <c r="E107" s="95" t="s">
        <v>151</v>
      </c>
      <c r="F107" s="43">
        <v>3</v>
      </c>
      <c r="G107" s="43">
        <v>3</v>
      </c>
      <c r="H107" s="68">
        <v>1</v>
      </c>
      <c r="I107" s="75">
        <f>G107*H107</f>
        <v>3</v>
      </c>
      <c r="J107" s="69">
        <v>5.0099999999999999E-2</v>
      </c>
      <c r="K107" s="70">
        <f>I107*J107</f>
        <v>0.15029999999999999</v>
      </c>
      <c r="L107" s="67">
        <f t="shared" si="114"/>
        <v>0</v>
      </c>
      <c r="M107" s="68">
        <v>0</v>
      </c>
      <c r="N107" s="67">
        <f>L107*M107</f>
        <v>0</v>
      </c>
      <c r="O107" s="69">
        <v>2.23E-2</v>
      </c>
      <c r="P107" s="70">
        <f t="shared" si="5"/>
        <v>0</v>
      </c>
      <c r="Q107" s="70">
        <f>K107+P107</f>
        <v>0.15029999999999999</v>
      </c>
      <c r="R107" s="72">
        <v>39</v>
      </c>
      <c r="S107" s="72">
        <f t="shared" si="66"/>
        <v>7.7960609999999999</v>
      </c>
    </row>
    <row r="108" spans="1:19" ht="41.55" customHeight="1" x14ac:dyDescent="0.3">
      <c r="A108" s="151"/>
      <c r="B108" s="155"/>
      <c r="C108" s="66" t="s">
        <v>180</v>
      </c>
      <c r="D108" s="113" t="s">
        <v>167</v>
      </c>
      <c r="E108" s="142" t="s">
        <v>153</v>
      </c>
      <c r="F108" s="43">
        <v>3</v>
      </c>
      <c r="G108" s="49">
        <v>3</v>
      </c>
      <c r="H108" s="68">
        <v>1</v>
      </c>
      <c r="I108" s="78">
        <f t="shared" si="24"/>
        <v>3</v>
      </c>
      <c r="J108" s="69">
        <v>1.5</v>
      </c>
      <c r="K108" s="70">
        <f t="shared" si="12"/>
        <v>4.5</v>
      </c>
      <c r="L108" s="67">
        <f t="shared" si="114"/>
        <v>0</v>
      </c>
      <c r="M108" s="68">
        <v>0</v>
      </c>
      <c r="N108" s="67">
        <f t="shared" si="49"/>
        <v>0</v>
      </c>
      <c r="O108" s="69">
        <v>6.6799999999999998E-2</v>
      </c>
      <c r="P108" s="70">
        <f t="shared" si="5"/>
        <v>0</v>
      </c>
      <c r="Q108" s="70">
        <f t="shared" si="13"/>
        <v>4.5</v>
      </c>
      <c r="R108" s="72">
        <v>39</v>
      </c>
      <c r="S108" s="72">
        <f t="shared" si="66"/>
        <v>233.41500000000002</v>
      </c>
    </row>
    <row r="109" spans="1:19" ht="27.6" x14ac:dyDescent="0.3">
      <c r="A109" s="151"/>
      <c r="B109" s="155"/>
      <c r="C109" s="66" t="s">
        <v>172</v>
      </c>
      <c r="D109" s="109" t="s">
        <v>173</v>
      </c>
      <c r="E109" s="95" t="s">
        <v>132</v>
      </c>
      <c r="F109" s="43">
        <v>3</v>
      </c>
      <c r="G109" s="43">
        <v>3</v>
      </c>
      <c r="H109" s="68">
        <v>1</v>
      </c>
      <c r="I109" s="75">
        <f t="shared" si="24"/>
        <v>3</v>
      </c>
      <c r="J109" s="69">
        <v>1.75</v>
      </c>
      <c r="K109" s="70">
        <f t="shared" si="12"/>
        <v>5.25</v>
      </c>
      <c r="L109" s="67">
        <f t="shared" si="114"/>
        <v>0</v>
      </c>
      <c r="M109" s="68">
        <v>0</v>
      </c>
      <c r="N109" s="67">
        <f t="shared" si="49"/>
        <v>0</v>
      </c>
      <c r="O109" s="69">
        <v>6.6799999999999998E-2</v>
      </c>
      <c r="P109" s="70">
        <f t="shared" si="5"/>
        <v>0</v>
      </c>
      <c r="Q109" s="70">
        <f t="shared" si="13"/>
        <v>5.25</v>
      </c>
      <c r="R109" s="72">
        <v>39</v>
      </c>
      <c r="S109" s="72">
        <f t="shared" si="66"/>
        <v>272.3175</v>
      </c>
    </row>
    <row r="110" spans="1:19" ht="46.8" customHeight="1" x14ac:dyDescent="0.3">
      <c r="A110" s="151"/>
      <c r="B110" s="108"/>
      <c r="C110" s="108"/>
      <c r="D110" s="108"/>
      <c r="E110" s="63" t="s">
        <v>181</v>
      </c>
      <c r="F110" s="80">
        <f>SUM(F5,F10,F15,F18,F21,F25,F29,F33,F34,F36,F51,F65,F73,F87,F102,F105,F108)</f>
        <v>2959</v>
      </c>
      <c r="G110" s="80">
        <f xml:space="preserve"> SUM(G5,G10, G15, G18, G21, G25, G29, G33, G34, G36, G51, G65, G73, G87, G102, G105, G108)</f>
        <v>2238</v>
      </c>
      <c r="H110" s="81">
        <f>I110/G110</f>
        <v>10.829222520107239</v>
      </c>
      <c r="I110" s="80">
        <f>SUM(I4:I109)</f>
        <v>24235.8</v>
      </c>
      <c r="J110" s="82">
        <f>K110/I110</f>
        <v>0.40960543906122343</v>
      </c>
      <c r="K110" s="83">
        <f>SUM(K4:K109)</f>
        <v>9927.1154999999981</v>
      </c>
      <c r="L110" s="80">
        <f xml:space="preserve"> SUM(L5,L10, L15, L18, L21, L25, L29, L33, L34, L36, L51, L65, L73, L87, L102, L105, L108)</f>
        <v>721</v>
      </c>
      <c r="M110" s="81">
        <f>N110/L110</f>
        <v>9.2887656033287094</v>
      </c>
      <c r="N110" s="80">
        <f>SUM(N4:N109)</f>
        <v>6697.2</v>
      </c>
      <c r="O110" s="82">
        <f>P110/N110</f>
        <v>3.4940655796452245E-2</v>
      </c>
      <c r="P110" s="83">
        <f>SUM(P4:P109)</f>
        <v>234.00455999999997</v>
      </c>
      <c r="Q110" s="81">
        <f>P110+K110</f>
        <v>10161.120059999997</v>
      </c>
      <c r="R110" s="84" t="s">
        <v>182</v>
      </c>
      <c r="S110" s="85">
        <f>SUM(S4:S109)</f>
        <v>648548.75371955207</v>
      </c>
    </row>
    <row r="111" spans="1:19" ht="46.8" customHeight="1" x14ac:dyDescent="0.3">
      <c r="A111" s="151"/>
      <c r="B111" s="50" t="s">
        <v>183</v>
      </c>
      <c r="C111" s="66" t="s">
        <v>184</v>
      </c>
      <c r="D111" s="109" t="s">
        <v>48</v>
      </c>
      <c r="E111" s="97" t="s">
        <v>49</v>
      </c>
      <c r="F111" s="67">
        <v>1</v>
      </c>
      <c r="G111" s="67">
        <v>1</v>
      </c>
      <c r="H111" s="68">
        <v>1</v>
      </c>
      <c r="I111" s="67">
        <f t="shared" si="24"/>
        <v>1</v>
      </c>
      <c r="J111" s="69">
        <v>3.25</v>
      </c>
      <c r="K111" s="70">
        <f t="shared" si="12"/>
        <v>3.25</v>
      </c>
      <c r="L111" s="67">
        <f>F111-G111</f>
        <v>0</v>
      </c>
      <c r="M111" s="68">
        <v>0</v>
      </c>
      <c r="N111" s="67">
        <f t="shared" si="49"/>
        <v>0</v>
      </c>
      <c r="O111" s="69">
        <v>2.23E-2</v>
      </c>
      <c r="P111" s="70">
        <f t="shared" si="5"/>
        <v>0</v>
      </c>
      <c r="Q111" s="70">
        <f t="shared" si="13"/>
        <v>3.25</v>
      </c>
      <c r="R111" s="72">
        <v>32.270000000000003</v>
      </c>
      <c r="S111" s="72">
        <f t="shared" si="66"/>
        <v>139.48707500000003</v>
      </c>
    </row>
    <row r="112" spans="1:19" ht="41.4" x14ac:dyDescent="0.3">
      <c r="A112" s="151"/>
      <c r="B112" s="155" t="s">
        <v>185</v>
      </c>
      <c r="C112" s="66" t="s">
        <v>186</v>
      </c>
      <c r="D112" s="109" t="s">
        <v>188</v>
      </c>
      <c r="E112" s="96" t="s">
        <v>189</v>
      </c>
      <c r="F112" s="43">
        <v>1228</v>
      </c>
      <c r="G112" s="67">
        <v>1161</v>
      </c>
      <c r="H112" s="68">
        <v>1</v>
      </c>
      <c r="I112" s="67">
        <f t="shared" si="24"/>
        <v>1161</v>
      </c>
      <c r="J112" s="69">
        <v>0.1336</v>
      </c>
      <c r="K112" s="70">
        <f t="shared" si="12"/>
        <v>155.1096</v>
      </c>
      <c r="L112" s="67">
        <f>F112-G112</f>
        <v>67</v>
      </c>
      <c r="M112" s="68">
        <v>1</v>
      </c>
      <c r="N112" s="67">
        <f t="shared" si="49"/>
        <v>67</v>
      </c>
      <c r="O112" s="69">
        <v>2.23E-2</v>
      </c>
      <c r="P112" s="70">
        <f t="shared" si="5"/>
        <v>1.4941</v>
      </c>
      <c r="Q112" s="70">
        <f t="shared" si="13"/>
        <v>156.6037</v>
      </c>
      <c r="R112" s="72">
        <v>32.270000000000003</v>
      </c>
      <c r="S112" s="72">
        <f t="shared" si="66"/>
        <v>6721.2898606700019</v>
      </c>
    </row>
    <row r="113" spans="1:19" ht="41.4" x14ac:dyDescent="0.3">
      <c r="A113" s="151"/>
      <c r="B113" s="155"/>
      <c r="C113" s="66" t="s">
        <v>190</v>
      </c>
      <c r="D113" s="109" t="s">
        <v>44</v>
      </c>
      <c r="E113" s="95" t="s">
        <v>110</v>
      </c>
      <c r="F113" s="43">
        <v>1228</v>
      </c>
      <c r="G113" s="67">
        <v>1161</v>
      </c>
      <c r="H113" s="68">
        <v>1</v>
      </c>
      <c r="I113" s="67">
        <f>G113*H113</f>
        <v>1161</v>
      </c>
      <c r="J113" s="69">
        <v>5.0099999999999999E-2</v>
      </c>
      <c r="K113" s="70">
        <f>I113*J113</f>
        <v>58.1661</v>
      </c>
      <c r="L113" s="67">
        <f t="shared" ref="L113:L114" si="116">F113-G113</f>
        <v>67</v>
      </c>
      <c r="M113" s="68">
        <v>1</v>
      </c>
      <c r="N113" s="67">
        <f>L113*M113</f>
        <v>67</v>
      </c>
      <c r="O113" s="69">
        <v>2.23E-2</v>
      </c>
      <c r="P113" s="70">
        <f>N113*O113</f>
        <v>1.4941</v>
      </c>
      <c r="Q113" s="70">
        <f>K113+P113</f>
        <v>59.660200000000003</v>
      </c>
      <c r="R113" s="72">
        <v>32.270000000000003</v>
      </c>
      <c r="S113" s="72">
        <f t="shared" si="66"/>
        <v>2560.5620898200004</v>
      </c>
    </row>
    <row r="114" spans="1:19" ht="27.6" x14ac:dyDescent="0.3">
      <c r="A114" s="151"/>
      <c r="B114" s="155"/>
      <c r="C114" s="66" t="s">
        <v>191</v>
      </c>
      <c r="D114" s="109" t="s">
        <v>192</v>
      </c>
      <c r="E114" s="141" t="s">
        <v>193</v>
      </c>
      <c r="F114" s="67">
        <v>1228</v>
      </c>
      <c r="G114" s="67">
        <v>1161</v>
      </c>
      <c r="H114" s="68">
        <v>1</v>
      </c>
      <c r="I114" s="86">
        <f>G114*H114</f>
        <v>1161</v>
      </c>
      <c r="J114" s="69">
        <v>0.33400000000000002</v>
      </c>
      <c r="K114" s="70">
        <f>I114*J114</f>
        <v>387.774</v>
      </c>
      <c r="L114" s="67">
        <f t="shared" si="116"/>
        <v>67</v>
      </c>
      <c r="M114" s="68">
        <v>1</v>
      </c>
      <c r="N114" s="67">
        <f>L114*M114</f>
        <v>67</v>
      </c>
      <c r="O114" s="69">
        <v>2.23E-2</v>
      </c>
      <c r="P114" s="70">
        <f>N114*O114</f>
        <v>1.4941</v>
      </c>
      <c r="Q114" s="70">
        <f>K114+P114</f>
        <v>389.2681</v>
      </c>
      <c r="R114" s="72">
        <v>32.270000000000003</v>
      </c>
      <c r="S114" s="72">
        <f t="shared" si="66"/>
        <v>16707.036510710001</v>
      </c>
    </row>
    <row r="115" spans="1:19" x14ac:dyDescent="0.3">
      <c r="A115" s="151"/>
      <c r="B115" s="155" t="s">
        <v>194</v>
      </c>
      <c r="C115" s="66" t="s">
        <v>195</v>
      </c>
      <c r="D115" s="109" t="s">
        <v>196</v>
      </c>
      <c r="E115" s="141" t="s">
        <v>197</v>
      </c>
      <c r="F115" s="43">
        <v>279</v>
      </c>
      <c r="G115" s="79">
        <v>265</v>
      </c>
      <c r="H115" s="68">
        <v>1</v>
      </c>
      <c r="I115" s="78">
        <f>G115*H115</f>
        <v>265</v>
      </c>
      <c r="J115" s="69">
        <v>9</v>
      </c>
      <c r="K115" s="70">
        <f>I115*J115</f>
        <v>2385</v>
      </c>
      <c r="L115" s="67">
        <f t="shared" ref="L115:L129" si="117">F115-G115</f>
        <v>14</v>
      </c>
      <c r="M115" s="68">
        <v>1</v>
      </c>
      <c r="N115" s="67">
        <f>L115*M115</f>
        <v>14</v>
      </c>
      <c r="O115" s="69">
        <v>6.6799999999999998E-2</v>
      </c>
      <c r="P115" s="70">
        <f>N115*O115</f>
        <v>0.93520000000000003</v>
      </c>
      <c r="Q115" s="70">
        <f>K115+P115</f>
        <v>2385.9351999999999</v>
      </c>
      <c r="R115" s="72">
        <v>32.270000000000003</v>
      </c>
      <c r="S115" s="72">
        <f t="shared" si="66"/>
        <v>102402.19144232001</v>
      </c>
    </row>
    <row r="116" spans="1:19" ht="41.4" x14ac:dyDescent="0.3">
      <c r="A116" s="151"/>
      <c r="B116" s="155"/>
      <c r="C116" s="66" t="s">
        <v>198</v>
      </c>
      <c r="D116" s="109" t="s">
        <v>199</v>
      </c>
      <c r="E116" s="141" t="s">
        <v>200</v>
      </c>
      <c r="F116" s="43">
        <v>279</v>
      </c>
      <c r="G116" s="67">
        <v>265</v>
      </c>
      <c r="H116" s="68">
        <v>1</v>
      </c>
      <c r="I116" s="78">
        <f t="shared" ref="I116" si="118">G116*H116</f>
        <v>265</v>
      </c>
      <c r="J116" s="69">
        <v>0.33400000000000002</v>
      </c>
      <c r="K116" s="70">
        <f t="shared" ref="K116:K117" si="119">I116*J116</f>
        <v>88.51</v>
      </c>
      <c r="L116" s="67">
        <f t="shared" si="117"/>
        <v>14</v>
      </c>
      <c r="M116" s="68">
        <v>1</v>
      </c>
      <c r="N116" s="67">
        <f t="shared" ref="N116:N117" si="120">L116*M116</f>
        <v>14</v>
      </c>
      <c r="O116" s="69">
        <v>2.23E-2</v>
      </c>
      <c r="P116" s="70">
        <f t="shared" ref="P116:P117" si="121">N116*O116</f>
        <v>0.31220000000000003</v>
      </c>
      <c r="Q116" s="70">
        <f t="shared" ref="Q116:Q117" si="122">K116+P116</f>
        <v>88.822200000000009</v>
      </c>
      <c r="R116" s="72">
        <v>32.270000000000003</v>
      </c>
      <c r="S116" s="72">
        <f t="shared" si="66"/>
        <v>3812.1688840200009</v>
      </c>
    </row>
    <row r="117" spans="1:19" ht="55.2" x14ac:dyDescent="0.3">
      <c r="A117" s="151"/>
      <c r="B117" s="155"/>
      <c r="C117" s="66" t="s">
        <v>201</v>
      </c>
      <c r="D117" s="109" t="s">
        <v>509</v>
      </c>
      <c r="E117" s="95" t="s">
        <v>202</v>
      </c>
      <c r="F117" s="43">
        <v>279</v>
      </c>
      <c r="G117" s="67">
        <v>265</v>
      </c>
      <c r="H117" s="68">
        <v>1</v>
      </c>
      <c r="I117" s="75">
        <f>G117*H117</f>
        <v>265</v>
      </c>
      <c r="J117" s="69">
        <v>1.5</v>
      </c>
      <c r="K117" s="70">
        <f t="shared" si="119"/>
        <v>397.5</v>
      </c>
      <c r="L117" s="67">
        <f t="shared" si="117"/>
        <v>14</v>
      </c>
      <c r="M117" s="68">
        <v>1</v>
      </c>
      <c r="N117" s="67">
        <f t="shared" si="120"/>
        <v>14</v>
      </c>
      <c r="O117" s="69">
        <v>2.23E-2</v>
      </c>
      <c r="P117" s="70">
        <f t="shared" si="121"/>
        <v>0.31220000000000003</v>
      </c>
      <c r="Q117" s="70">
        <f t="shared" si="122"/>
        <v>397.81220000000002</v>
      </c>
      <c r="R117" s="72">
        <v>32.270000000000003</v>
      </c>
      <c r="S117" s="72">
        <f t="shared" si="66"/>
        <v>17073.741593020004</v>
      </c>
    </row>
    <row r="118" spans="1:19" ht="26.55" customHeight="1" x14ac:dyDescent="0.3">
      <c r="A118" s="151"/>
      <c r="B118" s="155"/>
      <c r="C118" s="66" t="s">
        <v>203</v>
      </c>
      <c r="D118" s="109" t="s">
        <v>204</v>
      </c>
      <c r="E118" s="95" t="s">
        <v>205</v>
      </c>
      <c r="F118" s="43">
        <v>279</v>
      </c>
      <c r="G118" s="67">
        <v>252</v>
      </c>
      <c r="H118" s="68">
        <v>1</v>
      </c>
      <c r="I118" s="75">
        <f>G118*H118</f>
        <v>252</v>
      </c>
      <c r="J118" s="69">
        <v>0.16700000000000001</v>
      </c>
      <c r="K118" s="70">
        <f>I118*J118</f>
        <v>42.084000000000003</v>
      </c>
      <c r="L118" s="67">
        <f>F118-G118</f>
        <v>27</v>
      </c>
      <c r="M118" s="68">
        <v>1</v>
      </c>
      <c r="N118" s="67">
        <f>L118*M118</f>
        <v>27</v>
      </c>
      <c r="O118" s="69">
        <v>2.23E-2</v>
      </c>
      <c r="P118" s="70">
        <f>N118*O118</f>
        <v>0.60209999999999997</v>
      </c>
      <c r="Q118" s="70">
        <f>K118+P118</f>
        <v>42.686100000000003</v>
      </c>
      <c r="R118" s="72">
        <v>32.270000000000003</v>
      </c>
      <c r="S118" s="72">
        <f t="shared" si="66"/>
        <v>1832.0489945100003</v>
      </c>
    </row>
    <row r="119" spans="1:19" ht="27.6" x14ac:dyDescent="0.3">
      <c r="A119" s="151"/>
      <c r="B119" s="155"/>
      <c r="C119" s="66" t="s">
        <v>206</v>
      </c>
      <c r="D119" s="109" t="s">
        <v>207</v>
      </c>
      <c r="E119" s="141" t="s">
        <v>208</v>
      </c>
      <c r="F119" s="43">
        <v>279</v>
      </c>
      <c r="G119" s="67">
        <v>265</v>
      </c>
      <c r="H119" s="68">
        <v>1</v>
      </c>
      <c r="I119" s="75">
        <f>G119*H119</f>
        <v>265</v>
      </c>
      <c r="J119" s="69">
        <v>8.3500000000000005E-2</v>
      </c>
      <c r="K119" s="70">
        <f>I119*J119</f>
        <v>22.127500000000001</v>
      </c>
      <c r="L119" s="67">
        <f t="shared" si="117"/>
        <v>14</v>
      </c>
      <c r="M119" s="68">
        <v>1</v>
      </c>
      <c r="N119" s="67">
        <f>L119*M119</f>
        <v>14</v>
      </c>
      <c r="O119" s="69">
        <v>2.23E-2</v>
      </c>
      <c r="P119" s="70">
        <f>N119*O119</f>
        <v>0.31220000000000003</v>
      </c>
      <c r="Q119" s="70">
        <f>K119+P119</f>
        <v>22.439700000000002</v>
      </c>
      <c r="R119" s="72">
        <v>32.270000000000003</v>
      </c>
      <c r="S119" s="72">
        <f t="shared" si="66"/>
        <v>963.09172827000032</v>
      </c>
    </row>
    <row r="120" spans="1:19" x14ac:dyDescent="0.3">
      <c r="A120" s="151"/>
      <c r="B120" s="155" t="s">
        <v>209</v>
      </c>
      <c r="C120" s="92" t="s">
        <v>210</v>
      </c>
      <c r="D120" s="109" t="s">
        <v>510</v>
      </c>
      <c r="E120" s="141" t="s">
        <v>211</v>
      </c>
      <c r="F120" s="43">
        <v>111</v>
      </c>
      <c r="G120" s="79">
        <v>100</v>
      </c>
      <c r="H120" s="68">
        <v>1</v>
      </c>
      <c r="I120" s="75">
        <f t="shared" ref="I120:I123" si="123">G120*H120</f>
        <v>100</v>
      </c>
      <c r="J120" s="69">
        <v>0.5</v>
      </c>
      <c r="K120" s="70">
        <f t="shared" ref="K120:K123" si="124">I120*J120</f>
        <v>50</v>
      </c>
      <c r="L120" s="67">
        <f t="shared" si="117"/>
        <v>11</v>
      </c>
      <c r="M120" s="68">
        <v>1</v>
      </c>
      <c r="N120" s="67">
        <f t="shared" ref="N120:N123" si="125">L120*M120</f>
        <v>11</v>
      </c>
      <c r="O120" s="69">
        <v>6.6799999999999998E-2</v>
      </c>
      <c r="P120" s="70">
        <f t="shared" ref="P120:P123" si="126">N120*O120</f>
        <v>0.73480000000000001</v>
      </c>
      <c r="Q120" s="70">
        <f t="shared" ref="Q120:Q123" si="127">K120+P120</f>
        <v>50.7348</v>
      </c>
      <c r="R120" s="72">
        <v>32.270000000000003</v>
      </c>
      <c r="S120" s="72">
        <f t="shared" si="66"/>
        <v>2177.4919546800006</v>
      </c>
    </row>
    <row r="121" spans="1:19" ht="41.4" x14ac:dyDescent="0.3">
      <c r="A121" s="151"/>
      <c r="B121" s="155"/>
      <c r="C121" s="66" t="s">
        <v>212</v>
      </c>
      <c r="D121" s="109" t="s">
        <v>213</v>
      </c>
      <c r="E121" s="95" t="s">
        <v>511</v>
      </c>
      <c r="F121" s="43">
        <v>111</v>
      </c>
      <c r="G121" s="67">
        <v>100</v>
      </c>
      <c r="H121" s="68">
        <v>1</v>
      </c>
      <c r="I121" s="78">
        <f t="shared" si="123"/>
        <v>100</v>
      </c>
      <c r="J121" s="69">
        <v>0.5</v>
      </c>
      <c r="K121" s="70">
        <f t="shared" si="124"/>
        <v>50</v>
      </c>
      <c r="L121" s="67">
        <f t="shared" si="117"/>
        <v>11</v>
      </c>
      <c r="M121" s="68">
        <v>1</v>
      </c>
      <c r="N121" s="67">
        <f t="shared" si="125"/>
        <v>11</v>
      </c>
      <c r="O121" s="69">
        <v>2.23E-2</v>
      </c>
      <c r="P121" s="70">
        <f t="shared" si="126"/>
        <v>0.24530000000000002</v>
      </c>
      <c r="Q121" s="70">
        <f t="shared" si="127"/>
        <v>50.2453</v>
      </c>
      <c r="R121" s="72">
        <v>32.270000000000003</v>
      </c>
      <c r="S121" s="72">
        <f t="shared" si="66"/>
        <v>2156.4830552300004</v>
      </c>
    </row>
    <row r="122" spans="1:19" ht="27.6" x14ac:dyDescent="0.3">
      <c r="A122" s="151"/>
      <c r="B122" s="155"/>
      <c r="C122" s="66" t="s">
        <v>214</v>
      </c>
      <c r="D122" s="109" t="s">
        <v>204</v>
      </c>
      <c r="E122" s="95" t="s">
        <v>205</v>
      </c>
      <c r="F122" s="43">
        <v>111</v>
      </c>
      <c r="G122" s="67">
        <v>100</v>
      </c>
      <c r="H122" s="68">
        <v>1</v>
      </c>
      <c r="I122" s="75">
        <f t="shared" si="123"/>
        <v>100</v>
      </c>
      <c r="J122" s="69">
        <v>0.16700000000000001</v>
      </c>
      <c r="K122" s="70">
        <f t="shared" si="124"/>
        <v>16.7</v>
      </c>
      <c r="L122" s="67">
        <f t="shared" si="117"/>
        <v>11</v>
      </c>
      <c r="M122" s="68">
        <v>1</v>
      </c>
      <c r="N122" s="67">
        <f t="shared" si="125"/>
        <v>11</v>
      </c>
      <c r="O122" s="69">
        <v>2.23E-2</v>
      </c>
      <c r="P122" s="70">
        <f t="shared" si="126"/>
        <v>0.24530000000000002</v>
      </c>
      <c r="Q122" s="70">
        <f t="shared" si="127"/>
        <v>16.9453</v>
      </c>
      <c r="R122" s="72">
        <v>32.270000000000003</v>
      </c>
      <c r="S122" s="72">
        <f t="shared" si="66"/>
        <v>727.27702523000005</v>
      </c>
    </row>
    <row r="123" spans="1:19" ht="27.6" x14ac:dyDescent="0.3">
      <c r="A123" s="151"/>
      <c r="B123" s="155"/>
      <c r="C123" s="66" t="s">
        <v>215</v>
      </c>
      <c r="D123" s="109" t="s">
        <v>207</v>
      </c>
      <c r="E123" s="95" t="s">
        <v>208</v>
      </c>
      <c r="F123" s="43">
        <v>111</v>
      </c>
      <c r="G123" s="67">
        <v>100</v>
      </c>
      <c r="H123" s="68">
        <v>1</v>
      </c>
      <c r="I123" s="75">
        <f t="shared" si="123"/>
        <v>100</v>
      </c>
      <c r="J123" s="69">
        <v>8.3500000000000005E-2</v>
      </c>
      <c r="K123" s="70">
        <f t="shared" si="124"/>
        <v>8.35</v>
      </c>
      <c r="L123" s="67">
        <f t="shared" si="117"/>
        <v>11</v>
      </c>
      <c r="M123" s="68">
        <v>1</v>
      </c>
      <c r="N123" s="67">
        <f t="shared" si="125"/>
        <v>11</v>
      </c>
      <c r="O123" s="69">
        <v>2.23E-2</v>
      </c>
      <c r="P123" s="70">
        <f t="shared" si="126"/>
        <v>0.24530000000000002</v>
      </c>
      <c r="Q123" s="70">
        <f t="shared" si="127"/>
        <v>8.5952999999999999</v>
      </c>
      <c r="R123" s="72">
        <v>32.270000000000003</v>
      </c>
      <c r="S123" s="72">
        <f t="shared" si="66"/>
        <v>368.90254023000006</v>
      </c>
    </row>
    <row r="124" spans="1:19" ht="27.6" x14ac:dyDescent="0.3">
      <c r="A124" s="151"/>
      <c r="B124" s="155" t="s">
        <v>216</v>
      </c>
      <c r="C124" s="66" t="s">
        <v>217</v>
      </c>
      <c r="D124" s="109" t="s">
        <v>109</v>
      </c>
      <c r="E124" s="141" t="s">
        <v>218</v>
      </c>
      <c r="F124" s="43">
        <v>838</v>
      </c>
      <c r="G124" s="67">
        <v>796</v>
      </c>
      <c r="H124" s="68">
        <v>1</v>
      </c>
      <c r="I124" s="78">
        <f>G124*H124</f>
        <v>796</v>
      </c>
      <c r="J124" s="69">
        <v>0.25</v>
      </c>
      <c r="K124" s="70">
        <f>I124*J124</f>
        <v>199</v>
      </c>
      <c r="L124" s="67">
        <f>F124-G124</f>
        <v>42</v>
      </c>
      <c r="M124" s="68">
        <v>1</v>
      </c>
      <c r="N124" s="67">
        <f>L124*M124</f>
        <v>42</v>
      </c>
      <c r="O124" s="69">
        <v>6.6799999999999998E-2</v>
      </c>
      <c r="P124" s="70">
        <f>N124*O124</f>
        <v>2.8056000000000001</v>
      </c>
      <c r="Q124" s="70">
        <f>K124+P124</f>
        <v>201.8056</v>
      </c>
      <c r="R124" s="72">
        <v>32.270000000000003</v>
      </c>
      <c r="S124" s="72">
        <f t="shared" si="66"/>
        <v>8661.3147269600013</v>
      </c>
    </row>
    <row r="125" spans="1:19" ht="29.1" customHeight="1" x14ac:dyDescent="0.3">
      <c r="A125" s="151"/>
      <c r="B125" s="155"/>
      <c r="C125" s="66" t="s">
        <v>219</v>
      </c>
      <c r="D125" s="109" t="s">
        <v>196</v>
      </c>
      <c r="E125" s="141" t="s">
        <v>197</v>
      </c>
      <c r="F125" s="43">
        <v>838</v>
      </c>
      <c r="G125" s="79">
        <v>796</v>
      </c>
      <c r="H125" s="68">
        <v>1</v>
      </c>
      <c r="I125" s="78">
        <f>G125*H125</f>
        <v>796</v>
      </c>
      <c r="J125" s="69">
        <v>9</v>
      </c>
      <c r="K125" s="70">
        <f>I125*J125</f>
        <v>7164</v>
      </c>
      <c r="L125" s="67">
        <f t="shared" si="117"/>
        <v>42</v>
      </c>
      <c r="M125" s="68">
        <v>1</v>
      </c>
      <c r="N125" s="67">
        <f>L125*M125</f>
        <v>42</v>
      </c>
      <c r="O125" s="69">
        <v>6.6799999999999998E-2</v>
      </c>
      <c r="P125" s="70">
        <f>N125*O125</f>
        <v>2.8056000000000001</v>
      </c>
      <c r="Q125" s="70">
        <f>K125+P125</f>
        <v>7166.8055999999997</v>
      </c>
      <c r="R125" s="72">
        <v>32.270000000000003</v>
      </c>
      <c r="S125" s="72">
        <f t="shared" si="66"/>
        <v>307592.84622696001</v>
      </c>
    </row>
    <row r="126" spans="1:19" ht="39" customHeight="1" x14ac:dyDescent="0.3">
      <c r="A126" s="151"/>
      <c r="B126" s="155"/>
      <c r="C126" s="66" t="s">
        <v>220</v>
      </c>
      <c r="D126" s="109" t="s">
        <v>199</v>
      </c>
      <c r="E126" s="141" t="s">
        <v>200</v>
      </c>
      <c r="F126" s="43">
        <v>838</v>
      </c>
      <c r="G126" s="67">
        <v>796</v>
      </c>
      <c r="H126" s="68">
        <v>1</v>
      </c>
      <c r="I126" s="78">
        <f t="shared" ref="I126:I127" si="128">G126*H126</f>
        <v>796</v>
      </c>
      <c r="J126" s="69">
        <v>0.33400000000000002</v>
      </c>
      <c r="K126" s="70">
        <f t="shared" ref="K126:K127" si="129">I126*J126</f>
        <v>265.86400000000003</v>
      </c>
      <c r="L126" s="67">
        <f t="shared" si="117"/>
        <v>42</v>
      </c>
      <c r="M126" s="68">
        <v>1</v>
      </c>
      <c r="N126" s="67">
        <f t="shared" ref="N126:N127" si="130">L126*M126</f>
        <v>42</v>
      </c>
      <c r="O126" s="69">
        <v>2.23E-2</v>
      </c>
      <c r="P126" s="70">
        <f t="shared" ref="P126:P127" si="131">N126*O126</f>
        <v>0.93659999999999999</v>
      </c>
      <c r="Q126" s="70">
        <f t="shared" ref="Q126:Q127" si="132">K126+P126</f>
        <v>266.80060000000003</v>
      </c>
      <c r="R126" s="72">
        <v>32.270000000000003</v>
      </c>
      <c r="S126" s="72">
        <f t="shared" si="66"/>
        <v>11450.841631460002</v>
      </c>
    </row>
    <row r="127" spans="1:19" ht="39" customHeight="1" x14ac:dyDescent="0.3">
      <c r="A127" s="151"/>
      <c r="B127" s="155"/>
      <c r="C127" s="66" t="s">
        <v>221</v>
      </c>
      <c r="D127" s="109" t="s">
        <v>509</v>
      </c>
      <c r="E127" s="95" t="s">
        <v>202</v>
      </c>
      <c r="F127" s="43">
        <v>838</v>
      </c>
      <c r="G127" s="67">
        <v>796</v>
      </c>
      <c r="H127" s="68">
        <v>1</v>
      </c>
      <c r="I127" s="78">
        <f t="shared" si="128"/>
        <v>796</v>
      </c>
      <c r="J127" s="69">
        <v>1.5</v>
      </c>
      <c r="K127" s="70">
        <f t="shared" si="129"/>
        <v>1194</v>
      </c>
      <c r="L127" s="67">
        <f t="shared" si="117"/>
        <v>42</v>
      </c>
      <c r="M127" s="68">
        <v>1</v>
      </c>
      <c r="N127" s="67">
        <f t="shared" si="130"/>
        <v>42</v>
      </c>
      <c r="O127" s="69">
        <v>2.23E-2</v>
      </c>
      <c r="P127" s="70">
        <f t="shared" si="131"/>
        <v>0.93659999999999999</v>
      </c>
      <c r="Q127" s="70">
        <f t="shared" si="132"/>
        <v>1194.9366</v>
      </c>
      <c r="R127" s="72">
        <v>32.270000000000003</v>
      </c>
      <c r="S127" s="72">
        <f t="shared" si="66"/>
        <v>51285.603429060007</v>
      </c>
    </row>
    <row r="128" spans="1:19" x14ac:dyDescent="0.3">
      <c r="A128" s="151"/>
      <c r="B128" s="155"/>
      <c r="C128" s="66" t="s">
        <v>119</v>
      </c>
      <c r="D128" s="143" t="s">
        <v>222</v>
      </c>
      <c r="E128" s="95" t="s">
        <v>515</v>
      </c>
      <c r="F128" s="43">
        <v>838</v>
      </c>
      <c r="G128" s="67">
        <v>796</v>
      </c>
      <c r="H128" s="68">
        <v>1</v>
      </c>
      <c r="I128" s="78">
        <f>G128*H128</f>
        <v>796</v>
      </c>
      <c r="J128" s="69">
        <v>1.5</v>
      </c>
      <c r="K128" s="70">
        <f>I128*J128</f>
        <v>1194</v>
      </c>
      <c r="L128" s="67">
        <f t="shared" si="117"/>
        <v>42</v>
      </c>
      <c r="M128" s="68">
        <v>1</v>
      </c>
      <c r="N128" s="67">
        <f>L128*M128</f>
        <v>42</v>
      </c>
      <c r="O128" s="69">
        <v>6.6799999999999998E-2</v>
      </c>
      <c r="P128" s="70">
        <f>N128*O128</f>
        <v>2.8056000000000001</v>
      </c>
      <c r="Q128" s="70">
        <f>K128+P128</f>
        <v>1196.8055999999999</v>
      </c>
      <c r="R128" s="72">
        <v>32.270000000000003</v>
      </c>
      <c r="S128" s="72">
        <f t="shared" si="66"/>
        <v>51365.819226960004</v>
      </c>
    </row>
    <row r="129" spans="1:19" ht="39.75" customHeight="1" x14ac:dyDescent="0.3">
      <c r="A129" s="151"/>
      <c r="B129" s="155"/>
      <c r="C129" s="66" t="s">
        <v>223</v>
      </c>
      <c r="D129" s="109" t="s">
        <v>224</v>
      </c>
      <c r="E129" s="95" t="s">
        <v>512</v>
      </c>
      <c r="F129" s="43">
        <v>310</v>
      </c>
      <c r="G129" s="67">
        <v>310.06</v>
      </c>
      <c r="H129" s="68">
        <v>1</v>
      </c>
      <c r="I129" s="75">
        <f>G129*H129</f>
        <v>310.06</v>
      </c>
      <c r="J129" s="69">
        <v>0.16700000000000001</v>
      </c>
      <c r="K129" s="70">
        <f>I129*J129</f>
        <v>51.78002</v>
      </c>
      <c r="L129" s="67">
        <f t="shared" si="117"/>
        <v>-6.0000000000002274E-2</v>
      </c>
      <c r="M129" s="68">
        <v>0</v>
      </c>
      <c r="N129" s="67">
        <f>L129*M129</f>
        <v>0</v>
      </c>
      <c r="O129" s="69">
        <v>2.23E-2</v>
      </c>
      <c r="P129" s="70">
        <f>N129*O129</f>
        <v>0</v>
      </c>
      <c r="Q129" s="70">
        <f>K129+P129</f>
        <v>51.78002</v>
      </c>
      <c r="R129" s="72">
        <v>32.270000000000003</v>
      </c>
      <c r="S129" s="72">
        <f t="shared" si="66"/>
        <v>2222.3518563820003</v>
      </c>
    </row>
    <row r="130" spans="1:19" ht="27.6" x14ac:dyDescent="0.3">
      <c r="A130" s="151"/>
      <c r="B130" s="155"/>
      <c r="C130" s="66" t="s">
        <v>225</v>
      </c>
      <c r="D130" s="109" t="s">
        <v>226</v>
      </c>
      <c r="E130" s="95" t="s">
        <v>227</v>
      </c>
      <c r="F130" s="43">
        <v>150</v>
      </c>
      <c r="G130" s="67">
        <v>138</v>
      </c>
      <c r="H130" s="68">
        <v>1</v>
      </c>
      <c r="I130" s="75">
        <f>G130*H130</f>
        <v>138</v>
      </c>
      <c r="J130" s="69">
        <v>0.16700000000000001</v>
      </c>
      <c r="K130" s="70">
        <f>I130*J130</f>
        <v>23.046000000000003</v>
      </c>
      <c r="L130" s="67">
        <f t="shared" ref="L130:L133" si="133">F130-G130</f>
        <v>12</v>
      </c>
      <c r="M130" s="68">
        <v>1</v>
      </c>
      <c r="N130" s="67">
        <f>L130*M130</f>
        <v>12</v>
      </c>
      <c r="O130" s="69">
        <v>2.23E-2</v>
      </c>
      <c r="P130" s="70">
        <f>N130*O130</f>
        <v>0.2676</v>
      </c>
      <c r="Q130" s="70">
        <f>K130+P130</f>
        <v>23.313600000000005</v>
      </c>
      <c r="R130" s="72">
        <v>32.270000000000003</v>
      </c>
      <c r="S130" s="72">
        <f t="shared" si="66"/>
        <v>1000.5987297600004</v>
      </c>
    </row>
    <row r="131" spans="1:19" ht="41.4" x14ac:dyDescent="0.3">
      <c r="A131" s="151"/>
      <c r="B131" s="155" t="s">
        <v>228</v>
      </c>
      <c r="C131" s="66" t="s">
        <v>229</v>
      </c>
      <c r="D131" s="109" t="s">
        <v>230</v>
      </c>
      <c r="E131" s="96" t="s">
        <v>231</v>
      </c>
      <c r="F131" s="77">
        <v>145</v>
      </c>
      <c r="G131" s="67">
        <v>138</v>
      </c>
      <c r="H131" s="68">
        <v>1</v>
      </c>
      <c r="I131" s="75">
        <f t="shared" si="24"/>
        <v>138</v>
      </c>
      <c r="J131" s="69">
        <v>0.1336</v>
      </c>
      <c r="K131" s="70">
        <f t="shared" si="12"/>
        <v>18.436799999999998</v>
      </c>
      <c r="L131" s="67">
        <f t="shared" si="133"/>
        <v>7</v>
      </c>
      <c r="M131" s="68">
        <v>1</v>
      </c>
      <c r="N131" s="67">
        <f t="shared" si="49"/>
        <v>7</v>
      </c>
      <c r="O131" s="69">
        <v>2.23E-2</v>
      </c>
      <c r="P131" s="70">
        <f t="shared" si="5"/>
        <v>0.15610000000000002</v>
      </c>
      <c r="Q131" s="70">
        <f t="shared" si="13"/>
        <v>18.592899999999997</v>
      </c>
      <c r="R131" s="76">
        <v>31.25</v>
      </c>
      <c r="S131" s="72">
        <f t="shared" si="66"/>
        <v>772.76740624999991</v>
      </c>
    </row>
    <row r="132" spans="1:19" ht="39" customHeight="1" x14ac:dyDescent="0.3">
      <c r="A132" s="151"/>
      <c r="B132" s="155"/>
      <c r="C132" s="154" t="s">
        <v>232</v>
      </c>
      <c r="D132" s="109" t="s">
        <v>109</v>
      </c>
      <c r="E132" s="95" t="s">
        <v>218</v>
      </c>
      <c r="F132" s="43">
        <v>145</v>
      </c>
      <c r="G132" s="67">
        <v>138</v>
      </c>
      <c r="H132" s="68">
        <v>1</v>
      </c>
      <c r="I132" s="78">
        <f t="shared" ref="I132:I138" si="134">G132*H132</f>
        <v>138</v>
      </c>
      <c r="J132" s="69">
        <v>6.6799999999999998E-2</v>
      </c>
      <c r="K132" s="70">
        <f t="shared" ref="K132:K138" si="135">I132*J132</f>
        <v>9.218399999999999</v>
      </c>
      <c r="L132" s="67">
        <f t="shared" si="133"/>
        <v>7</v>
      </c>
      <c r="M132" s="68">
        <v>1</v>
      </c>
      <c r="N132" s="67">
        <f t="shared" ref="N132:N138" si="136">L132*M132</f>
        <v>7</v>
      </c>
      <c r="O132" s="69">
        <v>6.6799999999999998E-2</v>
      </c>
      <c r="P132" s="70">
        <f t="shared" ref="P132:P138" si="137">N132*O132</f>
        <v>0.46760000000000002</v>
      </c>
      <c r="Q132" s="70">
        <f t="shared" ref="Q132:Q138" si="138">K132+P132</f>
        <v>9.6859999999999999</v>
      </c>
      <c r="R132" s="76">
        <v>31.25</v>
      </c>
      <c r="S132" s="72">
        <f t="shared" si="66"/>
        <v>402.57437500000003</v>
      </c>
    </row>
    <row r="133" spans="1:19" ht="39" customHeight="1" x14ac:dyDescent="0.3">
      <c r="A133" s="151"/>
      <c r="B133" s="155"/>
      <c r="C133" s="154"/>
      <c r="D133" s="109" t="s">
        <v>150</v>
      </c>
      <c r="E133" s="95" t="s">
        <v>151</v>
      </c>
      <c r="F133" s="66">
        <v>145</v>
      </c>
      <c r="G133" s="67">
        <v>138</v>
      </c>
      <c r="H133" s="68">
        <v>1</v>
      </c>
      <c r="I133" s="75">
        <f t="shared" si="134"/>
        <v>138</v>
      </c>
      <c r="J133" s="69">
        <v>5.0099999999999999E-2</v>
      </c>
      <c r="K133" s="70">
        <f t="shared" si="135"/>
        <v>6.9138000000000002</v>
      </c>
      <c r="L133" s="67">
        <f t="shared" si="133"/>
        <v>7</v>
      </c>
      <c r="M133" s="68">
        <v>1</v>
      </c>
      <c r="N133" s="67">
        <f t="shared" si="136"/>
        <v>7</v>
      </c>
      <c r="O133" s="69">
        <v>2.23E-2</v>
      </c>
      <c r="P133" s="70">
        <f t="shared" si="137"/>
        <v>0.15610000000000002</v>
      </c>
      <c r="Q133" s="70">
        <f t="shared" si="138"/>
        <v>7.0699000000000005</v>
      </c>
      <c r="R133" s="76">
        <v>31.25</v>
      </c>
      <c r="S133" s="72">
        <f t="shared" ref="S133:S150" si="139">Q133*R133*1.33</f>
        <v>293.84271875000002</v>
      </c>
    </row>
    <row r="134" spans="1:19" ht="27.6" x14ac:dyDescent="0.3">
      <c r="A134" s="151"/>
      <c r="B134" s="155"/>
      <c r="C134" s="66" t="s">
        <v>233</v>
      </c>
      <c r="D134" s="109" t="s">
        <v>196</v>
      </c>
      <c r="E134" s="95" t="s">
        <v>513</v>
      </c>
      <c r="F134" s="66">
        <v>145</v>
      </c>
      <c r="G134" s="79">
        <v>138</v>
      </c>
      <c r="H134" s="68">
        <v>1</v>
      </c>
      <c r="I134" s="78">
        <f t="shared" si="134"/>
        <v>138</v>
      </c>
      <c r="J134" s="69">
        <v>9</v>
      </c>
      <c r="K134" s="70">
        <f t="shared" si="135"/>
        <v>1242</v>
      </c>
      <c r="L134" s="67">
        <f>F134-G134</f>
        <v>7</v>
      </c>
      <c r="M134" s="68">
        <v>1</v>
      </c>
      <c r="N134" s="67">
        <f t="shared" si="136"/>
        <v>7</v>
      </c>
      <c r="O134" s="69">
        <v>6.6799999999999998E-2</v>
      </c>
      <c r="P134" s="70">
        <f t="shared" si="137"/>
        <v>0.46760000000000002</v>
      </c>
      <c r="Q134" s="70">
        <f t="shared" si="138"/>
        <v>1242.4675999999999</v>
      </c>
      <c r="R134" s="76">
        <v>31.25</v>
      </c>
      <c r="S134" s="72">
        <f t="shared" si="139"/>
        <v>51640.059624999994</v>
      </c>
    </row>
    <row r="135" spans="1:19" ht="27.6" x14ac:dyDescent="0.3">
      <c r="A135" s="151"/>
      <c r="B135" s="155"/>
      <c r="C135" s="66" t="s">
        <v>152</v>
      </c>
      <c r="D135" s="109" t="s">
        <v>222</v>
      </c>
      <c r="E135" s="95" t="s">
        <v>515</v>
      </c>
      <c r="F135" s="43">
        <v>145</v>
      </c>
      <c r="G135" s="67">
        <v>138</v>
      </c>
      <c r="H135" s="68">
        <v>1</v>
      </c>
      <c r="I135" s="78">
        <f t="shared" si="134"/>
        <v>138</v>
      </c>
      <c r="J135" s="69">
        <v>1.5</v>
      </c>
      <c r="K135" s="70">
        <f t="shared" si="135"/>
        <v>207</v>
      </c>
      <c r="L135" s="67">
        <f>F135-G135</f>
        <v>7</v>
      </c>
      <c r="M135" s="68">
        <v>1</v>
      </c>
      <c r="N135" s="67">
        <f t="shared" si="136"/>
        <v>7</v>
      </c>
      <c r="O135" s="69">
        <v>6.6799999999999998E-2</v>
      </c>
      <c r="P135" s="70">
        <f t="shared" si="137"/>
        <v>0.46760000000000002</v>
      </c>
      <c r="Q135" s="70">
        <f t="shared" si="138"/>
        <v>207.4676</v>
      </c>
      <c r="R135" s="76">
        <v>31.25</v>
      </c>
      <c r="S135" s="72">
        <f t="shared" si="139"/>
        <v>8622.8721249999999</v>
      </c>
    </row>
    <row r="136" spans="1:19" ht="38.549999999999997" customHeight="1" x14ac:dyDescent="0.3">
      <c r="A136" s="151"/>
      <c r="B136" s="155" t="s">
        <v>234</v>
      </c>
      <c r="C136" s="154" t="s">
        <v>235</v>
      </c>
      <c r="D136" s="109" t="s">
        <v>109</v>
      </c>
      <c r="E136" s="96" t="s">
        <v>218</v>
      </c>
      <c r="F136" s="43">
        <v>390</v>
      </c>
      <c r="G136" s="67">
        <v>365</v>
      </c>
      <c r="H136" s="68">
        <v>1</v>
      </c>
      <c r="I136" s="78">
        <f t="shared" si="134"/>
        <v>365</v>
      </c>
      <c r="J136" s="69">
        <v>0.25</v>
      </c>
      <c r="K136" s="70">
        <f t="shared" si="135"/>
        <v>91.25</v>
      </c>
      <c r="L136" s="67">
        <f>F136-G136</f>
        <v>25</v>
      </c>
      <c r="M136" s="68">
        <v>1</v>
      </c>
      <c r="N136" s="67">
        <f t="shared" si="136"/>
        <v>25</v>
      </c>
      <c r="O136" s="69">
        <v>6.6799999999999998E-2</v>
      </c>
      <c r="P136" s="70">
        <f t="shared" si="137"/>
        <v>1.67</v>
      </c>
      <c r="Q136" s="70">
        <f t="shared" si="138"/>
        <v>92.92</v>
      </c>
      <c r="R136" s="72">
        <v>30.41</v>
      </c>
      <c r="S136" s="72">
        <f t="shared" si="139"/>
        <v>3758.1772760000003</v>
      </c>
    </row>
    <row r="137" spans="1:19" ht="28.8" customHeight="1" x14ac:dyDescent="0.3">
      <c r="A137" s="151"/>
      <c r="B137" s="155"/>
      <c r="C137" s="154"/>
      <c r="D137" s="109" t="s">
        <v>44</v>
      </c>
      <c r="E137" s="95" t="s">
        <v>110</v>
      </c>
      <c r="F137" s="43">
        <v>365</v>
      </c>
      <c r="G137" s="67">
        <v>365</v>
      </c>
      <c r="H137" s="68">
        <v>1</v>
      </c>
      <c r="I137" s="75">
        <f t="shared" si="134"/>
        <v>365</v>
      </c>
      <c r="J137" s="69">
        <v>5.0099999999999999E-2</v>
      </c>
      <c r="K137" s="70">
        <f t="shared" si="135"/>
        <v>18.2865</v>
      </c>
      <c r="L137" s="67">
        <f>F137-G137</f>
        <v>0</v>
      </c>
      <c r="M137" s="68">
        <v>0</v>
      </c>
      <c r="N137" s="67">
        <f t="shared" si="136"/>
        <v>0</v>
      </c>
      <c r="O137" s="69">
        <v>2.23E-2</v>
      </c>
      <c r="P137" s="70">
        <f t="shared" si="137"/>
        <v>0</v>
      </c>
      <c r="Q137" s="70">
        <f t="shared" si="138"/>
        <v>18.2865</v>
      </c>
      <c r="R137" s="72">
        <v>30.41</v>
      </c>
      <c r="S137" s="72">
        <f t="shared" si="139"/>
        <v>739.60297845000014</v>
      </c>
    </row>
    <row r="138" spans="1:19" s="7" customFormat="1" ht="28.8" customHeight="1" x14ac:dyDescent="0.3">
      <c r="A138" s="151"/>
      <c r="B138" s="155"/>
      <c r="C138" s="154"/>
      <c r="D138" s="109" t="s">
        <v>113</v>
      </c>
      <c r="E138" s="95" t="s">
        <v>114</v>
      </c>
      <c r="F138" s="43">
        <v>244.55</v>
      </c>
      <c r="G138" s="67">
        <v>244.55</v>
      </c>
      <c r="H138" s="68">
        <v>1</v>
      </c>
      <c r="I138" s="75">
        <f t="shared" si="134"/>
        <v>244.55</v>
      </c>
      <c r="J138" s="69">
        <v>1</v>
      </c>
      <c r="K138" s="70">
        <f t="shared" si="135"/>
        <v>244.55</v>
      </c>
      <c r="L138" s="67">
        <f>F138-G138</f>
        <v>0</v>
      </c>
      <c r="M138" s="68">
        <v>0</v>
      </c>
      <c r="N138" s="67">
        <f t="shared" si="136"/>
        <v>0</v>
      </c>
      <c r="O138" s="69">
        <v>6.6799999999999998E-2</v>
      </c>
      <c r="P138" s="70">
        <f t="shared" si="137"/>
        <v>0</v>
      </c>
      <c r="Q138" s="70">
        <f t="shared" si="138"/>
        <v>244.55</v>
      </c>
      <c r="R138" s="72">
        <v>30.41</v>
      </c>
      <c r="S138" s="72">
        <f t="shared" si="139"/>
        <v>9890.8981150000018</v>
      </c>
    </row>
    <row r="139" spans="1:19" ht="44.55" customHeight="1" x14ac:dyDescent="0.3">
      <c r="A139" s="151"/>
      <c r="B139" s="108"/>
      <c r="C139" s="108"/>
      <c r="D139" s="108"/>
      <c r="E139" s="63" t="s">
        <v>236</v>
      </c>
      <c r="F139" s="80">
        <f>SUM(F111, F112,F131,F136)</f>
        <v>1764</v>
      </c>
      <c r="G139" s="80">
        <f>SUM(G111,G112, G131, G136)</f>
        <v>1665</v>
      </c>
      <c r="H139" s="81">
        <f>I139/G139</f>
        <v>6.7799459459459452</v>
      </c>
      <c r="I139" s="80">
        <f>SUM(I111:I138)</f>
        <v>11288.609999999999</v>
      </c>
      <c r="J139" s="82">
        <f>K139/I139</f>
        <v>1.3813850172873365</v>
      </c>
      <c r="K139" s="83">
        <f>SUM(K111:K138)</f>
        <v>15593.916719999999</v>
      </c>
      <c r="L139" s="80">
        <f>SUM(L111, L112, L131, L136)</f>
        <v>99</v>
      </c>
      <c r="M139" s="87">
        <f>N139/L139</f>
        <v>6.1616161616161618</v>
      </c>
      <c r="N139" s="80">
        <f>SUM(N111:N138)</f>
        <v>610</v>
      </c>
      <c r="O139" s="82">
        <f>P139/N139</f>
        <v>3.6671311475409842E-2</v>
      </c>
      <c r="P139" s="83">
        <f>SUM(P111:P138)</f>
        <v>22.369500000000002</v>
      </c>
      <c r="Q139" s="81">
        <f>P139+K139</f>
        <v>15616.28622</v>
      </c>
      <c r="R139" s="84" t="s">
        <v>182</v>
      </c>
      <c r="S139" s="85">
        <f>SUM(S111:S138)</f>
        <v>667341.94320070196</v>
      </c>
    </row>
    <row r="140" spans="1:19" ht="28.8" customHeight="1" x14ac:dyDescent="0.3">
      <c r="A140" s="151"/>
      <c r="B140" s="155" t="s">
        <v>237</v>
      </c>
      <c r="C140" s="154" t="s">
        <v>238</v>
      </c>
      <c r="D140" s="109" t="s">
        <v>187</v>
      </c>
      <c r="E140" s="96" t="s">
        <v>239</v>
      </c>
      <c r="F140" s="43">
        <v>1228</v>
      </c>
      <c r="G140" s="67">
        <v>1161</v>
      </c>
      <c r="H140" s="68">
        <v>1</v>
      </c>
      <c r="I140" s="75">
        <f t="shared" ref="I140:I145" si="140">G140*H140</f>
        <v>1161</v>
      </c>
      <c r="J140" s="69">
        <v>0.1336</v>
      </c>
      <c r="K140" s="70">
        <f t="shared" ref="K140:K195" si="141">I140*J140</f>
        <v>155.1096</v>
      </c>
      <c r="L140" s="67">
        <f t="shared" ref="L140:L144" si="142">F140-G140</f>
        <v>67</v>
      </c>
      <c r="M140" s="68">
        <v>1</v>
      </c>
      <c r="N140" s="67">
        <f t="shared" si="49"/>
        <v>67</v>
      </c>
      <c r="O140" s="69">
        <v>2.23E-2</v>
      </c>
      <c r="P140" s="70">
        <f t="shared" ref="P140:P150" si="143">N140*O140</f>
        <v>1.4941</v>
      </c>
      <c r="Q140" s="70">
        <f t="shared" ref="Q140:Q195" si="144">K140+P140</f>
        <v>156.6037</v>
      </c>
      <c r="R140" s="72">
        <v>49.7</v>
      </c>
      <c r="S140" s="72">
        <f t="shared" si="139"/>
        <v>10351.661173700002</v>
      </c>
    </row>
    <row r="141" spans="1:19" ht="19.350000000000001" customHeight="1" x14ac:dyDescent="0.3">
      <c r="A141" s="151"/>
      <c r="B141" s="155"/>
      <c r="C141" s="154"/>
      <c r="D141" s="109" t="s">
        <v>44</v>
      </c>
      <c r="E141" s="95" t="s">
        <v>110</v>
      </c>
      <c r="F141" s="67">
        <v>1161</v>
      </c>
      <c r="G141" s="67">
        <v>1161</v>
      </c>
      <c r="H141" s="68">
        <v>1</v>
      </c>
      <c r="I141" s="75">
        <f t="shared" si="140"/>
        <v>1161</v>
      </c>
      <c r="J141" s="69">
        <v>5.0099999999999999E-2</v>
      </c>
      <c r="K141" s="70">
        <f t="shared" ref="K141" si="145">I141*J141</f>
        <v>58.1661</v>
      </c>
      <c r="L141" s="67">
        <f t="shared" si="142"/>
        <v>0</v>
      </c>
      <c r="M141" s="68">
        <v>0</v>
      </c>
      <c r="N141" s="67">
        <f t="shared" ref="N141" si="146">L141*M141</f>
        <v>0</v>
      </c>
      <c r="O141" s="69">
        <v>2.23E-2</v>
      </c>
      <c r="P141" s="70">
        <f t="shared" ref="P141" si="147">N141*O141</f>
        <v>0</v>
      </c>
      <c r="Q141" s="70">
        <f t="shared" ref="Q141" si="148">K141+P141</f>
        <v>58.1661</v>
      </c>
      <c r="R141" s="72">
        <v>49.7</v>
      </c>
      <c r="S141" s="72">
        <f t="shared" si="139"/>
        <v>3844.8373761000007</v>
      </c>
    </row>
    <row r="142" spans="1:19" ht="18" customHeight="1" x14ac:dyDescent="0.3">
      <c r="A142" s="151"/>
      <c r="B142" s="155" t="s">
        <v>240</v>
      </c>
      <c r="C142" s="154" t="s">
        <v>241</v>
      </c>
      <c r="D142" s="109" t="s">
        <v>138</v>
      </c>
      <c r="E142" s="95" t="s">
        <v>502</v>
      </c>
      <c r="F142" s="43">
        <v>1117</v>
      </c>
      <c r="G142" s="43">
        <v>1117</v>
      </c>
      <c r="H142" s="68">
        <v>1</v>
      </c>
      <c r="I142" s="75">
        <f t="shared" si="140"/>
        <v>1117</v>
      </c>
      <c r="J142" s="69">
        <v>1.67E-2</v>
      </c>
      <c r="K142" s="70">
        <f>I142*J142</f>
        <v>18.6539</v>
      </c>
      <c r="L142" s="67">
        <f t="shared" si="142"/>
        <v>0</v>
      </c>
      <c r="M142" s="68">
        <v>0</v>
      </c>
      <c r="N142" s="67">
        <f>L142*M142</f>
        <v>0</v>
      </c>
      <c r="O142" s="69">
        <v>2.23E-2</v>
      </c>
      <c r="P142" s="70">
        <f>N142*O142</f>
        <v>0</v>
      </c>
      <c r="Q142" s="70">
        <f>K142+P142</f>
        <v>18.6539</v>
      </c>
      <c r="R142" s="72">
        <v>49.7</v>
      </c>
      <c r="S142" s="72">
        <f t="shared" si="139"/>
        <v>1233.0414439000001</v>
      </c>
    </row>
    <row r="143" spans="1:19" ht="17.25" customHeight="1" x14ac:dyDescent="0.3">
      <c r="A143" s="151"/>
      <c r="B143" s="155"/>
      <c r="C143" s="154"/>
      <c r="D143" s="109" t="s">
        <v>144</v>
      </c>
      <c r="E143" s="95" t="s">
        <v>506</v>
      </c>
      <c r="F143" s="43">
        <v>1117</v>
      </c>
      <c r="G143" s="67">
        <v>558.5</v>
      </c>
      <c r="H143" s="68">
        <v>2</v>
      </c>
      <c r="I143" s="75">
        <f t="shared" si="140"/>
        <v>1117</v>
      </c>
      <c r="J143" s="69">
        <v>6.6799999999999998E-2</v>
      </c>
      <c r="K143" s="70">
        <f>I143*J143</f>
        <v>74.615600000000001</v>
      </c>
      <c r="L143" s="67">
        <f t="shared" si="142"/>
        <v>558.5</v>
      </c>
      <c r="M143" s="68">
        <v>1</v>
      </c>
      <c r="N143" s="67">
        <f>L143*M143</f>
        <v>558.5</v>
      </c>
      <c r="O143" s="69">
        <v>2.23E-2</v>
      </c>
      <c r="P143" s="70">
        <f>N143*O143</f>
        <v>12.454549999999999</v>
      </c>
      <c r="Q143" s="70">
        <f>K143+P143</f>
        <v>87.070149999999998</v>
      </c>
      <c r="R143" s="72">
        <v>49.7</v>
      </c>
      <c r="S143" s="72">
        <f t="shared" si="139"/>
        <v>5755.4239851499997</v>
      </c>
    </row>
    <row r="144" spans="1:19" ht="36" customHeight="1" x14ac:dyDescent="0.3">
      <c r="A144" s="151"/>
      <c r="B144" s="155"/>
      <c r="C144" s="154"/>
      <c r="D144" s="109" t="s">
        <v>242</v>
      </c>
      <c r="E144" s="95" t="s">
        <v>243</v>
      </c>
      <c r="F144" s="43">
        <v>558</v>
      </c>
      <c r="G144" s="67">
        <v>558</v>
      </c>
      <c r="H144" s="68">
        <v>1</v>
      </c>
      <c r="I144" s="75">
        <f t="shared" si="140"/>
        <v>558</v>
      </c>
      <c r="J144" s="69">
        <v>8.3500000000000005E-2</v>
      </c>
      <c r="K144" s="70">
        <f>I144*J144</f>
        <v>46.593000000000004</v>
      </c>
      <c r="L144" s="67">
        <f t="shared" si="142"/>
        <v>0</v>
      </c>
      <c r="M144" s="68">
        <v>0</v>
      </c>
      <c r="N144" s="67">
        <f>L144*M144</f>
        <v>0</v>
      </c>
      <c r="O144" s="69">
        <v>2.23E-2</v>
      </c>
      <c r="P144" s="70">
        <f>N144*O144</f>
        <v>0</v>
      </c>
      <c r="Q144" s="70">
        <f>K144+P144</f>
        <v>46.593000000000004</v>
      </c>
      <c r="R144" s="72">
        <v>49.7</v>
      </c>
      <c r="S144" s="72">
        <f t="shared" si="139"/>
        <v>3079.8438930000007</v>
      </c>
    </row>
    <row r="145" spans="1:19" ht="18" customHeight="1" x14ac:dyDescent="0.3">
      <c r="A145" s="151"/>
      <c r="B145" s="155"/>
      <c r="C145" s="154"/>
      <c r="D145" s="109" t="s">
        <v>244</v>
      </c>
      <c r="E145" s="95" t="s">
        <v>245</v>
      </c>
      <c r="F145" s="43">
        <v>1117</v>
      </c>
      <c r="G145" s="79">
        <v>955.4</v>
      </c>
      <c r="H145" s="68">
        <v>1</v>
      </c>
      <c r="I145" s="78">
        <f t="shared" si="140"/>
        <v>955.4</v>
      </c>
      <c r="J145" s="69">
        <v>0.5</v>
      </c>
      <c r="K145" s="70">
        <f>I145*J145</f>
        <v>477.7</v>
      </c>
      <c r="L145" s="67">
        <f t="shared" ref="L145:L150" si="149">F145-G145</f>
        <v>161.60000000000002</v>
      </c>
      <c r="M145" s="68">
        <v>1</v>
      </c>
      <c r="N145" s="67">
        <f>L145*M145</f>
        <v>161.60000000000002</v>
      </c>
      <c r="O145" s="69">
        <v>2.23E-2</v>
      </c>
      <c r="P145" s="70">
        <f>N145*O145</f>
        <v>3.6036800000000007</v>
      </c>
      <c r="Q145" s="70">
        <f>K145+P145</f>
        <v>481.30367999999999</v>
      </c>
      <c r="R145" s="72">
        <v>49.7</v>
      </c>
      <c r="S145" s="72">
        <f t="shared" si="139"/>
        <v>31814.65455168</v>
      </c>
    </row>
    <row r="146" spans="1:19" ht="41.4" x14ac:dyDescent="0.3">
      <c r="A146" s="151"/>
      <c r="B146" s="50" t="s">
        <v>246</v>
      </c>
      <c r="C146" s="66" t="s">
        <v>112</v>
      </c>
      <c r="D146" s="109" t="s">
        <v>247</v>
      </c>
      <c r="E146" s="95" t="s">
        <v>248</v>
      </c>
      <c r="F146" s="66">
        <v>365</v>
      </c>
      <c r="G146" s="66">
        <v>365</v>
      </c>
      <c r="H146" s="68">
        <v>1</v>
      </c>
      <c r="I146" s="75">
        <f t="shared" ref="I146:I154" si="150">G146*H146</f>
        <v>365</v>
      </c>
      <c r="J146" s="69">
        <v>3.3399999999999999E-2</v>
      </c>
      <c r="K146" s="70">
        <f t="shared" si="141"/>
        <v>12.190999999999999</v>
      </c>
      <c r="L146" s="67">
        <f t="shared" si="149"/>
        <v>0</v>
      </c>
      <c r="M146" s="68">
        <v>0</v>
      </c>
      <c r="N146" s="67">
        <f t="shared" si="49"/>
        <v>0</v>
      </c>
      <c r="O146" s="69">
        <v>2.23E-2</v>
      </c>
      <c r="P146" s="70">
        <f t="shared" si="143"/>
        <v>0</v>
      </c>
      <c r="Q146" s="70">
        <f t="shared" si="144"/>
        <v>12.190999999999999</v>
      </c>
      <c r="R146" s="72">
        <v>49.7</v>
      </c>
      <c r="S146" s="72">
        <f t="shared" si="139"/>
        <v>805.83729100000005</v>
      </c>
    </row>
    <row r="147" spans="1:19" x14ac:dyDescent="0.3">
      <c r="A147" s="151"/>
      <c r="B147" s="50" t="s">
        <v>249</v>
      </c>
      <c r="C147" s="66" t="s">
        <v>119</v>
      </c>
      <c r="D147" s="109" t="s">
        <v>250</v>
      </c>
      <c r="E147" s="95" t="s">
        <v>251</v>
      </c>
      <c r="F147" s="43">
        <v>838</v>
      </c>
      <c r="G147" s="67">
        <v>796</v>
      </c>
      <c r="H147" s="68">
        <v>1</v>
      </c>
      <c r="I147" s="78">
        <f t="shared" si="150"/>
        <v>796</v>
      </c>
      <c r="J147" s="69">
        <v>0.75</v>
      </c>
      <c r="K147" s="70">
        <f t="shared" si="141"/>
        <v>597</v>
      </c>
      <c r="L147" s="67">
        <f t="shared" si="149"/>
        <v>42</v>
      </c>
      <c r="M147" s="68">
        <v>1</v>
      </c>
      <c r="N147" s="67">
        <f t="shared" si="49"/>
        <v>42</v>
      </c>
      <c r="O147" s="69">
        <v>6.6799999999999998E-2</v>
      </c>
      <c r="P147" s="70">
        <f t="shared" si="143"/>
        <v>2.8056000000000001</v>
      </c>
      <c r="Q147" s="70">
        <f t="shared" si="144"/>
        <v>599.80560000000003</v>
      </c>
      <c r="R147" s="72">
        <v>49.7</v>
      </c>
      <c r="S147" s="72">
        <f t="shared" si="139"/>
        <v>39647.749965600007</v>
      </c>
    </row>
    <row r="148" spans="1:19" ht="41.4" x14ac:dyDescent="0.3">
      <c r="A148" s="151"/>
      <c r="B148" s="155" t="s">
        <v>252</v>
      </c>
      <c r="C148" s="66" t="s">
        <v>229</v>
      </c>
      <c r="D148" s="109" t="s">
        <v>253</v>
      </c>
      <c r="E148" s="96" t="s">
        <v>254</v>
      </c>
      <c r="F148" s="77">
        <v>145</v>
      </c>
      <c r="G148" s="67">
        <v>138</v>
      </c>
      <c r="H148" s="68">
        <v>1</v>
      </c>
      <c r="I148" s="75">
        <f>G148*H148</f>
        <v>138</v>
      </c>
      <c r="J148" s="69">
        <v>0.1336</v>
      </c>
      <c r="K148" s="70">
        <f>I148*J148</f>
        <v>18.436799999999998</v>
      </c>
      <c r="L148" s="67">
        <f t="shared" si="149"/>
        <v>7</v>
      </c>
      <c r="M148" s="68">
        <v>1</v>
      </c>
      <c r="N148" s="67">
        <f>L148*M148</f>
        <v>7</v>
      </c>
      <c r="O148" s="69">
        <v>2.23E-2</v>
      </c>
      <c r="P148" s="70">
        <f>N148*O148</f>
        <v>0.15610000000000002</v>
      </c>
      <c r="Q148" s="70">
        <f>K148+P148</f>
        <v>18.592899999999997</v>
      </c>
      <c r="R148" s="76">
        <v>46.33</v>
      </c>
      <c r="S148" s="72">
        <f t="shared" si="139"/>
        <v>1145.6740458099998</v>
      </c>
    </row>
    <row r="149" spans="1:19" ht="26.1" customHeight="1" x14ac:dyDescent="0.3">
      <c r="A149" s="151"/>
      <c r="B149" s="155"/>
      <c r="C149" s="154" t="s">
        <v>255</v>
      </c>
      <c r="D149" s="109" t="s">
        <v>150</v>
      </c>
      <c r="E149" s="95" t="s">
        <v>151</v>
      </c>
      <c r="F149" s="77">
        <v>145</v>
      </c>
      <c r="G149" s="67">
        <v>138</v>
      </c>
      <c r="H149" s="68">
        <v>1</v>
      </c>
      <c r="I149" s="75">
        <f t="shared" si="150"/>
        <v>138</v>
      </c>
      <c r="J149" s="69">
        <v>5.0099999999999999E-2</v>
      </c>
      <c r="K149" s="70">
        <f t="shared" si="141"/>
        <v>6.9138000000000002</v>
      </c>
      <c r="L149" s="67">
        <f t="shared" si="149"/>
        <v>7</v>
      </c>
      <c r="M149" s="68">
        <v>1</v>
      </c>
      <c r="N149" s="67">
        <f t="shared" si="49"/>
        <v>7</v>
      </c>
      <c r="O149" s="69">
        <v>2.23E-2</v>
      </c>
      <c r="P149" s="70">
        <f t="shared" si="143"/>
        <v>0.15610000000000002</v>
      </c>
      <c r="Q149" s="70">
        <f t="shared" si="144"/>
        <v>7.0699000000000005</v>
      </c>
      <c r="R149" s="76">
        <v>46.33</v>
      </c>
      <c r="S149" s="72">
        <f t="shared" si="139"/>
        <v>435.63946111000007</v>
      </c>
    </row>
    <row r="150" spans="1:19" x14ac:dyDescent="0.3">
      <c r="A150" s="151"/>
      <c r="B150" s="155"/>
      <c r="C150" s="154"/>
      <c r="D150" s="109" t="s">
        <v>250</v>
      </c>
      <c r="E150" s="95" t="s">
        <v>256</v>
      </c>
      <c r="F150" s="77">
        <v>145</v>
      </c>
      <c r="G150" s="79">
        <v>138</v>
      </c>
      <c r="H150" s="68">
        <v>1</v>
      </c>
      <c r="I150" s="78">
        <f t="shared" si="150"/>
        <v>138</v>
      </c>
      <c r="J150" s="69">
        <v>0.75</v>
      </c>
      <c r="K150" s="70">
        <f t="shared" si="141"/>
        <v>103.5</v>
      </c>
      <c r="L150" s="67">
        <f t="shared" si="149"/>
        <v>7</v>
      </c>
      <c r="M150" s="68">
        <v>1</v>
      </c>
      <c r="N150" s="67">
        <f t="shared" si="49"/>
        <v>7</v>
      </c>
      <c r="O150" s="69">
        <v>6.6799999999999998E-2</v>
      </c>
      <c r="P150" s="70">
        <f t="shared" si="143"/>
        <v>0.46760000000000002</v>
      </c>
      <c r="Q150" s="70">
        <f t="shared" si="144"/>
        <v>103.9676</v>
      </c>
      <c r="R150" s="76">
        <v>46.33</v>
      </c>
      <c r="S150" s="72">
        <f t="shared" si="139"/>
        <v>6406.3691476400008</v>
      </c>
    </row>
    <row r="151" spans="1:19" ht="20.25" customHeight="1" x14ac:dyDescent="0.3">
      <c r="A151" s="151"/>
      <c r="B151" s="169" t="s">
        <v>257</v>
      </c>
      <c r="C151" s="169"/>
      <c r="D151" s="169"/>
      <c r="E151" s="169"/>
      <c r="F151" s="80">
        <f>SUM(F140,F148)</f>
        <v>1373</v>
      </c>
      <c r="G151" s="80">
        <f>SUM(G140, G148)</f>
        <v>1299</v>
      </c>
      <c r="H151" s="81">
        <f>I151/G151</f>
        <v>5.8848344880677441</v>
      </c>
      <c r="I151" s="80">
        <f>SUM(I140:I150)</f>
        <v>7644.4</v>
      </c>
      <c r="J151" s="82">
        <f>K151/I151</f>
        <v>0.20523256239861859</v>
      </c>
      <c r="K151" s="83">
        <f>SUM(K140:K150)</f>
        <v>1568.8797999999999</v>
      </c>
      <c r="L151" s="80">
        <f>SUM(L140,L148)</f>
        <v>74</v>
      </c>
      <c r="M151" s="81">
        <f>N151/L151</f>
        <v>11.487837837837839</v>
      </c>
      <c r="N151" s="80">
        <f>SUM(N140:N150)</f>
        <v>850.1</v>
      </c>
      <c r="O151" s="82">
        <f>P151/N151</f>
        <v>2.4864992353840716E-2</v>
      </c>
      <c r="P151" s="83">
        <f>SUM(P140:P150)</f>
        <v>21.137729999999994</v>
      </c>
      <c r="Q151" s="83">
        <f>P151+K151</f>
        <v>1590.0175299999999</v>
      </c>
      <c r="R151" s="84" t="s">
        <v>182</v>
      </c>
      <c r="S151" s="85">
        <f>SUM(S140:S150)</f>
        <v>104520.73233468999</v>
      </c>
    </row>
    <row r="152" spans="1:19" ht="30" customHeight="1" x14ac:dyDescent="0.3">
      <c r="A152" s="151"/>
      <c r="B152" s="166" t="s">
        <v>258</v>
      </c>
      <c r="C152" s="166"/>
      <c r="D152" s="166"/>
      <c r="E152" s="166"/>
      <c r="F152" s="88">
        <f>SUM(F151,F139,F110)</f>
        <v>6096</v>
      </c>
      <c r="G152" s="88">
        <f>SUM(G151,G139,G110)</f>
        <v>5202</v>
      </c>
      <c r="H152" s="81">
        <f>I152/G152</f>
        <v>8.2985024990388307</v>
      </c>
      <c r="I152" s="88">
        <f>SUM(I151,I139,I110)</f>
        <v>43168.81</v>
      </c>
      <c r="J152" s="82">
        <f>K152/I152</f>
        <v>0.62753437076444774</v>
      </c>
      <c r="K152" s="89">
        <f>SUM(K151,K139,K110)</f>
        <v>27089.912019999996</v>
      </c>
      <c r="L152" s="88">
        <f>SUM(L151,L139,L110)</f>
        <v>894</v>
      </c>
      <c r="M152" s="81">
        <f>N152/L152</f>
        <v>9.1244966442953004</v>
      </c>
      <c r="N152" s="88">
        <f>SUM(N151,N139,N110)</f>
        <v>8157.2999999999993</v>
      </c>
      <c r="O152" s="82">
        <f>P152/N152</f>
        <v>3.4020054429774557E-2</v>
      </c>
      <c r="P152" s="89">
        <f>SUM(P151,P139,P110)</f>
        <v>277.51178999999996</v>
      </c>
      <c r="Q152" s="89">
        <f>SUM(Q151,Q139,Q110)</f>
        <v>27367.423809999997</v>
      </c>
      <c r="R152" s="84" t="s">
        <v>182</v>
      </c>
      <c r="S152" s="85">
        <f>SUM(S110,S151,S139)</f>
        <v>1420411.429254944</v>
      </c>
    </row>
    <row r="153" spans="1:19" ht="30" customHeight="1" x14ac:dyDescent="0.3">
      <c r="A153" s="151" t="s">
        <v>259</v>
      </c>
      <c r="B153" s="155" t="s">
        <v>260</v>
      </c>
      <c r="C153" s="154" t="s">
        <v>261</v>
      </c>
      <c r="D153" s="109" t="s">
        <v>21</v>
      </c>
      <c r="E153" s="98" t="s">
        <v>22</v>
      </c>
      <c r="F153" s="90">
        <v>30</v>
      </c>
      <c r="G153" s="43">
        <v>10</v>
      </c>
      <c r="H153" s="68">
        <v>1</v>
      </c>
      <c r="I153" s="68">
        <f>G153*H153</f>
        <v>10</v>
      </c>
      <c r="J153" s="69">
        <v>0.75</v>
      </c>
      <c r="K153" s="70">
        <f>I153*J153</f>
        <v>7.5</v>
      </c>
      <c r="L153" s="67">
        <v>0</v>
      </c>
      <c r="M153" s="68">
        <v>0</v>
      </c>
      <c r="N153" s="67">
        <f>L153*M153</f>
        <v>0</v>
      </c>
      <c r="O153" s="69">
        <v>0</v>
      </c>
      <c r="P153" s="70">
        <v>0</v>
      </c>
      <c r="Q153" s="70">
        <f>K153+P153</f>
        <v>7.5</v>
      </c>
      <c r="R153" s="91">
        <v>59.07</v>
      </c>
      <c r="S153" s="91">
        <f>Q153*R153*1.33</f>
        <v>589.22325000000001</v>
      </c>
    </row>
    <row r="154" spans="1:19" ht="38.549999999999997" customHeight="1" x14ac:dyDescent="0.3">
      <c r="A154" s="151"/>
      <c r="B154" s="155"/>
      <c r="C154" s="154"/>
      <c r="D154" s="109" t="s">
        <v>262</v>
      </c>
      <c r="E154" s="96" t="s">
        <v>263</v>
      </c>
      <c r="F154" s="66">
        <v>30</v>
      </c>
      <c r="G154" s="67">
        <v>30</v>
      </c>
      <c r="H154" s="68">
        <v>1</v>
      </c>
      <c r="I154" s="68">
        <f t="shared" si="150"/>
        <v>30</v>
      </c>
      <c r="J154" s="69">
        <v>3.3399999999999999E-2</v>
      </c>
      <c r="K154" s="70">
        <f t="shared" si="141"/>
        <v>1.002</v>
      </c>
      <c r="L154" s="67">
        <f>F154-G154</f>
        <v>0</v>
      </c>
      <c r="M154" s="68">
        <v>0</v>
      </c>
      <c r="N154" s="67">
        <f t="shared" si="49"/>
        <v>0</v>
      </c>
      <c r="O154" s="69">
        <v>0</v>
      </c>
      <c r="P154" s="70">
        <f t="shared" ref="P154" si="151">N154*O154</f>
        <v>0</v>
      </c>
      <c r="Q154" s="70">
        <f t="shared" ref="Q154" si="152">K154+P154</f>
        <v>1.002</v>
      </c>
      <c r="R154" s="91">
        <v>59.07</v>
      </c>
      <c r="S154" s="72">
        <f t="shared" ref="S154:S200" si="153">Q154*R154*1.33</f>
        <v>78.720226199999999</v>
      </c>
    </row>
    <row r="155" spans="1:19" ht="28.8" customHeight="1" x14ac:dyDescent="0.3">
      <c r="A155" s="151"/>
      <c r="B155" s="155"/>
      <c r="C155" s="154"/>
      <c r="D155" s="109" t="s">
        <v>64</v>
      </c>
      <c r="E155" s="95" t="s">
        <v>65</v>
      </c>
      <c r="F155" s="66">
        <v>30</v>
      </c>
      <c r="G155" s="67">
        <v>30</v>
      </c>
      <c r="H155" s="68">
        <v>1</v>
      </c>
      <c r="I155" s="68">
        <f t="shared" ref="I155" si="154">G155*H155</f>
        <v>30</v>
      </c>
      <c r="J155" s="69">
        <v>3.3399999999999999E-2</v>
      </c>
      <c r="K155" s="70">
        <f t="shared" ref="K155" si="155">I155*J155</f>
        <v>1.002</v>
      </c>
      <c r="L155" s="67">
        <f t="shared" ref="L155" si="156">F155-G155</f>
        <v>0</v>
      </c>
      <c r="M155" s="68">
        <v>0</v>
      </c>
      <c r="N155" s="67">
        <f t="shared" ref="N155" si="157">L155*M155</f>
        <v>0</v>
      </c>
      <c r="O155" s="69">
        <v>0</v>
      </c>
      <c r="P155" s="70">
        <f t="shared" ref="P155" si="158">N155*O155</f>
        <v>0</v>
      </c>
      <c r="Q155" s="70">
        <f t="shared" ref="Q155" si="159">K155+P155</f>
        <v>1.002</v>
      </c>
      <c r="R155" s="72">
        <v>59.07</v>
      </c>
      <c r="S155" s="72">
        <f t="shared" si="153"/>
        <v>78.720226199999999</v>
      </c>
    </row>
    <row r="156" spans="1:19" ht="28.8" customHeight="1" x14ac:dyDescent="0.3">
      <c r="A156" s="151"/>
      <c r="B156" s="155"/>
      <c r="C156" s="154"/>
      <c r="D156" s="109" t="s">
        <v>24</v>
      </c>
      <c r="E156" s="95" t="s">
        <v>25</v>
      </c>
      <c r="F156" s="66">
        <v>30</v>
      </c>
      <c r="G156" s="67">
        <v>30</v>
      </c>
      <c r="H156" s="68">
        <v>1</v>
      </c>
      <c r="I156" s="68">
        <f t="shared" ref="I156" si="160">G156*H156</f>
        <v>30</v>
      </c>
      <c r="J156" s="69">
        <v>3.3399999999999999E-2</v>
      </c>
      <c r="K156" s="70">
        <f t="shared" ref="K156" si="161">I156*J156</f>
        <v>1.002</v>
      </c>
      <c r="L156" s="67">
        <f t="shared" ref="L156" si="162">F156-G156</f>
        <v>0</v>
      </c>
      <c r="M156" s="68">
        <v>0</v>
      </c>
      <c r="N156" s="67">
        <f t="shared" ref="N156" si="163">L156*M156</f>
        <v>0</v>
      </c>
      <c r="O156" s="69">
        <v>0</v>
      </c>
      <c r="P156" s="70">
        <f t="shared" ref="P156" si="164">N156*O156</f>
        <v>0</v>
      </c>
      <c r="Q156" s="70">
        <f t="shared" ref="Q156" si="165">K156+P156</f>
        <v>1.002</v>
      </c>
      <c r="R156" s="72">
        <v>59.07</v>
      </c>
      <c r="S156" s="72">
        <f t="shared" si="153"/>
        <v>78.720226199999999</v>
      </c>
    </row>
    <row r="157" spans="1:19" s="7" customFormat="1" ht="65.099999999999994" customHeight="1" x14ac:dyDescent="0.3">
      <c r="A157" s="151"/>
      <c r="B157" s="155"/>
      <c r="C157" s="154"/>
      <c r="D157" s="109" t="s">
        <v>61</v>
      </c>
      <c r="E157" s="95" t="s">
        <v>264</v>
      </c>
      <c r="F157" s="66">
        <v>30</v>
      </c>
      <c r="G157" s="67">
        <v>30</v>
      </c>
      <c r="H157" s="68">
        <v>1</v>
      </c>
      <c r="I157" s="68">
        <f>G157*H157</f>
        <v>30</v>
      </c>
      <c r="J157" s="69">
        <v>0.25</v>
      </c>
      <c r="K157" s="70">
        <f>I157*J157</f>
        <v>7.5</v>
      </c>
      <c r="L157" s="67">
        <f>F157-G157</f>
        <v>0</v>
      </c>
      <c r="M157" s="68">
        <v>0</v>
      </c>
      <c r="N157" s="67">
        <f>L157*M157</f>
        <v>0</v>
      </c>
      <c r="O157" s="69">
        <v>0</v>
      </c>
      <c r="P157" s="70">
        <f>N157*O157</f>
        <v>0</v>
      </c>
      <c r="Q157" s="70">
        <f t="shared" ref="Q157:Q162" si="166">K157+P157</f>
        <v>7.5</v>
      </c>
      <c r="R157" s="72">
        <v>59.07</v>
      </c>
      <c r="S157" s="72">
        <f t="shared" si="153"/>
        <v>589.22325000000001</v>
      </c>
    </row>
    <row r="158" spans="1:19" s="7" customFormat="1" ht="65.099999999999994" customHeight="1" x14ac:dyDescent="0.3">
      <c r="A158" s="151"/>
      <c r="B158" s="155" t="s">
        <v>265</v>
      </c>
      <c r="C158" s="154" t="s">
        <v>266</v>
      </c>
      <c r="D158" s="109" t="s">
        <v>21</v>
      </c>
      <c r="E158" s="98" t="s">
        <v>22</v>
      </c>
      <c r="F158" s="66">
        <v>30</v>
      </c>
      <c r="G158" s="67">
        <v>10</v>
      </c>
      <c r="H158" s="68">
        <v>1</v>
      </c>
      <c r="I158" s="68">
        <f>G158*H158</f>
        <v>10</v>
      </c>
      <c r="J158" s="69">
        <v>0.75</v>
      </c>
      <c r="K158" s="70">
        <f>I158*J158</f>
        <v>7.5</v>
      </c>
      <c r="L158" s="67">
        <v>0</v>
      </c>
      <c r="M158" s="68">
        <v>0</v>
      </c>
      <c r="N158" s="67">
        <f>L158*M158</f>
        <v>0</v>
      </c>
      <c r="O158" s="69">
        <v>0</v>
      </c>
      <c r="P158" s="70">
        <f>N158*O158</f>
        <v>0</v>
      </c>
      <c r="Q158" s="70">
        <f>K158+P158</f>
        <v>7.5</v>
      </c>
      <c r="R158" s="72">
        <v>59.07</v>
      </c>
      <c r="S158" s="72">
        <f>Q158*R158*1.33</f>
        <v>589.22325000000001</v>
      </c>
    </row>
    <row r="159" spans="1:19" s="7" customFormat="1" ht="39" customHeight="1" x14ac:dyDescent="0.3">
      <c r="A159" s="151"/>
      <c r="B159" s="155"/>
      <c r="C159" s="154"/>
      <c r="D159" s="109" t="s">
        <v>262</v>
      </c>
      <c r="E159" s="96" t="s">
        <v>267</v>
      </c>
      <c r="F159" s="66">
        <v>30</v>
      </c>
      <c r="G159" s="67">
        <v>30</v>
      </c>
      <c r="H159" s="68">
        <v>1</v>
      </c>
      <c r="I159" s="68">
        <f t="shared" ref="I159:I161" si="167">G159*H159</f>
        <v>30</v>
      </c>
      <c r="J159" s="69">
        <v>3.3399999999999999E-2</v>
      </c>
      <c r="K159" s="70">
        <f t="shared" ref="K159:K161" si="168">I159*J159</f>
        <v>1.002</v>
      </c>
      <c r="L159" s="67">
        <f>F159-G159</f>
        <v>0</v>
      </c>
      <c r="M159" s="68">
        <v>0</v>
      </c>
      <c r="N159" s="67">
        <f t="shared" ref="N159:N161" si="169">L159*M159</f>
        <v>0</v>
      </c>
      <c r="O159" s="69">
        <v>0</v>
      </c>
      <c r="P159" s="70">
        <f t="shared" ref="P159:P161" si="170">N159*O159</f>
        <v>0</v>
      </c>
      <c r="Q159" s="70">
        <f t="shared" si="166"/>
        <v>1.002</v>
      </c>
      <c r="R159" s="72">
        <v>59.07</v>
      </c>
      <c r="S159" s="72">
        <f t="shared" si="153"/>
        <v>78.720226199999999</v>
      </c>
    </row>
    <row r="160" spans="1:19" s="7" customFormat="1" x14ac:dyDescent="0.3">
      <c r="A160" s="151"/>
      <c r="B160" s="155"/>
      <c r="C160" s="154"/>
      <c r="D160" s="109" t="s">
        <v>64</v>
      </c>
      <c r="E160" s="95" t="s">
        <v>65</v>
      </c>
      <c r="F160" s="66">
        <v>30</v>
      </c>
      <c r="G160" s="67">
        <v>30</v>
      </c>
      <c r="H160" s="68">
        <v>1</v>
      </c>
      <c r="I160" s="68">
        <f t="shared" si="167"/>
        <v>30</v>
      </c>
      <c r="J160" s="69">
        <v>3.3399999999999999E-2</v>
      </c>
      <c r="K160" s="70">
        <f t="shared" si="168"/>
        <v>1.002</v>
      </c>
      <c r="L160" s="67">
        <f t="shared" ref="L160:L161" si="171">F160-G160</f>
        <v>0</v>
      </c>
      <c r="M160" s="68">
        <v>0</v>
      </c>
      <c r="N160" s="67">
        <f t="shared" si="169"/>
        <v>0</v>
      </c>
      <c r="O160" s="69">
        <v>0</v>
      </c>
      <c r="P160" s="70">
        <f t="shared" si="170"/>
        <v>0</v>
      </c>
      <c r="Q160" s="70">
        <f t="shared" si="166"/>
        <v>1.002</v>
      </c>
      <c r="R160" s="72">
        <v>59.07</v>
      </c>
      <c r="S160" s="72">
        <f t="shared" si="153"/>
        <v>78.720226199999999</v>
      </c>
    </row>
    <row r="161" spans="1:19" s="7" customFormat="1" x14ac:dyDescent="0.3">
      <c r="A161" s="151"/>
      <c r="B161" s="155"/>
      <c r="C161" s="154"/>
      <c r="D161" s="109" t="s">
        <v>24</v>
      </c>
      <c r="E161" s="95" t="s">
        <v>25</v>
      </c>
      <c r="F161" s="66">
        <v>30</v>
      </c>
      <c r="G161" s="67">
        <v>30</v>
      </c>
      <c r="H161" s="68">
        <v>1</v>
      </c>
      <c r="I161" s="68">
        <f t="shared" si="167"/>
        <v>30</v>
      </c>
      <c r="J161" s="69">
        <v>3.3399999999999999E-2</v>
      </c>
      <c r="K161" s="70">
        <f t="shared" si="168"/>
        <v>1.002</v>
      </c>
      <c r="L161" s="67">
        <f t="shared" si="171"/>
        <v>0</v>
      </c>
      <c r="M161" s="68">
        <v>0</v>
      </c>
      <c r="N161" s="67">
        <f t="shared" si="169"/>
        <v>0</v>
      </c>
      <c r="O161" s="69">
        <v>0</v>
      </c>
      <c r="P161" s="70">
        <f t="shared" si="170"/>
        <v>0</v>
      </c>
      <c r="Q161" s="70">
        <f t="shared" si="166"/>
        <v>1.002</v>
      </c>
      <c r="R161" s="72">
        <v>59.07</v>
      </c>
      <c r="S161" s="72">
        <f t="shared" si="153"/>
        <v>78.720226199999999</v>
      </c>
    </row>
    <row r="162" spans="1:19" s="7" customFormat="1" x14ac:dyDescent="0.3">
      <c r="A162" s="151"/>
      <c r="B162" s="155"/>
      <c r="C162" s="154"/>
      <c r="D162" s="109" t="s">
        <v>61</v>
      </c>
      <c r="E162" s="95" t="s">
        <v>264</v>
      </c>
      <c r="F162" s="66">
        <v>30</v>
      </c>
      <c r="G162" s="67">
        <v>30</v>
      </c>
      <c r="H162" s="68">
        <v>1</v>
      </c>
      <c r="I162" s="68">
        <f>G162*H162</f>
        <v>30</v>
      </c>
      <c r="J162" s="69">
        <v>0.25</v>
      </c>
      <c r="K162" s="70">
        <f>I162*J162</f>
        <v>7.5</v>
      </c>
      <c r="L162" s="67">
        <f>F162-G162</f>
        <v>0</v>
      </c>
      <c r="M162" s="68">
        <v>0</v>
      </c>
      <c r="N162" s="67">
        <f>L162*M162</f>
        <v>0</v>
      </c>
      <c r="O162" s="69">
        <v>0</v>
      </c>
      <c r="P162" s="70">
        <f>N162*O162</f>
        <v>0</v>
      </c>
      <c r="Q162" s="70">
        <f t="shared" si="166"/>
        <v>7.5</v>
      </c>
      <c r="R162" s="72">
        <v>59.07</v>
      </c>
      <c r="S162" s="72">
        <f t="shared" si="153"/>
        <v>589.22325000000001</v>
      </c>
    </row>
    <row r="163" spans="1:19" s="7" customFormat="1" ht="65.099999999999994" customHeight="1" x14ac:dyDescent="0.3">
      <c r="A163" s="151"/>
      <c r="B163" s="155" t="s">
        <v>268</v>
      </c>
      <c r="C163" s="154" t="s">
        <v>269</v>
      </c>
      <c r="D163" s="109" t="s">
        <v>21</v>
      </c>
      <c r="E163" s="98" t="s">
        <v>22</v>
      </c>
      <c r="F163" s="66">
        <v>1</v>
      </c>
      <c r="G163" s="67">
        <v>1</v>
      </c>
      <c r="H163" s="68">
        <v>1</v>
      </c>
      <c r="I163" s="68">
        <f>G163*H163</f>
        <v>1</v>
      </c>
      <c r="J163" s="69">
        <v>0.75</v>
      </c>
      <c r="K163" s="70">
        <f>I163*J163</f>
        <v>0.75</v>
      </c>
      <c r="L163" s="67">
        <f>F163-G163</f>
        <v>0</v>
      </c>
      <c r="M163" s="68">
        <v>0</v>
      </c>
      <c r="N163" s="67">
        <f>L163*M163</f>
        <v>0</v>
      </c>
      <c r="O163" s="69">
        <v>0</v>
      </c>
      <c r="P163" s="70">
        <f>N163*O163</f>
        <v>0</v>
      </c>
      <c r="Q163" s="70">
        <f>K163+P163</f>
        <v>0.75</v>
      </c>
      <c r="R163" s="72">
        <v>48.07</v>
      </c>
      <c r="S163" s="72">
        <f>Q163*R163*1.33</f>
        <v>47.949825000000004</v>
      </c>
    </row>
    <row r="164" spans="1:19" s="7" customFormat="1" ht="24" customHeight="1" x14ac:dyDescent="0.3">
      <c r="A164" s="151"/>
      <c r="B164" s="155"/>
      <c r="C164" s="154"/>
      <c r="D164" s="109" t="s">
        <v>262</v>
      </c>
      <c r="E164" s="96" t="s">
        <v>263</v>
      </c>
      <c r="F164" s="66">
        <v>1</v>
      </c>
      <c r="G164" s="67">
        <v>1</v>
      </c>
      <c r="H164" s="68">
        <v>1</v>
      </c>
      <c r="I164" s="68">
        <f t="shared" ref="I164:I169" si="172">G164*H164</f>
        <v>1</v>
      </c>
      <c r="J164" s="69">
        <v>3.3399999999999999E-2</v>
      </c>
      <c r="K164" s="70">
        <f t="shared" ref="K164:K166" si="173">I164*J164</f>
        <v>3.3399999999999999E-2</v>
      </c>
      <c r="L164" s="67">
        <f>F164-G164</f>
        <v>0</v>
      </c>
      <c r="M164" s="68">
        <v>0</v>
      </c>
      <c r="N164" s="67">
        <f t="shared" ref="N164:N166" si="174">L164*M164</f>
        <v>0</v>
      </c>
      <c r="O164" s="69">
        <v>0</v>
      </c>
      <c r="P164" s="70">
        <f t="shared" ref="P164:P166" si="175">N164*O164</f>
        <v>0</v>
      </c>
      <c r="Q164" s="70">
        <f t="shared" ref="Q164:Q166" si="176">K164+P164</f>
        <v>3.3399999999999999E-2</v>
      </c>
      <c r="R164" s="72">
        <v>48.07</v>
      </c>
      <c r="S164" s="72">
        <f t="shared" si="153"/>
        <v>2.13536554</v>
      </c>
    </row>
    <row r="165" spans="1:19" s="7" customFormat="1" ht="24" customHeight="1" x14ac:dyDescent="0.3">
      <c r="A165" s="151"/>
      <c r="B165" s="155"/>
      <c r="C165" s="154"/>
      <c r="D165" s="109" t="s">
        <v>64</v>
      </c>
      <c r="E165" s="95" t="s">
        <v>65</v>
      </c>
      <c r="F165" s="66">
        <v>1</v>
      </c>
      <c r="G165" s="67">
        <v>1</v>
      </c>
      <c r="H165" s="68">
        <v>1</v>
      </c>
      <c r="I165" s="68">
        <f t="shared" si="172"/>
        <v>1</v>
      </c>
      <c r="J165" s="69">
        <v>3.3399999999999999E-2</v>
      </c>
      <c r="K165" s="70">
        <f t="shared" si="173"/>
        <v>3.3399999999999999E-2</v>
      </c>
      <c r="L165" s="67">
        <f t="shared" ref="L165:L166" si="177">F165-G165</f>
        <v>0</v>
      </c>
      <c r="M165" s="68">
        <v>0</v>
      </c>
      <c r="N165" s="67">
        <f t="shared" si="174"/>
        <v>0</v>
      </c>
      <c r="O165" s="69">
        <v>0</v>
      </c>
      <c r="P165" s="70">
        <f t="shared" si="175"/>
        <v>0</v>
      </c>
      <c r="Q165" s="70">
        <f t="shared" si="176"/>
        <v>3.3399999999999999E-2</v>
      </c>
      <c r="R165" s="72">
        <v>48.07</v>
      </c>
      <c r="S165" s="72">
        <f t="shared" si="153"/>
        <v>2.13536554</v>
      </c>
    </row>
    <row r="166" spans="1:19" s="7" customFormat="1" ht="24" customHeight="1" x14ac:dyDescent="0.3">
      <c r="A166" s="151"/>
      <c r="B166" s="155"/>
      <c r="C166" s="154"/>
      <c r="D166" s="109" t="s">
        <v>45</v>
      </c>
      <c r="E166" s="95" t="s">
        <v>34</v>
      </c>
      <c r="F166" s="66">
        <v>1</v>
      </c>
      <c r="G166" s="67">
        <v>1</v>
      </c>
      <c r="H166" s="68">
        <v>1</v>
      </c>
      <c r="I166" s="68">
        <f t="shared" si="172"/>
        <v>1</v>
      </c>
      <c r="J166" s="69">
        <v>3.3399999999999999E-2</v>
      </c>
      <c r="K166" s="70">
        <f t="shared" si="173"/>
        <v>3.3399999999999999E-2</v>
      </c>
      <c r="L166" s="67">
        <f t="shared" si="177"/>
        <v>0</v>
      </c>
      <c r="M166" s="68">
        <v>0</v>
      </c>
      <c r="N166" s="67">
        <f t="shared" si="174"/>
        <v>0</v>
      </c>
      <c r="O166" s="69">
        <v>0</v>
      </c>
      <c r="P166" s="70">
        <f t="shared" si="175"/>
        <v>0</v>
      </c>
      <c r="Q166" s="70">
        <f t="shared" si="176"/>
        <v>3.3399999999999999E-2</v>
      </c>
      <c r="R166" s="72">
        <v>48.07</v>
      </c>
      <c r="S166" s="72">
        <f t="shared" si="153"/>
        <v>2.13536554</v>
      </c>
    </row>
    <row r="167" spans="1:19" s="7" customFormat="1" ht="24" customHeight="1" x14ac:dyDescent="0.3">
      <c r="A167" s="151"/>
      <c r="B167" s="155"/>
      <c r="C167" s="154"/>
      <c r="D167" s="109" t="s">
        <v>61</v>
      </c>
      <c r="E167" s="95" t="s">
        <v>264</v>
      </c>
      <c r="F167" s="66">
        <v>1</v>
      </c>
      <c r="G167" s="67">
        <v>1</v>
      </c>
      <c r="H167" s="68">
        <v>1</v>
      </c>
      <c r="I167" s="68">
        <f>G167*H167</f>
        <v>1</v>
      </c>
      <c r="J167" s="69">
        <v>0.25</v>
      </c>
      <c r="K167" s="70">
        <f>I167*J167</f>
        <v>0.25</v>
      </c>
      <c r="L167" s="67">
        <f>F167-G167</f>
        <v>0</v>
      </c>
      <c r="M167" s="68">
        <v>0</v>
      </c>
      <c r="N167" s="67">
        <f>L167*M167</f>
        <v>0</v>
      </c>
      <c r="O167" s="69">
        <v>0</v>
      </c>
      <c r="P167" s="70">
        <f>N167*O167</f>
        <v>0</v>
      </c>
      <c r="Q167" s="70">
        <f>K167+P167</f>
        <v>0.25</v>
      </c>
      <c r="R167" s="72">
        <v>48.07</v>
      </c>
      <c r="S167" s="72">
        <f t="shared" si="153"/>
        <v>15.983275000000001</v>
      </c>
    </row>
    <row r="168" spans="1:19" ht="38.549999999999997" customHeight="1" x14ac:dyDescent="0.3">
      <c r="A168" s="151"/>
      <c r="B168" s="155"/>
      <c r="C168" s="154" t="s">
        <v>270</v>
      </c>
      <c r="D168" s="109" t="s">
        <v>70</v>
      </c>
      <c r="E168" s="96" t="s">
        <v>63</v>
      </c>
      <c r="F168" s="66">
        <v>1</v>
      </c>
      <c r="G168" s="67">
        <v>1</v>
      </c>
      <c r="H168" s="68">
        <v>2</v>
      </c>
      <c r="I168" s="68">
        <f t="shared" si="172"/>
        <v>2</v>
      </c>
      <c r="J168" s="69">
        <v>3.3399999999999999E-2</v>
      </c>
      <c r="K168" s="70">
        <f>I168*J168</f>
        <v>6.6799999999999998E-2</v>
      </c>
      <c r="L168" s="67">
        <f>F168-G168</f>
        <v>0</v>
      </c>
      <c r="M168" s="68">
        <v>0</v>
      </c>
      <c r="N168" s="67">
        <f>L168*M168</f>
        <v>0</v>
      </c>
      <c r="O168" s="69">
        <v>0</v>
      </c>
      <c r="P168" s="70">
        <f>N168*O168</f>
        <v>0</v>
      </c>
      <c r="Q168" s="70">
        <f>K168+P168</f>
        <v>6.6799999999999998E-2</v>
      </c>
      <c r="R168" s="72">
        <v>48.07</v>
      </c>
      <c r="S168" s="72">
        <f t="shared" si="153"/>
        <v>4.27073108</v>
      </c>
    </row>
    <row r="169" spans="1:19" ht="38.549999999999997" customHeight="1" x14ac:dyDescent="0.3">
      <c r="A169" s="151"/>
      <c r="B169" s="155"/>
      <c r="C169" s="154"/>
      <c r="D169" s="109" t="s">
        <v>45</v>
      </c>
      <c r="E169" s="95" t="s">
        <v>34</v>
      </c>
      <c r="F169" s="66">
        <v>1</v>
      </c>
      <c r="G169" s="67">
        <v>1</v>
      </c>
      <c r="H169" s="68">
        <v>1</v>
      </c>
      <c r="I169" s="68">
        <f t="shared" si="172"/>
        <v>1</v>
      </c>
      <c r="J169" s="69">
        <v>3.3399999999999999E-2</v>
      </c>
      <c r="K169" s="70">
        <f t="shared" ref="K169" si="178">I169*J169</f>
        <v>3.3399999999999999E-2</v>
      </c>
      <c r="L169" s="67">
        <f t="shared" ref="L169:L171" si="179">F169-G169</f>
        <v>0</v>
      </c>
      <c r="M169" s="68">
        <v>0</v>
      </c>
      <c r="N169" s="67">
        <f t="shared" ref="N169" si="180">L169*M169</f>
        <v>0</v>
      </c>
      <c r="O169" s="69">
        <v>0</v>
      </c>
      <c r="P169" s="70">
        <f t="shared" ref="P169" si="181">N169*O169</f>
        <v>0</v>
      </c>
      <c r="Q169" s="70">
        <f t="shared" ref="Q169" si="182">K169+P169</f>
        <v>3.3399999999999999E-2</v>
      </c>
      <c r="R169" s="72">
        <v>48.07</v>
      </c>
      <c r="S169" s="72">
        <f t="shared" si="153"/>
        <v>2.13536554</v>
      </c>
    </row>
    <row r="170" spans="1:19" s="7" customFormat="1" ht="38.549999999999997" customHeight="1" x14ac:dyDescent="0.3">
      <c r="A170" s="151"/>
      <c r="B170" s="155"/>
      <c r="C170" s="154"/>
      <c r="D170" s="109" t="s">
        <v>66</v>
      </c>
      <c r="E170" s="95" t="s">
        <v>67</v>
      </c>
      <c r="F170" s="66">
        <v>1</v>
      </c>
      <c r="G170" s="67">
        <v>1</v>
      </c>
      <c r="H170" s="68">
        <v>1</v>
      </c>
      <c r="I170" s="68">
        <f>G170*H170</f>
        <v>1</v>
      </c>
      <c r="J170" s="69">
        <v>0.5</v>
      </c>
      <c r="K170" s="70">
        <f>I170*J170</f>
        <v>0.5</v>
      </c>
      <c r="L170" s="67">
        <f t="shared" si="179"/>
        <v>0</v>
      </c>
      <c r="M170" s="68">
        <v>0</v>
      </c>
      <c r="N170" s="67">
        <f>L170*M170</f>
        <v>0</v>
      </c>
      <c r="O170" s="69">
        <v>0</v>
      </c>
      <c r="P170" s="70">
        <f>N170*O170</f>
        <v>0</v>
      </c>
      <c r="Q170" s="70">
        <f>K170+P170</f>
        <v>0.5</v>
      </c>
      <c r="R170" s="72">
        <v>48.07</v>
      </c>
      <c r="S170" s="72">
        <f t="shared" si="153"/>
        <v>31.966550000000002</v>
      </c>
    </row>
    <row r="171" spans="1:19" s="7" customFormat="1" ht="38.549999999999997" customHeight="1" x14ac:dyDescent="0.3">
      <c r="A171" s="151"/>
      <c r="B171" s="155"/>
      <c r="C171" s="154"/>
      <c r="D171" s="109" t="s">
        <v>150</v>
      </c>
      <c r="E171" s="95" t="s">
        <v>151</v>
      </c>
      <c r="F171" s="66">
        <v>1</v>
      </c>
      <c r="G171" s="67">
        <v>1</v>
      </c>
      <c r="H171" s="68">
        <v>1</v>
      </c>
      <c r="I171" s="68">
        <f>G171*H171</f>
        <v>1</v>
      </c>
      <c r="J171" s="69">
        <v>5.0099999999999999E-2</v>
      </c>
      <c r="K171" s="70">
        <f>I171*J171</f>
        <v>5.0099999999999999E-2</v>
      </c>
      <c r="L171" s="67">
        <f t="shared" si="179"/>
        <v>0</v>
      </c>
      <c r="M171" s="68">
        <v>0</v>
      </c>
      <c r="N171" s="67">
        <f>L171*M171</f>
        <v>0</v>
      </c>
      <c r="O171" s="69">
        <v>0</v>
      </c>
      <c r="P171" s="70">
        <f>N171*O171</f>
        <v>0</v>
      </c>
      <c r="Q171" s="70">
        <f>K171+P171</f>
        <v>5.0099999999999999E-2</v>
      </c>
      <c r="R171" s="72">
        <v>48.07</v>
      </c>
      <c r="S171" s="72">
        <f t="shared" si="153"/>
        <v>3.2030483099999998</v>
      </c>
    </row>
    <row r="172" spans="1:19" s="7" customFormat="1" ht="38.549999999999997" customHeight="1" x14ac:dyDescent="0.3">
      <c r="A172" s="151"/>
      <c r="B172" s="155"/>
      <c r="C172" s="154" t="s">
        <v>271</v>
      </c>
      <c r="D172" s="109" t="s">
        <v>121</v>
      </c>
      <c r="E172" s="95" t="s">
        <v>272</v>
      </c>
      <c r="F172" s="66">
        <v>1</v>
      </c>
      <c r="G172" s="79">
        <v>1</v>
      </c>
      <c r="H172" s="68">
        <v>1</v>
      </c>
      <c r="I172" s="73">
        <f>G172*H172</f>
        <v>1</v>
      </c>
      <c r="J172" s="69">
        <v>3.0834999999999999</v>
      </c>
      <c r="K172" s="70">
        <f>I172*J172</f>
        <v>3.0834999999999999</v>
      </c>
      <c r="L172" s="67">
        <f>F172-G172</f>
        <v>0</v>
      </c>
      <c r="M172" s="68">
        <v>0</v>
      </c>
      <c r="N172" s="67">
        <f>L172*M172</f>
        <v>0</v>
      </c>
      <c r="O172" s="69">
        <v>0</v>
      </c>
      <c r="P172" s="70">
        <f>N172*O172</f>
        <v>0</v>
      </c>
      <c r="Q172" s="70">
        <f>K172+P172</f>
        <v>3.0834999999999999</v>
      </c>
      <c r="R172" s="72">
        <v>48.07</v>
      </c>
      <c r="S172" s="72">
        <f t="shared" si="153"/>
        <v>197.13771384999998</v>
      </c>
    </row>
    <row r="173" spans="1:19" s="7" customFormat="1" ht="27" customHeight="1" x14ac:dyDescent="0.3">
      <c r="A173" s="151"/>
      <c r="B173" s="155"/>
      <c r="C173" s="154"/>
      <c r="D173" s="109" t="s">
        <v>123</v>
      </c>
      <c r="E173" s="95" t="s">
        <v>124</v>
      </c>
      <c r="F173" s="66">
        <v>1</v>
      </c>
      <c r="G173" s="67">
        <v>1</v>
      </c>
      <c r="H173" s="68">
        <v>1</v>
      </c>
      <c r="I173" s="68">
        <f t="shared" ref="I173:I175" si="183">G173*H173</f>
        <v>1</v>
      </c>
      <c r="J173" s="69">
        <v>0.16700000000000001</v>
      </c>
      <c r="K173" s="70">
        <f t="shared" ref="K173" si="184">I173*J173</f>
        <v>0.16700000000000001</v>
      </c>
      <c r="L173" s="67">
        <f>F173-G173</f>
        <v>0</v>
      </c>
      <c r="M173" s="68">
        <v>0</v>
      </c>
      <c r="N173" s="67">
        <f t="shared" ref="N173:N175" si="185">L173*M173</f>
        <v>0</v>
      </c>
      <c r="O173" s="69">
        <v>0</v>
      </c>
      <c r="P173" s="70">
        <f t="shared" ref="P173:P175" si="186">N173*O173</f>
        <v>0</v>
      </c>
      <c r="Q173" s="70">
        <f t="shared" ref="Q173" si="187">K173+P173</f>
        <v>0.16700000000000001</v>
      </c>
      <c r="R173" s="72">
        <v>48.07</v>
      </c>
      <c r="S173" s="72">
        <f t="shared" si="153"/>
        <v>10.6768277</v>
      </c>
    </row>
    <row r="174" spans="1:19" s="7" customFormat="1" ht="38.549999999999997" customHeight="1" x14ac:dyDescent="0.3">
      <c r="A174" s="151"/>
      <c r="B174" s="155"/>
      <c r="C174" s="154" t="s">
        <v>273</v>
      </c>
      <c r="D174" s="109" t="s">
        <v>126</v>
      </c>
      <c r="E174" s="95" t="s">
        <v>127</v>
      </c>
      <c r="F174" s="66">
        <v>1</v>
      </c>
      <c r="G174" s="67">
        <v>1</v>
      </c>
      <c r="H174" s="68">
        <v>1</v>
      </c>
      <c r="I174" s="68">
        <f t="shared" si="183"/>
        <v>1</v>
      </c>
      <c r="J174" s="69">
        <v>5.0099999999999999E-2</v>
      </c>
      <c r="K174" s="70">
        <f>I174*J174</f>
        <v>5.0099999999999999E-2</v>
      </c>
      <c r="L174" s="67">
        <f>F174-G174</f>
        <v>0</v>
      </c>
      <c r="M174" s="68">
        <v>0</v>
      </c>
      <c r="N174" s="67">
        <f t="shared" si="185"/>
        <v>0</v>
      </c>
      <c r="O174" s="69">
        <v>0</v>
      </c>
      <c r="P174" s="70">
        <f t="shared" si="186"/>
        <v>0</v>
      </c>
      <c r="Q174" s="70">
        <f>K174+P174</f>
        <v>5.0099999999999999E-2</v>
      </c>
      <c r="R174" s="72">
        <v>48.07</v>
      </c>
      <c r="S174" s="72">
        <f t="shared" si="153"/>
        <v>3.2030483099999998</v>
      </c>
    </row>
    <row r="175" spans="1:19" s="7" customFormat="1" ht="38.549999999999997" customHeight="1" x14ac:dyDescent="0.3">
      <c r="A175" s="151"/>
      <c r="B175" s="155"/>
      <c r="C175" s="154"/>
      <c r="D175" s="109" t="s">
        <v>128</v>
      </c>
      <c r="E175" s="95" t="s">
        <v>155</v>
      </c>
      <c r="F175" s="66">
        <v>1</v>
      </c>
      <c r="G175" s="67">
        <v>1</v>
      </c>
      <c r="H175" s="68">
        <v>1</v>
      </c>
      <c r="I175" s="73">
        <f t="shared" si="183"/>
        <v>1</v>
      </c>
      <c r="J175" s="69">
        <v>0.1169</v>
      </c>
      <c r="K175" s="70">
        <f>I175*J175</f>
        <v>0.1169</v>
      </c>
      <c r="L175" s="67">
        <f t="shared" ref="L175:L176" si="188">F175-G175</f>
        <v>0</v>
      </c>
      <c r="M175" s="68">
        <v>0</v>
      </c>
      <c r="N175" s="67">
        <f t="shared" si="185"/>
        <v>0</v>
      </c>
      <c r="O175" s="69">
        <v>0</v>
      </c>
      <c r="P175" s="70">
        <f t="shared" si="186"/>
        <v>0</v>
      </c>
      <c r="Q175" s="70">
        <f>K175+P175</f>
        <v>0.1169</v>
      </c>
      <c r="R175" s="72">
        <v>48.07</v>
      </c>
      <c r="S175" s="72">
        <f t="shared" si="153"/>
        <v>7.4737793900000007</v>
      </c>
    </row>
    <row r="176" spans="1:19" s="7" customFormat="1" ht="69" x14ac:dyDescent="0.3">
      <c r="A176" s="151"/>
      <c r="B176" s="155"/>
      <c r="C176" s="66" t="s">
        <v>274</v>
      </c>
      <c r="D176" s="109" t="s">
        <v>131</v>
      </c>
      <c r="E176" s="95" t="s">
        <v>132</v>
      </c>
      <c r="F176" s="66">
        <v>1</v>
      </c>
      <c r="G176" s="67">
        <v>1</v>
      </c>
      <c r="H176" s="68">
        <v>1</v>
      </c>
      <c r="I176" s="68">
        <f>G176*H176</f>
        <v>1</v>
      </c>
      <c r="J176" s="69">
        <v>2</v>
      </c>
      <c r="K176" s="70">
        <f>I176*J176</f>
        <v>2</v>
      </c>
      <c r="L176" s="67">
        <f t="shared" si="188"/>
        <v>0</v>
      </c>
      <c r="M176" s="68">
        <v>0</v>
      </c>
      <c r="N176" s="67">
        <f>L176*M176</f>
        <v>0</v>
      </c>
      <c r="O176" s="69">
        <v>0</v>
      </c>
      <c r="P176" s="70">
        <f>N176*O176</f>
        <v>0</v>
      </c>
      <c r="Q176" s="70">
        <f>K176+P176</f>
        <v>2</v>
      </c>
      <c r="R176" s="72">
        <v>48.07</v>
      </c>
      <c r="S176" s="72">
        <f t="shared" si="153"/>
        <v>127.86620000000001</v>
      </c>
    </row>
    <row r="177" spans="1:19" s="7" customFormat="1" ht="69" x14ac:dyDescent="0.3">
      <c r="A177" s="151"/>
      <c r="B177" s="155" t="s">
        <v>275</v>
      </c>
      <c r="C177" s="66" t="s">
        <v>276</v>
      </c>
      <c r="D177" s="109" t="s">
        <v>196</v>
      </c>
      <c r="E177" s="96" t="s">
        <v>513</v>
      </c>
      <c r="F177" s="66">
        <v>4</v>
      </c>
      <c r="G177" s="79">
        <v>4</v>
      </c>
      <c r="H177" s="68">
        <v>1</v>
      </c>
      <c r="I177" s="73">
        <f>G177*H177</f>
        <v>4</v>
      </c>
      <c r="J177" s="69">
        <v>9</v>
      </c>
      <c r="K177" s="70">
        <f>I177*J177</f>
        <v>36</v>
      </c>
      <c r="L177" s="67">
        <f>F177-G177</f>
        <v>0</v>
      </c>
      <c r="M177" s="68">
        <v>0</v>
      </c>
      <c r="N177" s="67">
        <f t="shared" ref="N177:N178" si="189">L177*M177</f>
        <v>0</v>
      </c>
      <c r="O177" s="69">
        <v>0</v>
      </c>
      <c r="P177" s="70">
        <f>N177*O177</f>
        <v>0</v>
      </c>
      <c r="Q177" s="70">
        <f>K177+P177</f>
        <v>36</v>
      </c>
      <c r="R177" s="72">
        <v>48.07</v>
      </c>
      <c r="S177" s="72">
        <f t="shared" si="153"/>
        <v>2301.5916000000002</v>
      </c>
    </row>
    <row r="178" spans="1:19" s="7" customFormat="1" ht="78" customHeight="1" x14ac:dyDescent="0.3">
      <c r="A178" s="151"/>
      <c r="B178" s="155"/>
      <c r="C178" s="66" t="s">
        <v>277</v>
      </c>
      <c r="D178" s="109" t="s">
        <v>222</v>
      </c>
      <c r="E178" s="95" t="s">
        <v>515</v>
      </c>
      <c r="F178" s="43">
        <v>4</v>
      </c>
      <c r="G178" s="67">
        <v>4</v>
      </c>
      <c r="H178" s="68">
        <v>1</v>
      </c>
      <c r="I178" s="73">
        <f>G178*H178</f>
        <v>4</v>
      </c>
      <c r="J178" s="69">
        <v>1.5</v>
      </c>
      <c r="K178" s="70">
        <f>I178*J178</f>
        <v>6</v>
      </c>
      <c r="L178" s="67">
        <f>F178-G178</f>
        <v>0</v>
      </c>
      <c r="M178" s="68">
        <v>0</v>
      </c>
      <c r="N178" s="67">
        <f t="shared" si="189"/>
        <v>0</v>
      </c>
      <c r="O178" s="69">
        <v>0</v>
      </c>
      <c r="P178" s="70">
        <f>N178*O178</f>
        <v>0</v>
      </c>
      <c r="Q178" s="70">
        <f>K178+P178</f>
        <v>6</v>
      </c>
      <c r="R178" s="72">
        <v>48.07</v>
      </c>
      <c r="S178" s="72">
        <f t="shared" si="153"/>
        <v>383.59860000000003</v>
      </c>
    </row>
    <row r="179" spans="1:19" ht="15" customHeight="1" x14ac:dyDescent="0.3">
      <c r="A179" s="151"/>
      <c r="B179" s="166" t="s">
        <v>278</v>
      </c>
      <c r="C179" s="166"/>
      <c r="D179" s="166"/>
      <c r="E179" s="166"/>
      <c r="F179" s="88">
        <f>SUM(F154,F159, F164, F168,F177)</f>
        <v>66</v>
      </c>
      <c r="G179" s="80">
        <v>66</v>
      </c>
      <c r="H179" s="81">
        <v>4.29</v>
      </c>
      <c r="I179" s="80">
        <f>SUM(I153:I178)</f>
        <v>283</v>
      </c>
      <c r="J179" s="82">
        <f>K179/I179</f>
        <v>0.30098939929328622</v>
      </c>
      <c r="K179" s="83">
        <f>SUM(K153:K178)</f>
        <v>85.18</v>
      </c>
      <c r="L179" s="80">
        <f>SUM(L154, L159, L164,L168, L177)</f>
        <v>0</v>
      </c>
      <c r="M179" s="87">
        <v>0</v>
      </c>
      <c r="N179" s="80">
        <v>0</v>
      </c>
      <c r="O179" s="82">
        <v>0</v>
      </c>
      <c r="P179" s="83">
        <v>0</v>
      </c>
      <c r="Q179" s="83">
        <v>85.18</v>
      </c>
      <c r="R179" s="84" t="s">
        <v>182</v>
      </c>
      <c r="S179" s="85">
        <f>SUM(S153:S178)</f>
        <v>5972.6770180000012</v>
      </c>
    </row>
    <row r="180" spans="1:19" ht="19.350000000000001" customHeight="1" x14ac:dyDescent="0.3">
      <c r="A180" s="151" t="s">
        <v>279</v>
      </c>
      <c r="B180" s="163" t="s">
        <v>280</v>
      </c>
      <c r="C180" s="154" t="s">
        <v>281</v>
      </c>
      <c r="D180" s="109" t="s">
        <v>282</v>
      </c>
      <c r="E180" s="95" t="s">
        <v>283</v>
      </c>
      <c r="F180" s="43">
        <v>8204</v>
      </c>
      <c r="G180" s="67">
        <v>4102</v>
      </c>
      <c r="H180" s="68">
        <v>1</v>
      </c>
      <c r="I180" s="67">
        <f t="shared" ref="I180:I195" si="190">G180*H180</f>
        <v>4102</v>
      </c>
      <c r="J180" s="69">
        <v>5.0099999999999999E-2</v>
      </c>
      <c r="K180" s="70">
        <f t="shared" si="141"/>
        <v>205.5102</v>
      </c>
      <c r="L180" s="67">
        <f>F180-G180</f>
        <v>4102</v>
      </c>
      <c r="M180" s="68">
        <v>1</v>
      </c>
      <c r="N180" s="67">
        <f t="shared" ref="N180:N186" si="191">L180*M180</f>
        <v>4102</v>
      </c>
      <c r="O180" s="69">
        <v>2.23E-2</v>
      </c>
      <c r="P180" s="70">
        <f t="shared" ref="P180:P195" si="192">N180*O180</f>
        <v>91.474599999999995</v>
      </c>
      <c r="Q180" s="70">
        <f>K180+P180</f>
        <v>296.98480000000001</v>
      </c>
      <c r="R180" s="72">
        <v>29.76</v>
      </c>
      <c r="S180" s="72">
        <f t="shared" si="153"/>
        <v>11754.895971840002</v>
      </c>
    </row>
    <row r="181" spans="1:19" x14ac:dyDescent="0.3">
      <c r="A181" s="151"/>
      <c r="B181" s="164"/>
      <c r="C181" s="154"/>
      <c r="D181" s="109" t="s">
        <v>284</v>
      </c>
      <c r="E181" s="96" t="s">
        <v>285</v>
      </c>
      <c r="F181" s="43">
        <v>8204</v>
      </c>
      <c r="G181" s="67">
        <v>4102</v>
      </c>
      <c r="H181" s="68">
        <v>1</v>
      </c>
      <c r="I181" s="67">
        <f t="shared" ref="I181:I182" si="193">G181*H181</f>
        <v>4102</v>
      </c>
      <c r="J181" s="69">
        <v>8.3500000000000005E-2</v>
      </c>
      <c r="K181" s="70">
        <f t="shared" ref="K181:K182" si="194">I181*J181</f>
        <v>342.517</v>
      </c>
      <c r="L181" s="67">
        <f t="shared" ref="L181:L185" si="195">F181-G181</f>
        <v>4102</v>
      </c>
      <c r="M181" s="68">
        <v>1</v>
      </c>
      <c r="N181" s="67">
        <f t="shared" si="191"/>
        <v>4102</v>
      </c>
      <c r="O181" s="69">
        <v>2.23E-2</v>
      </c>
      <c r="P181" s="70">
        <f t="shared" ref="P181:P182" si="196">N181*O181</f>
        <v>91.474599999999995</v>
      </c>
      <c r="Q181" s="70">
        <f>K181+P181</f>
        <v>433.99160000000001</v>
      </c>
      <c r="R181" s="72">
        <v>29.76</v>
      </c>
      <c r="S181" s="72">
        <f t="shared" si="153"/>
        <v>17177.734721280001</v>
      </c>
    </row>
    <row r="182" spans="1:19" ht="28.35" customHeight="1" x14ac:dyDescent="0.3">
      <c r="A182" s="151"/>
      <c r="B182" s="164"/>
      <c r="C182" s="154"/>
      <c r="D182" s="109" t="s">
        <v>286</v>
      </c>
      <c r="E182" s="95" t="s">
        <v>287</v>
      </c>
      <c r="F182" s="43">
        <v>8204</v>
      </c>
      <c r="G182" s="67">
        <v>4102</v>
      </c>
      <c r="H182" s="68">
        <v>1</v>
      </c>
      <c r="I182" s="67">
        <f t="shared" si="193"/>
        <v>4102</v>
      </c>
      <c r="J182" s="69">
        <v>0.1336</v>
      </c>
      <c r="K182" s="70">
        <f t="shared" si="194"/>
        <v>548.02719999999999</v>
      </c>
      <c r="L182" s="67">
        <f t="shared" si="195"/>
        <v>4102</v>
      </c>
      <c r="M182" s="68">
        <v>1</v>
      </c>
      <c r="N182" s="67">
        <f t="shared" si="191"/>
        <v>4102</v>
      </c>
      <c r="O182" s="69">
        <v>2.23E-2</v>
      </c>
      <c r="P182" s="70">
        <f t="shared" si="196"/>
        <v>91.474599999999995</v>
      </c>
      <c r="Q182" s="70">
        <f>K182+P182</f>
        <v>639.5018</v>
      </c>
      <c r="R182" s="72">
        <v>29.76</v>
      </c>
      <c r="S182" s="72">
        <f t="shared" si="153"/>
        <v>25311.99284544</v>
      </c>
    </row>
    <row r="183" spans="1:19" ht="27" customHeight="1" x14ac:dyDescent="0.3">
      <c r="A183" s="151"/>
      <c r="B183" s="164"/>
      <c r="C183" s="154"/>
      <c r="D183" s="109" t="s">
        <v>288</v>
      </c>
      <c r="E183" s="95" t="s">
        <v>289</v>
      </c>
      <c r="F183" s="43">
        <v>6563</v>
      </c>
      <c r="G183" s="67">
        <v>374</v>
      </c>
      <c r="H183" s="68">
        <v>1</v>
      </c>
      <c r="I183" s="67">
        <f t="shared" si="190"/>
        <v>374</v>
      </c>
      <c r="J183" s="69">
        <v>0.1002</v>
      </c>
      <c r="K183" s="70">
        <f t="shared" si="141"/>
        <v>37.474800000000002</v>
      </c>
      <c r="L183" s="67">
        <f t="shared" si="195"/>
        <v>6189</v>
      </c>
      <c r="M183" s="68">
        <v>1</v>
      </c>
      <c r="N183" s="67">
        <f t="shared" si="191"/>
        <v>6189</v>
      </c>
      <c r="O183" s="69">
        <v>2.23E-2</v>
      </c>
      <c r="P183" s="70">
        <f t="shared" si="192"/>
        <v>138.0147</v>
      </c>
      <c r="Q183" s="70">
        <f t="shared" ref="Q183:Q185" si="197">K183+P183</f>
        <v>175.48950000000002</v>
      </c>
      <c r="R183" s="72">
        <v>29.76</v>
      </c>
      <c r="S183" s="72">
        <f t="shared" si="153"/>
        <v>6946.0148016000012</v>
      </c>
    </row>
    <row r="184" spans="1:19" ht="27" customHeight="1" x14ac:dyDescent="0.3">
      <c r="A184" s="151"/>
      <c r="B184" s="164"/>
      <c r="C184" s="154"/>
      <c r="D184" s="66" t="s">
        <v>290</v>
      </c>
      <c r="E184" s="95" t="s">
        <v>291</v>
      </c>
      <c r="F184" s="43">
        <v>1641</v>
      </c>
      <c r="G184" s="67">
        <v>661</v>
      </c>
      <c r="H184" s="68">
        <v>1</v>
      </c>
      <c r="I184" s="67">
        <f t="shared" ref="I184" si="198">G184*H184</f>
        <v>661</v>
      </c>
      <c r="J184" s="69">
        <v>0.1002</v>
      </c>
      <c r="K184" s="70">
        <f t="shared" ref="K184" si="199">I184*J184</f>
        <v>66.232199999999992</v>
      </c>
      <c r="L184" s="67">
        <f t="shared" si="195"/>
        <v>980</v>
      </c>
      <c r="M184" s="68">
        <v>1</v>
      </c>
      <c r="N184" s="67">
        <f t="shared" si="191"/>
        <v>980</v>
      </c>
      <c r="O184" s="69">
        <v>2.23E-2</v>
      </c>
      <c r="P184" s="70">
        <f t="shared" ref="P184" si="200">N184*O184</f>
        <v>21.853999999999999</v>
      </c>
      <c r="Q184" s="70">
        <f t="shared" ref="Q184" si="201">K184+P184</f>
        <v>88.086199999999991</v>
      </c>
      <c r="R184" s="72">
        <v>29.76</v>
      </c>
      <c r="S184" s="72">
        <f t="shared" si="153"/>
        <v>3486.52226496</v>
      </c>
    </row>
    <row r="185" spans="1:19" ht="39" customHeight="1" x14ac:dyDescent="0.3">
      <c r="A185" s="151"/>
      <c r="B185" s="164"/>
      <c r="C185" s="154" t="s">
        <v>292</v>
      </c>
      <c r="D185" s="109" t="s">
        <v>516</v>
      </c>
      <c r="E185" s="95" t="s">
        <v>517</v>
      </c>
      <c r="F185" s="67">
        <v>3302</v>
      </c>
      <c r="G185" s="67">
        <v>1800</v>
      </c>
      <c r="H185" s="68">
        <v>3</v>
      </c>
      <c r="I185" s="67">
        <f t="shared" si="190"/>
        <v>5400</v>
      </c>
      <c r="J185" s="69">
        <v>1.67E-2</v>
      </c>
      <c r="K185" s="70">
        <f t="shared" si="141"/>
        <v>90.179999999999993</v>
      </c>
      <c r="L185" s="67">
        <f t="shared" si="195"/>
        <v>1502</v>
      </c>
      <c r="M185" s="68">
        <v>3</v>
      </c>
      <c r="N185" s="67">
        <f t="shared" si="191"/>
        <v>4506</v>
      </c>
      <c r="O185" s="69">
        <v>2.23E-2</v>
      </c>
      <c r="P185" s="70">
        <f t="shared" si="192"/>
        <v>100.4838</v>
      </c>
      <c r="Q185" s="70">
        <f t="shared" si="197"/>
        <v>190.66379999999998</v>
      </c>
      <c r="R185" s="72">
        <v>29.76</v>
      </c>
      <c r="S185" s="72">
        <f t="shared" si="153"/>
        <v>7546.6257350400001</v>
      </c>
    </row>
    <row r="186" spans="1:19" ht="39" customHeight="1" x14ac:dyDescent="0.3">
      <c r="A186" s="151"/>
      <c r="B186" s="164"/>
      <c r="C186" s="154"/>
      <c r="D186" s="109" t="s">
        <v>293</v>
      </c>
      <c r="E186" s="140" t="s">
        <v>498</v>
      </c>
      <c r="F186" s="67">
        <v>3302</v>
      </c>
      <c r="G186" s="79">
        <v>1800</v>
      </c>
      <c r="H186" s="68">
        <v>1</v>
      </c>
      <c r="I186" s="86">
        <f t="shared" si="190"/>
        <v>1800</v>
      </c>
      <c r="J186" s="69">
        <v>0.41749999999999998</v>
      </c>
      <c r="K186" s="70">
        <f t="shared" si="141"/>
        <v>751.5</v>
      </c>
      <c r="L186" s="67">
        <f t="shared" ref="L186:L190" si="202">F186-G186</f>
        <v>1502</v>
      </c>
      <c r="M186" s="68">
        <v>1</v>
      </c>
      <c r="N186" s="67">
        <f t="shared" si="191"/>
        <v>1502</v>
      </c>
      <c r="O186" s="69">
        <v>2.23E-2</v>
      </c>
      <c r="P186" s="70">
        <f t="shared" si="192"/>
        <v>33.494599999999998</v>
      </c>
      <c r="Q186" s="70">
        <f t="shared" si="144"/>
        <v>784.99459999999999</v>
      </c>
      <c r="R186" s="72">
        <v>29.76</v>
      </c>
      <c r="S186" s="72">
        <f t="shared" si="153"/>
        <v>31070.714263680002</v>
      </c>
    </row>
    <row r="187" spans="1:19" ht="21" customHeight="1" x14ac:dyDescent="0.3">
      <c r="A187" s="151"/>
      <c r="B187" s="164"/>
      <c r="C187" s="163" t="s">
        <v>294</v>
      </c>
      <c r="D187" s="109" t="s">
        <v>518</v>
      </c>
      <c r="E187" s="95" t="s">
        <v>519</v>
      </c>
      <c r="F187" s="43">
        <v>2199.4</v>
      </c>
      <c r="G187" s="67">
        <v>1331.6181200000001</v>
      </c>
      <c r="H187" s="68">
        <v>2</v>
      </c>
      <c r="I187" s="67">
        <f>G187*H187</f>
        <v>2663.2362400000002</v>
      </c>
      <c r="J187" s="69">
        <v>1.67E-2</v>
      </c>
      <c r="K187" s="70">
        <f>I187*J187</f>
        <v>44.476045208000002</v>
      </c>
      <c r="L187" s="67">
        <f>F187-G187</f>
        <v>867.78188</v>
      </c>
      <c r="M187" s="68">
        <v>2</v>
      </c>
      <c r="N187" s="67">
        <f>L187*M187</f>
        <v>1735.56376</v>
      </c>
      <c r="O187" s="69">
        <v>2.23E-2</v>
      </c>
      <c r="P187" s="70">
        <f>N187*O187</f>
        <v>38.703071848</v>
      </c>
      <c r="Q187" s="70">
        <f>K187+P187</f>
        <v>83.179117055999996</v>
      </c>
      <c r="R187" s="72">
        <v>29.76</v>
      </c>
      <c r="S187" s="72">
        <f>Q187*R187*1.33</f>
        <v>3292.2959963701251</v>
      </c>
    </row>
    <row r="188" spans="1:19" ht="21" customHeight="1" x14ac:dyDescent="0.3">
      <c r="A188" s="151"/>
      <c r="B188" s="164"/>
      <c r="C188" s="164"/>
      <c r="D188" s="109" t="s">
        <v>520</v>
      </c>
      <c r="E188" s="95" t="s">
        <v>295</v>
      </c>
      <c r="F188" s="43">
        <v>2199.4</v>
      </c>
      <c r="G188" s="67">
        <v>1331.6181200000001</v>
      </c>
      <c r="H188" s="68">
        <v>1</v>
      </c>
      <c r="I188" s="67">
        <f>G188*H188</f>
        <v>1331.6181200000001</v>
      </c>
      <c r="J188" s="69">
        <v>0.16700000000000001</v>
      </c>
      <c r="K188" s="70">
        <f t="shared" ref="K188" si="203">I188*J188</f>
        <v>222.38022604000003</v>
      </c>
      <c r="L188" s="67">
        <f t="shared" si="202"/>
        <v>867.78188</v>
      </c>
      <c r="M188" s="68">
        <v>1</v>
      </c>
      <c r="N188" s="67">
        <f t="shared" ref="N188" si="204">L188*M188</f>
        <v>867.78188</v>
      </c>
      <c r="O188" s="69">
        <v>2.23E-2</v>
      </c>
      <c r="P188" s="70">
        <f t="shared" ref="P188" si="205">N188*O188</f>
        <v>19.351535924</v>
      </c>
      <c r="Q188" s="70">
        <f t="shared" ref="Q188" si="206">K188+P188</f>
        <v>241.73176196400001</v>
      </c>
      <c r="R188" s="72">
        <v>29.76</v>
      </c>
      <c r="S188" s="72">
        <f t="shared" si="153"/>
        <v>9567.9365239446925</v>
      </c>
    </row>
    <row r="189" spans="1:19" x14ac:dyDescent="0.3">
      <c r="A189" s="151"/>
      <c r="B189" s="164"/>
      <c r="C189" s="164"/>
      <c r="D189" s="109" t="s">
        <v>296</v>
      </c>
      <c r="E189" s="95" t="s">
        <v>297</v>
      </c>
      <c r="F189" s="43">
        <v>1571</v>
      </c>
      <c r="G189" s="67">
        <v>1021</v>
      </c>
      <c r="H189" s="68">
        <v>1</v>
      </c>
      <c r="I189" s="73">
        <f t="shared" si="190"/>
        <v>1021</v>
      </c>
      <c r="J189" s="69">
        <v>0.25</v>
      </c>
      <c r="K189" s="70">
        <f t="shared" si="141"/>
        <v>255.25</v>
      </c>
      <c r="L189" s="67">
        <f t="shared" si="202"/>
        <v>550</v>
      </c>
      <c r="M189" s="68">
        <v>1</v>
      </c>
      <c r="N189" s="67">
        <f t="shared" ref="N189:N195" si="207">L189*M189</f>
        <v>550</v>
      </c>
      <c r="O189" s="69">
        <v>2.23E-2</v>
      </c>
      <c r="P189" s="70">
        <f t="shared" si="192"/>
        <v>12.265000000000001</v>
      </c>
      <c r="Q189" s="70">
        <f t="shared" si="144"/>
        <v>267.51499999999999</v>
      </c>
      <c r="R189" s="72">
        <v>29.76</v>
      </c>
      <c r="S189" s="72">
        <f t="shared" si="153"/>
        <v>10588.457712000001</v>
      </c>
    </row>
    <row r="190" spans="1:19" x14ac:dyDescent="0.3">
      <c r="A190" s="151"/>
      <c r="B190" s="165"/>
      <c r="C190" s="165"/>
      <c r="D190" s="109" t="s">
        <v>296</v>
      </c>
      <c r="E190" s="140" t="s">
        <v>298</v>
      </c>
      <c r="F190" s="67">
        <v>628.40000000000009</v>
      </c>
      <c r="G190" s="67">
        <v>310.61812000000003</v>
      </c>
      <c r="H190" s="68">
        <v>1</v>
      </c>
      <c r="I190" s="78">
        <f t="shared" si="190"/>
        <v>310.61812000000003</v>
      </c>
      <c r="J190" s="69">
        <v>0.75</v>
      </c>
      <c r="K190" s="70">
        <f t="shared" si="141"/>
        <v>232.96359000000001</v>
      </c>
      <c r="L190" s="67">
        <f t="shared" si="202"/>
        <v>317.78188000000006</v>
      </c>
      <c r="M190" s="68">
        <v>1</v>
      </c>
      <c r="N190" s="67">
        <f t="shared" si="207"/>
        <v>317.78188000000006</v>
      </c>
      <c r="O190" s="69">
        <v>2.23E-2</v>
      </c>
      <c r="P190" s="70">
        <f t="shared" si="192"/>
        <v>7.0865359240000014</v>
      </c>
      <c r="Q190" s="70">
        <f t="shared" si="144"/>
        <v>240.05012592400001</v>
      </c>
      <c r="R190" s="72">
        <v>29.76</v>
      </c>
      <c r="S190" s="72">
        <f t="shared" si="153"/>
        <v>9501.3760241726613</v>
      </c>
    </row>
    <row r="191" spans="1:19" ht="14.55" customHeight="1" x14ac:dyDescent="0.3">
      <c r="A191" s="151"/>
      <c r="B191" s="169" t="s">
        <v>299</v>
      </c>
      <c r="C191" s="169"/>
      <c r="D191" s="169"/>
      <c r="E191" s="169"/>
      <c r="F191" s="80">
        <f>SUM(F181)</f>
        <v>8204</v>
      </c>
      <c r="G191" s="80">
        <f>SUM(G181)</f>
        <v>4102</v>
      </c>
      <c r="H191" s="81">
        <f>I191/G191</f>
        <v>6.3060635007313497</v>
      </c>
      <c r="I191" s="80">
        <f>SUM(I180:I190)</f>
        <v>25867.472479999997</v>
      </c>
      <c r="J191" s="82">
        <f>K191/I191</f>
        <v>0.10810918087997133</v>
      </c>
      <c r="K191" s="83">
        <f>SUM(K180:K190)</f>
        <v>2796.5112612480002</v>
      </c>
      <c r="L191" s="80">
        <f>SUM(L181)</f>
        <v>4102</v>
      </c>
      <c r="M191" s="87">
        <f>N191/L191</f>
        <v>7.0585391321306679</v>
      </c>
      <c r="N191" s="80">
        <f>SUM(N180:N190)</f>
        <v>28954.127519999998</v>
      </c>
      <c r="O191" s="82">
        <f>P191/N191</f>
        <v>2.2300000000000004E-2</v>
      </c>
      <c r="P191" s="83">
        <f>SUM(P180:P190)</f>
        <v>645.67704369600006</v>
      </c>
      <c r="Q191" s="83">
        <f>P191+K191</f>
        <v>3442.1883049440003</v>
      </c>
      <c r="R191" s="84" t="s">
        <v>182</v>
      </c>
      <c r="S191" s="103">
        <f>SUM(S180:S190)</f>
        <v>136244.5668603275</v>
      </c>
    </row>
    <row r="192" spans="1:19" ht="14.55" customHeight="1" x14ac:dyDescent="0.3">
      <c r="A192" s="151"/>
      <c r="B192" s="50" t="s">
        <v>300</v>
      </c>
      <c r="C192" s="66" t="s">
        <v>184</v>
      </c>
      <c r="D192" s="109" t="s">
        <v>48</v>
      </c>
      <c r="E192" s="97" t="s">
        <v>49</v>
      </c>
      <c r="F192" s="67">
        <v>1</v>
      </c>
      <c r="G192" s="67">
        <v>1</v>
      </c>
      <c r="H192" s="68">
        <v>1</v>
      </c>
      <c r="I192" s="67">
        <f t="shared" ref="I192" si="208">G192*H192</f>
        <v>1</v>
      </c>
      <c r="J192" s="69">
        <v>1.06</v>
      </c>
      <c r="K192" s="70">
        <f t="shared" si="141"/>
        <v>1.06</v>
      </c>
      <c r="L192" s="67">
        <f>F192-G192</f>
        <v>0</v>
      </c>
      <c r="M192" s="68">
        <v>0</v>
      </c>
      <c r="N192" s="67">
        <f t="shared" ref="N192" si="209">L192*M192</f>
        <v>0</v>
      </c>
      <c r="O192" s="69">
        <v>2.23E-2</v>
      </c>
      <c r="P192" s="70">
        <f t="shared" ref="P192" si="210">N192*O192</f>
        <v>0</v>
      </c>
      <c r="Q192" s="70">
        <f t="shared" ref="Q192" si="211">K192+P192</f>
        <v>1.06</v>
      </c>
      <c r="R192" s="72"/>
      <c r="S192" s="72">
        <f t="shared" ref="S192" si="212">Q192*R192*1.33</f>
        <v>0</v>
      </c>
    </row>
    <row r="193" spans="1:20" ht="26.1" customHeight="1" x14ac:dyDescent="0.3">
      <c r="A193" s="151"/>
      <c r="B193" s="155" t="s">
        <v>301</v>
      </c>
      <c r="C193" s="154" t="s">
        <v>302</v>
      </c>
      <c r="D193" s="66" t="s">
        <v>303</v>
      </c>
      <c r="E193" s="96" t="s">
        <v>304</v>
      </c>
      <c r="F193" s="43">
        <v>8204</v>
      </c>
      <c r="G193" s="67">
        <v>4102</v>
      </c>
      <c r="H193" s="68">
        <v>1</v>
      </c>
      <c r="I193" s="67">
        <f t="shared" si="190"/>
        <v>4102</v>
      </c>
      <c r="J193" s="69">
        <v>5.0099999999999999E-2</v>
      </c>
      <c r="K193" s="70">
        <f t="shared" si="141"/>
        <v>205.5102</v>
      </c>
      <c r="L193" s="67">
        <f>F193-G193</f>
        <v>4102</v>
      </c>
      <c r="M193" s="68">
        <v>1</v>
      </c>
      <c r="N193" s="67">
        <f t="shared" si="207"/>
        <v>4102</v>
      </c>
      <c r="O193" s="69">
        <v>2.23E-2</v>
      </c>
      <c r="P193" s="70">
        <f t="shared" si="192"/>
        <v>91.474599999999995</v>
      </c>
      <c r="Q193" s="70">
        <f t="shared" si="144"/>
        <v>296.98480000000001</v>
      </c>
      <c r="R193" s="72"/>
      <c r="S193" s="72">
        <f t="shared" si="153"/>
        <v>0</v>
      </c>
    </row>
    <row r="194" spans="1:20" x14ac:dyDescent="0.3">
      <c r="A194" s="151"/>
      <c r="B194" s="155"/>
      <c r="C194" s="154"/>
      <c r="D194" s="109" t="s">
        <v>521</v>
      </c>
      <c r="E194" s="95" t="s">
        <v>305</v>
      </c>
      <c r="F194" s="43">
        <v>8204</v>
      </c>
      <c r="G194" s="67">
        <v>4102</v>
      </c>
      <c r="H194" s="68">
        <v>1</v>
      </c>
      <c r="I194" s="67">
        <f t="shared" si="190"/>
        <v>4102</v>
      </c>
      <c r="J194" s="69">
        <v>1.67E-2</v>
      </c>
      <c r="K194" s="70">
        <f t="shared" si="141"/>
        <v>68.503399999999999</v>
      </c>
      <c r="L194" s="67">
        <f t="shared" ref="L194:L196" si="213">F194-G194</f>
        <v>4102</v>
      </c>
      <c r="M194" s="68">
        <v>1</v>
      </c>
      <c r="N194" s="67">
        <f t="shared" si="207"/>
        <v>4102</v>
      </c>
      <c r="O194" s="69">
        <v>2.23E-2</v>
      </c>
      <c r="P194" s="70">
        <f t="shared" si="192"/>
        <v>91.474599999999995</v>
      </c>
      <c r="Q194" s="70">
        <f t="shared" si="144"/>
        <v>159.97800000000001</v>
      </c>
      <c r="R194" s="72"/>
      <c r="S194" s="72">
        <f t="shared" si="153"/>
        <v>0</v>
      </c>
    </row>
    <row r="195" spans="1:20" ht="19.350000000000001" customHeight="1" x14ac:dyDescent="0.3">
      <c r="A195" s="151"/>
      <c r="B195" s="155" t="s">
        <v>306</v>
      </c>
      <c r="C195" s="154" t="s">
        <v>307</v>
      </c>
      <c r="D195" s="109" t="s">
        <v>308</v>
      </c>
      <c r="E195" s="95" t="s">
        <v>522</v>
      </c>
      <c r="F195" s="43">
        <v>6604</v>
      </c>
      <c r="G195" s="79">
        <v>3302</v>
      </c>
      <c r="H195" s="68">
        <v>1</v>
      </c>
      <c r="I195" s="86">
        <f t="shared" si="190"/>
        <v>3302</v>
      </c>
      <c r="J195" s="69">
        <v>0.16669999999999999</v>
      </c>
      <c r="K195" s="70">
        <f t="shared" si="141"/>
        <v>550.4434</v>
      </c>
      <c r="L195" s="67">
        <f t="shared" si="213"/>
        <v>3302</v>
      </c>
      <c r="M195" s="68">
        <v>1</v>
      </c>
      <c r="N195" s="67">
        <f t="shared" si="207"/>
        <v>3302</v>
      </c>
      <c r="O195" s="69">
        <v>6.6799999999999998E-2</v>
      </c>
      <c r="P195" s="70">
        <f t="shared" si="192"/>
        <v>220.5736</v>
      </c>
      <c r="Q195" s="70">
        <f t="shared" si="144"/>
        <v>771.01700000000005</v>
      </c>
      <c r="R195" s="72"/>
      <c r="S195" s="72">
        <f t="shared" si="153"/>
        <v>0</v>
      </c>
    </row>
    <row r="196" spans="1:20" ht="31.5" customHeight="1" x14ac:dyDescent="0.3">
      <c r="A196" s="151"/>
      <c r="B196" s="155"/>
      <c r="C196" s="154"/>
      <c r="D196" s="109" t="s">
        <v>296</v>
      </c>
      <c r="E196" s="141" t="s">
        <v>297</v>
      </c>
      <c r="F196" s="43">
        <v>6604</v>
      </c>
      <c r="G196" s="67">
        <v>3302</v>
      </c>
      <c r="H196" s="68">
        <v>1</v>
      </c>
      <c r="I196" s="86">
        <f>G196*H196</f>
        <v>3302</v>
      </c>
      <c r="J196" s="69">
        <v>0.80159999999999998</v>
      </c>
      <c r="K196" s="70">
        <f t="shared" ref="K196" si="214">I196*J196</f>
        <v>2646.8831999999998</v>
      </c>
      <c r="L196" s="67">
        <f t="shared" si="213"/>
        <v>3302</v>
      </c>
      <c r="M196" s="68">
        <v>1</v>
      </c>
      <c r="N196" s="67">
        <f t="shared" ref="N196" si="215">L196*M196</f>
        <v>3302</v>
      </c>
      <c r="O196" s="69">
        <v>0.28389999999999999</v>
      </c>
      <c r="P196" s="70">
        <f t="shared" ref="P196" si="216">N196*O196</f>
        <v>937.43779999999992</v>
      </c>
      <c r="Q196" s="70">
        <f t="shared" ref="Q196" si="217">K196+P196</f>
        <v>3584.3209999999999</v>
      </c>
      <c r="R196" s="72"/>
      <c r="S196" s="72">
        <f t="shared" si="153"/>
        <v>0</v>
      </c>
    </row>
    <row r="197" spans="1:20" ht="41.55" customHeight="1" x14ac:dyDescent="0.3">
      <c r="A197" s="151"/>
      <c r="B197" s="155"/>
      <c r="C197" s="154" t="s">
        <v>309</v>
      </c>
      <c r="D197" s="109" t="s">
        <v>518</v>
      </c>
      <c r="E197" s="95" t="s">
        <v>523</v>
      </c>
      <c r="F197" s="43">
        <v>692.40000000000009</v>
      </c>
      <c r="G197" s="67">
        <v>342.25332000000003</v>
      </c>
      <c r="H197" s="68">
        <v>2</v>
      </c>
      <c r="I197" s="67">
        <f>G197*H197</f>
        <v>684.50664000000006</v>
      </c>
      <c r="J197" s="69">
        <v>1.67E-2</v>
      </c>
      <c r="K197" s="70">
        <f>I197*J197</f>
        <v>11.431260888000001</v>
      </c>
      <c r="L197" s="67">
        <f>F197-G197</f>
        <v>350.14668000000006</v>
      </c>
      <c r="M197" s="68">
        <v>2</v>
      </c>
      <c r="N197" s="67">
        <f>L197*M197</f>
        <v>700.29336000000012</v>
      </c>
      <c r="O197" s="69">
        <v>2.23E-2</v>
      </c>
      <c r="P197" s="70">
        <f>N197*O197</f>
        <v>15.616541928000004</v>
      </c>
      <c r="Q197" s="70">
        <f>K197+P197</f>
        <v>27.047802816000004</v>
      </c>
      <c r="R197" s="72"/>
      <c r="S197" s="72">
        <f t="shared" si="153"/>
        <v>0</v>
      </c>
    </row>
    <row r="198" spans="1:20" x14ac:dyDescent="0.3">
      <c r="A198" s="151"/>
      <c r="B198" s="155"/>
      <c r="C198" s="154"/>
      <c r="D198" s="109" t="s">
        <v>296</v>
      </c>
      <c r="E198" s="141" t="s">
        <v>310</v>
      </c>
      <c r="F198" s="43">
        <v>692.40000000000009</v>
      </c>
      <c r="G198" s="67">
        <v>342.25332000000003</v>
      </c>
      <c r="H198" s="68">
        <v>1</v>
      </c>
      <c r="I198" s="78">
        <f>G198*H198</f>
        <v>342.25332000000003</v>
      </c>
      <c r="J198" s="69">
        <v>0.75</v>
      </c>
      <c r="K198" s="70">
        <f>I198*J198</f>
        <v>256.68999000000002</v>
      </c>
      <c r="L198" s="67">
        <f>F198-G198</f>
        <v>350.14668000000006</v>
      </c>
      <c r="M198" s="68">
        <v>1</v>
      </c>
      <c r="N198" s="67">
        <f>L198*M198</f>
        <v>350.14668000000006</v>
      </c>
      <c r="O198" s="69">
        <v>2.23E-2</v>
      </c>
      <c r="P198" s="70">
        <f>N198*O198</f>
        <v>7.8082709640000019</v>
      </c>
      <c r="Q198" s="70">
        <f>K198+P198</f>
        <v>264.498260964</v>
      </c>
      <c r="R198" s="72"/>
      <c r="S198" s="72">
        <f t="shared" si="153"/>
        <v>0</v>
      </c>
    </row>
    <row r="199" spans="1:20" x14ac:dyDescent="0.3">
      <c r="A199" s="151"/>
      <c r="B199" s="155" t="s">
        <v>311</v>
      </c>
      <c r="C199" s="154" t="s">
        <v>312</v>
      </c>
      <c r="D199" s="109" t="s">
        <v>308</v>
      </c>
      <c r="E199" s="95" t="s">
        <v>524</v>
      </c>
      <c r="F199" s="43">
        <v>1600</v>
      </c>
      <c r="G199" s="79">
        <v>800</v>
      </c>
      <c r="H199" s="68">
        <v>1</v>
      </c>
      <c r="I199" s="86">
        <f>G199*H199</f>
        <v>800</v>
      </c>
      <c r="J199" s="69">
        <v>0.16669999999999999</v>
      </c>
      <c r="K199" s="70">
        <f>I199*J199</f>
        <v>133.35999999999999</v>
      </c>
      <c r="L199" s="67">
        <f>F199-G199</f>
        <v>800</v>
      </c>
      <c r="M199" s="68">
        <v>1</v>
      </c>
      <c r="N199" s="67">
        <f>L199*M199</f>
        <v>800</v>
      </c>
      <c r="O199" s="69">
        <v>6.6799999999999998E-2</v>
      </c>
      <c r="P199" s="70">
        <f>N199*O199</f>
        <v>53.44</v>
      </c>
      <c r="Q199" s="70">
        <f>K199+P199</f>
        <v>186.79999999999998</v>
      </c>
      <c r="R199" s="72"/>
      <c r="S199" s="72">
        <f t="shared" si="153"/>
        <v>0</v>
      </c>
    </row>
    <row r="200" spans="1:20" ht="21.6" customHeight="1" x14ac:dyDescent="0.3">
      <c r="A200" s="151"/>
      <c r="B200" s="155"/>
      <c r="C200" s="154"/>
      <c r="D200" s="109" t="s">
        <v>296</v>
      </c>
      <c r="E200" s="141" t="s">
        <v>313</v>
      </c>
      <c r="F200" s="43">
        <v>1600</v>
      </c>
      <c r="G200" s="67">
        <v>800</v>
      </c>
      <c r="H200" s="68">
        <v>1</v>
      </c>
      <c r="I200" s="86">
        <f>G200*H200</f>
        <v>800</v>
      </c>
      <c r="J200" s="69">
        <v>0.3</v>
      </c>
      <c r="K200" s="70">
        <f>I200*J200</f>
        <v>240</v>
      </c>
      <c r="L200" s="67">
        <f>F200-G200</f>
        <v>800</v>
      </c>
      <c r="M200" s="68">
        <v>1</v>
      </c>
      <c r="N200" s="67">
        <f>L200*M200</f>
        <v>800</v>
      </c>
      <c r="O200" s="69">
        <v>0.28389999999999999</v>
      </c>
      <c r="P200" s="70">
        <f>N200*O200</f>
        <v>227.11999999999998</v>
      </c>
      <c r="Q200" s="70">
        <f>K200+P200</f>
        <v>467.12</v>
      </c>
      <c r="R200" s="72"/>
      <c r="S200" s="72">
        <f t="shared" si="153"/>
        <v>0</v>
      </c>
    </row>
    <row r="201" spans="1:20" s="7" customFormat="1" ht="18" customHeight="1" x14ac:dyDescent="0.3">
      <c r="A201" s="151"/>
      <c r="B201" s="169" t="s">
        <v>314</v>
      </c>
      <c r="C201" s="169"/>
      <c r="D201" s="169"/>
      <c r="E201" s="169"/>
      <c r="F201" s="80">
        <f>F192+F193</f>
        <v>8205</v>
      </c>
      <c r="G201" s="80">
        <f>G193+G192</f>
        <v>4103</v>
      </c>
      <c r="H201" s="81">
        <f>I201/G201</f>
        <v>4.2495149792834512</v>
      </c>
      <c r="I201" s="80">
        <f>SUM(I192:I200)</f>
        <v>17435.759959999999</v>
      </c>
      <c r="J201" s="82">
        <f>K201/I201</f>
        <v>0.23594506120328584</v>
      </c>
      <c r="K201" s="83">
        <f>SUM(K192:K200)</f>
        <v>4113.8814508880005</v>
      </c>
      <c r="L201" s="80">
        <f>L193+L192</f>
        <v>4102</v>
      </c>
      <c r="M201" s="81">
        <f>N201/L201</f>
        <v>4.2560799707459775</v>
      </c>
      <c r="N201" s="80">
        <f>SUM(N192:N200)</f>
        <v>17458.440040000001</v>
      </c>
      <c r="O201" s="82">
        <f>P201/N201</f>
        <v>9.4220641083806692E-2</v>
      </c>
      <c r="P201" s="83">
        <f>SUM(P192:P200)</f>
        <v>1644.9454128919999</v>
      </c>
      <c r="Q201" s="83">
        <f>P201+K201</f>
        <v>5758.8268637800002</v>
      </c>
      <c r="R201" s="84" t="s">
        <v>182</v>
      </c>
      <c r="S201" s="85"/>
    </row>
    <row r="202" spans="1:20" s="7" customFormat="1" ht="15" customHeight="1" x14ac:dyDescent="0.3">
      <c r="A202" s="151"/>
      <c r="B202" s="166" t="s">
        <v>315</v>
      </c>
      <c r="C202" s="166"/>
      <c r="D202" s="166"/>
      <c r="E202" s="166"/>
      <c r="F202" s="80">
        <f>SUM(F191,F201)</f>
        <v>16409</v>
      </c>
      <c r="G202" s="80">
        <f>SUM(G191,G201)</f>
        <v>8205</v>
      </c>
      <c r="H202" s="81">
        <f>I202/G202</f>
        <v>5.2776639171237045</v>
      </c>
      <c r="I202" s="80">
        <f>SUM(I191,I201)</f>
        <v>43303.232439999992</v>
      </c>
      <c r="J202" s="82">
        <f>K202/I202</f>
        <v>0.15958145207083305</v>
      </c>
      <c r="K202" s="83">
        <f>SUM(K191,K201)</f>
        <v>6910.3927121360011</v>
      </c>
      <c r="L202" s="80">
        <f>SUM(L191,L201)</f>
        <v>8204</v>
      </c>
      <c r="M202" s="81">
        <f>N202/L202</f>
        <v>5.6573095514383223</v>
      </c>
      <c r="N202" s="80">
        <f>SUM(N191,N201)</f>
        <v>46412.567559999996</v>
      </c>
      <c r="O202" s="82">
        <f>P202/N202</f>
        <v>4.9353495766567765E-2</v>
      </c>
      <c r="P202" s="83">
        <f>SUM(P191,P201)</f>
        <v>2290.6224565880002</v>
      </c>
      <c r="Q202" s="83">
        <f>SUM(Q191,Q201)</f>
        <v>9201.0151687239995</v>
      </c>
      <c r="R202" s="84" t="s">
        <v>182</v>
      </c>
      <c r="S202" s="85">
        <f>SUM(S191,S201)</f>
        <v>136244.5668603275</v>
      </c>
    </row>
    <row r="203" spans="1:20" s="7" customFormat="1" ht="15" customHeight="1" x14ac:dyDescent="0.3">
      <c r="A203" s="167" t="s">
        <v>316</v>
      </c>
      <c r="B203" s="168"/>
      <c r="C203" s="168"/>
      <c r="D203" s="168"/>
      <c r="E203" s="168"/>
      <c r="F203" s="104">
        <f>SUM(F202,F179,F152)</f>
        <v>22571</v>
      </c>
      <c r="G203" s="104">
        <f>SUM(G202,G179,G152)</f>
        <v>13473</v>
      </c>
      <c r="H203" s="105">
        <f>I203/G203</f>
        <v>6.4391777955911813</v>
      </c>
      <c r="I203" s="104">
        <f>SUM(I202+I179+I152)</f>
        <v>86755.04243999999</v>
      </c>
      <c r="J203" s="106">
        <f>K203/I203</f>
        <v>0.39289341314897758</v>
      </c>
      <c r="K203" s="107">
        <f>SUM(K202,K179,K152)</f>
        <v>34085.484732135999</v>
      </c>
      <c r="L203" s="104">
        <f>SUM(L202,L179,L152)</f>
        <v>9098</v>
      </c>
      <c r="M203" s="105">
        <f>N203/L203</f>
        <v>5.9980069861508021</v>
      </c>
      <c r="N203" s="104">
        <f>SUM(N202,N179,N152)</f>
        <v>54569.867559999999</v>
      </c>
      <c r="O203" s="106">
        <f>P203/N203</f>
        <v>4.7061397826636035E-2</v>
      </c>
      <c r="P203" s="107">
        <f>SUM(P202,P179,P152)</f>
        <v>2568.1342465880002</v>
      </c>
      <c r="Q203" s="107">
        <f>SUM(Q202,Q179,Q152)</f>
        <v>36653.618978724</v>
      </c>
      <c r="R203" s="94"/>
      <c r="S203" s="93">
        <f>SUM(S202,S152,S179)</f>
        <v>1562628.6731332715</v>
      </c>
    </row>
    <row r="204" spans="1:20" ht="33.75" customHeight="1" x14ac:dyDescent="0.3">
      <c r="A204" s="64"/>
      <c r="B204" s="8"/>
      <c r="C204" s="8"/>
      <c r="D204" s="8"/>
      <c r="S204" s="31"/>
    </row>
    <row r="205" spans="1:20" s="9" customFormat="1" ht="17.25" customHeight="1" x14ac:dyDescent="0.3">
      <c r="A205" s="157" t="s">
        <v>317</v>
      </c>
      <c r="B205" s="157"/>
      <c r="C205" s="157"/>
      <c r="D205" s="157"/>
      <c r="E205" s="157"/>
      <c r="F205" s="157"/>
      <c r="G205" s="157"/>
      <c r="H205" s="157"/>
      <c r="I205" s="157"/>
      <c r="J205" s="157"/>
      <c r="K205" s="157"/>
      <c r="L205" s="157"/>
      <c r="M205" s="157"/>
      <c r="N205" s="157"/>
      <c r="O205" s="157"/>
      <c r="P205" s="157"/>
      <c r="Q205" s="157"/>
      <c r="R205" s="4"/>
      <c r="S205" s="4"/>
    </row>
    <row r="206" spans="1:20" s="9" customFormat="1" ht="30" customHeight="1" x14ac:dyDescent="0.3">
      <c r="A206" s="160" t="s">
        <v>318</v>
      </c>
      <c r="B206" s="160"/>
      <c r="C206" s="160"/>
      <c r="D206" s="160"/>
      <c r="E206" s="160"/>
      <c r="F206" s="160"/>
      <c r="G206" s="160"/>
      <c r="H206" s="160"/>
      <c r="I206" s="160"/>
      <c r="J206" s="160"/>
      <c r="K206" s="160"/>
      <c r="L206" s="160"/>
      <c r="M206" s="160"/>
      <c r="N206" s="160"/>
      <c r="O206" s="160"/>
      <c r="P206" s="160"/>
      <c r="Q206" s="160"/>
    </row>
    <row r="207" spans="1:20" s="9" customFormat="1" ht="17.25" customHeight="1" x14ac:dyDescent="0.3">
      <c r="A207" s="158" t="s">
        <v>319</v>
      </c>
      <c r="B207" s="158"/>
      <c r="C207" s="158"/>
      <c r="D207" s="158"/>
      <c r="E207" s="158"/>
      <c r="F207" s="158"/>
      <c r="G207" s="158"/>
      <c r="H207" s="158"/>
      <c r="I207" s="158"/>
      <c r="J207" s="158"/>
      <c r="K207" s="158"/>
      <c r="L207" s="158"/>
      <c r="M207" s="158"/>
      <c r="N207" s="158"/>
      <c r="O207" s="158"/>
      <c r="P207" s="158"/>
      <c r="Q207" s="158"/>
      <c r="S207" s="114"/>
      <c r="T207" s="115"/>
    </row>
    <row r="208" spans="1:20" s="9" customFormat="1" ht="48.75" customHeight="1" x14ac:dyDescent="0.3">
      <c r="A208" s="157" t="s">
        <v>320</v>
      </c>
      <c r="B208" s="157"/>
      <c r="C208" s="157"/>
      <c r="D208" s="157"/>
      <c r="E208" s="157"/>
      <c r="F208" s="157"/>
      <c r="G208" s="157"/>
      <c r="H208" s="157"/>
      <c r="I208" s="157"/>
      <c r="J208" s="157"/>
      <c r="K208" s="157"/>
      <c r="L208" s="157"/>
      <c r="M208" s="157"/>
      <c r="N208" s="157"/>
      <c r="O208" s="157"/>
      <c r="P208" s="157"/>
      <c r="Q208" s="157"/>
    </row>
    <row r="209" spans="1:19" ht="36" customHeight="1" x14ac:dyDescent="0.3">
      <c r="A209" s="161" t="s">
        <v>321</v>
      </c>
      <c r="B209" s="161"/>
      <c r="C209" s="161"/>
      <c r="D209" s="161"/>
      <c r="E209" s="161"/>
      <c r="F209" s="161"/>
      <c r="G209" s="161"/>
      <c r="H209" s="161"/>
      <c r="I209" s="161"/>
      <c r="J209" s="161"/>
      <c r="K209" s="161"/>
      <c r="L209" s="161"/>
      <c r="M209" s="161"/>
      <c r="N209" s="161"/>
      <c r="O209" s="161"/>
      <c r="P209" s="161"/>
      <c r="Q209" s="161"/>
      <c r="R209" s="9"/>
      <c r="S209" s="9"/>
    </row>
    <row r="210" spans="1:19" ht="19.5" customHeight="1" x14ac:dyDescent="0.3">
      <c r="A210" s="162" t="s">
        <v>322</v>
      </c>
      <c r="B210" s="162"/>
      <c r="C210" s="162"/>
      <c r="D210" s="162"/>
      <c r="E210" s="162"/>
      <c r="F210" s="162"/>
      <c r="G210" s="162"/>
      <c r="H210" s="162"/>
      <c r="I210" s="162"/>
      <c r="J210" s="162"/>
      <c r="K210" s="162"/>
      <c r="L210" s="162"/>
      <c r="M210" s="162"/>
      <c r="N210" s="162"/>
      <c r="O210" s="162"/>
      <c r="P210" s="162"/>
      <c r="Q210" s="162"/>
    </row>
    <row r="211" spans="1:19" s="9" customFormat="1" ht="30" customHeight="1" x14ac:dyDescent="0.3">
      <c r="A211" s="159" t="s">
        <v>323</v>
      </c>
      <c r="B211" s="159"/>
      <c r="C211" s="159"/>
      <c r="D211" s="159"/>
      <c r="E211" s="159"/>
      <c r="F211" s="159"/>
      <c r="G211" s="159"/>
      <c r="H211" s="159"/>
      <c r="I211" s="159"/>
      <c r="J211" s="159"/>
      <c r="K211" s="159"/>
      <c r="L211" s="159"/>
      <c r="M211" s="159"/>
      <c r="N211" s="159"/>
      <c r="O211" s="159"/>
      <c r="P211" s="159"/>
      <c r="Q211" s="159"/>
      <c r="R211" s="4"/>
      <c r="S211" s="4"/>
    </row>
    <row r="212" spans="1:19" s="9" customFormat="1" ht="17.25" customHeight="1" x14ac:dyDescent="0.3">
      <c r="A212" s="158" t="s">
        <v>324</v>
      </c>
      <c r="B212" s="158"/>
      <c r="C212" s="158"/>
      <c r="D212" s="158"/>
      <c r="E212" s="158"/>
      <c r="F212" s="158"/>
      <c r="G212" s="158"/>
      <c r="H212" s="158"/>
      <c r="I212" s="158"/>
      <c r="J212" s="158"/>
      <c r="K212" s="158"/>
      <c r="L212" s="158"/>
      <c r="M212" s="158"/>
      <c r="N212" s="158"/>
      <c r="O212" s="158"/>
      <c r="P212" s="158"/>
      <c r="Q212" s="158"/>
      <c r="R212" s="4"/>
      <c r="S212" s="4"/>
    </row>
    <row r="213" spans="1:19" s="9" customFormat="1" ht="30" customHeight="1" x14ac:dyDescent="0.3">
      <c r="A213" s="157" t="s">
        <v>531</v>
      </c>
      <c r="B213" s="157"/>
      <c r="C213" s="157"/>
      <c r="D213" s="157"/>
      <c r="E213" s="157"/>
      <c r="F213" s="157"/>
      <c r="G213" s="157"/>
      <c r="H213" s="157"/>
      <c r="I213" s="157"/>
      <c r="J213" s="157"/>
      <c r="K213" s="157"/>
      <c r="L213" s="157"/>
      <c r="M213" s="157"/>
      <c r="N213" s="157"/>
      <c r="O213" s="157"/>
      <c r="P213" s="157"/>
      <c r="Q213" s="157"/>
    </row>
    <row r="214" spans="1:19" s="9" customFormat="1" ht="30.6" customHeight="1" x14ac:dyDescent="0.3">
      <c r="A214" s="162" t="s">
        <v>325</v>
      </c>
      <c r="B214" s="162"/>
      <c r="C214" s="162"/>
      <c r="D214" s="162"/>
      <c r="E214" s="162"/>
      <c r="F214" s="162"/>
      <c r="G214" s="162"/>
      <c r="H214" s="162"/>
      <c r="I214" s="162"/>
      <c r="J214" s="162"/>
      <c r="K214" s="162"/>
      <c r="L214" s="162"/>
      <c r="M214" s="162"/>
      <c r="N214" s="162"/>
      <c r="O214" s="162"/>
      <c r="P214" s="162"/>
      <c r="Q214" s="162"/>
    </row>
    <row r="215" spans="1:19" s="9" customFormat="1" ht="17.25" customHeight="1" x14ac:dyDescent="0.3">
      <c r="A215" s="157" t="s">
        <v>326</v>
      </c>
      <c r="B215" s="157"/>
      <c r="C215" s="157"/>
      <c r="D215" s="157"/>
      <c r="E215" s="157"/>
      <c r="F215" s="157"/>
      <c r="G215" s="157"/>
      <c r="H215" s="157"/>
      <c r="I215" s="157"/>
      <c r="J215" s="157"/>
      <c r="K215" s="157"/>
      <c r="L215" s="157"/>
      <c r="M215" s="157"/>
      <c r="N215" s="157"/>
      <c r="O215" s="157"/>
      <c r="P215" s="157"/>
      <c r="Q215" s="157"/>
    </row>
    <row r="216" spans="1:19" ht="30" customHeight="1" x14ac:dyDescent="0.3">
      <c r="A216" s="160" t="s">
        <v>327</v>
      </c>
      <c r="B216" s="160"/>
      <c r="C216" s="160"/>
      <c r="D216" s="160"/>
      <c r="E216" s="160"/>
      <c r="F216" s="160"/>
      <c r="G216" s="160"/>
      <c r="H216" s="160"/>
      <c r="I216" s="160"/>
      <c r="J216" s="160"/>
      <c r="K216" s="160"/>
      <c r="L216" s="160"/>
      <c r="M216" s="160"/>
      <c r="N216" s="160"/>
      <c r="O216" s="160"/>
      <c r="P216" s="160"/>
      <c r="Q216" s="160"/>
      <c r="R216" s="9"/>
      <c r="S216" s="9"/>
    </row>
    <row r="217" spans="1:19" ht="18" customHeight="1" x14ac:dyDescent="0.3">
      <c r="A217" s="170" t="s">
        <v>328</v>
      </c>
      <c r="B217" s="170"/>
      <c r="C217" s="170"/>
      <c r="D217" s="170"/>
      <c r="E217" s="170"/>
      <c r="F217" s="170"/>
      <c r="G217" s="170"/>
      <c r="H217" s="170"/>
      <c r="I217" s="170"/>
      <c r="J217" s="170"/>
      <c r="K217" s="170"/>
      <c r="L217" s="170"/>
      <c r="M217" s="170"/>
      <c r="N217" s="170"/>
      <c r="O217" s="170"/>
      <c r="P217" s="170"/>
      <c r="Q217" s="170"/>
      <c r="R217" s="9"/>
      <c r="S217" s="9"/>
    </row>
    <row r="218" spans="1:19" ht="18" customHeight="1" x14ac:dyDescent="0.3">
      <c r="A218" s="160" t="s">
        <v>329</v>
      </c>
      <c r="B218" s="160"/>
      <c r="C218" s="160"/>
      <c r="D218" s="160"/>
      <c r="E218" s="160"/>
      <c r="F218" s="160"/>
      <c r="G218" s="160"/>
      <c r="H218" s="160"/>
      <c r="I218" s="160"/>
      <c r="J218" s="160"/>
      <c r="K218" s="160"/>
      <c r="L218" s="160"/>
      <c r="M218" s="160"/>
      <c r="N218" s="160"/>
      <c r="O218" s="160"/>
      <c r="P218" s="160"/>
      <c r="Q218" s="160"/>
      <c r="R218" s="9"/>
      <c r="S218" s="9"/>
    </row>
    <row r="219" spans="1:19" ht="18" customHeight="1" x14ac:dyDescent="0.3">
      <c r="A219" s="160" t="s">
        <v>330</v>
      </c>
      <c r="B219" s="160"/>
      <c r="C219" s="160"/>
      <c r="D219" s="160"/>
      <c r="E219" s="160"/>
      <c r="F219" s="160"/>
      <c r="G219" s="160"/>
      <c r="H219" s="160"/>
      <c r="I219" s="160"/>
      <c r="J219" s="160"/>
      <c r="K219" s="160"/>
      <c r="L219" s="160"/>
      <c r="M219" s="160"/>
      <c r="N219" s="160"/>
      <c r="O219" s="160"/>
      <c r="P219" s="160"/>
      <c r="Q219" s="160"/>
      <c r="R219" s="9"/>
      <c r="S219" s="9"/>
    </row>
    <row r="220" spans="1:19" ht="18" customHeight="1" x14ac:dyDescent="0.3">
      <c r="A220" s="160" t="s">
        <v>529</v>
      </c>
      <c r="B220" s="160"/>
      <c r="C220" s="160"/>
      <c r="D220" s="160"/>
      <c r="E220" s="160"/>
      <c r="F220" s="160"/>
      <c r="G220" s="160"/>
      <c r="H220" s="160"/>
      <c r="I220" s="160"/>
      <c r="J220" s="160"/>
      <c r="K220" s="160"/>
      <c r="L220" s="160"/>
      <c r="M220" s="160"/>
      <c r="N220" s="160"/>
      <c r="O220" s="160"/>
      <c r="P220" s="160"/>
      <c r="Q220" s="160"/>
      <c r="R220" s="9"/>
      <c r="S220" s="9"/>
    </row>
    <row r="221" spans="1:19" s="9" customFormat="1" ht="32.1" customHeight="1" x14ac:dyDescent="0.3">
      <c r="A221" s="157" t="s">
        <v>514</v>
      </c>
      <c r="B221" s="157"/>
      <c r="C221" s="157"/>
      <c r="D221" s="157"/>
      <c r="E221" s="157"/>
      <c r="F221" s="157"/>
      <c r="G221" s="157"/>
      <c r="H221" s="157"/>
      <c r="I221" s="157"/>
      <c r="J221" s="157"/>
      <c r="K221" s="157"/>
      <c r="L221" s="157"/>
      <c r="M221" s="157"/>
      <c r="N221" s="157"/>
      <c r="O221" s="157"/>
      <c r="P221" s="157"/>
      <c r="Q221" s="157"/>
    </row>
    <row r="223" spans="1:19" x14ac:dyDescent="0.3">
      <c r="R223" s="9"/>
      <c r="S223" s="9"/>
    </row>
    <row r="224" spans="1:19" x14ac:dyDescent="0.3">
      <c r="R224" s="9"/>
      <c r="S224" s="9"/>
    </row>
    <row r="225" spans="18:19" x14ac:dyDescent="0.3">
      <c r="R225" s="9"/>
      <c r="S225" s="9"/>
    </row>
    <row r="226" spans="18:19" x14ac:dyDescent="0.3">
      <c r="R226" s="9"/>
      <c r="S226" s="9"/>
    </row>
  </sheetData>
  <autoFilter ref="A3:Q203" xr:uid="{00000000-0009-0000-0000-000000000000}"/>
  <mergeCells count="106">
    <mergeCell ref="G2:K2"/>
    <mergeCell ref="B87:B100"/>
    <mergeCell ref="B73:B86"/>
    <mergeCell ref="B25:B28"/>
    <mergeCell ref="C25:C28"/>
    <mergeCell ref="B29:B32"/>
    <mergeCell ref="C29:C32"/>
    <mergeCell ref="C14:C16"/>
    <mergeCell ref="C73:C77"/>
    <mergeCell ref="C17:C19"/>
    <mergeCell ref="B4:B8"/>
    <mergeCell ref="C4:C8"/>
    <mergeCell ref="B21:B24"/>
    <mergeCell ref="B9:B13"/>
    <mergeCell ref="C9:C13"/>
    <mergeCell ref="C87:C90"/>
    <mergeCell ref="A219:Q219"/>
    <mergeCell ref="A217:Q217"/>
    <mergeCell ref="B124:B130"/>
    <mergeCell ref="B115:B119"/>
    <mergeCell ref="B136:B138"/>
    <mergeCell ref="C172:C173"/>
    <mergeCell ref="C174:C175"/>
    <mergeCell ref="C168:C171"/>
    <mergeCell ref="B177:B178"/>
    <mergeCell ref="B151:E151"/>
    <mergeCell ref="B179:E179"/>
    <mergeCell ref="C193:C194"/>
    <mergeCell ref="B191:E191"/>
    <mergeCell ref="B180:B190"/>
    <mergeCell ref="C136:C138"/>
    <mergeCell ref="B140:B141"/>
    <mergeCell ref="B142:B145"/>
    <mergeCell ref="C199:C200"/>
    <mergeCell ref="B195:B198"/>
    <mergeCell ref="B199:B200"/>
    <mergeCell ref="C180:C184"/>
    <mergeCell ref="B152:E152"/>
    <mergeCell ref="C142:C145"/>
    <mergeCell ref="C149:C150"/>
    <mergeCell ref="A221:Q221"/>
    <mergeCell ref="A212:Q212"/>
    <mergeCell ref="A208:Q208"/>
    <mergeCell ref="A215:Q215"/>
    <mergeCell ref="A211:Q211"/>
    <mergeCell ref="A216:Q216"/>
    <mergeCell ref="A209:Q209"/>
    <mergeCell ref="A210:Q210"/>
    <mergeCell ref="C187:C190"/>
    <mergeCell ref="A207:Q207"/>
    <mergeCell ref="A214:Q214"/>
    <mergeCell ref="B202:E202"/>
    <mergeCell ref="A213:Q213"/>
    <mergeCell ref="A205:Q205"/>
    <mergeCell ref="A203:E203"/>
    <mergeCell ref="A206:Q206"/>
    <mergeCell ref="C195:C196"/>
    <mergeCell ref="C197:C198"/>
    <mergeCell ref="B201:E201"/>
    <mergeCell ref="A180:A202"/>
    <mergeCell ref="C185:C186"/>
    <mergeCell ref="B193:B194"/>
    <mergeCell ref="A218:Q218"/>
    <mergeCell ref="A220:Q220"/>
    <mergeCell ref="B148:B150"/>
    <mergeCell ref="C21:C24"/>
    <mergeCell ref="C65:C66"/>
    <mergeCell ref="B51:B57"/>
    <mergeCell ref="C132:C133"/>
    <mergeCell ref="B104:B106"/>
    <mergeCell ref="C95:C96"/>
    <mergeCell ref="C97:C98"/>
    <mergeCell ref="B131:B135"/>
    <mergeCell ref="B120:B123"/>
    <mergeCell ref="C42:C47"/>
    <mergeCell ref="B112:B114"/>
    <mergeCell ref="B36:B50"/>
    <mergeCell ref="C48:C50"/>
    <mergeCell ref="B101:B103"/>
    <mergeCell ref="C78:C81"/>
    <mergeCell ref="C36:C40"/>
    <mergeCell ref="C91:C94"/>
    <mergeCell ref="A4:A152"/>
    <mergeCell ref="A153:A179"/>
    <mergeCell ref="A2:F2"/>
    <mergeCell ref="Q2:S2"/>
    <mergeCell ref="C153:C157"/>
    <mergeCell ref="B153:B157"/>
    <mergeCell ref="C163:C167"/>
    <mergeCell ref="B163:B176"/>
    <mergeCell ref="C158:C162"/>
    <mergeCell ref="B158:B162"/>
    <mergeCell ref="B17:B19"/>
    <mergeCell ref="C51:C54"/>
    <mergeCell ref="C82:C83"/>
    <mergeCell ref="C84:C85"/>
    <mergeCell ref="B65:B72"/>
    <mergeCell ref="B107:B109"/>
    <mergeCell ref="L2:P2"/>
    <mergeCell ref="C60:C61"/>
    <mergeCell ref="C55:C57"/>
    <mergeCell ref="B59:B64"/>
    <mergeCell ref="C62:C63"/>
    <mergeCell ref="C71:C72"/>
    <mergeCell ref="B14:B16"/>
    <mergeCell ref="C140:C141"/>
  </mergeCells>
  <pageMargins left="0.5" right="0.5" top="0.5" bottom="0.5" header="0.3" footer="0.3"/>
  <pageSetup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2110E-80FB-4F0F-BA3B-6E98E5440BB3}">
  <dimension ref="A1:AB89"/>
  <sheetViews>
    <sheetView topLeftCell="A52" zoomScale="85" zoomScaleNormal="85" workbookViewId="0">
      <selection activeCell="B89" sqref="B89"/>
    </sheetView>
  </sheetViews>
  <sheetFormatPr defaultRowHeight="14.4" x14ac:dyDescent="0.3"/>
  <cols>
    <col min="2" max="2" width="26.77734375" customWidth="1"/>
    <col min="4" max="4" width="18" customWidth="1"/>
  </cols>
  <sheetData>
    <row r="1" spans="1:28" ht="15" thickBot="1" x14ac:dyDescent="0.35"/>
    <row r="2" spans="1:28" x14ac:dyDescent="0.3">
      <c r="A2" s="116"/>
      <c r="B2" s="116"/>
      <c r="C2" s="116"/>
      <c r="D2" s="116"/>
      <c r="E2" s="116"/>
      <c r="F2" s="116"/>
      <c r="G2" s="171" t="s">
        <v>331</v>
      </c>
      <c r="H2" s="173"/>
      <c r="I2" s="172"/>
      <c r="J2" s="171" t="s">
        <v>332</v>
      </c>
      <c r="K2" s="173"/>
      <c r="L2" s="172"/>
      <c r="M2" s="171" t="s">
        <v>333</v>
      </c>
      <c r="N2" s="173"/>
      <c r="O2" s="172"/>
      <c r="P2" s="171" t="s">
        <v>334</v>
      </c>
      <c r="Q2" s="173"/>
      <c r="R2" s="172"/>
      <c r="S2" s="171" t="s">
        <v>335</v>
      </c>
      <c r="T2" s="173"/>
      <c r="U2" s="172"/>
      <c r="V2" s="171" t="s">
        <v>120</v>
      </c>
      <c r="W2" s="173"/>
      <c r="X2" s="172"/>
      <c r="Y2" s="171" t="s">
        <v>336</v>
      </c>
      <c r="Z2" s="173"/>
      <c r="AA2" s="171" t="s">
        <v>337</v>
      </c>
      <c r="AB2" s="172"/>
    </row>
    <row r="3" spans="1:28" x14ac:dyDescent="0.3">
      <c r="A3" s="116"/>
      <c r="B3" s="117" t="s">
        <v>338</v>
      </c>
      <c r="C3" s="117" t="s">
        <v>339</v>
      </c>
      <c r="D3" s="117" t="s">
        <v>340</v>
      </c>
      <c r="E3" s="117" t="s">
        <v>341</v>
      </c>
      <c r="F3" s="117" t="s">
        <v>342</v>
      </c>
      <c r="G3" s="118" t="s">
        <v>343</v>
      </c>
      <c r="H3" s="119" t="s">
        <v>344</v>
      </c>
      <c r="I3" s="120" t="s">
        <v>345</v>
      </c>
      <c r="J3" s="118" t="s">
        <v>343</v>
      </c>
      <c r="K3" s="120" t="s">
        <v>344</v>
      </c>
      <c r="L3" s="121" t="s">
        <v>345</v>
      </c>
      <c r="M3" s="118" t="s">
        <v>343</v>
      </c>
      <c r="N3" s="120" t="s">
        <v>344</v>
      </c>
      <c r="O3" s="121" t="s">
        <v>345</v>
      </c>
      <c r="P3" s="118" t="s">
        <v>343</v>
      </c>
      <c r="Q3" s="119" t="s">
        <v>344</v>
      </c>
      <c r="R3" s="120" t="s">
        <v>345</v>
      </c>
      <c r="S3" s="118" t="s">
        <v>343</v>
      </c>
      <c r="T3" s="120" t="s">
        <v>344</v>
      </c>
      <c r="U3" s="121" t="s">
        <v>345</v>
      </c>
      <c r="V3" s="118" t="s">
        <v>343</v>
      </c>
      <c r="W3" s="120" t="s">
        <v>344</v>
      </c>
      <c r="X3" s="121" t="s">
        <v>345</v>
      </c>
      <c r="Y3" s="118" t="s">
        <v>343</v>
      </c>
      <c r="Z3" s="145" t="s">
        <v>344</v>
      </c>
      <c r="AA3" s="148" t="s">
        <v>343</v>
      </c>
      <c r="AB3" s="149" t="s">
        <v>344</v>
      </c>
    </row>
    <row r="4" spans="1:28" x14ac:dyDescent="0.3">
      <c r="A4" s="174" t="s">
        <v>346</v>
      </c>
      <c r="B4" s="176" t="s">
        <v>347</v>
      </c>
      <c r="C4" s="176" t="s">
        <v>348</v>
      </c>
      <c r="D4" s="122" t="s">
        <v>349</v>
      </c>
      <c r="E4" s="176" t="s">
        <v>350</v>
      </c>
      <c r="F4" s="176" t="s">
        <v>351</v>
      </c>
      <c r="G4" s="178">
        <v>1</v>
      </c>
      <c r="H4" s="176">
        <v>1</v>
      </c>
      <c r="I4" s="191">
        <v>1</v>
      </c>
      <c r="J4" s="183"/>
      <c r="K4" s="189"/>
      <c r="L4" s="181"/>
      <c r="M4" s="183"/>
      <c r="N4" s="189"/>
      <c r="O4" s="181"/>
      <c r="P4" s="183"/>
      <c r="Q4" s="189"/>
      <c r="R4" s="181"/>
      <c r="S4" s="183"/>
      <c r="T4" s="181"/>
      <c r="U4" s="187"/>
      <c r="V4" s="183"/>
      <c r="W4" s="189"/>
      <c r="X4" s="181"/>
      <c r="Y4" s="183"/>
      <c r="Z4" s="185"/>
      <c r="AA4" s="195"/>
      <c r="AB4" s="180"/>
    </row>
    <row r="5" spans="1:28" x14ac:dyDescent="0.3">
      <c r="A5" s="175"/>
      <c r="B5" s="177"/>
      <c r="C5" s="177"/>
      <c r="D5" s="123" t="s">
        <v>352</v>
      </c>
      <c r="E5" s="177"/>
      <c r="F5" s="177"/>
      <c r="G5" s="179"/>
      <c r="H5" s="177"/>
      <c r="I5" s="192"/>
      <c r="J5" s="184"/>
      <c r="K5" s="190"/>
      <c r="L5" s="182"/>
      <c r="M5" s="184"/>
      <c r="N5" s="190"/>
      <c r="O5" s="182"/>
      <c r="P5" s="184"/>
      <c r="Q5" s="190"/>
      <c r="R5" s="182"/>
      <c r="S5" s="184"/>
      <c r="T5" s="182"/>
      <c r="U5" s="188"/>
      <c r="V5" s="184"/>
      <c r="W5" s="190"/>
      <c r="X5" s="182"/>
      <c r="Y5" s="184"/>
      <c r="Z5" s="186"/>
      <c r="AA5" s="195"/>
      <c r="AB5" s="180"/>
    </row>
    <row r="6" spans="1:28" x14ac:dyDescent="0.3">
      <c r="A6" s="174" t="s">
        <v>353</v>
      </c>
      <c r="B6" s="176" t="s">
        <v>354</v>
      </c>
      <c r="C6" s="176" t="s">
        <v>355</v>
      </c>
      <c r="D6" s="124" t="s">
        <v>356</v>
      </c>
      <c r="E6" s="176" t="s">
        <v>357</v>
      </c>
      <c r="F6" s="176" t="s">
        <v>358</v>
      </c>
      <c r="G6" s="183"/>
      <c r="H6" s="189"/>
      <c r="I6" s="181"/>
      <c r="J6" s="183"/>
      <c r="K6" s="189"/>
      <c r="L6" s="181"/>
      <c r="M6" s="183"/>
      <c r="N6" s="189"/>
      <c r="O6" s="181"/>
      <c r="P6" s="183"/>
      <c r="Q6" s="189"/>
      <c r="R6" s="181"/>
      <c r="S6" s="183"/>
      <c r="T6" s="181"/>
      <c r="U6" s="187"/>
      <c r="V6" s="198">
        <v>49</v>
      </c>
      <c r="W6" s="176">
        <v>47</v>
      </c>
      <c r="X6" s="191">
        <v>0.96</v>
      </c>
      <c r="Y6" s="198">
        <v>1</v>
      </c>
      <c r="Z6" s="196">
        <v>1</v>
      </c>
      <c r="AA6" s="195"/>
      <c r="AB6" s="180"/>
    </row>
    <row r="7" spans="1:28" x14ac:dyDescent="0.3">
      <c r="A7" s="175"/>
      <c r="B7" s="177"/>
      <c r="C7" s="177"/>
      <c r="D7" s="125" t="s">
        <v>359</v>
      </c>
      <c r="E7" s="177"/>
      <c r="F7" s="177"/>
      <c r="G7" s="184"/>
      <c r="H7" s="190"/>
      <c r="I7" s="182"/>
      <c r="J7" s="184"/>
      <c r="K7" s="190"/>
      <c r="L7" s="182"/>
      <c r="M7" s="184"/>
      <c r="N7" s="190"/>
      <c r="O7" s="182"/>
      <c r="P7" s="184"/>
      <c r="Q7" s="190"/>
      <c r="R7" s="182"/>
      <c r="S7" s="184"/>
      <c r="T7" s="182"/>
      <c r="U7" s="188"/>
      <c r="V7" s="199"/>
      <c r="W7" s="177"/>
      <c r="X7" s="192"/>
      <c r="Y7" s="199"/>
      <c r="Z7" s="197"/>
      <c r="AA7" s="195"/>
      <c r="AB7" s="180"/>
    </row>
    <row r="8" spans="1:28" x14ac:dyDescent="0.3">
      <c r="A8" s="174" t="s">
        <v>353</v>
      </c>
      <c r="B8" s="176" t="s">
        <v>360</v>
      </c>
      <c r="C8" s="176" t="s">
        <v>361</v>
      </c>
      <c r="D8" s="122" t="s">
        <v>349</v>
      </c>
      <c r="E8" s="176" t="s">
        <v>350</v>
      </c>
      <c r="F8" s="176" t="s">
        <v>351</v>
      </c>
      <c r="G8" s="198">
        <v>49</v>
      </c>
      <c r="H8" s="176">
        <v>49</v>
      </c>
      <c r="I8" s="191">
        <v>1</v>
      </c>
      <c r="J8" s="183"/>
      <c r="K8" s="189"/>
      <c r="L8" s="181"/>
      <c r="M8" s="183"/>
      <c r="N8" s="189"/>
      <c r="O8" s="181"/>
      <c r="P8" s="183"/>
      <c r="Q8" s="189"/>
      <c r="R8" s="181"/>
      <c r="S8" s="183"/>
      <c r="T8" s="181"/>
      <c r="U8" s="187"/>
      <c r="V8" s="183"/>
      <c r="W8" s="189"/>
      <c r="X8" s="181"/>
      <c r="Y8" s="183"/>
      <c r="Z8" s="185"/>
      <c r="AA8" s="195"/>
      <c r="AB8" s="180"/>
    </row>
    <row r="9" spans="1:28" x14ac:dyDescent="0.3">
      <c r="A9" s="202"/>
      <c r="B9" s="203"/>
      <c r="C9" s="203"/>
      <c r="D9" s="126" t="s">
        <v>362</v>
      </c>
      <c r="E9" s="203"/>
      <c r="F9" s="203"/>
      <c r="G9" s="205"/>
      <c r="H9" s="203"/>
      <c r="I9" s="206"/>
      <c r="J9" s="200"/>
      <c r="K9" s="193"/>
      <c r="L9" s="194"/>
      <c r="M9" s="200"/>
      <c r="N9" s="193"/>
      <c r="O9" s="194"/>
      <c r="P9" s="200"/>
      <c r="Q9" s="193"/>
      <c r="R9" s="194"/>
      <c r="S9" s="200"/>
      <c r="T9" s="194"/>
      <c r="U9" s="204"/>
      <c r="V9" s="200"/>
      <c r="W9" s="193"/>
      <c r="X9" s="194"/>
      <c r="Y9" s="200"/>
      <c r="Z9" s="201"/>
      <c r="AA9" s="195"/>
      <c r="AB9" s="180"/>
    </row>
    <row r="10" spans="1:28" x14ac:dyDescent="0.3">
      <c r="A10" s="175"/>
      <c r="B10" s="177"/>
      <c r="C10" s="177"/>
      <c r="D10" s="123" t="s">
        <v>363</v>
      </c>
      <c r="E10" s="177"/>
      <c r="F10" s="177"/>
      <c r="G10" s="199"/>
      <c r="H10" s="177"/>
      <c r="I10" s="192"/>
      <c r="J10" s="184"/>
      <c r="K10" s="190"/>
      <c r="L10" s="182"/>
      <c r="M10" s="184"/>
      <c r="N10" s="190"/>
      <c r="O10" s="182"/>
      <c r="P10" s="184"/>
      <c r="Q10" s="190"/>
      <c r="R10" s="182"/>
      <c r="S10" s="184"/>
      <c r="T10" s="182"/>
      <c r="U10" s="188"/>
      <c r="V10" s="184"/>
      <c r="W10" s="190"/>
      <c r="X10" s="182"/>
      <c r="Y10" s="184"/>
      <c r="Z10" s="186"/>
      <c r="AA10" s="195"/>
      <c r="AB10" s="180"/>
    </row>
    <row r="11" spans="1:28" x14ac:dyDescent="0.3">
      <c r="A11" s="174" t="s">
        <v>364</v>
      </c>
      <c r="B11" s="122" t="s">
        <v>365</v>
      </c>
      <c r="C11" s="176" t="s">
        <v>366</v>
      </c>
      <c r="D11" s="176" t="s">
        <v>367</v>
      </c>
      <c r="E11" s="176" t="s">
        <v>357</v>
      </c>
      <c r="F11" s="176" t="s">
        <v>358</v>
      </c>
      <c r="G11" s="183"/>
      <c r="H11" s="189"/>
      <c r="I11" s="181"/>
      <c r="J11" s="183"/>
      <c r="K11" s="189"/>
      <c r="L11" s="181"/>
      <c r="M11" s="183"/>
      <c r="N11" s="189"/>
      <c r="O11" s="181"/>
      <c r="P11" s="198">
        <v>213</v>
      </c>
      <c r="Q11" s="176">
        <v>149</v>
      </c>
      <c r="R11" s="191">
        <v>0.7</v>
      </c>
      <c r="S11" s="198">
        <v>159</v>
      </c>
      <c r="T11" s="210">
        <v>111</v>
      </c>
      <c r="U11" s="213">
        <v>0.7</v>
      </c>
      <c r="V11" s="198">
        <v>446</v>
      </c>
      <c r="W11" s="176">
        <v>312</v>
      </c>
      <c r="X11" s="191">
        <v>0.7</v>
      </c>
      <c r="Y11" s="198">
        <v>34</v>
      </c>
      <c r="Z11" s="196">
        <v>32</v>
      </c>
      <c r="AA11" s="208">
        <v>3</v>
      </c>
      <c r="AB11" s="209">
        <v>3</v>
      </c>
    </row>
    <row r="12" spans="1:28" x14ac:dyDescent="0.3">
      <c r="A12" s="202"/>
      <c r="B12" s="126" t="s">
        <v>368</v>
      </c>
      <c r="C12" s="203"/>
      <c r="D12" s="203"/>
      <c r="E12" s="203"/>
      <c r="F12" s="203"/>
      <c r="G12" s="200"/>
      <c r="H12" s="193"/>
      <c r="I12" s="194"/>
      <c r="J12" s="200"/>
      <c r="K12" s="193"/>
      <c r="L12" s="194"/>
      <c r="M12" s="200"/>
      <c r="N12" s="193"/>
      <c r="O12" s="194"/>
      <c r="P12" s="205"/>
      <c r="Q12" s="203"/>
      <c r="R12" s="206"/>
      <c r="S12" s="205"/>
      <c r="T12" s="211"/>
      <c r="U12" s="214"/>
      <c r="V12" s="205"/>
      <c r="W12" s="203"/>
      <c r="X12" s="206"/>
      <c r="Y12" s="205"/>
      <c r="Z12" s="207"/>
      <c r="AA12" s="208"/>
      <c r="AB12" s="209"/>
    </row>
    <row r="13" spans="1:28" ht="28.8" x14ac:dyDescent="0.3">
      <c r="A13" s="175"/>
      <c r="B13" s="123" t="s">
        <v>369</v>
      </c>
      <c r="C13" s="177"/>
      <c r="D13" s="177"/>
      <c r="E13" s="177"/>
      <c r="F13" s="177"/>
      <c r="G13" s="184"/>
      <c r="H13" s="190"/>
      <c r="I13" s="182"/>
      <c r="J13" s="184"/>
      <c r="K13" s="190"/>
      <c r="L13" s="182"/>
      <c r="M13" s="184"/>
      <c r="N13" s="190"/>
      <c r="O13" s="182"/>
      <c r="P13" s="199"/>
      <c r="Q13" s="177"/>
      <c r="R13" s="192"/>
      <c r="S13" s="199"/>
      <c r="T13" s="212"/>
      <c r="U13" s="215"/>
      <c r="V13" s="199"/>
      <c r="W13" s="177"/>
      <c r="X13" s="192"/>
      <c r="Y13" s="199"/>
      <c r="Z13" s="197"/>
      <c r="AA13" s="208"/>
      <c r="AB13" s="209"/>
    </row>
    <row r="14" spans="1:28" x14ac:dyDescent="0.3">
      <c r="A14" s="174" t="s">
        <v>364</v>
      </c>
      <c r="B14" s="122" t="s">
        <v>365</v>
      </c>
      <c r="C14" s="176" t="s">
        <v>366</v>
      </c>
      <c r="D14" s="122" t="s">
        <v>363</v>
      </c>
      <c r="E14" s="176" t="s">
        <v>357</v>
      </c>
      <c r="F14" s="176" t="s">
        <v>358</v>
      </c>
      <c r="G14" s="198">
        <v>165</v>
      </c>
      <c r="H14" s="176">
        <v>116</v>
      </c>
      <c r="I14" s="191">
        <v>0.7</v>
      </c>
      <c r="J14" s="198">
        <v>518</v>
      </c>
      <c r="K14" s="176">
        <v>363</v>
      </c>
      <c r="L14" s="191">
        <v>0.7</v>
      </c>
      <c r="M14" s="183"/>
      <c r="N14" s="189"/>
      <c r="O14" s="181"/>
      <c r="P14" s="183"/>
      <c r="Q14" s="189"/>
      <c r="R14" s="181"/>
      <c r="S14" s="183"/>
      <c r="T14" s="189"/>
      <c r="U14" s="181"/>
      <c r="V14" s="183"/>
      <c r="W14" s="189"/>
      <c r="X14" s="181"/>
      <c r="Y14" s="183"/>
      <c r="Z14" s="185"/>
      <c r="AA14" s="195"/>
      <c r="AB14" s="180"/>
    </row>
    <row r="15" spans="1:28" x14ac:dyDescent="0.3">
      <c r="A15" s="202"/>
      <c r="B15" s="126" t="s">
        <v>368</v>
      </c>
      <c r="C15" s="203"/>
      <c r="D15" s="126" t="s">
        <v>352</v>
      </c>
      <c r="E15" s="203"/>
      <c r="F15" s="203"/>
      <c r="G15" s="205"/>
      <c r="H15" s="203"/>
      <c r="I15" s="206"/>
      <c r="J15" s="205"/>
      <c r="K15" s="203"/>
      <c r="L15" s="206"/>
      <c r="M15" s="200"/>
      <c r="N15" s="193"/>
      <c r="O15" s="194"/>
      <c r="P15" s="200"/>
      <c r="Q15" s="193"/>
      <c r="R15" s="194"/>
      <c r="S15" s="200"/>
      <c r="T15" s="193"/>
      <c r="U15" s="194"/>
      <c r="V15" s="200"/>
      <c r="W15" s="193"/>
      <c r="X15" s="194"/>
      <c r="Y15" s="200"/>
      <c r="Z15" s="201"/>
      <c r="AA15" s="195"/>
      <c r="AB15" s="180"/>
    </row>
    <row r="16" spans="1:28" ht="28.8" x14ac:dyDescent="0.3">
      <c r="A16" s="175"/>
      <c r="B16" s="123" t="s">
        <v>370</v>
      </c>
      <c r="C16" s="177"/>
      <c r="D16" s="123"/>
      <c r="E16" s="177"/>
      <c r="F16" s="177"/>
      <c r="G16" s="199"/>
      <c r="H16" s="177"/>
      <c r="I16" s="192"/>
      <c r="J16" s="199"/>
      <c r="K16" s="177"/>
      <c r="L16" s="192"/>
      <c r="M16" s="184"/>
      <c r="N16" s="190"/>
      <c r="O16" s="182"/>
      <c r="P16" s="184"/>
      <c r="Q16" s="190"/>
      <c r="R16" s="182"/>
      <c r="S16" s="184"/>
      <c r="T16" s="190"/>
      <c r="U16" s="182"/>
      <c r="V16" s="184"/>
      <c r="W16" s="190"/>
      <c r="X16" s="182"/>
      <c r="Y16" s="184"/>
      <c r="Z16" s="186"/>
      <c r="AA16" s="195"/>
      <c r="AB16" s="180"/>
    </row>
    <row r="17" spans="1:28" ht="28.8" x14ac:dyDescent="0.3">
      <c r="A17" s="174" t="s">
        <v>364</v>
      </c>
      <c r="B17" s="127" t="s">
        <v>371</v>
      </c>
      <c r="C17" s="176" t="s">
        <v>366</v>
      </c>
      <c r="D17" s="127" t="s">
        <v>372</v>
      </c>
      <c r="E17" s="176" t="s">
        <v>357</v>
      </c>
      <c r="F17" s="176" t="s">
        <v>373</v>
      </c>
      <c r="G17" s="198">
        <v>116</v>
      </c>
      <c r="H17" s="176">
        <v>88</v>
      </c>
      <c r="I17" s="191">
        <v>0.76</v>
      </c>
      <c r="J17" s="198">
        <v>363</v>
      </c>
      <c r="K17" s="176">
        <v>276</v>
      </c>
      <c r="L17" s="191">
        <v>0.76</v>
      </c>
      <c r="M17" s="198">
        <v>63</v>
      </c>
      <c r="N17" s="176">
        <v>48</v>
      </c>
      <c r="O17" s="191">
        <v>0.76</v>
      </c>
      <c r="P17" s="198">
        <v>149</v>
      </c>
      <c r="Q17" s="176">
        <v>133</v>
      </c>
      <c r="R17" s="191">
        <v>0.89</v>
      </c>
      <c r="S17" s="183"/>
      <c r="T17" s="189"/>
      <c r="U17" s="181"/>
      <c r="V17" s="198">
        <v>312</v>
      </c>
      <c r="W17" s="176">
        <v>265</v>
      </c>
      <c r="X17" s="191">
        <v>0.85</v>
      </c>
      <c r="Y17" s="183"/>
      <c r="Z17" s="185"/>
      <c r="AA17" s="195"/>
      <c r="AB17" s="180"/>
    </row>
    <row r="18" spans="1:28" x14ac:dyDescent="0.3">
      <c r="A18" s="202"/>
      <c r="B18" s="128" t="s">
        <v>374</v>
      </c>
      <c r="C18" s="203"/>
      <c r="D18" s="128" t="s">
        <v>375</v>
      </c>
      <c r="E18" s="203"/>
      <c r="F18" s="203"/>
      <c r="G18" s="205"/>
      <c r="H18" s="203"/>
      <c r="I18" s="206"/>
      <c r="J18" s="205"/>
      <c r="K18" s="203"/>
      <c r="L18" s="206"/>
      <c r="M18" s="205"/>
      <c r="N18" s="203"/>
      <c r="O18" s="206"/>
      <c r="P18" s="205"/>
      <c r="Q18" s="203"/>
      <c r="R18" s="206"/>
      <c r="S18" s="200"/>
      <c r="T18" s="193"/>
      <c r="U18" s="194"/>
      <c r="V18" s="205"/>
      <c r="W18" s="203"/>
      <c r="X18" s="206"/>
      <c r="Y18" s="200"/>
      <c r="Z18" s="201"/>
      <c r="AA18" s="195"/>
      <c r="AB18" s="180"/>
    </row>
    <row r="19" spans="1:28" x14ac:dyDescent="0.3">
      <c r="A19" s="202"/>
      <c r="B19" s="128" t="s">
        <v>376</v>
      </c>
      <c r="C19" s="203"/>
      <c r="D19" s="128" t="s">
        <v>349</v>
      </c>
      <c r="E19" s="203"/>
      <c r="F19" s="203"/>
      <c r="G19" s="205"/>
      <c r="H19" s="203"/>
      <c r="I19" s="206"/>
      <c r="J19" s="205"/>
      <c r="K19" s="203"/>
      <c r="L19" s="206"/>
      <c r="M19" s="205"/>
      <c r="N19" s="203"/>
      <c r="O19" s="206"/>
      <c r="P19" s="205"/>
      <c r="Q19" s="203"/>
      <c r="R19" s="206"/>
      <c r="S19" s="200"/>
      <c r="T19" s="193"/>
      <c r="U19" s="194"/>
      <c r="V19" s="205"/>
      <c r="W19" s="203"/>
      <c r="X19" s="206"/>
      <c r="Y19" s="200"/>
      <c r="Z19" s="201"/>
      <c r="AA19" s="195"/>
      <c r="AB19" s="180"/>
    </row>
    <row r="20" spans="1:28" x14ac:dyDescent="0.3">
      <c r="A20" s="175"/>
      <c r="B20" s="129"/>
      <c r="C20" s="177"/>
      <c r="D20" s="129" t="s">
        <v>362</v>
      </c>
      <c r="E20" s="177"/>
      <c r="F20" s="177"/>
      <c r="G20" s="199"/>
      <c r="H20" s="177"/>
      <c r="I20" s="192"/>
      <c r="J20" s="199"/>
      <c r="K20" s="177"/>
      <c r="L20" s="192"/>
      <c r="M20" s="199"/>
      <c r="N20" s="177"/>
      <c r="O20" s="192"/>
      <c r="P20" s="199"/>
      <c r="Q20" s="177"/>
      <c r="R20" s="192"/>
      <c r="S20" s="184"/>
      <c r="T20" s="190"/>
      <c r="U20" s="182"/>
      <c r="V20" s="199"/>
      <c r="W20" s="177"/>
      <c r="X20" s="192"/>
      <c r="Y20" s="184"/>
      <c r="Z20" s="186"/>
      <c r="AA20" s="195"/>
      <c r="AB20" s="180"/>
    </row>
    <row r="21" spans="1:28" x14ac:dyDescent="0.3">
      <c r="A21" s="174" t="s">
        <v>364</v>
      </c>
      <c r="B21" s="216" t="s">
        <v>377</v>
      </c>
      <c r="C21" s="176" t="s">
        <v>366</v>
      </c>
      <c r="D21" s="122" t="s">
        <v>362</v>
      </c>
      <c r="E21" s="176" t="s">
        <v>357</v>
      </c>
      <c r="F21" s="176" t="s">
        <v>351</v>
      </c>
      <c r="G21" s="198">
        <v>116</v>
      </c>
      <c r="H21" s="176">
        <v>97</v>
      </c>
      <c r="I21" s="191">
        <v>0.84</v>
      </c>
      <c r="J21" s="198">
        <v>363</v>
      </c>
      <c r="K21" s="176">
        <v>305</v>
      </c>
      <c r="L21" s="191">
        <v>0.84</v>
      </c>
      <c r="M21" s="183"/>
      <c r="N21" s="189"/>
      <c r="O21" s="181"/>
      <c r="P21" s="183"/>
      <c r="Q21" s="189"/>
      <c r="R21" s="181"/>
      <c r="S21" s="183"/>
      <c r="T21" s="189"/>
      <c r="U21" s="181"/>
      <c r="V21" s="183"/>
      <c r="W21" s="189"/>
      <c r="X21" s="181"/>
      <c r="Y21" s="183"/>
      <c r="Z21" s="185"/>
      <c r="AA21" s="195"/>
      <c r="AB21" s="180"/>
    </row>
    <row r="22" spans="1:28" x14ac:dyDescent="0.3">
      <c r="A22" s="202"/>
      <c r="B22" s="217"/>
      <c r="C22" s="203"/>
      <c r="D22" s="126" t="s">
        <v>363</v>
      </c>
      <c r="E22" s="203"/>
      <c r="F22" s="203"/>
      <c r="G22" s="205"/>
      <c r="H22" s="203"/>
      <c r="I22" s="206"/>
      <c r="J22" s="205"/>
      <c r="K22" s="203"/>
      <c r="L22" s="206"/>
      <c r="M22" s="200"/>
      <c r="N22" s="193"/>
      <c r="O22" s="194"/>
      <c r="P22" s="200"/>
      <c r="Q22" s="193"/>
      <c r="R22" s="194"/>
      <c r="S22" s="200"/>
      <c r="T22" s="193"/>
      <c r="U22" s="194"/>
      <c r="V22" s="200"/>
      <c r="W22" s="193"/>
      <c r="X22" s="194"/>
      <c r="Y22" s="200"/>
      <c r="Z22" s="201"/>
      <c r="AA22" s="195"/>
      <c r="AB22" s="180"/>
    </row>
    <row r="23" spans="1:28" x14ac:dyDescent="0.3">
      <c r="A23" s="175"/>
      <c r="B23" s="218"/>
      <c r="C23" s="177"/>
      <c r="D23" s="123" t="s">
        <v>352</v>
      </c>
      <c r="E23" s="177"/>
      <c r="F23" s="177"/>
      <c r="G23" s="199"/>
      <c r="H23" s="177"/>
      <c r="I23" s="192"/>
      <c r="J23" s="199"/>
      <c r="K23" s="177"/>
      <c r="L23" s="192"/>
      <c r="M23" s="184"/>
      <c r="N23" s="190"/>
      <c r="O23" s="182"/>
      <c r="P23" s="184"/>
      <c r="Q23" s="190"/>
      <c r="R23" s="182"/>
      <c r="S23" s="184"/>
      <c r="T23" s="190"/>
      <c r="U23" s="182"/>
      <c r="V23" s="184"/>
      <c r="W23" s="190"/>
      <c r="X23" s="182"/>
      <c r="Y23" s="184"/>
      <c r="Z23" s="186"/>
      <c r="AA23" s="195"/>
      <c r="AB23" s="180"/>
    </row>
    <row r="24" spans="1:28" x14ac:dyDescent="0.3">
      <c r="A24" s="174" t="s">
        <v>364</v>
      </c>
      <c r="B24" s="216" t="s">
        <v>378</v>
      </c>
      <c r="C24" s="176" t="s">
        <v>366</v>
      </c>
      <c r="D24" s="122" t="s">
        <v>349</v>
      </c>
      <c r="E24" s="176" t="s">
        <v>350</v>
      </c>
      <c r="F24" s="176" t="s">
        <v>351</v>
      </c>
      <c r="G24" s="198">
        <v>116</v>
      </c>
      <c r="H24" s="176">
        <v>97</v>
      </c>
      <c r="I24" s="191">
        <v>0.84</v>
      </c>
      <c r="J24" s="198">
        <v>363</v>
      </c>
      <c r="K24" s="176">
        <v>305</v>
      </c>
      <c r="L24" s="191">
        <v>0.84</v>
      </c>
      <c r="M24" s="183"/>
      <c r="N24" s="189"/>
      <c r="O24" s="181"/>
      <c r="P24" s="183"/>
      <c r="Q24" s="189"/>
      <c r="R24" s="181"/>
      <c r="S24" s="183"/>
      <c r="T24" s="189"/>
      <c r="U24" s="181"/>
      <c r="V24" s="183"/>
      <c r="W24" s="189"/>
      <c r="X24" s="181"/>
      <c r="Y24" s="183"/>
      <c r="Z24" s="185"/>
      <c r="AA24" s="195"/>
      <c r="AB24" s="180"/>
    </row>
    <row r="25" spans="1:28" x14ac:dyDescent="0.3">
      <c r="A25" s="202"/>
      <c r="B25" s="217"/>
      <c r="C25" s="203"/>
      <c r="D25" s="126" t="s">
        <v>362</v>
      </c>
      <c r="E25" s="203"/>
      <c r="F25" s="203"/>
      <c r="G25" s="205"/>
      <c r="H25" s="203"/>
      <c r="I25" s="206"/>
      <c r="J25" s="205"/>
      <c r="K25" s="203"/>
      <c r="L25" s="206"/>
      <c r="M25" s="200"/>
      <c r="N25" s="193"/>
      <c r="O25" s="194"/>
      <c r="P25" s="200"/>
      <c r="Q25" s="193"/>
      <c r="R25" s="194"/>
      <c r="S25" s="200"/>
      <c r="T25" s="193"/>
      <c r="U25" s="194"/>
      <c r="V25" s="200"/>
      <c r="W25" s="193"/>
      <c r="X25" s="194"/>
      <c r="Y25" s="200"/>
      <c r="Z25" s="201"/>
      <c r="AA25" s="195"/>
      <c r="AB25" s="180"/>
    </row>
    <row r="26" spans="1:28" x14ac:dyDescent="0.3">
      <c r="A26" s="202"/>
      <c r="B26" s="217"/>
      <c r="C26" s="203"/>
      <c r="D26" s="126" t="s">
        <v>363</v>
      </c>
      <c r="E26" s="203"/>
      <c r="F26" s="203"/>
      <c r="G26" s="205"/>
      <c r="H26" s="203"/>
      <c r="I26" s="206"/>
      <c r="J26" s="205"/>
      <c r="K26" s="203"/>
      <c r="L26" s="206"/>
      <c r="M26" s="200"/>
      <c r="N26" s="193"/>
      <c r="O26" s="194"/>
      <c r="P26" s="200"/>
      <c r="Q26" s="193"/>
      <c r="R26" s="194"/>
      <c r="S26" s="200"/>
      <c r="T26" s="193"/>
      <c r="U26" s="194"/>
      <c r="V26" s="200"/>
      <c r="W26" s="193"/>
      <c r="X26" s="194"/>
      <c r="Y26" s="200"/>
      <c r="Z26" s="201"/>
      <c r="AA26" s="195"/>
      <c r="AB26" s="180"/>
    </row>
    <row r="27" spans="1:28" x14ac:dyDescent="0.3">
      <c r="A27" s="175"/>
      <c r="B27" s="218"/>
      <c r="C27" s="177"/>
      <c r="D27" s="123" t="s">
        <v>352</v>
      </c>
      <c r="E27" s="177"/>
      <c r="F27" s="177"/>
      <c r="G27" s="199"/>
      <c r="H27" s="177"/>
      <c r="I27" s="192"/>
      <c r="J27" s="199"/>
      <c r="K27" s="177"/>
      <c r="L27" s="192"/>
      <c r="M27" s="184"/>
      <c r="N27" s="190"/>
      <c r="O27" s="182"/>
      <c r="P27" s="184"/>
      <c r="Q27" s="190"/>
      <c r="R27" s="182"/>
      <c r="S27" s="184"/>
      <c r="T27" s="190"/>
      <c r="U27" s="182"/>
      <c r="V27" s="184"/>
      <c r="W27" s="190"/>
      <c r="X27" s="182"/>
      <c r="Y27" s="184"/>
      <c r="Z27" s="186"/>
      <c r="AA27" s="195"/>
      <c r="AB27" s="180"/>
    </row>
    <row r="28" spans="1:28" x14ac:dyDescent="0.3">
      <c r="A28" s="130" t="s">
        <v>364</v>
      </c>
      <c r="B28" s="131" t="s">
        <v>379</v>
      </c>
      <c r="C28" s="131" t="s">
        <v>350</v>
      </c>
      <c r="D28" s="131" t="s">
        <v>349</v>
      </c>
      <c r="E28" s="131" t="s">
        <v>357</v>
      </c>
      <c r="F28" s="131" t="s">
        <v>351</v>
      </c>
      <c r="G28" s="132">
        <v>97</v>
      </c>
      <c r="H28" s="131">
        <v>15</v>
      </c>
      <c r="I28" s="133">
        <v>0.15</v>
      </c>
      <c r="J28" s="132">
        <v>305</v>
      </c>
      <c r="K28" s="131">
        <v>45</v>
      </c>
      <c r="L28" s="133">
        <v>0.15</v>
      </c>
      <c r="M28" s="134"/>
      <c r="N28" s="135"/>
      <c r="O28" s="136"/>
      <c r="P28" s="134"/>
      <c r="Q28" s="135"/>
      <c r="R28" s="136"/>
      <c r="S28" s="134"/>
      <c r="T28" s="135"/>
      <c r="U28" s="136"/>
      <c r="V28" s="134"/>
      <c r="W28" s="135"/>
      <c r="X28" s="136"/>
      <c r="Y28" s="134"/>
      <c r="Z28" s="146"/>
      <c r="AA28" s="150"/>
      <c r="AB28" s="136"/>
    </row>
    <row r="29" spans="1:28" x14ac:dyDescent="0.3">
      <c r="A29" s="174" t="s">
        <v>364</v>
      </c>
      <c r="B29" s="216" t="s">
        <v>380</v>
      </c>
      <c r="C29" s="176" t="s">
        <v>366</v>
      </c>
      <c r="D29" s="122" t="s">
        <v>349</v>
      </c>
      <c r="E29" s="176" t="s">
        <v>357</v>
      </c>
      <c r="F29" s="176" t="s">
        <v>381</v>
      </c>
      <c r="G29" s="198">
        <v>97</v>
      </c>
      <c r="H29" s="176">
        <v>87</v>
      </c>
      <c r="I29" s="191">
        <v>0.9</v>
      </c>
      <c r="J29" s="198">
        <v>305</v>
      </c>
      <c r="K29" s="176">
        <v>275</v>
      </c>
      <c r="L29" s="191">
        <v>0.9</v>
      </c>
      <c r="M29" s="183"/>
      <c r="N29" s="189"/>
      <c r="O29" s="181"/>
      <c r="P29" s="183"/>
      <c r="Q29" s="189"/>
      <c r="R29" s="181"/>
      <c r="S29" s="183"/>
      <c r="T29" s="189"/>
      <c r="U29" s="181"/>
      <c r="V29" s="183"/>
      <c r="W29" s="189"/>
      <c r="X29" s="181"/>
      <c r="Y29" s="183"/>
      <c r="Z29" s="185"/>
      <c r="AA29" s="195"/>
      <c r="AB29" s="180"/>
    </row>
    <row r="30" spans="1:28" x14ac:dyDescent="0.3">
      <c r="A30" s="202"/>
      <c r="B30" s="217"/>
      <c r="C30" s="203"/>
      <c r="D30" s="126" t="s">
        <v>362</v>
      </c>
      <c r="E30" s="203"/>
      <c r="F30" s="203"/>
      <c r="G30" s="205"/>
      <c r="H30" s="203"/>
      <c r="I30" s="206"/>
      <c r="J30" s="205"/>
      <c r="K30" s="203"/>
      <c r="L30" s="206"/>
      <c r="M30" s="200"/>
      <c r="N30" s="193"/>
      <c r="O30" s="194"/>
      <c r="P30" s="200"/>
      <c r="Q30" s="193"/>
      <c r="R30" s="194"/>
      <c r="S30" s="200"/>
      <c r="T30" s="193"/>
      <c r="U30" s="194"/>
      <c r="V30" s="200"/>
      <c r="W30" s="193"/>
      <c r="X30" s="194"/>
      <c r="Y30" s="200"/>
      <c r="Z30" s="201"/>
      <c r="AA30" s="195"/>
      <c r="AB30" s="180"/>
    </row>
    <row r="31" spans="1:28" x14ac:dyDescent="0.3">
      <c r="A31" s="202"/>
      <c r="B31" s="217"/>
      <c r="C31" s="203"/>
      <c r="D31" s="126" t="s">
        <v>363</v>
      </c>
      <c r="E31" s="203"/>
      <c r="F31" s="203"/>
      <c r="G31" s="205"/>
      <c r="H31" s="203"/>
      <c r="I31" s="206"/>
      <c r="J31" s="205"/>
      <c r="K31" s="203"/>
      <c r="L31" s="206"/>
      <c r="M31" s="200"/>
      <c r="N31" s="193"/>
      <c r="O31" s="194"/>
      <c r="P31" s="200"/>
      <c r="Q31" s="193"/>
      <c r="R31" s="194"/>
      <c r="S31" s="200"/>
      <c r="T31" s="193"/>
      <c r="U31" s="194"/>
      <c r="V31" s="200"/>
      <c r="W31" s="193"/>
      <c r="X31" s="194"/>
      <c r="Y31" s="200"/>
      <c r="Z31" s="201"/>
      <c r="AA31" s="195"/>
      <c r="AB31" s="180"/>
    </row>
    <row r="32" spans="1:28" x14ac:dyDescent="0.3">
      <c r="A32" s="175"/>
      <c r="B32" s="218"/>
      <c r="C32" s="177"/>
      <c r="D32" s="123" t="s">
        <v>352</v>
      </c>
      <c r="E32" s="177"/>
      <c r="F32" s="177"/>
      <c r="G32" s="199"/>
      <c r="H32" s="177"/>
      <c r="I32" s="192"/>
      <c r="J32" s="199"/>
      <c r="K32" s="177"/>
      <c r="L32" s="192"/>
      <c r="M32" s="184"/>
      <c r="N32" s="190"/>
      <c r="O32" s="182"/>
      <c r="P32" s="184"/>
      <c r="Q32" s="190"/>
      <c r="R32" s="182"/>
      <c r="S32" s="184"/>
      <c r="T32" s="190"/>
      <c r="U32" s="182"/>
      <c r="V32" s="184"/>
      <c r="W32" s="190"/>
      <c r="X32" s="182"/>
      <c r="Y32" s="184"/>
      <c r="Z32" s="186"/>
      <c r="AA32" s="195"/>
      <c r="AB32" s="180"/>
    </row>
    <row r="33" spans="1:28" x14ac:dyDescent="0.3">
      <c r="A33" s="130" t="s">
        <v>364</v>
      </c>
      <c r="B33" s="137" t="s">
        <v>382</v>
      </c>
      <c r="C33" s="131" t="s">
        <v>350</v>
      </c>
      <c r="D33" s="131" t="s">
        <v>367</v>
      </c>
      <c r="E33" s="131" t="s">
        <v>350</v>
      </c>
      <c r="F33" s="131" t="s">
        <v>373</v>
      </c>
      <c r="G33" s="134"/>
      <c r="H33" s="135"/>
      <c r="I33" s="136"/>
      <c r="J33" s="134"/>
      <c r="K33" s="135"/>
      <c r="L33" s="136"/>
      <c r="M33" s="134"/>
      <c r="N33" s="135"/>
      <c r="O33" s="136"/>
      <c r="P33" s="134"/>
      <c r="Q33" s="135"/>
      <c r="R33" s="136"/>
      <c r="S33" s="134"/>
      <c r="T33" s="135"/>
      <c r="U33" s="136"/>
      <c r="V33" s="132">
        <v>75</v>
      </c>
      <c r="W33" s="131">
        <v>69</v>
      </c>
      <c r="X33" s="133">
        <v>0.92</v>
      </c>
      <c r="Y33" s="134"/>
      <c r="Z33" s="146"/>
      <c r="AA33" s="150"/>
      <c r="AB33" s="136"/>
    </row>
    <row r="34" spans="1:28" x14ac:dyDescent="0.3">
      <c r="A34" s="174" t="s">
        <v>364</v>
      </c>
      <c r="B34" s="176" t="s">
        <v>383</v>
      </c>
      <c r="C34" s="176" t="s">
        <v>366</v>
      </c>
      <c r="D34" s="122" t="s">
        <v>356</v>
      </c>
      <c r="E34" s="176" t="s">
        <v>384</v>
      </c>
      <c r="F34" s="176" t="s">
        <v>373</v>
      </c>
      <c r="G34" s="183"/>
      <c r="H34" s="189"/>
      <c r="I34" s="181"/>
      <c r="J34" s="183"/>
      <c r="K34" s="189"/>
      <c r="L34" s="181"/>
      <c r="M34" s="183"/>
      <c r="N34" s="189"/>
      <c r="O34" s="181"/>
      <c r="P34" s="183"/>
      <c r="Q34" s="189"/>
      <c r="R34" s="181"/>
      <c r="S34" s="183"/>
      <c r="T34" s="189"/>
      <c r="U34" s="181"/>
      <c r="V34" s="198">
        <v>312</v>
      </c>
      <c r="W34" s="176">
        <v>294</v>
      </c>
      <c r="X34" s="191">
        <v>0.94</v>
      </c>
      <c r="Y34" s="198">
        <v>32</v>
      </c>
      <c r="Z34" s="196">
        <v>31</v>
      </c>
      <c r="AA34" s="208">
        <v>3</v>
      </c>
      <c r="AB34" s="209">
        <v>3</v>
      </c>
    </row>
    <row r="35" spans="1:28" x14ac:dyDescent="0.3">
      <c r="A35" s="175"/>
      <c r="B35" s="177"/>
      <c r="C35" s="177"/>
      <c r="D35" s="123" t="s">
        <v>385</v>
      </c>
      <c r="E35" s="177"/>
      <c r="F35" s="177"/>
      <c r="G35" s="184"/>
      <c r="H35" s="190"/>
      <c r="I35" s="182"/>
      <c r="J35" s="184"/>
      <c r="K35" s="190"/>
      <c r="L35" s="182"/>
      <c r="M35" s="184"/>
      <c r="N35" s="190"/>
      <c r="O35" s="182"/>
      <c r="P35" s="184"/>
      <c r="Q35" s="190"/>
      <c r="R35" s="182"/>
      <c r="S35" s="184"/>
      <c r="T35" s="190"/>
      <c r="U35" s="182"/>
      <c r="V35" s="199"/>
      <c r="W35" s="177"/>
      <c r="X35" s="192"/>
      <c r="Y35" s="199"/>
      <c r="Z35" s="197"/>
      <c r="AA35" s="208"/>
      <c r="AB35" s="209"/>
    </row>
    <row r="36" spans="1:28" x14ac:dyDescent="0.3">
      <c r="A36" s="174" t="s">
        <v>364</v>
      </c>
      <c r="B36" s="176" t="s">
        <v>124</v>
      </c>
      <c r="C36" s="176" t="s">
        <v>366</v>
      </c>
      <c r="D36" s="122" t="s">
        <v>356</v>
      </c>
      <c r="E36" s="176" t="s">
        <v>386</v>
      </c>
      <c r="F36" s="176" t="s">
        <v>373</v>
      </c>
      <c r="G36" s="183"/>
      <c r="H36" s="189"/>
      <c r="I36" s="181"/>
      <c r="J36" s="183"/>
      <c r="K36" s="189"/>
      <c r="L36" s="181"/>
      <c r="M36" s="183"/>
      <c r="N36" s="189"/>
      <c r="O36" s="181"/>
      <c r="P36" s="183"/>
      <c r="Q36" s="189"/>
      <c r="R36" s="181"/>
      <c r="S36" s="183"/>
      <c r="T36" s="189"/>
      <c r="U36" s="181"/>
      <c r="V36" s="198">
        <v>312</v>
      </c>
      <c r="W36" s="176">
        <v>294</v>
      </c>
      <c r="X36" s="191">
        <v>0.94</v>
      </c>
      <c r="Y36" s="198">
        <v>32</v>
      </c>
      <c r="Z36" s="196">
        <v>31</v>
      </c>
      <c r="AA36" s="208">
        <v>3</v>
      </c>
      <c r="AB36" s="209">
        <v>3</v>
      </c>
    </row>
    <row r="37" spans="1:28" x14ac:dyDescent="0.3">
      <c r="A37" s="175"/>
      <c r="B37" s="177"/>
      <c r="C37" s="177"/>
      <c r="D37" s="123" t="s">
        <v>385</v>
      </c>
      <c r="E37" s="177"/>
      <c r="F37" s="177"/>
      <c r="G37" s="184"/>
      <c r="H37" s="190"/>
      <c r="I37" s="182"/>
      <c r="J37" s="184"/>
      <c r="K37" s="190"/>
      <c r="L37" s="182"/>
      <c r="M37" s="184"/>
      <c r="N37" s="190"/>
      <c r="O37" s="182"/>
      <c r="P37" s="184"/>
      <c r="Q37" s="190"/>
      <c r="R37" s="182"/>
      <c r="S37" s="184"/>
      <c r="T37" s="190"/>
      <c r="U37" s="182"/>
      <c r="V37" s="199"/>
      <c r="W37" s="177"/>
      <c r="X37" s="192"/>
      <c r="Y37" s="199"/>
      <c r="Z37" s="197"/>
      <c r="AA37" s="208"/>
      <c r="AB37" s="209"/>
    </row>
    <row r="38" spans="1:28" x14ac:dyDescent="0.3">
      <c r="A38" s="174" t="s">
        <v>364</v>
      </c>
      <c r="B38" s="176" t="s">
        <v>387</v>
      </c>
      <c r="C38" s="176" t="s">
        <v>366</v>
      </c>
      <c r="D38" s="122" t="s">
        <v>356</v>
      </c>
      <c r="E38" s="176" t="s">
        <v>357</v>
      </c>
      <c r="F38" s="176" t="s">
        <v>381</v>
      </c>
      <c r="G38" s="183"/>
      <c r="H38" s="189"/>
      <c r="I38" s="181"/>
      <c r="J38" s="183"/>
      <c r="K38" s="189"/>
      <c r="L38" s="181"/>
      <c r="M38" s="183"/>
      <c r="N38" s="189"/>
      <c r="O38" s="181"/>
      <c r="P38" s="183"/>
      <c r="Q38" s="189"/>
      <c r="R38" s="181"/>
      <c r="S38" s="183"/>
      <c r="T38" s="189"/>
      <c r="U38" s="181"/>
      <c r="V38" s="198">
        <v>294</v>
      </c>
      <c r="W38" s="176">
        <v>265</v>
      </c>
      <c r="X38" s="191">
        <v>0.9</v>
      </c>
      <c r="Y38" s="198">
        <v>31</v>
      </c>
      <c r="Z38" s="196">
        <v>31</v>
      </c>
      <c r="AA38" s="208">
        <v>3</v>
      </c>
      <c r="AB38" s="209">
        <v>3</v>
      </c>
    </row>
    <row r="39" spans="1:28" x14ac:dyDescent="0.3">
      <c r="A39" s="175"/>
      <c r="B39" s="177"/>
      <c r="C39" s="177"/>
      <c r="D39" s="123" t="s">
        <v>385</v>
      </c>
      <c r="E39" s="177"/>
      <c r="F39" s="177"/>
      <c r="G39" s="184"/>
      <c r="H39" s="190"/>
      <c r="I39" s="182"/>
      <c r="J39" s="184"/>
      <c r="K39" s="190"/>
      <c r="L39" s="182"/>
      <c r="M39" s="184"/>
      <c r="N39" s="190"/>
      <c r="O39" s="182"/>
      <c r="P39" s="184"/>
      <c r="Q39" s="190"/>
      <c r="R39" s="182"/>
      <c r="S39" s="184"/>
      <c r="T39" s="190"/>
      <c r="U39" s="182"/>
      <c r="V39" s="199"/>
      <c r="W39" s="177"/>
      <c r="X39" s="192"/>
      <c r="Y39" s="199"/>
      <c r="Z39" s="197"/>
      <c r="AA39" s="208"/>
      <c r="AB39" s="209"/>
    </row>
    <row r="40" spans="1:28" ht="28.8" x14ac:dyDescent="0.3">
      <c r="A40" s="174" t="s">
        <v>364</v>
      </c>
      <c r="B40" s="122" t="s">
        <v>388</v>
      </c>
      <c r="C40" s="176" t="s">
        <v>366</v>
      </c>
      <c r="D40" s="122" t="s">
        <v>356</v>
      </c>
      <c r="E40" s="176" t="s">
        <v>389</v>
      </c>
      <c r="F40" s="176" t="s">
        <v>381</v>
      </c>
      <c r="G40" s="183"/>
      <c r="H40" s="189"/>
      <c r="I40" s="181"/>
      <c r="J40" s="183"/>
      <c r="K40" s="189"/>
      <c r="L40" s="181"/>
      <c r="M40" s="183"/>
      <c r="N40" s="189"/>
      <c r="O40" s="181"/>
      <c r="P40" s="183"/>
      <c r="Q40" s="189"/>
      <c r="R40" s="181"/>
      <c r="S40" s="183"/>
      <c r="T40" s="189"/>
      <c r="U40" s="181"/>
      <c r="V40" s="219">
        <v>294</v>
      </c>
      <c r="W40" s="176">
        <v>261</v>
      </c>
      <c r="X40" s="191">
        <v>0.89</v>
      </c>
      <c r="Y40" s="198">
        <v>31</v>
      </c>
      <c r="Z40" s="196">
        <v>31</v>
      </c>
      <c r="AA40" s="208">
        <v>3</v>
      </c>
      <c r="AB40" s="209">
        <v>3</v>
      </c>
    </row>
    <row r="41" spans="1:28" ht="28.8" x14ac:dyDescent="0.3">
      <c r="A41" s="202"/>
      <c r="B41" s="126" t="s">
        <v>390</v>
      </c>
      <c r="C41" s="203"/>
      <c r="D41" s="126" t="s">
        <v>385</v>
      </c>
      <c r="E41" s="203"/>
      <c r="F41" s="203"/>
      <c r="G41" s="200"/>
      <c r="H41" s="193"/>
      <c r="I41" s="194"/>
      <c r="J41" s="200"/>
      <c r="K41" s="193"/>
      <c r="L41" s="194"/>
      <c r="M41" s="200"/>
      <c r="N41" s="193"/>
      <c r="O41" s="194"/>
      <c r="P41" s="200"/>
      <c r="Q41" s="193"/>
      <c r="R41" s="194"/>
      <c r="S41" s="200"/>
      <c r="T41" s="193"/>
      <c r="U41" s="194"/>
      <c r="V41" s="220"/>
      <c r="W41" s="203"/>
      <c r="X41" s="206"/>
      <c r="Y41" s="205"/>
      <c r="Z41" s="207"/>
      <c r="AA41" s="208"/>
      <c r="AB41" s="209"/>
    </row>
    <row r="42" spans="1:28" ht="28.8" x14ac:dyDescent="0.3">
      <c r="A42" s="202"/>
      <c r="B42" s="126" t="s">
        <v>391</v>
      </c>
      <c r="C42" s="203"/>
      <c r="D42" s="126"/>
      <c r="E42" s="203"/>
      <c r="F42" s="203"/>
      <c r="G42" s="200"/>
      <c r="H42" s="193"/>
      <c r="I42" s="194"/>
      <c r="J42" s="200"/>
      <c r="K42" s="193"/>
      <c r="L42" s="194"/>
      <c r="M42" s="200"/>
      <c r="N42" s="193"/>
      <c r="O42" s="194"/>
      <c r="P42" s="200"/>
      <c r="Q42" s="193"/>
      <c r="R42" s="194"/>
      <c r="S42" s="200"/>
      <c r="T42" s="193"/>
      <c r="U42" s="194"/>
      <c r="V42" s="220"/>
      <c r="W42" s="203"/>
      <c r="X42" s="206"/>
      <c r="Y42" s="205"/>
      <c r="Z42" s="207"/>
      <c r="AA42" s="208"/>
      <c r="AB42" s="209"/>
    </row>
    <row r="43" spans="1:28" ht="28.8" x14ac:dyDescent="0.3">
      <c r="A43" s="175"/>
      <c r="B43" s="123" t="s">
        <v>392</v>
      </c>
      <c r="C43" s="177"/>
      <c r="D43" s="123"/>
      <c r="E43" s="177"/>
      <c r="F43" s="177"/>
      <c r="G43" s="184"/>
      <c r="H43" s="190"/>
      <c r="I43" s="182"/>
      <c r="J43" s="184"/>
      <c r="K43" s="190"/>
      <c r="L43" s="182"/>
      <c r="M43" s="184"/>
      <c r="N43" s="190"/>
      <c r="O43" s="182"/>
      <c r="P43" s="184"/>
      <c r="Q43" s="190"/>
      <c r="R43" s="182"/>
      <c r="S43" s="184"/>
      <c r="T43" s="190"/>
      <c r="U43" s="182"/>
      <c r="V43" s="221"/>
      <c r="W43" s="177"/>
      <c r="X43" s="192"/>
      <c r="Y43" s="199"/>
      <c r="Z43" s="197"/>
      <c r="AA43" s="208"/>
      <c r="AB43" s="209"/>
    </row>
    <row r="44" spans="1:28" ht="28.8" x14ac:dyDescent="0.3">
      <c r="A44" s="174" t="s">
        <v>393</v>
      </c>
      <c r="B44" s="122" t="s">
        <v>394</v>
      </c>
      <c r="C44" s="176" t="s">
        <v>395</v>
      </c>
      <c r="D44" s="176" t="s">
        <v>367</v>
      </c>
      <c r="E44" s="176" t="s">
        <v>357</v>
      </c>
      <c r="F44" s="176" t="s">
        <v>396</v>
      </c>
      <c r="G44" s="183"/>
      <c r="H44" s="189"/>
      <c r="I44" s="181"/>
      <c r="J44" s="183"/>
      <c r="K44" s="189"/>
      <c r="L44" s="181"/>
      <c r="M44" s="183"/>
      <c r="N44" s="189"/>
      <c r="O44" s="181"/>
      <c r="P44" s="198" t="s">
        <v>48</v>
      </c>
      <c r="Q44" s="176">
        <v>279</v>
      </c>
      <c r="R44" s="210"/>
      <c r="S44" s="198" t="s">
        <v>48</v>
      </c>
      <c r="T44" s="176">
        <v>111</v>
      </c>
      <c r="U44" s="210"/>
      <c r="V44" s="198" t="s">
        <v>48</v>
      </c>
      <c r="W44" s="176">
        <v>838</v>
      </c>
      <c r="X44" s="210"/>
      <c r="Y44" s="198" t="s">
        <v>48</v>
      </c>
      <c r="Z44" s="196">
        <v>145</v>
      </c>
      <c r="AA44" s="195"/>
      <c r="AB44" s="180"/>
    </row>
    <row r="45" spans="1:28" x14ac:dyDescent="0.3">
      <c r="A45" s="202"/>
      <c r="B45" s="126" t="s">
        <v>397</v>
      </c>
      <c r="C45" s="203"/>
      <c r="D45" s="203"/>
      <c r="E45" s="203"/>
      <c r="F45" s="203"/>
      <c r="G45" s="200"/>
      <c r="H45" s="193"/>
      <c r="I45" s="194"/>
      <c r="J45" s="200"/>
      <c r="K45" s="193"/>
      <c r="L45" s="194"/>
      <c r="M45" s="200"/>
      <c r="N45" s="193"/>
      <c r="O45" s="194"/>
      <c r="P45" s="205"/>
      <c r="Q45" s="203"/>
      <c r="R45" s="211"/>
      <c r="S45" s="205"/>
      <c r="T45" s="203"/>
      <c r="U45" s="211"/>
      <c r="V45" s="205"/>
      <c r="W45" s="203"/>
      <c r="X45" s="211"/>
      <c r="Y45" s="205"/>
      <c r="Z45" s="207"/>
      <c r="AA45" s="195"/>
      <c r="AB45" s="180"/>
    </row>
    <row r="46" spans="1:28" ht="28.8" x14ac:dyDescent="0.3">
      <c r="A46" s="175"/>
      <c r="B46" s="123" t="s">
        <v>398</v>
      </c>
      <c r="C46" s="177"/>
      <c r="D46" s="177"/>
      <c r="E46" s="177"/>
      <c r="F46" s="177"/>
      <c r="G46" s="184"/>
      <c r="H46" s="190"/>
      <c r="I46" s="182"/>
      <c r="J46" s="184"/>
      <c r="K46" s="190"/>
      <c r="L46" s="182"/>
      <c r="M46" s="184"/>
      <c r="N46" s="190"/>
      <c r="O46" s="182"/>
      <c r="P46" s="199"/>
      <c r="Q46" s="177"/>
      <c r="R46" s="212"/>
      <c r="S46" s="199"/>
      <c r="T46" s="177"/>
      <c r="U46" s="212"/>
      <c r="V46" s="199"/>
      <c r="W46" s="177"/>
      <c r="X46" s="212"/>
      <c r="Y46" s="199"/>
      <c r="Z46" s="197"/>
      <c r="AA46" s="195"/>
      <c r="AB46" s="180"/>
    </row>
    <row r="47" spans="1:28" x14ac:dyDescent="0.3">
      <c r="A47" s="130" t="s">
        <v>393</v>
      </c>
      <c r="B47" s="131" t="s">
        <v>399</v>
      </c>
      <c r="C47" s="131" t="s">
        <v>350</v>
      </c>
      <c r="D47" s="131" t="s">
        <v>367</v>
      </c>
      <c r="E47" s="131" t="s">
        <v>350</v>
      </c>
      <c r="F47" s="131" t="s">
        <v>373</v>
      </c>
      <c r="G47" s="134"/>
      <c r="H47" s="135"/>
      <c r="I47" s="136"/>
      <c r="J47" s="134"/>
      <c r="K47" s="135"/>
      <c r="L47" s="136"/>
      <c r="M47" s="134"/>
      <c r="N47" s="135"/>
      <c r="O47" s="136"/>
      <c r="P47" s="132">
        <v>279</v>
      </c>
      <c r="Q47" s="131">
        <v>265</v>
      </c>
      <c r="R47" s="133">
        <v>0.95</v>
      </c>
      <c r="S47" s="132">
        <v>111</v>
      </c>
      <c r="T47" s="131">
        <v>100</v>
      </c>
      <c r="U47" s="133">
        <v>0.9</v>
      </c>
      <c r="V47" s="132">
        <v>838</v>
      </c>
      <c r="W47" s="131">
        <v>796</v>
      </c>
      <c r="X47" s="133">
        <v>0.95</v>
      </c>
      <c r="Y47" s="132">
        <v>145</v>
      </c>
      <c r="Z47" s="147">
        <v>138</v>
      </c>
      <c r="AA47" s="150"/>
      <c r="AB47" s="136"/>
    </row>
    <row r="48" spans="1:28" x14ac:dyDescent="0.3">
      <c r="A48" s="130" t="s">
        <v>393</v>
      </c>
      <c r="B48" s="137" t="s">
        <v>382</v>
      </c>
      <c r="C48" s="131" t="s">
        <v>350</v>
      </c>
      <c r="D48" s="131" t="s">
        <v>367</v>
      </c>
      <c r="E48" s="131" t="s">
        <v>350</v>
      </c>
      <c r="F48" s="131" t="s">
        <v>373</v>
      </c>
      <c r="G48" s="134"/>
      <c r="H48" s="135"/>
      <c r="I48" s="136"/>
      <c r="J48" s="134"/>
      <c r="K48" s="135"/>
      <c r="L48" s="136"/>
      <c r="M48" s="134"/>
      <c r="N48" s="135"/>
      <c r="O48" s="136"/>
      <c r="P48" s="134"/>
      <c r="Q48" s="135"/>
      <c r="R48" s="136"/>
      <c r="S48" s="134"/>
      <c r="T48" s="135"/>
      <c r="U48" s="136"/>
      <c r="V48" s="132">
        <v>150</v>
      </c>
      <c r="W48" s="131">
        <v>138</v>
      </c>
      <c r="X48" s="133">
        <v>0.92</v>
      </c>
      <c r="Y48" s="134"/>
      <c r="Z48" s="146"/>
      <c r="AA48" s="150"/>
      <c r="AB48" s="136"/>
    </row>
    <row r="49" spans="1:28" x14ac:dyDescent="0.3">
      <c r="A49" s="174" t="s">
        <v>393</v>
      </c>
      <c r="B49" s="122" t="s">
        <v>400</v>
      </c>
      <c r="C49" s="176" t="s">
        <v>401</v>
      </c>
      <c r="D49" s="122" t="s">
        <v>372</v>
      </c>
      <c r="E49" s="176" t="s">
        <v>402</v>
      </c>
      <c r="F49" s="176" t="s">
        <v>373</v>
      </c>
      <c r="G49" s="183"/>
      <c r="H49" s="189"/>
      <c r="I49" s="181"/>
      <c r="J49" s="183"/>
      <c r="K49" s="189"/>
      <c r="L49" s="181"/>
      <c r="M49" s="183"/>
      <c r="N49" s="189"/>
      <c r="O49" s="181"/>
      <c r="P49" s="198">
        <v>279</v>
      </c>
      <c r="Q49" s="176">
        <v>265</v>
      </c>
      <c r="R49" s="191">
        <v>0.95</v>
      </c>
      <c r="S49" s="183"/>
      <c r="T49" s="189"/>
      <c r="U49" s="181"/>
      <c r="V49" s="198">
        <v>838</v>
      </c>
      <c r="W49" s="176">
        <v>796</v>
      </c>
      <c r="X49" s="191">
        <v>0.95</v>
      </c>
      <c r="Y49" s="198">
        <v>145</v>
      </c>
      <c r="Z49" s="196">
        <v>138</v>
      </c>
      <c r="AA49" s="208">
        <v>3</v>
      </c>
      <c r="AB49" s="209">
        <v>3</v>
      </c>
    </row>
    <row r="50" spans="1:28" ht="28.8" x14ac:dyDescent="0.3">
      <c r="A50" s="202"/>
      <c r="B50" s="126" t="s">
        <v>403</v>
      </c>
      <c r="C50" s="203"/>
      <c r="D50" s="126" t="s">
        <v>404</v>
      </c>
      <c r="E50" s="203"/>
      <c r="F50" s="203"/>
      <c r="G50" s="200"/>
      <c r="H50" s="193"/>
      <c r="I50" s="194"/>
      <c r="J50" s="200"/>
      <c r="K50" s="193"/>
      <c r="L50" s="194"/>
      <c r="M50" s="200"/>
      <c r="N50" s="193"/>
      <c r="O50" s="194"/>
      <c r="P50" s="205"/>
      <c r="Q50" s="203"/>
      <c r="R50" s="206"/>
      <c r="S50" s="200"/>
      <c r="T50" s="193"/>
      <c r="U50" s="194"/>
      <c r="V50" s="205"/>
      <c r="W50" s="203"/>
      <c r="X50" s="206"/>
      <c r="Y50" s="205"/>
      <c r="Z50" s="207"/>
      <c r="AA50" s="208"/>
      <c r="AB50" s="209"/>
    </row>
    <row r="51" spans="1:28" ht="43.2" x14ac:dyDescent="0.3">
      <c r="A51" s="202"/>
      <c r="B51" s="126" t="s">
        <v>405</v>
      </c>
      <c r="C51" s="203"/>
      <c r="D51" s="126" t="s">
        <v>406</v>
      </c>
      <c r="E51" s="203"/>
      <c r="F51" s="203"/>
      <c r="G51" s="200"/>
      <c r="H51" s="193"/>
      <c r="I51" s="194"/>
      <c r="J51" s="200"/>
      <c r="K51" s="193"/>
      <c r="L51" s="194"/>
      <c r="M51" s="200"/>
      <c r="N51" s="193"/>
      <c r="O51" s="194"/>
      <c r="P51" s="205"/>
      <c r="Q51" s="203"/>
      <c r="R51" s="206"/>
      <c r="S51" s="200"/>
      <c r="T51" s="193"/>
      <c r="U51" s="194"/>
      <c r="V51" s="205"/>
      <c r="W51" s="203"/>
      <c r="X51" s="206"/>
      <c r="Y51" s="205"/>
      <c r="Z51" s="207"/>
      <c r="AA51" s="208"/>
      <c r="AB51" s="209"/>
    </row>
    <row r="52" spans="1:28" ht="28.8" x14ac:dyDescent="0.3">
      <c r="A52" s="202"/>
      <c r="B52" s="126"/>
      <c r="C52" s="203"/>
      <c r="D52" s="126" t="s">
        <v>407</v>
      </c>
      <c r="E52" s="203"/>
      <c r="F52" s="203"/>
      <c r="G52" s="200"/>
      <c r="H52" s="193"/>
      <c r="I52" s="194"/>
      <c r="J52" s="200"/>
      <c r="K52" s="193"/>
      <c r="L52" s="194"/>
      <c r="M52" s="200"/>
      <c r="N52" s="193"/>
      <c r="O52" s="194"/>
      <c r="P52" s="205"/>
      <c r="Q52" s="203"/>
      <c r="R52" s="206"/>
      <c r="S52" s="200"/>
      <c r="T52" s="193"/>
      <c r="U52" s="194"/>
      <c r="V52" s="205"/>
      <c r="W52" s="203"/>
      <c r="X52" s="206"/>
      <c r="Y52" s="205"/>
      <c r="Z52" s="207"/>
      <c r="AA52" s="208"/>
      <c r="AB52" s="209"/>
    </row>
    <row r="53" spans="1:28" ht="28.8" x14ac:dyDescent="0.3">
      <c r="A53" s="175"/>
      <c r="B53" s="123"/>
      <c r="C53" s="177"/>
      <c r="D53" s="123" t="s">
        <v>408</v>
      </c>
      <c r="E53" s="177"/>
      <c r="F53" s="177"/>
      <c r="G53" s="184"/>
      <c r="H53" s="190"/>
      <c r="I53" s="182"/>
      <c r="J53" s="184"/>
      <c r="K53" s="190"/>
      <c r="L53" s="182"/>
      <c r="M53" s="184"/>
      <c r="N53" s="190"/>
      <c r="O53" s="182"/>
      <c r="P53" s="199"/>
      <c r="Q53" s="177"/>
      <c r="R53" s="192"/>
      <c r="S53" s="184"/>
      <c r="T53" s="190"/>
      <c r="U53" s="182"/>
      <c r="V53" s="199"/>
      <c r="W53" s="177"/>
      <c r="X53" s="192"/>
      <c r="Y53" s="199"/>
      <c r="Z53" s="197"/>
      <c r="AA53" s="208"/>
      <c r="AB53" s="209"/>
    </row>
    <row r="54" spans="1:28" x14ac:dyDescent="0.3">
      <c r="A54" s="130" t="s">
        <v>393</v>
      </c>
      <c r="B54" s="131" t="s">
        <v>409</v>
      </c>
      <c r="C54" s="131" t="s">
        <v>410</v>
      </c>
      <c r="D54" s="131" t="s">
        <v>359</v>
      </c>
      <c r="E54" s="131" t="s">
        <v>386</v>
      </c>
      <c r="F54" s="131" t="s">
        <v>373</v>
      </c>
      <c r="G54" s="134"/>
      <c r="H54" s="135"/>
      <c r="I54" s="136"/>
      <c r="J54" s="134"/>
      <c r="K54" s="135"/>
      <c r="L54" s="136"/>
      <c r="M54" s="134"/>
      <c r="N54" s="135"/>
      <c r="O54" s="136"/>
      <c r="P54" s="134"/>
      <c r="Q54" s="135"/>
      <c r="R54" s="136"/>
      <c r="S54" s="132">
        <v>111</v>
      </c>
      <c r="T54" s="131">
        <v>100</v>
      </c>
      <c r="U54" s="133">
        <v>0.9</v>
      </c>
      <c r="V54" s="134"/>
      <c r="W54" s="135"/>
      <c r="X54" s="136"/>
      <c r="Y54" s="134"/>
      <c r="Z54" s="146"/>
      <c r="AA54" s="150"/>
      <c r="AB54" s="136"/>
    </row>
    <row r="55" spans="1:28" x14ac:dyDescent="0.3">
      <c r="A55" s="130" t="s">
        <v>393</v>
      </c>
      <c r="B55" s="131" t="s">
        <v>411</v>
      </c>
      <c r="C55" s="131" t="s">
        <v>401</v>
      </c>
      <c r="D55" s="131" t="s">
        <v>359</v>
      </c>
      <c r="E55" s="131" t="s">
        <v>357</v>
      </c>
      <c r="F55" s="131" t="s">
        <v>373</v>
      </c>
      <c r="G55" s="134"/>
      <c r="H55" s="135"/>
      <c r="I55" s="136"/>
      <c r="J55" s="134"/>
      <c r="K55" s="135"/>
      <c r="L55" s="136"/>
      <c r="M55" s="134"/>
      <c r="N55" s="135"/>
      <c r="O55" s="136"/>
      <c r="P55" s="134"/>
      <c r="Q55" s="135"/>
      <c r="R55" s="136"/>
      <c r="S55" s="132">
        <v>111</v>
      </c>
      <c r="T55" s="131">
        <v>100</v>
      </c>
      <c r="U55" s="133">
        <v>0.9</v>
      </c>
      <c r="V55" s="134"/>
      <c r="W55" s="135"/>
      <c r="X55" s="136"/>
      <c r="Y55" s="134"/>
      <c r="Z55" s="146"/>
      <c r="AA55" s="150"/>
      <c r="AB55" s="136"/>
    </row>
    <row r="56" spans="1:28" x14ac:dyDescent="0.3">
      <c r="A56" s="174" t="s">
        <v>393</v>
      </c>
      <c r="B56" s="176" t="s">
        <v>412</v>
      </c>
      <c r="C56" s="176" t="s">
        <v>410</v>
      </c>
      <c r="D56" s="122" t="s">
        <v>372</v>
      </c>
      <c r="E56" s="176" t="s">
        <v>384</v>
      </c>
      <c r="F56" s="176" t="s">
        <v>373</v>
      </c>
      <c r="G56" s="183"/>
      <c r="H56" s="189"/>
      <c r="I56" s="181"/>
      <c r="J56" s="183"/>
      <c r="K56" s="189"/>
      <c r="L56" s="181"/>
      <c r="M56" s="183"/>
      <c r="N56" s="189"/>
      <c r="O56" s="181"/>
      <c r="P56" s="198">
        <v>279</v>
      </c>
      <c r="Q56" s="176">
        <v>265</v>
      </c>
      <c r="R56" s="191">
        <v>0.95</v>
      </c>
      <c r="S56" s="198">
        <v>111</v>
      </c>
      <c r="T56" s="176">
        <v>100</v>
      </c>
      <c r="U56" s="191">
        <v>0.9</v>
      </c>
      <c r="V56" s="198">
        <v>838</v>
      </c>
      <c r="W56" s="176">
        <v>796</v>
      </c>
      <c r="X56" s="191">
        <v>0.95</v>
      </c>
      <c r="Y56" s="183"/>
      <c r="Z56" s="185"/>
      <c r="AA56" s="195"/>
      <c r="AB56" s="180"/>
    </row>
    <row r="57" spans="1:28" x14ac:dyDescent="0.3">
      <c r="A57" s="202"/>
      <c r="B57" s="203"/>
      <c r="C57" s="203"/>
      <c r="D57" s="126" t="s">
        <v>375</v>
      </c>
      <c r="E57" s="203"/>
      <c r="F57" s="203"/>
      <c r="G57" s="200"/>
      <c r="H57" s="193"/>
      <c r="I57" s="194"/>
      <c r="J57" s="200"/>
      <c r="K57" s="193"/>
      <c r="L57" s="194"/>
      <c r="M57" s="200"/>
      <c r="N57" s="193"/>
      <c r="O57" s="194"/>
      <c r="P57" s="205"/>
      <c r="Q57" s="203"/>
      <c r="R57" s="206"/>
      <c r="S57" s="205"/>
      <c r="T57" s="203"/>
      <c r="U57" s="206"/>
      <c r="V57" s="205"/>
      <c r="W57" s="203"/>
      <c r="X57" s="206"/>
      <c r="Y57" s="200"/>
      <c r="Z57" s="201"/>
      <c r="AA57" s="195"/>
      <c r="AB57" s="180"/>
    </row>
    <row r="58" spans="1:28" x14ac:dyDescent="0.3">
      <c r="A58" s="202"/>
      <c r="B58" s="203"/>
      <c r="C58" s="203"/>
      <c r="D58" s="126" t="s">
        <v>525</v>
      </c>
      <c r="E58" s="203"/>
      <c r="F58" s="203"/>
      <c r="G58" s="200"/>
      <c r="H58" s="193"/>
      <c r="I58" s="194"/>
      <c r="J58" s="200"/>
      <c r="K58" s="193"/>
      <c r="L58" s="194"/>
      <c r="M58" s="200"/>
      <c r="N58" s="193"/>
      <c r="O58" s="194"/>
      <c r="P58" s="205"/>
      <c r="Q58" s="203"/>
      <c r="R58" s="206"/>
      <c r="S58" s="205"/>
      <c r="T58" s="203"/>
      <c r="U58" s="206"/>
      <c r="V58" s="205"/>
      <c r="W58" s="203"/>
      <c r="X58" s="206"/>
      <c r="Y58" s="200"/>
      <c r="Z58" s="201"/>
      <c r="AA58" s="195"/>
      <c r="AB58" s="180"/>
    </row>
    <row r="59" spans="1:28" x14ac:dyDescent="0.3">
      <c r="A59" s="202"/>
      <c r="B59" s="203"/>
      <c r="C59" s="203"/>
      <c r="D59" s="126" t="s">
        <v>413</v>
      </c>
      <c r="E59" s="203"/>
      <c r="F59" s="203"/>
      <c r="G59" s="200"/>
      <c r="H59" s="193"/>
      <c r="I59" s="194"/>
      <c r="J59" s="200"/>
      <c r="K59" s="193"/>
      <c r="L59" s="194"/>
      <c r="M59" s="200"/>
      <c r="N59" s="193"/>
      <c r="O59" s="194"/>
      <c r="P59" s="205"/>
      <c r="Q59" s="203"/>
      <c r="R59" s="206"/>
      <c r="S59" s="205"/>
      <c r="T59" s="203"/>
      <c r="U59" s="206"/>
      <c r="V59" s="205"/>
      <c r="W59" s="203"/>
      <c r="X59" s="206"/>
      <c r="Y59" s="200"/>
      <c r="Z59" s="201"/>
      <c r="AA59" s="195"/>
      <c r="AB59" s="180"/>
    </row>
    <row r="60" spans="1:28" x14ac:dyDescent="0.3">
      <c r="A60" s="175"/>
      <c r="B60" s="177"/>
      <c r="C60" s="177"/>
      <c r="D60" s="123" t="s">
        <v>359</v>
      </c>
      <c r="E60" s="177"/>
      <c r="F60" s="177"/>
      <c r="G60" s="184"/>
      <c r="H60" s="190"/>
      <c r="I60" s="182"/>
      <c r="J60" s="184"/>
      <c r="K60" s="190"/>
      <c r="L60" s="182"/>
      <c r="M60" s="184"/>
      <c r="N60" s="190"/>
      <c r="O60" s="182"/>
      <c r="P60" s="199"/>
      <c r="Q60" s="177"/>
      <c r="R60" s="192"/>
      <c r="S60" s="199"/>
      <c r="T60" s="177"/>
      <c r="U60" s="192"/>
      <c r="V60" s="199"/>
      <c r="W60" s="177"/>
      <c r="X60" s="192"/>
      <c r="Y60" s="184"/>
      <c r="Z60" s="186"/>
      <c r="AA60" s="195"/>
      <c r="AB60" s="180"/>
    </row>
    <row r="61" spans="1:28" x14ac:dyDescent="0.3">
      <c r="A61" s="174" t="s">
        <v>393</v>
      </c>
      <c r="B61" s="176" t="s">
        <v>414</v>
      </c>
      <c r="C61" s="176" t="s">
        <v>410</v>
      </c>
      <c r="D61" s="122" t="s">
        <v>415</v>
      </c>
      <c r="E61" s="176" t="s">
        <v>386</v>
      </c>
      <c r="F61" s="176" t="s">
        <v>373</v>
      </c>
      <c r="G61" s="183"/>
      <c r="H61" s="189"/>
      <c r="I61" s="181"/>
      <c r="J61" s="183"/>
      <c r="K61" s="189"/>
      <c r="L61" s="181"/>
      <c r="M61" s="183"/>
      <c r="N61" s="189"/>
      <c r="O61" s="181"/>
      <c r="P61" s="198">
        <v>279</v>
      </c>
      <c r="Q61" s="176">
        <v>265</v>
      </c>
      <c r="R61" s="191">
        <v>0.95</v>
      </c>
      <c r="S61" s="198">
        <v>111</v>
      </c>
      <c r="T61" s="176">
        <v>100</v>
      </c>
      <c r="U61" s="191">
        <v>0.9</v>
      </c>
      <c r="V61" s="183"/>
      <c r="W61" s="189"/>
      <c r="X61" s="181"/>
      <c r="Y61" s="183"/>
      <c r="Z61" s="185"/>
      <c r="AA61" s="195"/>
      <c r="AB61" s="180"/>
    </row>
    <row r="62" spans="1:28" x14ac:dyDescent="0.3">
      <c r="A62" s="175"/>
      <c r="B62" s="177"/>
      <c r="C62" s="177"/>
      <c r="D62" s="123" t="s">
        <v>359</v>
      </c>
      <c r="E62" s="177"/>
      <c r="F62" s="177"/>
      <c r="G62" s="184"/>
      <c r="H62" s="190"/>
      <c r="I62" s="182"/>
      <c r="J62" s="184"/>
      <c r="K62" s="190"/>
      <c r="L62" s="182"/>
      <c r="M62" s="184"/>
      <c r="N62" s="190"/>
      <c r="O62" s="182"/>
      <c r="P62" s="199"/>
      <c r="Q62" s="177"/>
      <c r="R62" s="192"/>
      <c r="S62" s="199"/>
      <c r="T62" s="177"/>
      <c r="U62" s="192"/>
      <c r="V62" s="184"/>
      <c r="W62" s="190"/>
      <c r="X62" s="182"/>
      <c r="Y62" s="184"/>
      <c r="Z62" s="186"/>
      <c r="AA62" s="195"/>
      <c r="AB62" s="180"/>
    </row>
    <row r="63" spans="1:28" x14ac:dyDescent="0.3">
      <c r="A63" s="130" t="s">
        <v>393</v>
      </c>
      <c r="B63" s="131" t="s">
        <v>416</v>
      </c>
      <c r="C63" s="131" t="s">
        <v>417</v>
      </c>
      <c r="D63" s="139" t="s">
        <v>372</v>
      </c>
      <c r="E63" s="131" t="s">
        <v>357</v>
      </c>
      <c r="F63" s="131" t="s">
        <v>373</v>
      </c>
      <c r="G63" s="134"/>
      <c r="H63" s="135"/>
      <c r="I63" s="136"/>
      <c r="J63" s="134"/>
      <c r="K63" s="135"/>
      <c r="L63" s="136"/>
      <c r="M63" s="134"/>
      <c r="N63" s="135"/>
      <c r="O63" s="136"/>
      <c r="P63" s="132">
        <v>279</v>
      </c>
      <c r="Q63" s="131">
        <v>239</v>
      </c>
      <c r="R63" s="133">
        <v>0.86</v>
      </c>
      <c r="S63" s="134"/>
      <c r="T63" s="135"/>
      <c r="U63" s="136"/>
      <c r="V63" s="132">
        <v>838</v>
      </c>
      <c r="W63" s="131">
        <v>716</v>
      </c>
      <c r="X63" s="133">
        <v>0.85</v>
      </c>
      <c r="Y63" s="134"/>
      <c r="Z63" s="146"/>
      <c r="AA63" s="150"/>
      <c r="AB63" s="136"/>
    </row>
    <row r="64" spans="1:28" x14ac:dyDescent="0.3">
      <c r="A64" s="174" t="s">
        <v>393</v>
      </c>
      <c r="B64" s="176" t="s">
        <v>418</v>
      </c>
      <c r="C64" s="176" t="s">
        <v>417</v>
      </c>
      <c r="D64" s="122" t="s">
        <v>356</v>
      </c>
      <c r="E64" s="176" t="s">
        <v>384</v>
      </c>
      <c r="F64" s="176" t="s">
        <v>373</v>
      </c>
      <c r="G64" s="183"/>
      <c r="H64" s="189"/>
      <c r="I64" s="181"/>
      <c r="J64" s="183"/>
      <c r="K64" s="189"/>
      <c r="L64" s="181"/>
      <c r="M64" s="183"/>
      <c r="N64" s="189"/>
      <c r="O64" s="181"/>
      <c r="P64" s="183"/>
      <c r="Q64" s="189"/>
      <c r="R64" s="181"/>
      <c r="S64" s="183"/>
      <c r="T64" s="189"/>
      <c r="U64" s="181"/>
      <c r="V64" s="198">
        <v>838</v>
      </c>
      <c r="W64" s="176">
        <v>796</v>
      </c>
      <c r="X64" s="191">
        <v>0.95</v>
      </c>
      <c r="Y64" s="222">
        <v>145</v>
      </c>
      <c r="Z64" s="224">
        <v>138</v>
      </c>
      <c r="AA64" s="195"/>
      <c r="AB64" s="180"/>
    </row>
    <row r="65" spans="1:28" x14ac:dyDescent="0.3">
      <c r="A65" s="175"/>
      <c r="B65" s="177"/>
      <c r="C65" s="177"/>
      <c r="D65" s="123" t="s">
        <v>385</v>
      </c>
      <c r="E65" s="177"/>
      <c r="F65" s="177"/>
      <c r="G65" s="184"/>
      <c r="H65" s="190"/>
      <c r="I65" s="182"/>
      <c r="J65" s="184"/>
      <c r="K65" s="190"/>
      <c r="L65" s="182"/>
      <c r="M65" s="184"/>
      <c r="N65" s="190"/>
      <c r="O65" s="182"/>
      <c r="P65" s="184"/>
      <c r="Q65" s="190"/>
      <c r="R65" s="182"/>
      <c r="S65" s="184"/>
      <c r="T65" s="190"/>
      <c r="U65" s="182"/>
      <c r="V65" s="199"/>
      <c r="W65" s="177"/>
      <c r="X65" s="192"/>
      <c r="Y65" s="223"/>
      <c r="Z65" s="225"/>
      <c r="AA65" s="195"/>
      <c r="AB65" s="180"/>
    </row>
    <row r="66" spans="1:28" x14ac:dyDescent="0.3">
      <c r="A66" s="174" t="s">
        <v>393</v>
      </c>
      <c r="B66" s="176" t="s">
        <v>419</v>
      </c>
      <c r="C66" s="176" t="s">
        <v>401</v>
      </c>
      <c r="D66" s="122" t="s">
        <v>356</v>
      </c>
      <c r="E66" s="176" t="s">
        <v>384</v>
      </c>
      <c r="F66" s="176" t="s">
        <v>373</v>
      </c>
      <c r="G66" s="183"/>
      <c r="H66" s="189"/>
      <c r="I66" s="181"/>
      <c r="J66" s="183"/>
      <c r="K66" s="189"/>
      <c r="L66" s="181"/>
      <c r="M66" s="183"/>
      <c r="N66" s="189"/>
      <c r="O66" s="181"/>
      <c r="P66" s="183"/>
      <c r="Q66" s="189"/>
      <c r="R66" s="181"/>
      <c r="S66" s="183"/>
      <c r="T66" s="189"/>
      <c r="U66" s="181"/>
      <c r="V66" s="198">
        <v>838</v>
      </c>
      <c r="W66" s="176">
        <v>796</v>
      </c>
      <c r="X66" s="191">
        <v>0.95</v>
      </c>
      <c r="Y66" s="198">
        <v>145</v>
      </c>
      <c r="Z66" s="196">
        <v>138</v>
      </c>
      <c r="AA66" s="195"/>
      <c r="AB66" s="180"/>
    </row>
    <row r="67" spans="1:28" x14ac:dyDescent="0.3">
      <c r="A67" s="175"/>
      <c r="B67" s="177"/>
      <c r="C67" s="177"/>
      <c r="D67" s="123" t="s">
        <v>385</v>
      </c>
      <c r="E67" s="177"/>
      <c r="F67" s="177"/>
      <c r="G67" s="184"/>
      <c r="H67" s="190"/>
      <c r="I67" s="182"/>
      <c r="J67" s="184"/>
      <c r="K67" s="190"/>
      <c r="L67" s="182"/>
      <c r="M67" s="184"/>
      <c r="N67" s="190"/>
      <c r="O67" s="182"/>
      <c r="P67" s="184"/>
      <c r="Q67" s="190"/>
      <c r="R67" s="182"/>
      <c r="S67" s="184"/>
      <c r="T67" s="190"/>
      <c r="U67" s="182"/>
      <c r="V67" s="199"/>
      <c r="W67" s="177"/>
      <c r="X67" s="192"/>
      <c r="Y67" s="199"/>
      <c r="Z67" s="197"/>
      <c r="AA67" s="195"/>
      <c r="AB67" s="180"/>
    </row>
    <row r="68" spans="1:28" x14ac:dyDescent="0.3">
      <c r="A68" s="174" t="s">
        <v>393</v>
      </c>
      <c r="B68" s="176" t="s">
        <v>205</v>
      </c>
      <c r="C68" s="176" t="s">
        <v>410</v>
      </c>
      <c r="D68" s="122" t="s">
        <v>420</v>
      </c>
      <c r="E68" s="176" t="s">
        <v>386</v>
      </c>
      <c r="F68" s="176" t="s">
        <v>373</v>
      </c>
      <c r="G68" s="183"/>
      <c r="H68" s="189"/>
      <c r="I68" s="181"/>
      <c r="J68" s="183"/>
      <c r="K68" s="189"/>
      <c r="L68" s="181"/>
      <c r="M68" s="183"/>
      <c r="N68" s="189"/>
      <c r="O68" s="181"/>
      <c r="P68" s="198">
        <v>279</v>
      </c>
      <c r="Q68" s="176">
        <v>252</v>
      </c>
      <c r="R68" s="191">
        <v>0.9</v>
      </c>
      <c r="S68" s="198">
        <v>111</v>
      </c>
      <c r="T68" s="176">
        <v>100</v>
      </c>
      <c r="U68" s="191">
        <v>0.9</v>
      </c>
      <c r="V68" s="183"/>
      <c r="W68" s="189"/>
      <c r="X68" s="181"/>
      <c r="Y68" s="183"/>
      <c r="Z68" s="185"/>
      <c r="AA68" s="195"/>
      <c r="AB68" s="180"/>
    </row>
    <row r="69" spans="1:28" x14ac:dyDescent="0.3">
      <c r="A69" s="175"/>
      <c r="B69" s="177"/>
      <c r="C69" s="177"/>
      <c r="D69" s="123" t="s">
        <v>359</v>
      </c>
      <c r="E69" s="177"/>
      <c r="F69" s="177"/>
      <c r="G69" s="184"/>
      <c r="H69" s="190"/>
      <c r="I69" s="182"/>
      <c r="J69" s="184"/>
      <c r="K69" s="190"/>
      <c r="L69" s="182"/>
      <c r="M69" s="184"/>
      <c r="N69" s="190"/>
      <c r="O69" s="182"/>
      <c r="P69" s="199"/>
      <c r="Q69" s="177"/>
      <c r="R69" s="192"/>
      <c r="S69" s="199"/>
      <c r="T69" s="177"/>
      <c r="U69" s="192"/>
      <c r="V69" s="184"/>
      <c r="W69" s="190"/>
      <c r="X69" s="182"/>
      <c r="Y69" s="184"/>
      <c r="Z69" s="186"/>
      <c r="AA69" s="195"/>
      <c r="AB69" s="180"/>
    </row>
    <row r="70" spans="1:28" x14ac:dyDescent="0.3">
      <c r="A70" s="130" t="s">
        <v>393</v>
      </c>
      <c r="B70" s="131" t="s">
        <v>421</v>
      </c>
      <c r="C70" s="131" t="s">
        <v>410</v>
      </c>
      <c r="D70" s="131" t="s">
        <v>525</v>
      </c>
      <c r="E70" s="131" t="s">
        <v>386</v>
      </c>
      <c r="F70" s="131" t="s">
        <v>373</v>
      </c>
      <c r="G70" s="134"/>
      <c r="H70" s="135"/>
      <c r="I70" s="136"/>
      <c r="J70" s="134"/>
      <c r="K70" s="135"/>
      <c r="L70" s="136"/>
      <c r="M70" s="134"/>
      <c r="N70" s="135"/>
      <c r="O70" s="136"/>
      <c r="P70" s="134"/>
      <c r="Q70" s="135"/>
      <c r="R70" s="136"/>
      <c r="S70" s="134"/>
      <c r="T70" s="135"/>
      <c r="U70" s="136"/>
      <c r="V70" s="132" t="s">
        <v>48</v>
      </c>
      <c r="W70" s="131">
        <v>310</v>
      </c>
      <c r="X70" s="138"/>
      <c r="Y70" s="134"/>
      <c r="Z70" s="146"/>
      <c r="AA70" s="150"/>
      <c r="AB70" s="136"/>
    </row>
    <row r="71" spans="1:28" x14ac:dyDescent="0.3">
      <c r="A71" s="174" t="s">
        <v>422</v>
      </c>
      <c r="B71" s="176" t="s">
        <v>423</v>
      </c>
      <c r="C71" s="176" t="s">
        <v>424</v>
      </c>
      <c r="D71" s="122" t="s">
        <v>413</v>
      </c>
      <c r="E71" s="176" t="s">
        <v>425</v>
      </c>
      <c r="F71" s="176" t="s">
        <v>425</v>
      </c>
      <c r="G71" s="183"/>
      <c r="H71" s="189"/>
      <c r="I71" s="181"/>
      <c r="J71" s="183"/>
      <c r="K71" s="189"/>
      <c r="L71" s="181"/>
      <c r="M71" s="183"/>
      <c r="N71" s="189"/>
      <c r="O71" s="181"/>
      <c r="P71" s="198">
        <v>1571</v>
      </c>
      <c r="Q71" s="176">
        <v>1021</v>
      </c>
      <c r="R71" s="191">
        <v>0.65</v>
      </c>
      <c r="S71" s="183"/>
      <c r="T71" s="189"/>
      <c r="U71" s="181"/>
      <c r="V71" s="183"/>
      <c r="W71" s="189"/>
      <c r="X71" s="181"/>
      <c r="Y71" s="183"/>
      <c r="Z71" s="185"/>
      <c r="AA71" s="195"/>
      <c r="AB71" s="180"/>
    </row>
    <row r="72" spans="1:28" x14ac:dyDescent="0.3">
      <c r="A72" s="202"/>
      <c r="B72" s="203"/>
      <c r="C72" s="203"/>
      <c r="D72" s="126" t="s">
        <v>426</v>
      </c>
      <c r="E72" s="203"/>
      <c r="F72" s="203"/>
      <c r="G72" s="200"/>
      <c r="H72" s="193"/>
      <c r="I72" s="194"/>
      <c r="J72" s="200"/>
      <c r="K72" s="193"/>
      <c r="L72" s="194"/>
      <c r="M72" s="200"/>
      <c r="N72" s="193"/>
      <c r="O72" s="194"/>
      <c r="P72" s="205"/>
      <c r="Q72" s="203"/>
      <c r="R72" s="206"/>
      <c r="S72" s="200"/>
      <c r="T72" s="193"/>
      <c r="U72" s="194"/>
      <c r="V72" s="200"/>
      <c r="W72" s="193"/>
      <c r="X72" s="194"/>
      <c r="Y72" s="200"/>
      <c r="Z72" s="201"/>
      <c r="AA72" s="195"/>
      <c r="AB72" s="180"/>
    </row>
    <row r="73" spans="1:28" x14ac:dyDescent="0.3">
      <c r="A73" s="175"/>
      <c r="B73" s="177"/>
      <c r="C73" s="177"/>
      <c r="D73" s="123" t="s">
        <v>359</v>
      </c>
      <c r="E73" s="177"/>
      <c r="F73" s="177"/>
      <c r="G73" s="184"/>
      <c r="H73" s="190"/>
      <c r="I73" s="182"/>
      <c r="J73" s="184"/>
      <c r="K73" s="190"/>
      <c r="L73" s="182"/>
      <c r="M73" s="184"/>
      <c r="N73" s="190"/>
      <c r="O73" s="182"/>
      <c r="P73" s="199"/>
      <c r="Q73" s="177"/>
      <c r="R73" s="192"/>
      <c r="S73" s="184"/>
      <c r="T73" s="190"/>
      <c r="U73" s="182"/>
      <c r="V73" s="184"/>
      <c r="W73" s="190"/>
      <c r="X73" s="182"/>
      <c r="Y73" s="184"/>
      <c r="Z73" s="186"/>
      <c r="AA73" s="195"/>
      <c r="AB73" s="180"/>
    </row>
    <row r="74" spans="1:28" x14ac:dyDescent="0.3">
      <c r="A74" s="174" t="s">
        <v>422</v>
      </c>
      <c r="B74" s="176" t="s">
        <v>427</v>
      </c>
      <c r="C74" s="176" t="s">
        <v>424</v>
      </c>
      <c r="D74" s="122" t="s">
        <v>413</v>
      </c>
      <c r="E74" s="176" t="s">
        <v>428</v>
      </c>
      <c r="F74" s="176" t="s">
        <v>425</v>
      </c>
      <c r="G74" s="183"/>
      <c r="H74" s="189"/>
      <c r="I74" s="181"/>
      <c r="J74" s="183"/>
      <c r="K74" s="189"/>
      <c r="L74" s="181"/>
      <c r="M74" s="183"/>
      <c r="N74" s="189"/>
      <c r="O74" s="181"/>
      <c r="P74" s="198">
        <v>1731</v>
      </c>
      <c r="Q74" s="176">
        <v>779</v>
      </c>
      <c r="R74" s="191">
        <v>0.45</v>
      </c>
      <c r="S74" s="183"/>
      <c r="T74" s="189"/>
      <c r="U74" s="181"/>
      <c r="V74" s="183"/>
      <c r="W74" s="189"/>
      <c r="X74" s="181"/>
      <c r="Y74" s="183"/>
      <c r="Z74" s="185"/>
      <c r="AA74" s="195"/>
      <c r="AB74" s="180"/>
    </row>
    <row r="75" spans="1:28" x14ac:dyDescent="0.3">
      <c r="A75" s="202"/>
      <c r="B75" s="203"/>
      <c r="C75" s="203"/>
      <c r="D75" s="126" t="s">
        <v>426</v>
      </c>
      <c r="E75" s="203"/>
      <c r="F75" s="203"/>
      <c r="G75" s="200"/>
      <c r="H75" s="193"/>
      <c r="I75" s="194"/>
      <c r="J75" s="200"/>
      <c r="K75" s="193"/>
      <c r="L75" s="194"/>
      <c r="M75" s="200"/>
      <c r="N75" s="193"/>
      <c r="O75" s="194"/>
      <c r="P75" s="205"/>
      <c r="Q75" s="203"/>
      <c r="R75" s="206"/>
      <c r="S75" s="200"/>
      <c r="T75" s="193"/>
      <c r="U75" s="194"/>
      <c r="V75" s="200"/>
      <c r="W75" s="193"/>
      <c r="X75" s="194"/>
      <c r="Y75" s="200"/>
      <c r="Z75" s="201"/>
      <c r="AA75" s="195"/>
      <c r="AB75" s="180"/>
    </row>
    <row r="76" spans="1:28" x14ac:dyDescent="0.3">
      <c r="A76" s="175"/>
      <c r="B76" s="177"/>
      <c r="C76" s="177"/>
      <c r="D76" s="123" t="s">
        <v>359</v>
      </c>
      <c r="E76" s="177"/>
      <c r="F76" s="177"/>
      <c r="G76" s="184"/>
      <c r="H76" s="190"/>
      <c r="I76" s="182"/>
      <c r="J76" s="184"/>
      <c r="K76" s="190"/>
      <c r="L76" s="182"/>
      <c r="M76" s="184"/>
      <c r="N76" s="190"/>
      <c r="O76" s="182"/>
      <c r="P76" s="199"/>
      <c r="Q76" s="177"/>
      <c r="R76" s="192"/>
      <c r="S76" s="184"/>
      <c r="T76" s="190"/>
      <c r="U76" s="182"/>
      <c r="V76" s="184"/>
      <c r="W76" s="190"/>
      <c r="X76" s="182"/>
      <c r="Y76" s="184"/>
      <c r="Z76" s="186"/>
      <c r="AA76" s="195"/>
      <c r="AB76" s="180"/>
    </row>
    <row r="77" spans="1:28" x14ac:dyDescent="0.3">
      <c r="A77" s="174" t="s">
        <v>429</v>
      </c>
      <c r="B77" s="176" t="s">
        <v>430</v>
      </c>
      <c r="C77" s="176" t="s">
        <v>300</v>
      </c>
      <c r="D77" s="122" t="s">
        <v>413</v>
      </c>
      <c r="E77" s="176" t="s">
        <v>425</v>
      </c>
      <c r="F77" s="176" t="s">
        <v>425</v>
      </c>
      <c r="G77" s="183"/>
      <c r="H77" s="189"/>
      <c r="I77" s="181"/>
      <c r="J77" s="183"/>
      <c r="K77" s="189"/>
      <c r="L77" s="181"/>
      <c r="M77" s="183"/>
      <c r="N77" s="189"/>
      <c r="O77" s="181"/>
      <c r="P77" s="198">
        <v>3142</v>
      </c>
      <c r="Q77" s="176">
        <v>1571</v>
      </c>
      <c r="R77" s="191">
        <v>0.5</v>
      </c>
      <c r="S77" s="198">
        <v>1333</v>
      </c>
      <c r="T77" s="176">
        <v>800</v>
      </c>
      <c r="U77" s="191">
        <v>0.6</v>
      </c>
      <c r="V77" s="183"/>
      <c r="W77" s="189"/>
      <c r="X77" s="181"/>
      <c r="Y77" s="183"/>
      <c r="Z77" s="185"/>
      <c r="AA77" s="195"/>
      <c r="AB77" s="180"/>
    </row>
    <row r="78" spans="1:28" x14ac:dyDescent="0.3">
      <c r="A78" s="202"/>
      <c r="B78" s="203"/>
      <c r="C78" s="203"/>
      <c r="D78" s="126" t="s">
        <v>426</v>
      </c>
      <c r="E78" s="203"/>
      <c r="F78" s="203"/>
      <c r="G78" s="200"/>
      <c r="H78" s="193"/>
      <c r="I78" s="194"/>
      <c r="J78" s="200"/>
      <c r="K78" s="193"/>
      <c r="L78" s="194"/>
      <c r="M78" s="200"/>
      <c r="N78" s="193"/>
      <c r="O78" s="194"/>
      <c r="P78" s="205"/>
      <c r="Q78" s="203"/>
      <c r="R78" s="206"/>
      <c r="S78" s="205"/>
      <c r="T78" s="203"/>
      <c r="U78" s="206"/>
      <c r="V78" s="200"/>
      <c r="W78" s="193"/>
      <c r="X78" s="194"/>
      <c r="Y78" s="200"/>
      <c r="Z78" s="201"/>
      <c r="AA78" s="195"/>
      <c r="AB78" s="180"/>
    </row>
    <row r="79" spans="1:28" x14ac:dyDescent="0.3">
      <c r="A79" s="175"/>
      <c r="B79" s="177"/>
      <c r="C79" s="177"/>
      <c r="D79" s="123" t="s">
        <v>359</v>
      </c>
      <c r="E79" s="177"/>
      <c r="F79" s="177"/>
      <c r="G79" s="184"/>
      <c r="H79" s="190"/>
      <c r="I79" s="182"/>
      <c r="J79" s="184"/>
      <c r="K79" s="190"/>
      <c r="L79" s="182"/>
      <c r="M79" s="184"/>
      <c r="N79" s="190"/>
      <c r="O79" s="182"/>
      <c r="P79" s="199"/>
      <c r="Q79" s="177"/>
      <c r="R79" s="192"/>
      <c r="S79" s="199"/>
      <c r="T79" s="177"/>
      <c r="U79" s="192"/>
      <c r="V79" s="184"/>
      <c r="W79" s="190"/>
      <c r="X79" s="182"/>
      <c r="Y79" s="184"/>
      <c r="Z79" s="186"/>
      <c r="AA79" s="195"/>
      <c r="AB79" s="180"/>
    </row>
    <row r="80" spans="1:28" x14ac:dyDescent="0.3">
      <c r="A80" s="174" t="s">
        <v>429</v>
      </c>
      <c r="B80" s="176" t="s">
        <v>431</v>
      </c>
      <c r="C80" s="176" t="s">
        <v>300</v>
      </c>
      <c r="D80" s="122" t="s">
        <v>413</v>
      </c>
      <c r="E80" s="176" t="s">
        <v>425</v>
      </c>
      <c r="F80" s="176" t="s">
        <v>425</v>
      </c>
      <c r="G80" s="183"/>
      <c r="H80" s="189"/>
      <c r="I80" s="181"/>
      <c r="J80" s="183"/>
      <c r="K80" s="189"/>
      <c r="L80" s="181"/>
      <c r="M80" s="183"/>
      <c r="N80" s="189"/>
      <c r="O80" s="181"/>
      <c r="P80" s="198">
        <v>3462</v>
      </c>
      <c r="Q80" s="176">
        <v>1731</v>
      </c>
      <c r="R80" s="191">
        <v>0.5</v>
      </c>
      <c r="S80" s="183"/>
      <c r="T80" s="189"/>
      <c r="U80" s="181"/>
      <c r="V80" s="183"/>
      <c r="W80" s="189"/>
      <c r="X80" s="181"/>
      <c r="Y80" s="183"/>
      <c r="Z80" s="185"/>
      <c r="AA80" s="195"/>
      <c r="AB80" s="180"/>
    </row>
    <row r="81" spans="1:28" x14ac:dyDescent="0.3">
      <c r="A81" s="202"/>
      <c r="B81" s="203"/>
      <c r="C81" s="203"/>
      <c r="D81" s="126" t="s">
        <v>426</v>
      </c>
      <c r="E81" s="203"/>
      <c r="F81" s="203"/>
      <c r="G81" s="200"/>
      <c r="H81" s="193"/>
      <c r="I81" s="194"/>
      <c r="J81" s="200"/>
      <c r="K81" s="193"/>
      <c r="L81" s="194"/>
      <c r="M81" s="200"/>
      <c r="N81" s="193"/>
      <c r="O81" s="194"/>
      <c r="P81" s="205"/>
      <c r="Q81" s="203"/>
      <c r="R81" s="206"/>
      <c r="S81" s="200"/>
      <c r="T81" s="193"/>
      <c r="U81" s="194"/>
      <c r="V81" s="200"/>
      <c r="W81" s="193"/>
      <c r="X81" s="194"/>
      <c r="Y81" s="200"/>
      <c r="Z81" s="201"/>
      <c r="AA81" s="195"/>
      <c r="AB81" s="180"/>
    </row>
    <row r="82" spans="1:28" x14ac:dyDescent="0.3">
      <c r="A82" s="175"/>
      <c r="B82" s="177"/>
      <c r="C82" s="177"/>
      <c r="D82" s="123" t="s">
        <v>359</v>
      </c>
      <c r="E82" s="177"/>
      <c r="F82" s="177"/>
      <c r="G82" s="184"/>
      <c r="H82" s="190"/>
      <c r="I82" s="182"/>
      <c r="J82" s="184"/>
      <c r="K82" s="190"/>
      <c r="L82" s="182"/>
      <c r="M82" s="184"/>
      <c r="N82" s="190"/>
      <c r="O82" s="182"/>
      <c r="P82" s="199"/>
      <c r="Q82" s="177"/>
      <c r="R82" s="192"/>
      <c r="S82" s="184"/>
      <c r="T82" s="190"/>
      <c r="U82" s="182"/>
      <c r="V82" s="184"/>
      <c r="W82" s="190"/>
      <c r="X82" s="182"/>
      <c r="Y82" s="184"/>
      <c r="Z82" s="186"/>
      <c r="AA82" s="195"/>
      <c r="AB82" s="180"/>
    </row>
    <row r="83" spans="1:28" x14ac:dyDescent="0.3">
      <c r="A83" s="174" t="s">
        <v>429</v>
      </c>
      <c r="B83" s="176" t="s">
        <v>432</v>
      </c>
      <c r="C83" s="176" t="s">
        <v>410</v>
      </c>
      <c r="D83" s="122" t="s">
        <v>413</v>
      </c>
      <c r="E83" s="176" t="s">
        <v>386</v>
      </c>
      <c r="F83" s="176" t="s">
        <v>373</v>
      </c>
      <c r="G83" s="183"/>
      <c r="H83" s="189"/>
      <c r="I83" s="181"/>
      <c r="J83" s="183"/>
      <c r="K83" s="189"/>
      <c r="L83" s="181"/>
      <c r="M83" s="183"/>
      <c r="N83" s="189"/>
      <c r="O83" s="181"/>
      <c r="P83" s="183"/>
      <c r="Q83" s="189"/>
      <c r="R83" s="181"/>
      <c r="S83" s="183"/>
      <c r="T83" s="189"/>
      <c r="U83" s="181"/>
      <c r="V83" s="198" t="s">
        <v>48</v>
      </c>
      <c r="W83" s="176">
        <v>2120</v>
      </c>
      <c r="X83" s="210"/>
      <c r="Y83" s="183"/>
      <c r="Z83" s="185"/>
      <c r="AA83" s="195"/>
      <c r="AB83" s="180"/>
    </row>
    <row r="84" spans="1:28" x14ac:dyDescent="0.3">
      <c r="A84" s="175"/>
      <c r="B84" s="177"/>
      <c r="C84" s="177"/>
      <c r="D84" s="123" t="s">
        <v>359</v>
      </c>
      <c r="E84" s="177"/>
      <c r="F84" s="177"/>
      <c r="G84" s="184"/>
      <c r="H84" s="190"/>
      <c r="I84" s="182"/>
      <c r="J84" s="184"/>
      <c r="K84" s="190"/>
      <c r="L84" s="182"/>
      <c r="M84" s="184"/>
      <c r="N84" s="190"/>
      <c r="O84" s="182"/>
      <c r="P84" s="184"/>
      <c r="Q84" s="190"/>
      <c r="R84" s="182"/>
      <c r="S84" s="184"/>
      <c r="T84" s="190"/>
      <c r="U84" s="182"/>
      <c r="V84" s="199"/>
      <c r="W84" s="177"/>
      <c r="X84" s="212"/>
      <c r="Y84" s="184"/>
      <c r="Z84" s="186"/>
      <c r="AA84" s="195"/>
      <c r="AB84" s="180"/>
    </row>
    <row r="85" spans="1:28" x14ac:dyDescent="0.3">
      <c r="A85" s="174" t="s">
        <v>429</v>
      </c>
      <c r="B85" s="176" t="s">
        <v>433</v>
      </c>
      <c r="C85" s="176" t="s">
        <v>410</v>
      </c>
      <c r="D85" s="122" t="s">
        <v>413</v>
      </c>
      <c r="E85" s="176" t="s">
        <v>386</v>
      </c>
      <c r="F85" s="176" t="s">
        <v>373</v>
      </c>
      <c r="G85" s="183"/>
      <c r="H85" s="189"/>
      <c r="I85" s="181"/>
      <c r="J85" s="183"/>
      <c r="K85" s="189"/>
      <c r="L85" s="181"/>
      <c r="M85" s="183"/>
      <c r="N85" s="189"/>
      <c r="O85" s="181"/>
      <c r="P85" s="183"/>
      <c r="Q85" s="189"/>
      <c r="R85" s="181"/>
      <c r="S85" s="183"/>
      <c r="T85" s="189"/>
      <c r="U85" s="181"/>
      <c r="V85" s="198" t="s">
        <v>48</v>
      </c>
      <c r="W85" s="176">
        <v>4140</v>
      </c>
      <c r="X85" s="210"/>
      <c r="Y85" s="183"/>
      <c r="Z85" s="185"/>
      <c r="AA85" s="195"/>
      <c r="AB85" s="180"/>
    </row>
    <row r="86" spans="1:28" ht="15" thickBot="1" x14ac:dyDescent="0.35">
      <c r="A86" s="175"/>
      <c r="B86" s="177"/>
      <c r="C86" s="177"/>
      <c r="D86" s="123" t="s">
        <v>359</v>
      </c>
      <c r="E86" s="177"/>
      <c r="F86" s="177"/>
      <c r="G86" s="231"/>
      <c r="H86" s="226"/>
      <c r="I86" s="235"/>
      <c r="J86" s="231"/>
      <c r="K86" s="226"/>
      <c r="L86" s="235"/>
      <c r="M86" s="231"/>
      <c r="N86" s="226"/>
      <c r="O86" s="235"/>
      <c r="P86" s="231"/>
      <c r="Q86" s="226"/>
      <c r="R86" s="235"/>
      <c r="S86" s="231"/>
      <c r="T86" s="226"/>
      <c r="U86" s="235"/>
      <c r="V86" s="236"/>
      <c r="W86" s="229"/>
      <c r="X86" s="230"/>
      <c r="Y86" s="231"/>
      <c r="Z86" s="232"/>
      <c r="AA86" s="233"/>
      <c r="AB86" s="234"/>
    </row>
    <row r="87" spans="1:28" x14ac:dyDescent="0.3">
      <c r="Y87" s="144" t="s">
        <v>526</v>
      </c>
      <c r="Z87" s="116"/>
      <c r="AA87" s="144" t="s">
        <v>527</v>
      </c>
    </row>
    <row r="88" spans="1:28" ht="45.6" customHeight="1" x14ac:dyDescent="0.3">
      <c r="A88" s="1" t="s">
        <v>434</v>
      </c>
      <c r="B88" s="227" t="s">
        <v>435</v>
      </c>
      <c r="C88" s="228"/>
      <c r="D88" s="228"/>
      <c r="E88" s="228"/>
      <c r="F88" s="228"/>
      <c r="G88" s="228"/>
      <c r="H88" s="228"/>
      <c r="I88" s="228"/>
      <c r="J88" s="228"/>
      <c r="K88" s="228"/>
      <c r="L88" s="228"/>
      <c r="M88" s="228"/>
      <c r="N88" s="228"/>
    </row>
    <row r="89" spans="1:28" x14ac:dyDescent="0.3">
      <c r="B89" s="1" t="s">
        <v>436</v>
      </c>
    </row>
  </sheetData>
  <mergeCells count="707">
    <mergeCell ref="B88:N88"/>
    <mergeCell ref="W85:W86"/>
    <mergeCell ref="X85:X86"/>
    <mergeCell ref="Y85:Y86"/>
    <mergeCell ref="Z85:Z86"/>
    <mergeCell ref="AA85:AA86"/>
    <mergeCell ref="AB85:AB86"/>
    <mergeCell ref="Q85:Q86"/>
    <mergeCell ref="R85:R86"/>
    <mergeCell ref="S85:S86"/>
    <mergeCell ref="T85:T86"/>
    <mergeCell ref="U85:U86"/>
    <mergeCell ref="V85:V86"/>
    <mergeCell ref="L85:L86"/>
    <mergeCell ref="M85:M86"/>
    <mergeCell ref="N85:N86"/>
    <mergeCell ref="O85:O86"/>
    <mergeCell ref="P85:P86"/>
    <mergeCell ref="F85:F86"/>
    <mergeCell ref="G85:G86"/>
    <mergeCell ref="H85:H86"/>
    <mergeCell ref="I85:I86"/>
    <mergeCell ref="J85:J86"/>
    <mergeCell ref="Y83:Y84"/>
    <mergeCell ref="Z83:Z84"/>
    <mergeCell ref="AA83:AA84"/>
    <mergeCell ref="AB83:AB84"/>
    <mergeCell ref="A85:A86"/>
    <mergeCell ref="B85:B86"/>
    <mergeCell ref="C85:C86"/>
    <mergeCell ref="E85:E86"/>
    <mergeCell ref="R83:R84"/>
    <mergeCell ref="S83:S84"/>
    <mergeCell ref="T83:T84"/>
    <mergeCell ref="U83:U84"/>
    <mergeCell ref="V83:V84"/>
    <mergeCell ref="W83:W84"/>
    <mergeCell ref="L83:L84"/>
    <mergeCell ref="M83:M84"/>
    <mergeCell ref="N83:N84"/>
    <mergeCell ref="O83:O84"/>
    <mergeCell ref="P83:P84"/>
    <mergeCell ref="Q83:Q84"/>
    <mergeCell ref="G83:G84"/>
    <mergeCell ref="H83:H84"/>
    <mergeCell ref="I83:I84"/>
    <mergeCell ref="K85:K86"/>
    <mergeCell ref="J83:J84"/>
    <mergeCell ref="K83:K84"/>
    <mergeCell ref="A83:A84"/>
    <mergeCell ref="B83:B84"/>
    <mergeCell ref="C83:C84"/>
    <mergeCell ref="E83:E84"/>
    <mergeCell ref="F83:F84"/>
    <mergeCell ref="W80:W82"/>
    <mergeCell ref="X80:X82"/>
    <mergeCell ref="K80:K82"/>
    <mergeCell ref="L80:L82"/>
    <mergeCell ref="M80:M82"/>
    <mergeCell ref="N80:N82"/>
    <mergeCell ref="O80:O82"/>
    <mergeCell ref="P80:P82"/>
    <mergeCell ref="F80:F82"/>
    <mergeCell ref="G80:G82"/>
    <mergeCell ref="H80:H82"/>
    <mergeCell ref="I80:I82"/>
    <mergeCell ref="J80:J82"/>
    <mergeCell ref="X83:X84"/>
    <mergeCell ref="Z80:Z82"/>
    <mergeCell ref="AA80:AA82"/>
    <mergeCell ref="AB80:AB82"/>
    <mergeCell ref="Q80:Q82"/>
    <mergeCell ref="R80:R82"/>
    <mergeCell ref="S80:S82"/>
    <mergeCell ref="T80:T82"/>
    <mergeCell ref="U80:U82"/>
    <mergeCell ref="V80:V82"/>
    <mergeCell ref="Y77:Y79"/>
    <mergeCell ref="Z77:Z79"/>
    <mergeCell ref="AA77:AA79"/>
    <mergeCell ref="AB77:AB79"/>
    <mergeCell ref="A80:A82"/>
    <mergeCell ref="B80:B82"/>
    <mergeCell ref="C80:C82"/>
    <mergeCell ref="E80:E82"/>
    <mergeCell ref="R77:R79"/>
    <mergeCell ref="S77:S79"/>
    <mergeCell ref="T77:T79"/>
    <mergeCell ref="U77:U79"/>
    <mergeCell ref="V77:V79"/>
    <mergeCell ref="W77:W79"/>
    <mergeCell ref="L77:L79"/>
    <mergeCell ref="M77:M79"/>
    <mergeCell ref="N77:N79"/>
    <mergeCell ref="O77:O79"/>
    <mergeCell ref="P77:P79"/>
    <mergeCell ref="Q77:Q79"/>
    <mergeCell ref="G77:G79"/>
    <mergeCell ref="H77:H79"/>
    <mergeCell ref="I77:I79"/>
    <mergeCell ref="Y80:Y82"/>
    <mergeCell ref="J77:J79"/>
    <mergeCell ref="K77:K79"/>
    <mergeCell ref="A77:A79"/>
    <mergeCell ref="B77:B79"/>
    <mergeCell ref="C77:C79"/>
    <mergeCell ref="E77:E79"/>
    <mergeCell ref="F77:F79"/>
    <mergeCell ref="W74:W76"/>
    <mergeCell ref="X74:X76"/>
    <mergeCell ref="K74:K76"/>
    <mergeCell ref="L74:L76"/>
    <mergeCell ref="M74:M76"/>
    <mergeCell ref="N74:N76"/>
    <mergeCell ref="O74:O76"/>
    <mergeCell ref="P74:P76"/>
    <mergeCell ref="F74:F76"/>
    <mergeCell ref="G74:G76"/>
    <mergeCell ref="H74:H76"/>
    <mergeCell ref="I74:I76"/>
    <mergeCell ref="J74:J76"/>
    <mergeCell ref="X77:X79"/>
    <mergeCell ref="Z74:Z76"/>
    <mergeCell ref="AA74:AA76"/>
    <mergeCell ref="AB74:AB76"/>
    <mergeCell ref="Q74:Q76"/>
    <mergeCell ref="R74:R76"/>
    <mergeCell ref="S74:S76"/>
    <mergeCell ref="T74:T76"/>
    <mergeCell ref="U74:U76"/>
    <mergeCell ref="V74:V76"/>
    <mergeCell ref="Y71:Y73"/>
    <mergeCell ref="Z71:Z73"/>
    <mergeCell ref="AA71:AA73"/>
    <mergeCell ref="AB71:AB73"/>
    <mergeCell ref="A74:A76"/>
    <mergeCell ref="B74:B76"/>
    <mergeCell ref="C74:C76"/>
    <mergeCell ref="E74:E76"/>
    <mergeCell ref="R71:R73"/>
    <mergeCell ref="S71:S73"/>
    <mergeCell ref="T71:T73"/>
    <mergeCell ref="U71:U73"/>
    <mergeCell ref="V71:V73"/>
    <mergeCell ref="W71:W73"/>
    <mergeCell ref="L71:L73"/>
    <mergeCell ref="M71:M73"/>
    <mergeCell ref="N71:N73"/>
    <mergeCell ref="O71:O73"/>
    <mergeCell ref="P71:P73"/>
    <mergeCell ref="Q71:Q73"/>
    <mergeCell ref="G71:G73"/>
    <mergeCell ref="H71:H73"/>
    <mergeCell ref="I71:I73"/>
    <mergeCell ref="Y74:Y76"/>
    <mergeCell ref="J71:J73"/>
    <mergeCell ref="K71:K73"/>
    <mergeCell ref="A71:A73"/>
    <mergeCell ref="B71:B73"/>
    <mergeCell ref="C71:C73"/>
    <mergeCell ref="E71:E73"/>
    <mergeCell ref="F71:F73"/>
    <mergeCell ref="W68:W69"/>
    <mergeCell ref="X68:X69"/>
    <mergeCell ref="K68:K69"/>
    <mergeCell ref="L68:L69"/>
    <mergeCell ref="M68:M69"/>
    <mergeCell ref="N68:N69"/>
    <mergeCell ref="O68:O69"/>
    <mergeCell ref="P68:P69"/>
    <mergeCell ref="F68:F69"/>
    <mergeCell ref="G68:G69"/>
    <mergeCell ref="H68:H69"/>
    <mergeCell ref="I68:I69"/>
    <mergeCell ref="J68:J69"/>
    <mergeCell ref="X71:X73"/>
    <mergeCell ref="Z68:Z69"/>
    <mergeCell ref="AA68:AA69"/>
    <mergeCell ref="AB68:AB69"/>
    <mergeCell ref="Q68:Q69"/>
    <mergeCell ref="R68:R69"/>
    <mergeCell ref="S68:S69"/>
    <mergeCell ref="T68:T69"/>
    <mergeCell ref="U68:U69"/>
    <mergeCell ref="V68:V69"/>
    <mergeCell ref="Y66:Y67"/>
    <mergeCell ref="Z66:Z67"/>
    <mergeCell ref="AA66:AA67"/>
    <mergeCell ref="AB66:AB67"/>
    <mergeCell ref="A68:A69"/>
    <mergeCell ref="B68:B69"/>
    <mergeCell ref="C68:C69"/>
    <mergeCell ref="E68:E69"/>
    <mergeCell ref="R66:R67"/>
    <mergeCell ref="S66:S67"/>
    <mergeCell ref="T66:T67"/>
    <mergeCell ref="U66:U67"/>
    <mergeCell ref="V66:V67"/>
    <mergeCell ref="W66:W67"/>
    <mergeCell ref="L66:L67"/>
    <mergeCell ref="M66:M67"/>
    <mergeCell ref="N66:N67"/>
    <mergeCell ref="O66:O67"/>
    <mergeCell ref="P66:P67"/>
    <mergeCell ref="Q66:Q67"/>
    <mergeCell ref="G66:G67"/>
    <mergeCell ref="H66:H67"/>
    <mergeCell ref="I66:I67"/>
    <mergeCell ref="Y68:Y69"/>
    <mergeCell ref="J66:J67"/>
    <mergeCell ref="K66:K67"/>
    <mergeCell ref="A66:A67"/>
    <mergeCell ref="B66:B67"/>
    <mergeCell ref="C66:C67"/>
    <mergeCell ref="E66:E67"/>
    <mergeCell ref="F66:F67"/>
    <mergeCell ref="W64:W65"/>
    <mergeCell ref="X64:X65"/>
    <mergeCell ref="K64:K65"/>
    <mergeCell ref="L64:L65"/>
    <mergeCell ref="M64:M65"/>
    <mergeCell ref="N64:N65"/>
    <mergeCell ref="O64:O65"/>
    <mergeCell ref="P64:P65"/>
    <mergeCell ref="F64:F65"/>
    <mergeCell ref="G64:G65"/>
    <mergeCell ref="H64:H65"/>
    <mergeCell ref="I64:I65"/>
    <mergeCell ref="J64:J65"/>
    <mergeCell ref="X66:X67"/>
    <mergeCell ref="Z64:Z65"/>
    <mergeCell ref="AA64:AA65"/>
    <mergeCell ref="AB64:AB65"/>
    <mergeCell ref="Q64:Q65"/>
    <mergeCell ref="R64:R65"/>
    <mergeCell ref="S64:S65"/>
    <mergeCell ref="T64:T65"/>
    <mergeCell ref="U64:U65"/>
    <mergeCell ref="V64:V65"/>
    <mergeCell ref="Y61:Y62"/>
    <mergeCell ref="Z61:Z62"/>
    <mergeCell ref="AA61:AA62"/>
    <mergeCell ref="AB61:AB62"/>
    <mergeCell ref="A64:A65"/>
    <mergeCell ref="B64:B65"/>
    <mergeCell ref="C64:C65"/>
    <mergeCell ref="E64:E65"/>
    <mergeCell ref="R61:R62"/>
    <mergeCell ref="S61:S62"/>
    <mergeCell ref="T61:T62"/>
    <mergeCell ref="U61:U62"/>
    <mergeCell ref="V61:V62"/>
    <mergeCell ref="W61:W62"/>
    <mergeCell ref="L61:L62"/>
    <mergeCell ref="M61:M62"/>
    <mergeCell ref="N61:N62"/>
    <mergeCell ref="O61:O62"/>
    <mergeCell ref="P61:P62"/>
    <mergeCell ref="Q61:Q62"/>
    <mergeCell ref="G61:G62"/>
    <mergeCell ref="H61:H62"/>
    <mergeCell ref="I61:I62"/>
    <mergeCell ref="Y64:Y65"/>
    <mergeCell ref="J61:J62"/>
    <mergeCell ref="K61:K62"/>
    <mergeCell ref="A61:A62"/>
    <mergeCell ref="B61:B62"/>
    <mergeCell ref="C61:C62"/>
    <mergeCell ref="E61:E62"/>
    <mergeCell ref="F61:F62"/>
    <mergeCell ref="W56:W60"/>
    <mergeCell ref="X56:X60"/>
    <mergeCell ref="K56:K60"/>
    <mergeCell ref="L56:L60"/>
    <mergeCell ref="M56:M60"/>
    <mergeCell ref="N56:N60"/>
    <mergeCell ref="O56:O60"/>
    <mergeCell ref="P56:P60"/>
    <mergeCell ref="F56:F60"/>
    <mergeCell ref="G56:G60"/>
    <mergeCell ref="H56:H60"/>
    <mergeCell ref="I56:I60"/>
    <mergeCell ref="J56:J60"/>
    <mergeCell ref="X61:X62"/>
    <mergeCell ref="Y56:Y60"/>
    <mergeCell ref="Z56:Z60"/>
    <mergeCell ref="AA56:AA60"/>
    <mergeCell ref="AB56:AB60"/>
    <mergeCell ref="Q56:Q60"/>
    <mergeCell ref="R56:R60"/>
    <mergeCell ref="S56:S60"/>
    <mergeCell ref="T56:T60"/>
    <mergeCell ref="U56:U60"/>
    <mergeCell ref="V56:V60"/>
    <mergeCell ref="X49:X53"/>
    <mergeCell ref="Y49:Y53"/>
    <mergeCell ref="Z49:Z53"/>
    <mergeCell ref="AA49:AA53"/>
    <mergeCell ref="AB49:AB53"/>
    <mergeCell ref="A56:A60"/>
    <mergeCell ref="B56:B60"/>
    <mergeCell ref="C56:C60"/>
    <mergeCell ref="E56:E60"/>
    <mergeCell ref="R49:R53"/>
    <mergeCell ref="S49:S53"/>
    <mergeCell ref="T49:T53"/>
    <mergeCell ref="U49:U53"/>
    <mergeCell ref="V49:V53"/>
    <mergeCell ref="W49:W53"/>
    <mergeCell ref="L49:L53"/>
    <mergeCell ref="M49:M53"/>
    <mergeCell ref="N49:N53"/>
    <mergeCell ref="O49:O53"/>
    <mergeCell ref="P49:P53"/>
    <mergeCell ref="Q49:Q53"/>
    <mergeCell ref="G49:G53"/>
    <mergeCell ref="H49:H53"/>
    <mergeCell ref="I49:I53"/>
    <mergeCell ref="J49:J53"/>
    <mergeCell ref="K49:K53"/>
    <mergeCell ref="X44:X46"/>
    <mergeCell ref="Y44:Y46"/>
    <mergeCell ref="Z44:Z46"/>
    <mergeCell ref="AA44:AA46"/>
    <mergeCell ref="AB44:AB46"/>
    <mergeCell ref="A49:A53"/>
    <mergeCell ref="C49:C53"/>
    <mergeCell ref="E49:E53"/>
    <mergeCell ref="F49:F53"/>
    <mergeCell ref="R44:R46"/>
    <mergeCell ref="S44:S46"/>
    <mergeCell ref="T44:T46"/>
    <mergeCell ref="U44:U46"/>
    <mergeCell ref="V44:V46"/>
    <mergeCell ref="W44:W46"/>
    <mergeCell ref="L44:L46"/>
    <mergeCell ref="M44:M46"/>
    <mergeCell ref="N44:N46"/>
    <mergeCell ref="O44:O46"/>
    <mergeCell ref="P44:P46"/>
    <mergeCell ref="Q44:Q46"/>
    <mergeCell ref="G44:G46"/>
    <mergeCell ref="H44:H46"/>
    <mergeCell ref="I44:I46"/>
    <mergeCell ref="J44:J46"/>
    <mergeCell ref="K44:K46"/>
    <mergeCell ref="Y40:Y43"/>
    <mergeCell ref="Z40:Z43"/>
    <mergeCell ref="AA40:AA43"/>
    <mergeCell ref="AB40:AB43"/>
    <mergeCell ref="A44:A46"/>
    <mergeCell ref="C44:C46"/>
    <mergeCell ref="D44:D46"/>
    <mergeCell ref="E44:E46"/>
    <mergeCell ref="F44:F46"/>
    <mergeCell ref="S40:S43"/>
    <mergeCell ref="T40:T43"/>
    <mergeCell ref="U40:U43"/>
    <mergeCell ref="V40:V43"/>
    <mergeCell ref="W40:W43"/>
    <mergeCell ref="X40:X43"/>
    <mergeCell ref="M40:M43"/>
    <mergeCell ref="N40:N43"/>
    <mergeCell ref="O40:O43"/>
    <mergeCell ref="P40:P43"/>
    <mergeCell ref="Q40:Q43"/>
    <mergeCell ref="R40:R43"/>
    <mergeCell ref="G40:G43"/>
    <mergeCell ref="H40:H43"/>
    <mergeCell ref="I40:I43"/>
    <mergeCell ref="J40:J43"/>
    <mergeCell ref="K40:K43"/>
    <mergeCell ref="L40:L43"/>
    <mergeCell ref="A40:A43"/>
    <mergeCell ref="C40:C43"/>
    <mergeCell ref="E40:E43"/>
    <mergeCell ref="F40:F43"/>
    <mergeCell ref="W38:W39"/>
    <mergeCell ref="X38:X39"/>
    <mergeCell ref="Y38:Y39"/>
    <mergeCell ref="Z38:Z39"/>
    <mergeCell ref="AA38:AA39"/>
    <mergeCell ref="AB38:AB39"/>
    <mergeCell ref="Q38:Q39"/>
    <mergeCell ref="R38:R39"/>
    <mergeCell ref="S38:S39"/>
    <mergeCell ref="T38:T39"/>
    <mergeCell ref="U38:U39"/>
    <mergeCell ref="V38:V39"/>
    <mergeCell ref="L38:L39"/>
    <mergeCell ref="M38:M39"/>
    <mergeCell ref="N38:N39"/>
    <mergeCell ref="O38:O39"/>
    <mergeCell ref="P38:P39"/>
    <mergeCell ref="F38:F39"/>
    <mergeCell ref="G38:G39"/>
    <mergeCell ref="H38:H39"/>
    <mergeCell ref="I38:I39"/>
    <mergeCell ref="J38:J39"/>
    <mergeCell ref="Y36:Y37"/>
    <mergeCell ref="Z36:Z37"/>
    <mergeCell ref="AA36:AA37"/>
    <mergeCell ref="AB36:AB37"/>
    <mergeCell ref="A38:A39"/>
    <mergeCell ref="B38:B39"/>
    <mergeCell ref="C38:C39"/>
    <mergeCell ref="E38:E39"/>
    <mergeCell ref="R36:R37"/>
    <mergeCell ref="S36:S37"/>
    <mergeCell ref="T36:T37"/>
    <mergeCell ref="U36:U37"/>
    <mergeCell ref="V36:V37"/>
    <mergeCell ref="W36:W37"/>
    <mergeCell ref="L36:L37"/>
    <mergeCell ref="M36:M37"/>
    <mergeCell ref="N36:N37"/>
    <mergeCell ref="O36:O37"/>
    <mergeCell ref="P36:P37"/>
    <mergeCell ref="Q36:Q37"/>
    <mergeCell ref="G36:G37"/>
    <mergeCell ref="H36:H37"/>
    <mergeCell ref="I36:I37"/>
    <mergeCell ref="K38:K39"/>
    <mergeCell ref="J36:J37"/>
    <mergeCell ref="K36:K37"/>
    <mergeCell ref="A36:A37"/>
    <mergeCell ref="B36:B37"/>
    <mergeCell ref="C36:C37"/>
    <mergeCell ref="E36:E37"/>
    <mergeCell ref="F36:F37"/>
    <mergeCell ref="W34:W35"/>
    <mergeCell ref="X34:X35"/>
    <mergeCell ref="K34:K35"/>
    <mergeCell ref="L34:L35"/>
    <mergeCell ref="M34:M35"/>
    <mergeCell ref="N34:N35"/>
    <mergeCell ref="O34:O35"/>
    <mergeCell ref="P34:P35"/>
    <mergeCell ref="F34:F35"/>
    <mergeCell ref="G34:G35"/>
    <mergeCell ref="H34:H35"/>
    <mergeCell ref="I34:I35"/>
    <mergeCell ref="J34:J35"/>
    <mergeCell ref="X36:X37"/>
    <mergeCell ref="Z34:Z35"/>
    <mergeCell ref="AA34:AA35"/>
    <mergeCell ref="AB34:AB35"/>
    <mergeCell ref="Q34:Q35"/>
    <mergeCell ref="R34:R35"/>
    <mergeCell ref="S34:S35"/>
    <mergeCell ref="T34:T35"/>
    <mergeCell ref="U34:U35"/>
    <mergeCell ref="V34:V35"/>
    <mergeCell ref="Y29:Y32"/>
    <mergeCell ref="Z29:Z32"/>
    <mergeCell ref="AA29:AA32"/>
    <mergeCell ref="AB29:AB32"/>
    <mergeCell ref="A34:A35"/>
    <mergeCell ref="B34:B35"/>
    <mergeCell ref="C34:C35"/>
    <mergeCell ref="E34:E35"/>
    <mergeCell ref="R29:R32"/>
    <mergeCell ref="S29:S32"/>
    <mergeCell ref="T29:T32"/>
    <mergeCell ref="U29:U32"/>
    <mergeCell ref="V29:V32"/>
    <mergeCell ref="W29:W32"/>
    <mergeCell ref="L29:L32"/>
    <mergeCell ref="M29:M32"/>
    <mergeCell ref="N29:N32"/>
    <mergeCell ref="O29:O32"/>
    <mergeCell ref="P29:P32"/>
    <mergeCell ref="Q29:Q32"/>
    <mergeCell ref="G29:G32"/>
    <mergeCell ref="H29:H32"/>
    <mergeCell ref="I29:I32"/>
    <mergeCell ref="Y34:Y35"/>
    <mergeCell ref="J29:J32"/>
    <mergeCell ref="K29:K32"/>
    <mergeCell ref="A29:A32"/>
    <mergeCell ref="B29:B32"/>
    <mergeCell ref="C29:C32"/>
    <mergeCell ref="E29:E32"/>
    <mergeCell ref="F29:F32"/>
    <mergeCell ref="W24:W27"/>
    <mergeCell ref="X24:X27"/>
    <mergeCell ref="K24:K27"/>
    <mergeCell ref="L24:L27"/>
    <mergeCell ref="M24:M27"/>
    <mergeCell ref="N24:N27"/>
    <mergeCell ref="O24:O27"/>
    <mergeCell ref="P24:P27"/>
    <mergeCell ref="F24:F27"/>
    <mergeCell ref="G24:G27"/>
    <mergeCell ref="H24:H27"/>
    <mergeCell ref="I24:I27"/>
    <mergeCell ref="J24:J27"/>
    <mergeCell ref="X29:X32"/>
    <mergeCell ref="A24:A27"/>
    <mergeCell ref="B24:B27"/>
    <mergeCell ref="C24:C27"/>
    <mergeCell ref="Y24:Y27"/>
    <mergeCell ref="Z24:Z27"/>
    <mergeCell ref="AA24:AA27"/>
    <mergeCell ref="AB24:AB27"/>
    <mergeCell ref="Q24:Q27"/>
    <mergeCell ref="R24:R27"/>
    <mergeCell ref="S24:S27"/>
    <mergeCell ref="T24:T27"/>
    <mergeCell ref="U24:U27"/>
    <mergeCell ref="V24:V27"/>
    <mergeCell ref="E24:E27"/>
    <mergeCell ref="R21:R23"/>
    <mergeCell ref="S21:S23"/>
    <mergeCell ref="T21:T23"/>
    <mergeCell ref="U21:U23"/>
    <mergeCell ref="V21:V23"/>
    <mergeCell ref="L21:L23"/>
    <mergeCell ref="M21:M23"/>
    <mergeCell ref="N21:N23"/>
    <mergeCell ref="O21:O23"/>
    <mergeCell ref="P21:P23"/>
    <mergeCell ref="Q21:Q23"/>
    <mergeCell ref="G21:G23"/>
    <mergeCell ref="H21:H23"/>
    <mergeCell ref="I21:I23"/>
    <mergeCell ref="A21:A23"/>
    <mergeCell ref="B21:B23"/>
    <mergeCell ref="C21:C23"/>
    <mergeCell ref="E21:E23"/>
    <mergeCell ref="F21:F23"/>
    <mergeCell ref="S17:S20"/>
    <mergeCell ref="T17:T20"/>
    <mergeCell ref="U17:U20"/>
    <mergeCell ref="V17:V20"/>
    <mergeCell ref="M17:M20"/>
    <mergeCell ref="N17:N20"/>
    <mergeCell ref="O17:O20"/>
    <mergeCell ref="P17:P20"/>
    <mergeCell ref="Q17:Q20"/>
    <mergeCell ref="R17:R20"/>
    <mergeCell ref="G17:G20"/>
    <mergeCell ref="K17:K20"/>
    <mergeCell ref="L17:L20"/>
    <mergeCell ref="A17:A20"/>
    <mergeCell ref="C17:C20"/>
    <mergeCell ref="E17:E20"/>
    <mergeCell ref="F17:F20"/>
    <mergeCell ref="H17:H20"/>
    <mergeCell ref="I17:I20"/>
    <mergeCell ref="Y14:Y16"/>
    <mergeCell ref="Z14:Z16"/>
    <mergeCell ref="AA14:AA16"/>
    <mergeCell ref="AB14:AB16"/>
    <mergeCell ref="X14:X16"/>
    <mergeCell ref="J21:J23"/>
    <mergeCell ref="K21:K23"/>
    <mergeCell ref="Y17:Y20"/>
    <mergeCell ref="Z17:Z20"/>
    <mergeCell ref="AA17:AA20"/>
    <mergeCell ref="AB17:AB20"/>
    <mergeCell ref="W17:W20"/>
    <mergeCell ref="X17:X20"/>
    <mergeCell ref="X21:X23"/>
    <mergeCell ref="Y21:Y23"/>
    <mergeCell ref="Z21:Z23"/>
    <mergeCell ref="AA21:AA23"/>
    <mergeCell ref="AB21:AB23"/>
    <mergeCell ref="W21:W23"/>
    <mergeCell ref="S14:S16"/>
    <mergeCell ref="T14:T16"/>
    <mergeCell ref="U14:U16"/>
    <mergeCell ref="V14:V16"/>
    <mergeCell ref="W14:W16"/>
    <mergeCell ref="M14:M16"/>
    <mergeCell ref="N14:N16"/>
    <mergeCell ref="O14:O16"/>
    <mergeCell ref="P14:P16"/>
    <mergeCell ref="Q14:Q16"/>
    <mergeCell ref="R14:R16"/>
    <mergeCell ref="G14:G16"/>
    <mergeCell ref="H14:H16"/>
    <mergeCell ref="I14:I16"/>
    <mergeCell ref="J14:J16"/>
    <mergeCell ref="K14:K16"/>
    <mergeCell ref="L14:L16"/>
    <mergeCell ref="J17:J20"/>
    <mergeCell ref="X11:X13"/>
    <mergeCell ref="Y11:Y13"/>
    <mergeCell ref="Z11:Z13"/>
    <mergeCell ref="AA11:AA13"/>
    <mergeCell ref="AB11:AB13"/>
    <mergeCell ref="A14:A16"/>
    <mergeCell ref="C14:C16"/>
    <mergeCell ref="E14:E16"/>
    <mergeCell ref="F14:F16"/>
    <mergeCell ref="R11:R13"/>
    <mergeCell ref="S11:S13"/>
    <mergeCell ref="T11:T13"/>
    <mergeCell ref="U11:U13"/>
    <mergeCell ref="V11:V13"/>
    <mergeCell ref="W11:W13"/>
    <mergeCell ref="L11:L13"/>
    <mergeCell ref="M11:M13"/>
    <mergeCell ref="N11:N13"/>
    <mergeCell ref="O11:O13"/>
    <mergeCell ref="P11:P13"/>
    <mergeCell ref="Q11:Q13"/>
    <mergeCell ref="G11:G13"/>
    <mergeCell ref="H11:H13"/>
    <mergeCell ref="A11:A13"/>
    <mergeCell ref="C11:C13"/>
    <mergeCell ref="D11:D13"/>
    <mergeCell ref="E11:E13"/>
    <mergeCell ref="F11:F13"/>
    <mergeCell ref="S8:S10"/>
    <mergeCell ref="T8:T10"/>
    <mergeCell ref="U8:U10"/>
    <mergeCell ref="V8:V10"/>
    <mergeCell ref="M8:M10"/>
    <mergeCell ref="N8:N10"/>
    <mergeCell ref="O8:O10"/>
    <mergeCell ref="P8:P10"/>
    <mergeCell ref="Q8:Q10"/>
    <mergeCell ref="R8:R10"/>
    <mergeCell ref="A8:A10"/>
    <mergeCell ref="B8:B10"/>
    <mergeCell ref="C8:C10"/>
    <mergeCell ref="E8:E10"/>
    <mergeCell ref="F8:F10"/>
    <mergeCell ref="G8:G10"/>
    <mergeCell ref="H8:H10"/>
    <mergeCell ref="I8:I10"/>
    <mergeCell ref="J8:J10"/>
    <mergeCell ref="AB6:AB7"/>
    <mergeCell ref="X6:X7"/>
    <mergeCell ref="Y6:Y7"/>
    <mergeCell ref="I11:I13"/>
    <mergeCell ref="J11:J13"/>
    <mergeCell ref="K11:K13"/>
    <mergeCell ref="Y8:Y10"/>
    <mergeCell ref="Z8:Z10"/>
    <mergeCell ref="AA8:AA10"/>
    <mergeCell ref="AB8:AB10"/>
    <mergeCell ref="W8:W10"/>
    <mergeCell ref="X8:X10"/>
    <mergeCell ref="T6:T7"/>
    <mergeCell ref="U6:U7"/>
    <mergeCell ref="V6:V7"/>
    <mergeCell ref="W6:W7"/>
    <mergeCell ref="N6:N7"/>
    <mergeCell ref="O6:O7"/>
    <mergeCell ref="P6:P7"/>
    <mergeCell ref="Q6:Q7"/>
    <mergeCell ref="R6:R7"/>
    <mergeCell ref="J6:J7"/>
    <mergeCell ref="K6:K7"/>
    <mergeCell ref="L6:L7"/>
    <mergeCell ref="K8:K10"/>
    <mergeCell ref="L8:L10"/>
    <mergeCell ref="AA4:AA5"/>
    <mergeCell ref="N4:N5"/>
    <mergeCell ref="S6:S7"/>
    <mergeCell ref="H6:H7"/>
    <mergeCell ref="I6:I7"/>
    <mergeCell ref="Z6:Z7"/>
    <mergeCell ref="AA6:AA7"/>
    <mergeCell ref="A6:A7"/>
    <mergeCell ref="B6:B7"/>
    <mergeCell ref="C6:C7"/>
    <mergeCell ref="E6:E7"/>
    <mergeCell ref="F6:F7"/>
    <mergeCell ref="G6:G7"/>
    <mergeCell ref="U4:U5"/>
    <mergeCell ref="V4:V5"/>
    <mergeCell ref="W4:W5"/>
    <mergeCell ref="O4:O5"/>
    <mergeCell ref="P4:P5"/>
    <mergeCell ref="Q4:Q5"/>
    <mergeCell ref="R4:R5"/>
    <mergeCell ref="S4:S5"/>
    <mergeCell ref="T4:T5"/>
    <mergeCell ref="I4:I5"/>
    <mergeCell ref="J4:J5"/>
    <mergeCell ref="K4:K5"/>
    <mergeCell ref="L4:L5"/>
    <mergeCell ref="M4:M5"/>
    <mergeCell ref="M6:M7"/>
    <mergeCell ref="AA2:AB2"/>
    <mergeCell ref="Y2:Z2"/>
    <mergeCell ref="A4:A5"/>
    <mergeCell ref="B4:B5"/>
    <mergeCell ref="C4:C5"/>
    <mergeCell ref="E4:E5"/>
    <mergeCell ref="F4:F5"/>
    <mergeCell ref="G4:G5"/>
    <mergeCell ref="H4:H5"/>
    <mergeCell ref="G2:I2"/>
    <mergeCell ref="J2:L2"/>
    <mergeCell ref="M2:O2"/>
    <mergeCell ref="P2:R2"/>
    <mergeCell ref="S2:U2"/>
    <mergeCell ref="V2:X2"/>
    <mergeCell ref="AB4:AB5"/>
    <mergeCell ref="X4:X5"/>
    <mergeCell ref="Y4:Y5"/>
    <mergeCell ref="Z4:Z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
  <sheetViews>
    <sheetView workbookViewId="0">
      <selection activeCell="I15" sqref="I15"/>
    </sheetView>
  </sheetViews>
  <sheetFormatPr defaultRowHeight="14.4" x14ac:dyDescent="0.3"/>
  <cols>
    <col min="1" max="1" width="22.77734375" bestFit="1" customWidth="1"/>
    <col min="2" max="2" width="52.44140625" customWidth="1"/>
    <col min="3" max="3" width="14.5546875" customWidth="1"/>
    <col min="4" max="6" width="16.21875" customWidth="1"/>
    <col min="7" max="7" width="13.77734375" customWidth="1"/>
    <col min="8" max="8" width="12.5546875" customWidth="1"/>
  </cols>
  <sheetData>
    <row r="1" spans="1:8" s="14" customFormat="1" ht="57.6" x14ac:dyDescent="0.3">
      <c r="A1" s="16" t="s">
        <v>437</v>
      </c>
      <c r="B1" s="16" t="s">
        <v>438</v>
      </c>
      <c r="C1" s="17" t="s">
        <v>439</v>
      </c>
      <c r="D1" s="18" t="s">
        <v>440</v>
      </c>
      <c r="E1" s="18" t="s">
        <v>441</v>
      </c>
      <c r="F1" s="45" t="s">
        <v>442</v>
      </c>
      <c r="G1" s="19" t="s">
        <v>443</v>
      </c>
      <c r="H1" s="16" t="s">
        <v>444</v>
      </c>
    </row>
    <row r="2" spans="1:8" x14ac:dyDescent="0.3">
      <c r="A2" s="15" t="s">
        <v>18</v>
      </c>
      <c r="B2" s="15" t="s">
        <v>445</v>
      </c>
      <c r="C2" s="21">
        <f>SUM('Burden Table'!G5,'Burden Table'!G10)</f>
        <v>54</v>
      </c>
      <c r="D2" s="21">
        <f>SUM('Burden Table'!L5,'Burden Table'!L10)</f>
        <v>0</v>
      </c>
      <c r="E2" s="21">
        <f>SUM(C2:D2)</f>
        <v>54</v>
      </c>
      <c r="F2" s="46" t="s">
        <v>48</v>
      </c>
      <c r="G2" s="22">
        <f>SUM('Burden Table'!I5,'Burden Table'!I10)</f>
        <v>54</v>
      </c>
      <c r="H2" s="23" t="s">
        <v>48</v>
      </c>
    </row>
    <row r="3" spans="1:8" x14ac:dyDescent="0.3">
      <c r="A3" s="15" t="s">
        <v>18</v>
      </c>
      <c r="B3" s="15" t="s">
        <v>446</v>
      </c>
      <c r="C3" s="21">
        <f>SUM('Burden Table'!G15,'Burden Table'!G18)</f>
        <v>48</v>
      </c>
      <c r="D3" s="21">
        <f>SUM('Burden Table'!L15,'Burden Table'!L18)</f>
        <v>2</v>
      </c>
      <c r="E3" s="21">
        <f t="shared" ref="E3:E14" si="0">SUM(C3:D3)</f>
        <v>50</v>
      </c>
      <c r="F3" s="46">
        <f>SUM('Burden Table'!G15,'Burden Table'!G18)</f>
        <v>48</v>
      </c>
      <c r="G3" s="22">
        <f>SUM('Burden Table'!I15,'Burden Table'!I18)</f>
        <v>48</v>
      </c>
      <c r="H3" s="23" t="s">
        <v>48</v>
      </c>
    </row>
    <row r="4" spans="1:8" x14ac:dyDescent="0.3">
      <c r="A4" s="15" t="s">
        <v>18</v>
      </c>
      <c r="B4" s="15" t="s">
        <v>447</v>
      </c>
      <c r="C4" s="21">
        <f>SUM('Burden Table'!G21)</f>
        <v>49</v>
      </c>
      <c r="D4" s="21">
        <f>SUM('Burden Table'!L20,'Burden Table'!L21)</f>
        <v>0</v>
      </c>
      <c r="E4" s="21">
        <f t="shared" si="0"/>
        <v>49</v>
      </c>
      <c r="F4" s="46">
        <f>'Burden Table'!G21</f>
        <v>49</v>
      </c>
      <c r="G4" s="22">
        <f>SUM('Burden Table'!I21)</f>
        <v>196</v>
      </c>
      <c r="H4" s="23" t="s">
        <v>48</v>
      </c>
    </row>
    <row r="5" spans="1:8" x14ac:dyDescent="0.3">
      <c r="A5" s="15" t="s">
        <v>18</v>
      </c>
      <c r="B5" s="15" t="s">
        <v>448</v>
      </c>
      <c r="C5" s="21">
        <f>SUM('Burden Table'!G25,'Burden Table'!G29, 'Burden Table'!G33)</f>
        <v>607</v>
      </c>
      <c r="D5" s="21">
        <f>SUM('Burden Table'!L25, 'Burden Table'!L29, 'Burden Table'!L33)</f>
        <v>248</v>
      </c>
      <c r="E5" s="21">
        <f t="shared" si="0"/>
        <v>855</v>
      </c>
      <c r="F5" s="46" t="s">
        <v>48</v>
      </c>
      <c r="G5" s="22" t="s">
        <v>48</v>
      </c>
      <c r="H5" s="23">
        <f>ROUNDDOWN(0.97*SUM(C5:D5),0)</f>
        <v>829</v>
      </c>
    </row>
    <row r="6" spans="1:8" x14ac:dyDescent="0.3">
      <c r="A6" s="15" t="s">
        <v>18</v>
      </c>
      <c r="B6" s="15" t="s">
        <v>449</v>
      </c>
      <c r="C6" s="21">
        <f>SUM('Burden Table'!G34,'Burden Table'!G36,'Burden Table'!G51,'Burden Table'!G65,'Burden Table'!G73,'Burden Table'!G87)</f>
        <v>1152</v>
      </c>
      <c r="D6" s="21">
        <f>SUM('Burden Table'!L34,'Burden Table'!L36,'Burden Table'!L51,'Burden Table'!L65,'Burden Table'!L73,'Burden Table'!L87)</f>
        <v>452</v>
      </c>
      <c r="E6" s="21">
        <f t="shared" si="0"/>
        <v>1604</v>
      </c>
      <c r="F6" s="46">
        <f>SUM('Burden Table'!G68:G70,'Burden Table'!G82,'Burden Table'!G95)</f>
        <v>844</v>
      </c>
      <c r="G6" s="22">
        <f>SUM('Burden Table'!I43:I44,'Burden Table'!I49,'Burden Table'!I60,'Burden Table'!I63,'Burden Table'!I68:I70,'Burden Table'!I82,'Burden Table'!I85,'Burden Table'!I95,'Burden Table'!I98)</f>
        <v>2603</v>
      </c>
      <c r="H6" s="23">
        <f>ROUNDDOWN(0.97*SUM(C6:D6),0)</f>
        <v>1555</v>
      </c>
    </row>
    <row r="7" spans="1:8" x14ac:dyDescent="0.3">
      <c r="A7" s="15" t="s">
        <v>18</v>
      </c>
      <c r="B7" s="15" t="s">
        <v>450</v>
      </c>
      <c r="C7" s="21">
        <f>SUM('Burden Table'!G102,'Burden Table'!G105,'Burden Table'!G108)</f>
        <v>328</v>
      </c>
      <c r="D7" s="21">
        <f>SUM('Burden Table'!L102,'Burden Table'!L105,'Burden Table'!L108)</f>
        <v>19</v>
      </c>
      <c r="E7" s="21">
        <f t="shared" si="0"/>
        <v>347</v>
      </c>
      <c r="F7" s="46">
        <f>SUM('Burden Table'!G102,'Burden Table'!G105,'Burden Table'!G108)</f>
        <v>328</v>
      </c>
      <c r="G7" s="22">
        <f>SUM('Burden Table'!I102,'Burden Table'!I105,'Burden Table'!I108)</f>
        <v>328</v>
      </c>
      <c r="H7" s="23">
        <f>ROUNDDOWN(0.97*SUM(C7:D7),0)</f>
        <v>336</v>
      </c>
    </row>
    <row r="8" spans="1:8" x14ac:dyDescent="0.3">
      <c r="A8" s="15" t="s">
        <v>18</v>
      </c>
      <c r="B8" s="15" t="s">
        <v>451</v>
      </c>
      <c r="C8" s="21">
        <f>SUM('Burden Table'!G111,'Burden Table'!G112, 'Burden Table'!G131)</f>
        <v>1300</v>
      </c>
      <c r="D8" s="21">
        <f>SUM('Burden Table'!L111,'Burden Table'!L112, 'Burden Table'!L131)</f>
        <v>74</v>
      </c>
      <c r="E8" s="21">
        <f t="shared" si="0"/>
        <v>1374</v>
      </c>
      <c r="F8" s="46">
        <f>SUM('Burden Table'!G115,'Burden Table'!G120,'Burden Table'!G125,'Burden Table'!G134)</f>
        <v>1299</v>
      </c>
      <c r="G8" s="22">
        <f>SUM('Burden Table'!I114:I116,'Burden Table'!I121,'Burden Table'!I124:I128,'Burden Table'!I132,'Burden Table'!I134:I135)</f>
        <v>6185</v>
      </c>
      <c r="H8" s="23" t="s">
        <v>48</v>
      </c>
    </row>
    <row r="9" spans="1:8" x14ac:dyDescent="0.3">
      <c r="A9" s="15" t="s">
        <v>18</v>
      </c>
      <c r="B9" s="15" t="s">
        <v>452</v>
      </c>
      <c r="C9" s="21">
        <f>SUM('Burden Table'!G136)</f>
        <v>365</v>
      </c>
      <c r="D9" s="21">
        <f>SUM('Burden Table'!L136)</f>
        <v>25</v>
      </c>
      <c r="E9" s="21">
        <f t="shared" si="0"/>
        <v>390</v>
      </c>
      <c r="F9" s="46" t="s">
        <v>48</v>
      </c>
      <c r="G9" s="22">
        <f>SUM('Burden Table'!I136)</f>
        <v>365</v>
      </c>
      <c r="H9" s="23" t="s">
        <v>48</v>
      </c>
    </row>
    <row r="10" spans="1:8" x14ac:dyDescent="0.3">
      <c r="A10" s="15" t="s">
        <v>18</v>
      </c>
      <c r="B10" s="15" t="s">
        <v>417</v>
      </c>
      <c r="C10" s="21">
        <f>SUM('Burden Table'!G140, 'Burden Table'!G148)</f>
        <v>1299</v>
      </c>
      <c r="D10" s="21">
        <f>SUM('Burden Table'!L140, 'Burden Table'!L148)</f>
        <v>74</v>
      </c>
      <c r="E10" s="21">
        <f t="shared" si="0"/>
        <v>1373</v>
      </c>
      <c r="F10" s="46">
        <f>SUM('Burden Table'!G150,'Burden Table'!G145)</f>
        <v>1093.4000000000001</v>
      </c>
      <c r="G10" s="22">
        <f>SUM('Burden Table'!I145,'Burden Table'!I147,'Burden Table'!I150)</f>
        <v>1889.4</v>
      </c>
      <c r="H10" s="23" t="s">
        <v>48</v>
      </c>
    </row>
    <row r="11" spans="1:8" x14ac:dyDescent="0.3">
      <c r="A11" s="15" t="s">
        <v>453</v>
      </c>
      <c r="B11" s="15" t="s">
        <v>454</v>
      </c>
      <c r="C11" s="21">
        <f>SUM('Burden Table'!G154, 'Burden Table'!G164, 'Burden Table'!G168, 'Burden Table'!G177)</f>
        <v>36</v>
      </c>
      <c r="D11" s="21">
        <f>SUM('Burden Table'!L154, 'Burden Table'!L164, 'Burden Table'!L168, 'Burden Table'!L177)</f>
        <v>0</v>
      </c>
      <c r="E11" s="21">
        <f>SUM(C11:D11)</f>
        <v>36</v>
      </c>
      <c r="F11" s="46">
        <f>SUM('Burden Table'!G172,'Burden Table'!G177)</f>
        <v>5</v>
      </c>
      <c r="G11" s="22">
        <f>SUM('Burden Table'!I172,'Burden Table'!I175,'Burden Table'!I177,'Burden Table'!I178)</f>
        <v>10</v>
      </c>
      <c r="H11" s="23" t="s">
        <v>48</v>
      </c>
    </row>
    <row r="12" spans="1:8" x14ac:dyDescent="0.3">
      <c r="A12" s="15" t="s">
        <v>453</v>
      </c>
      <c r="B12" s="15" t="s">
        <v>455</v>
      </c>
      <c r="C12" s="21">
        <f>'Burden Table'!G159</f>
        <v>30</v>
      </c>
      <c r="D12" s="21">
        <f>'Burden Table'!L159</f>
        <v>0</v>
      </c>
      <c r="E12" s="21">
        <f>SUM(C12:D12)</f>
        <v>30</v>
      </c>
      <c r="F12" s="46" t="s">
        <v>48</v>
      </c>
      <c r="G12" s="22" t="s">
        <v>48</v>
      </c>
      <c r="H12" s="23" t="s">
        <v>48</v>
      </c>
    </row>
    <row r="13" spans="1:8" x14ac:dyDescent="0.3">
      <c r="A13" s="15" t="s">
        <v>456</v>
      </c>
      <c r="B13" s="15" t="s">
        <v>457</v>
      </c>
      <c r="C13" s="21">
        <f>SUM('Burden Table'!G181)</f>
        <v>4102</v>
      </c>
      <c r="D13" s="21">
        <f>SUM('Burden Table'!L181)</f>
        <v>4102</v>
      </c>
      <c r="E13" s="21">
        <f t="shared" si="0"/>
        <v>8204</v>
      </c>
      <c r="F13" s="46">
        <f>SUM('Burden Table'!G186:G186)</f>
        <v>1800</v>
      </c>
      <c r="G13" s="22">
        <f>SUM('Burden Table'!I186:I186,'Burden Table'!I189:I190)</f>
        <v>3131.6181200000001</v>
      </c>
      <c r="H13" s="23" t="s">
        <v>48</v>
      </c>
    </row>
    <row r="14" spans="1:8" x14ac:dyDescent="0.3">
      <c r="A14" s="15" t="s">
        <v>456</v>
      </c>
      <c r="B14" s="15" t="s">
        <v>300</v>
      </c>
      <c r="C14" s="21">
        <f>SUM('Burden Table'!F192,'Burden Table'!G193)</f>
        <v>4103</v>
      </c>
      <c r="D14" s="21">
        <f>SUM('Burden Table'!L192,'Burden Table'!L193)</f>
        <v>4102</v>
      </c>
      <c r="E14" s="21">
        <f t="shared" si="0"/>
        <v>8205</v>
      </c>
      <c r="F14" s="46">
        <f>SUM('Burden Table'!G195,'Burden Table'!G199)</f>
        <v>4102</v>
      </c>
      <c r="G14" s="22">
        <f>SUM('Burden Table'!I195:I196,'Burden Table'!I198:I200)</f>
        <v>8546.2533199999998</v>
      </c>
      <c r="H14" s="23" t="s">
        <v>48</v>
      </c>
    </row>
    <row r="15" spans="1:8" x14ac:dyDescent="0.3">
      <c r="B15" s="16" t="s">
        <v>316</v>
      </c>
      <c r="C15" s="26">
        <f>SUM(C2:C14)</f>
        <v>13473</v>
      </c>
      <c r="D15" s="26">
        <f>SUM(D2:D14)</f>
        <v>9098</v>
      </c>
      <c r="E15" s="26">
        <f>SUM(C15:D15)</f>
        <v>22571</v>
      </c>
      <c r="F15" s="47">
        <f>SUM(F2:F14)</f>
        <v>9568.4</v>
      </c>
      <c r="G15" s="27">
        <f>SUM(G2:G14)</f>
        <v>23356.27144</v>
      </c>
      <c r="H15" s="28">
        <f t="shared" ref="H15" si="1">SUM(H2:H14)</f>
        <v>2720</v>
      </c>
    </row>
    <row r="16" spans="1:8" x14ac:dyDescent="0.3">
      <c r="B16" s="20" t="s">
        <v>458</v>
      </c>
      <c r="C16" s="24">
        <f>'Burden Table'!G203</f>
        <v>13473</v>
      </c>
      <c r="D16" s="24">
        <f>'Burden Table'!L203</f>
        <v>9098</v>
      </c>
      <c r="E16" s="24">
        <f>'Burden Table'!F203</f>
        <v>22571</v>
      </c>
      <c r="F16" s="24" t="s">
        <v>48</v>
      </c>
      <c r="G16" s="24" t="s">
        <v>48</v>
      </c>
      <c r="H16" s="24" t="s">
        <v>48</v>
      </c>
    </row>
    <row r="18" spans="1:1" x14ac:dyDescent="0.3">
      <c r="A18" s="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3"/>
  <sheetViews>
    <sheetView topLeftCell="A2" zoomScale="91" zoomScaleNormal="91" workbookViewId="0">
      <selection activeCell="C18" sqref="C18"/>
    </sheetView>
  </sheetViews>
  <sheetFormatPr defaultRowHeight="14.4" x14ac:dyDescent="0.3"/>
  <cols>
    <col min="1" max="1" width="30.77734375" customWidth="1"/>
    <col min="2" max="2" width="38.77734375" customWidth="1"/>
    <col min="3" max="3" width="11" customWidth="1"/>
    <col min="4" max="4" width="11.5546875" customWidth="1"/>
    <col min="5" max="5" width="10.44140625" customWidth="1"/>
    <col min="6" max="6" width="9.21875" customWidth="1"/>
    <col min="7" max="7" width="10.21875" customWidth="1"/>
    <col min="8" max="9" width="14.5546875" customWidth="1"/>
    <col min="10" max="10" width="12.77734375" customWidth="1"/>
    <col min="11" max="11" width="11.5546875" customWidth="1"/>
    <col min="12" max="12" width="12.44140625" customWidth="1"/>
    <col min="13" max="13" width="10.21875" customWidth="1"/>
  </cols>
  <sheetData>
    <row r="1" spans="1:11" ht="43.2" x14ac:dyDescent="0.3">
      <c r="A1" s="32" t="s">
        <v>459</v>
      </c>
      <c r="B1" s="33" t="s">
        <v>460</v>
      </c>
      <c r="C1" s="34" t="s">
        <v>461</v>
      </c>
      <c r="D1" s="35" t="s">
        <v>462</v>
      </c>
    </row>
    <row r="2" spans="1:11" ht="28.8" x14ac:dyDescent="0.3">
      <c r="A2" s="51" t="s">
        <v>463</v>
      </c>
      <c r="B2" s="52" t="s">
        <v>464</v>
      </c>
      <c r="C2" s="54">
        <v>47.99</v>
      </c>
      <c r="D2" s="53">
        <f>C2*1.33</f>
        <v>63.82670000000001</v>
      </c>
      <c r="J2" s="37"/>
      <c r="K2" s="37"/>
    </row>
    <row r="3" spans="1:11" x14ac:dyDescent="0.3">
      <c r="A3" s="36" t="s">
        <v>465</v>
      </c>
      <c r="B3" s="14" t="s">
        <v>466</v>
      </c>
      <c r="C3" s="55">
        <v>55.38</v>
      </c>
      <c r="D3" s="38">
        <f t="shared" ref="D3:D8" si="0">C3*1.33</f>
        <v>73.655400000000014</v>
      </c>
    </row>
    <row r="4" spans="1:11" ht="43.2" x14ac:dyDescent="0.3">
      <c r="A4" s="36" t="s">
        <v>467</v>
      </c>
      <c r="B4" s="14" t="s">
        <v>468</v>
      </c>
      <c r="C4" s="55">
        <v>56.14</v>
      </c>
      <c r="D4" s="38">
        <f>C4*1.33</f>
        <v>74.666200000000003</v>
      </c>
      <c r="J4" s="37"/>
      <c r="K4" s="37"/>
    </row>
    <row r="5" spans="1:11" x14ac:dyDescent="0.3">
      <c r="A5" s="36" t="s">
        <v>469</v>
      </c>
      <c r="B5" s="14" t="s">
        <v>470</v>
      </c>
      <c r="C5" s="55">
        <v>32.270000000000003</v>
      </c>
      <c r="D5" s="38">
        <f t="shared" si="0"/>
        <v>42.919100000000007</v>
      </c>
      <c r="J5" s="37"/>
      <c r="K5" s="37"/>
    </row>
    <row r="6" spans="1:11" x14ac:dyDescent="0.3">
      <c r="A6" s="36" t="s">
        <v>471</v>
      </c>
      <c r="B6" s="14" t="s">
        <v>472</v>
      </c>
      <c r="C6" s="55">
        <v>30.41</v>
      </c>
      <c r="D6" s="38">
        <f t="shared" si="0"/>
        <v>40.445300000000003</v>
      </c>
    </row>
    <row r="7" spans="1:11" x14ac:dyDescent="0.3">
      <c r="A7" s="36" t="s">
        <v>473</v>
      </c>
      <c r="B7" s="14" t="s">
        <v>474</v>
      </c>
      <c r="C7" s="55">
        <v>49.7</v>
      </c>
      <c r="D7" s="38">
        <f t="shared" si="0"/>
        <v>66.101000000000013</v>
      </c>
      <c r="J7" s="37"/>
      <c r="K7" s="37"/>
    </row>
    <row r="8" spans="1:11" x14ac:dyDescent="0.3">
      <c r="A8" s="36" t="s">
        <v>422</v>
      </c>
      <c r="B8" s="14" t="s">
        <v>475</v>
      </c>
      <c r="C8" s="55">
        <v>29.76</v>
      </c>
      <c r="D8" s="38">
        <f t="shared" si="0"/>
        <v>39.580800000000004</v>
      </c>
    </row>
    <row r="9" spans="1:11" x14ac:dyDescent="0.3">
      <c r="A9" s="36" t="s">
        <v>476</v>
      </c>
      <c r="B9" s="14" t="s">
        <v>477</v>
      </c>
      <c r="C9" s="55">
        <v>59.07</v>
      </c>
      <c r="D9" s="38">
        <f>C9*1.33</f>
        <v>78.563100000000006</v>
      </c>
      <c r="J9" s="37"/>
      <c r="K9" s="37"/>
    </row>
    <row r="10" spans="1:11" x14ac:dyDescent="0.3">
      <c r="A10" s="58" t="s">
        <v>478</v>
      </c>
      <c r="B10" s="57" t="s">
        <v>477</v>
      </c>
      <c r="C10" s="56">
        <v>59.07</v>
      </c>
      <c r="D10" s="40">
        <f t="shared" ref="D10" si="1">C10*1.33</f>
        <v>78.563100000000006</v>
      </c>
    </row>
    <row r="11" spans="1:11" x14ac:dyDescent="0.3">
      <c r="A11" s="25"/>
      <c r="B11" s="14"/>
      <c r="C11" s="37"/>
      <c r="D11" s="37"/>
      <c r="E11" s="37"/>
      <c r="F11" s="37"/>
      <c r="G11" s="37"/>
      <c r="H11" s="37"/>
      <c r="I11" s="37"/>
      <c r="J11" s="37"/>
      <c r="K11" s="37"/>
    </row>
    <row r="12" spans="1:11" x14ac:dyDescent="0.3">
      <c r="A12" s="25"/>
      <c r="B12" s="14"/>
      <c r="C12" s="37"/>
      <c r="D12" s="37"/>
      <c r="E12" s="37"/>
      <c r="F12" s="37"/>
      <c r="G12" s="37"/>
      <c r="H12" s="37"/>
      <c r="I12" s="37"/>
      <c r="J12" s="37"/>
      <c r="K12" s="37"/>
    </row>
    <row r="13" spans="1:11" ht="72" x14ac:dyDescent="0.3">
      <c r="A13" s="32" t="s">
        <v>479</v>
      </c>
      <c r="B13" s="33" t="s">
        <v>460</v>
      </c>
      <c r="C13" s="33" t="s">
        <v>480</v>
      </c>
      <c r="D13" s="33" t="s">
        <v>481</v>
      </c>
      <c r="E13" s="33" t="s">
        <v>482</v>
      </c>
      <c r="F13" s="34" t="s">
        <v>483</v>
      </c>
      <c r="G13" s="35" t="s">
        <v>484</v>
      </c>
      <c r="H13" s="37"/>
      <c r="I13" s="37"/>
      <c r="J13" s="37"/>
      <c r="K13" s="37"/>
    </row>
    <row r="14" spans="1:11" ht="57.6" x14ac:dyDescent="0.3">
      <c r="A14" s="36" t="s">
        <v>485</v>
      </c>
      <c r="B14" s="60" t="s">
        <v>486</v>
      </c>
      <c r="C14" s="37">
        <v>43.33</v>
      </c>
      <c r="D14" s="37">
        <f>73580/2080</f>
        <v>35.375</v>
      </c>
      <c r="E14" s="37">
        <v>35.619999999999997</v>
      </c>
      <c r="F14" s="55">
        <f>AVERAGE(C14:E14)</f>
        <v>38.108333333333327</v>
      </c>
      <c r="G14" s="38">
        <f t="shared" ref="G14:G18" si="2">F14*1.33</f>
        <v>50.684083333333326</v>
      </c>
      <c r="H14" s="37"/>
      <c r="I14" s="37"/>
      <c r="J14" s="37"/>
      <c r="K14" s="37"/>
    </row>
    <row r="15" spans="1:11" ht="28.8" x14ac:dyDescent="0.3">
      <c r="A15" s="36" t="s">
        <v>487</v>
      </c>
      <c r="B15" s="14" t="s">
        <v>488</v>
      </c>
      <c r="C15" s="37">
        <v>41.16</v>
      </c>
      <c r="D15" s="37">
        <v>36.99</v>
      </c>
      <c r="E15" s="37">
        <v>39.450000000000003</v>
      </c>
      <c r="F15" s="55">
        <f t="shared" ref="F15:F18" si="3">AVERAGE(C15:E15)</f>
        <v>39.200000000000003</v>
      </c>
      <c r="G15" s="38">
        <f t="shared" si="2"/>
        <v>52.13600000000001</v>
      </c>
      <c r="H15" s="37"/>
      <c r="I15" s="37"/>
      <c r="J15" s="37"/>
      <c r="K15" s="37"/>
    </row>
    <row r="16" spans="1:11" x14ac:dyDescent="0.3">
      <c r="A16" s="36" t="s">
        <v>469</v>
      </c>
      <c r="B16" s="14" t="s">
        <v>470</v>
      </c>
      <c r="C16" s="37">
        <v>37.79</v>
      </c>
      <c r="D16" s="37">
        <v>20.48</v>
      </c>
      <c r="E16" s="37">
        <v>35.47</v>
      </c>
      <c r="F16" s="55">
        <f t="shared" si="3"/>
        <v>31.246666666666666</v>
      </c>
      <c r="G16" s="38">
        <f t="shared" si="2"/>
        <v>41.558066666666669</v>
      </c>
      <c r="H16" s="37"/>
      <c r="I16" s="37"/>
      <c r="J16" s="37"/>
      <c r="K16" s="37"/>
    </row>
    <row r="17" spans="1:11" x14ac:dyDescent="0.3">
      <c r="A17" s="36" t="s">
        <v>476</v>
      </c>
      <c r="B17" s="14" t="s">
        <v>477</v>
      </c>
      <c r="C17" s="37">
        <v>53.7</v>
      </c>
      <c r="D17" s="37">
        <v>34.799999999999997</v>
      </c>
      <c r="E17" s="37">
        <v>55.7</v>
      </c>
      <c r="F17" s="55">
        <f t="shared" si="3"/>
        <v>48.066666666666663</v>
      </c>
      <c r="G17" s="38">
        <f t="shared" si="2"/>
        <v>63.928666666666665</v>
      </c>
      <c r="H17" s="37"/>
      <c r="I17" s="37"/>
      <c r="J17" s="37"/>
      <c r="K17" s="37"/>
    </row>
    <row r="18" spans="1:11" ht="28.8" x14ac:dyDescent="0.3">
      <c r="A18" s="39" t="s">
        <v>473</v>
      </c>
      <c r="B18" s="42" t="s">
        <v>489</v>
      </c>
      <c r="C18" s="59">
        <v>52.83</v>
      </c>
      <c r="D18" s="59">
        <v>35.380000000000003</v>
      </c>
      <c r="E18" s="59">
        <v>50.77</v>
      </c>
      <c r="F18" s="56">
        <f t="shared" si="3"/>
        <v>46.326666666666675</v>
      </c>
      <c r="G18" s="40">
        <f t="shared" si="2"/>
        <v>61.614466666666679</v>
      </c>
      <c r="I18" s="37"/>
      <c r="J18" s="37"/>
      <c r="K18" s="37"/>
    </row>
    <row r="19" spans="1:11" ht="30.6" customHeight="1" x14ac:dyDescent="0.3">
      <c r="A19" s="238" t="s">
        <v>490</v>
      </c>
      <c r="B19" s="239"/>
      <c r="C19" s="239"/>
      <c r="D19" s="239"/>
      <c r="E19" s="239"/>
      <c r="F19" s="239"/>
      <c r="G19" s="239"/>
      <c r="H19" s="37"/>
      <c r="I19" s="37"/>
      <c r="J19" s="37"/>
      <c r="K19" s="37"/>
    </row>
    <row r="20" spans="1:11" x14ac:dyDescent="0.3">
      <c r="A20" s="25"/>
      <c r="B20" s="14"/>
      <c r="H20" s="37"/>
      <c r="I20" s="37"/>
      <c r="J20" s="37"/>
      <c r="K20" s="37"/>
    </row>
    <row r="21" spans="1:11" ht="72" x14ac:dyDescent="0.3">
      <c r="A21" s="41" t="s">
        <v>491</v>
      </c>
      <c r="B21" s="33" t="s">
        <v>460</v>
      </c>
      <c r="C21" s="34" t="s">
        <v>492</v>
      </c>
      <c r="D21" s="34" t="s">
        <v>493</v>
      </c>
      <c r="E21" s="34" t="s">
        <v>494</v>
      </c>
      <c r="F21" s="35" t="s">
        <v>495</v>
      </c>
      <c r="H21" s="37"/>
      <c r="I21" s="37"/>
      <c r="J21" s="37"/>
      <c r="K21" s="37"/>
    </row>
    <row r="22" spans="1:11" ht="57.6" x14ac:dyDescent="0.3">
      <c r="A22" s="39" t="s">
        <v>485</v>
      </c>
      <c r="B22" s="42" t="s">
        <v>496</v>
      </c>
      <c r="C22" s="61">
        <v>40.86</v>
      </c>
      <c r="D22" s="62">
        <v>37.130000000000003</v>
      </c>
      <c r="E22" s="56">
        <f>AVERAGE(C22:D22)</f>
        <v>38.995000000000005</v>
      </c>
      <c r="F22" s="40">
        <f>E22*1.33</f>
        <v>51.863350000000011</v>
      </c>
    </row>
    <row r="23" spans="1:11" ht="29.55" customHeight="1" x14ac:dyDescent="0.3">
      <c r="A23" s="237" t="s">
        <v>497</v>
      </c>
      <c r="B23" s="237"/>
      <c r="C23" s="237"/>
      <c r="D23" s="237"/>
      <c r="E23" s="237"/>
      <c r="F23" s="237"/>
    </row>
  </sheetData>
  <mergeCells count="2">
    <mergeCell ref="A23:F23"/>
    <mergeCell ref="A19:G19"/>
  </mergeCell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619425FD409441BCCE0611C9F6A4B9" ma:contentTypeVersion="4" ma:contentTypeDescription="Create a new document." ma:contentTypeScope="" ma:versionID="ea5166e8e1238290d5f287de64be59de">
  <xsd:schema xmlns:xsd="http://www.w3.org/2001/XMLSchema" xmlns:xs="http://www.w3.org/2001/XMLSchema" xmlns:p="http://schemas.microsoft.com/office/2006/metadata/properties" xmlns:ns2="ceb03779-9ec8-47cf-822a-a171da3bad02" targetNamespace="http://schemas.microsoft.com/office/2006/metadata/properties" ma:root="true" ma:fieldsID="da750e818a8eabcdc75a99a8544a9ae4" ns2:_="">
    <xsd:import namespace="ceb03779-9ec8-47cf-822a-a171da3bad0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03779-9ec8-47cf-822a-a171da3bad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F62756-FED8-45A1-AF11-332323E1ACB9}">
  <ds:schemaRefs>
    <ds:schemaRef ds:uri="http://schemas.microsoft.com/sharepoint/v3/contenttype/forms"/>
  </ds:schemaRefs>
</ds:datastoreItem>
</file>

<file path=customXml/itemProps2.xml><?xml version="1.0" encoding="utf-8"?>
<ds:datastoreItem xmlns:ds="http://schemas.openxmlformats.org/officeDocument/2006/customXml" ds:itemID="{1AEAB846-0BC2-402B-A42E-F9255ADFE21A}">
  <ds:schemaRefs>
    <ds:schemaRef ds:uri="http://purl.org/dc/terms/"/>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www.w3.org/XML/1998/namespace"/>
    <ds:schemaRef ds:uri="cd1c0cfc-f8ea-4485-a507-8d8886ea6f80"/>
    <ds:schemaRef ds:uri="http://purl.org/dc/dcmitype/"/>
  </ds:schemaRefs>
</ds:datastoreItem>
</file>

<file path=customXml/itemProps3.xml><?xml version="1.0" encoding="utf-8"?>
<ds:datastoreItem xmlns:ds="http://schemas.openxmlformats.org/officeDocument/2006/customXml" ds:itemID="{FFB1A45C-AC89-4F0C-A465-532BF69A59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03779-9ec8-47cf-822a-a171da3bad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15</vt:i4>
      </vt:variant>
    </vt:vector>
  </HeadingPairs>
  <TitlesOfParts>
    <vt:vector size="19" baseType="lpstr">
      <vt:lpstr>Burden Table</vt:lpstr>
      <vt:lpstr>SampleSizes</vt:lpstr>
      <vt:lpstr>Resp_NonResp</vt:lpstr>
      <vt:lpstr>Hourly Wages</vt:lpstr>
      <vt:lpstr>'Hourly Wages'!FullOACS_EAFO</vt:lpstr>
      <vt:lpstr>'Hourly Wages'!FullOACS_FSMCManager</vt:lpstr>
      <vt:lpstr>'Hourly Wages'!FullOACS_Principal</vt:lpstr>
      <vt:lpstr>'Hourly Wages'!FullOACS_SFA_LEA_Superintendent_CNDirector</vt:lpstr>
      <vt:lpstr>'Hourly Wages'!FullOACS_SNM</vt:lpstr>
      <vt:lpstr>'Hourly Wages'!LimOACS_SFA_LEA_Superintendent_CNDirector</vt:lpstr>
      <vt:lpstr>'Hourly Wages'!Main_CNDirector_EAFO</vt:lpstr>
      <vt:lpstr>Main_Distributor</vt:lpstr>
      <vt:lpstr>'Hourly Wages'!Main_FSMCManager</vt:lpstr>
      <vt:lpstr>'Hourly Wages'!Main_Parent</vt:lpstr>
      <vt:lpstr>'Hourly Wages'!Main_Principal</vt:lpstr>
      <vt:lpstr>'Hourly Wages'!Main_SchoolStaffLiaison</vt:lpstr>
      <vt:lpstr>'Hourly Wages'!Main_SFA_LEA</vt:lpstr>
      <vt:lpstr>'Hourly Wages'!Main_SNM</vt:lpstr>
      <vt:lpstr>'Hourly Wages'!Main_Superintendent</vt:lpstr>
    </vt:vector>
  </TitlesOfParts>
  <Manager/>
  <Company>Mathematica,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MHu</dc:creator>
  <cp:keywords/>
  <dc:description/>
  <cp:lastModifiedBy>Franklin, Jamia - FNS</cp:lastModifiedBy>
  <cp:revision/>
  <dcterms:created xsi:type="dcterms:W3CDTF">2018-03-29T20:38:59Z</dcterms:created>
  <dcterms:modified xsi:type="dcterms:W3CDTF">2024-04-02T19:23:22Z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0x010100DB619425FD409441BCCE0611C9F6A4B9</vt:lpwstr>
  </property>
</Properties>
</file>