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usepa-my.sharepoint.com/personal/schultz_eric_epa_gov/Documents/03 ICR materials- COMP/"/>
    </mc:Choice>
  </mc:AlternateContent>
  <xr:revisionPtr revIDLastSave="0" documentId="8_{147208B0-D4F1-4A81-BDE6-61BC8F6DDAFC}" xr6:coauthVersionLast="47" xr6:coauthVersionMax="47" xr10:uidLastSave="{00000000-0000-0000-0000-000000000000}"/>
  <bookViews>
    <workbookView xWindow="-33975" yWindow="3450" windowWidth="33315" windowHeight="14610" tabRatio="499" activeTab="1" xr2:uid="{A52FEE90-45DE-4154-80EE-DCD9F8126575}"/>
  </bookViews>
  <sheets>
    <sheet name="Agency Burden" sheetId="5" r:id="rId1"/>
    <sheet name="Respondent Burden and Cost" sheetId="4" r:id="rId2"/>
    <sheet name="Turbidity Monitoring" sheetId="33" r:id="rId3"/>
    <sheet name="Number of Respondents" sheetId="28" r:id="rId4"/>
    <sheet name="Tables for SS" sheetId="25" state="hidden" r:id="rId5"/>
  </sheets>
  <definedNames>
    <definedName name="_xlnm._FilterDatabase" localSheetId="1" hidden="1">'Respondent Burden and Cost'!$A$4:$K$4</definedName>
    <definedName name="_Ref63629561" localSheetId="4">'Tables for SS'!$A$2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4" i="4" l="1"/>
  <c r="G16" i="4"/>
  <c r="D19" i="33"/>
  <c r="I44" i="4" l="1"/>
  <c r="I43" i="4"/>
  <c r="I42" i="4"/>
  <c r="L8" i="4"/>
  <c r="L34" i="4"/>
  <c r="L37" i="4" s="1"/>
  <c r="K40" i="4"/>
  <c r="F12" i="33"/>
  <c r="E15" i="4"/>
  <c r="H15" i="4"/>
  <c r="C9" i="28"/>
  <c r="C15" i="4"/>
  <c r="C8" i="28"/>
  <c r="C4" i="28"/>
  <c r="D29" i="4"/>
  <c r="D7" i="4"/>
  <c r="D8" i="4"/>
  <c r="E10" i="4" l="1"/>
  <c r="D6" i="5"/>
  <c r="C11" i="28"/>
  <c r="E6" i="5" s="1"/>
  <c r="G6" i="5" s="1"/>
  <c r="I6" i="5" s="1"/>
  <c r="C17" i="4"/>
  <c r="B7" i="33"/>
  <c r="C7" i="28" l="1"/>
  <c r="C6" i="28"/>
  <c r="E8" i="4" s="1"/>
  <c r="C5" i="28"/>
  <c r="E7" i="4" s="1"/>
  <c r="H7" i="4" s="1"/>
  <c r="J7" i="4" s="1"/>
  <c r="L7" i="4" s="1"/>
  <c r="F6" i="5"/>
  <c r="H6" i="5" s="1"/>
  <c r="F67" i="25"/>
  <c r="F71" i="25"/>
  <c r="A66" i="25"/>
  <c r="B55" i="25"/>
  <c r="B56" i="25"/>
  <c r="B57" i="25"/>
  <c r="B58" i="25"/>
  <c r="B59" i="25"/>
  <c r="B60" i="25"/>
  <c r="B61" i="25"/>
  <c r="E46" i="25"/>
  <c r="E47" i="25"/>
  <c r="E48" i="25"/>
  <c r="F46" i="25"/>
  <c r="F47" i="25"/>
  <c r="F48" i="25"/>
  <c r="G46" i="25"/>
  <c r="G47" i="25"/>
  <c r="G48" i="25"/>
  <c r="H46" i="25"/>
  <c r="H47" i="25"/>
  <c r="H48" i="25"/>
  <c r="B43" i="25"/>
  <c r="B44" i="25"/>
  <c r="B45" i="25"/>
  <c r="B46" i="25"/>
  <c r="C51" i="25"/>
  <c r="C52" i="25"/>
  <c r="I7" i="4" l="1"/>
  <c r="K7" i="4" s="1"/>
  <c r="D15" i="4"/>
  <c r="J15" i="4" s="1"/>
  <c r="L15" i="4" s="1"/>
  <c r="I15" i="4"/>
  <c r="K15" i="4" s="1"/>
  <c r="G67" i="25"/>
  <c r="G71" i="25"/>
  <c r="H67" i="25"/>
  <c r="H71" i="25"/>
  <c r="E71" i="25"/>
  <c r="E67" i="25"/>
  <c r="A52" i="25"/>
  <c r="B52" i="25"/>
  <c r="A51" i="25"/>
  <c r="D33" i="25"/>
  <c r="E25" i="25"/>
  <c r="F25" i="25"/>
  <c r="A32" i="25" l="1"/>
  <c r="A31" i="25"/>
  <c r="B71" i="25" l="1"/>
  <c r="E19" i="25" l="1"/>
  <c r="B19" i="25"/>
  <c r="A27" i="25"/>
  <c r="A28" i="25"/>
  <c r="A29" i="25"/>
  <c r="A30" i="25"/>
  <c r="A26" i="25"/>
  <c r="B31" i="25"/>
  <c r="C31" i="25"/>
  <c r="B32" i="25"/>
  <c r="C32" i="25"/>
  <c r="D11" i="5"/>
  <c r="D32" i="25" s="1"/>
  <c r="D10" i="5"/>
  <c r="D31" i="25" l="1"/>
  <c r="F19" i="25"/>
  <c r="G19" i="25"/>
  <c r="E31" i="4"/>
  <c r="B70" i="25"/>
  <c r="C66" i="25"/>
  <c r="B66" i="25"/>
  <c r="B51" i="25"/>
  <c r="B50" i="25"/>
  <c r="C13" i="28"/>
  <c r="C10" i="28"/>
  <c r="C19" i="28"/>
  <c r="C16" i="28"/>
  <c r="C14" i="28"/>
  <c r="C12" i="28"/>
  <c r="E35" i="4"/>
  <c r="G35" i="4" s="1"/>
  <c r="G37" i="4" s="1"/>
  <c r="I31" i="4" l="1"/>
  <c r="K31" i="4" s="1"/>
  <c r="C12" i="33"/>
  <c r="E16" i="4"/>
  <c r="E10" i="5"/>
  <c r="F10" i="5" s="1"/>
  <c r="E17" i="4"/>
  <c r="G27" i="25"/>
  <c r="E27" i="25"/>
  <c r="H10" i="5" l="1"/>
  <c r="E11" i="5"/>
  <c r="G11" i="5" s="1"/>
  <c r="I11" i="5" s="1"/>
  <c r="H16" i="4"/>
  <c r="F50" i="25"/>
  <c r="C50" i="25"/>
  <c r="H17" i="4"/>
  <c r="G17" i="4"/>
  <c r="G27" i="4" s="1"/>
  <c r="G38" i="4" s="1"/>
  <c r="E66" i="25"/>
  <c r="E50" i="25"/>
  <c r="G10" i="5"/>
  <c r="I10" i="5" s="1"/>
  <c r="D12" i="33"/>
  <c r="C19" i="25"/>
  <c r="D14" i="4"/>
  <c r="I17" i="4" l="1"/>
  <c r="K17" i="4" s="1"/>
  <c r="I16" i="4"/>
  <c r="K16" i="4" s="1"/>
  <c r="H50" i="25"/>
  <c r="F31" i="25"/>
  <c r="H31" i="25"/>
  <c r="F11" i="5"/>
  <c r="H11" i="5" s="1"/>
  <c r="G31" i="25"/>
  <c r="E31" i="25"/>
  <c r="K39" i="4"/>
  <c r="D19" i="25"/>
  <c r="D50" i="25"/>
  <c r="G50" i="25"/>
  <c r="D31" i="4"/>
  <c r="J31" i="4" s="1"/>
  <c r="L31" i="4" s="1"/>
  <c r="E51" i="25" l="1"/>
  <c r="E52" i="25"/>
  <c r="G51" i="25"/>
  <c r="F66" i="25"/>
  <c r="G74" i="25"/>
  <c r="L39" i="4"/>
  <c r="C83" i="25"/>
  <c r="H32" i="25"/>
  <c r="F32" i="25"/>
  <c r="G32" i="25"/>
  <c r="E32" i="25"/>
  <c r="G66" i="25"/>
  <c r="H66" i="25"/>
  <c r="D66" i="25"/>
  <c r="H74" i="25" l="1"/>
  <c r="B83" i="25"/>
  <c r="D33" i="4"/>
  <c r="D30" i="4"/>
  <c r="B26" i="25" l="1"/>
  <c r="C26" i="25"/>
  <c r="B27" i="25"/>
  <c r="C27" i="25"/>
  <c r="B28" i="25"/>
  <c r="C28" i="25"/>
  <c r="B29" i="25"/>
  <c r="C29" i="25"/>
  <c r="C30" i="25"/>
  <c r="C69" i="25"/>
  <c r="C68" i="25"/>
  <c r="C65" i="25"/>
  <c r="C64" i="25"/>
  <c r="B69" i="25"/>
  <c r="B68" i="25"/>
  <c r="B67" i="25"/>
  <c r="B65" i="25"/>
  <c r="B64" i="25"/>
  <c r="C61" i="25"/>
  <c r="C60" i="25"/>
  <c r="C59" i="25"/>
  <c r="C58" i="25"/>
  <c r="C57" i="25"/>
  <c r="C56" i="25"/>
  <c r="C55" i="25"/>
  <c r="C54" i="25"/>
  <c r="B54" i="25"/>
  <c r="C49" i="25"/>
  <c r="C45" i="25"/>
  <c r="C44" i="25"/>
  <c r="C43" i="25"/>
  <c r="C42" i="25"/>
  <c r="B49" i="25"/>
  <c r="B48" i="25"/>
  <c r="B47" i="25"/>
  <c r="B42" i="25"/>
  <c r="B5" i="33"/>
  <c r="D17" i="4" l="1"/>
  <c r="H35" i="4"/>
  <c r="I35" i="4" l="1"/>
  <c r="K35" i="4" s="1"/>
  <c r="D52" i="25"/>
  <c r="J17" i="4"/>
  <c r="L17" i="4" s="1"/>
  <c r="D35" i="4"/>
  <c r="D70" i="25" s="1"/>
  <c r="C70" i="25"/>
  <c r="D16" i="4"/>
  <c r="J16" i="4" s="1"/>
  <c r="L16" i="4" s="1"/>
  <c r="B18" i="28"/>
  <c r="C18" i="28" s="1"/>
  <c r="E70" i="25" l="1"/>
  <c r="F52" i="25"/>
  <c r="J35" i="4"/>
  <c r="L35" i="4" s="1"/>
  <c r="G52" i="25"/>
  <c r="H52" i="25"/>
  <c r="D51" i="25"/>
  <c r="F51" i="25"/>
  <c r="E29" i="4"/>
  <c r="H29" i="4" s="1"/>
  <c r="J29" i="4" l="1"/>
  <c r="L29" i="4" s="1"/>
  <c r="I29" i="4"/>
  <c r="K29" i="4" s="1"/>
  <c r="H70" i="25"/>
  <c r="F70" i="25"/>
  <c r="H51" i="25"/>
  <c r="E33" i="4"/>
  <c r="E26" i="4"/>
  <c r="E25" i="4"/>
  <c r="E23" i="4"/>
  <c r="E21" i="4"/>
  <c r="H21" i="4" s="1"/>
  <c r="E20" i="4"/>
  <c r="E19" i="4"/>
  <c r="B17" i="28"/>
  <c r="B15" i="28"/>
  <c r="D9" i="4"/>
  <c r="D10" i="4"/>
  <c r="D26" i="4"/>
  <c r="D61" i="25" s="1"/>
  <c r="D20" i="4"/>
  <c r="D55" i="25" s="1"/>
  <c r="D25" i="4"/>
  <c r="D60" i="25" s="1"/>
  <c r="D24" i="4"/>
  <c r="D59" i="25" s="1"/>
  <c r="D23" i="4"/>
  <c r="D58" i="25" s="1"/>
  <c r="D22" i="4"/>
  <c r="D57" i="25" s="1"/>
  <c r="D21" i="4"/>
  <c r="D56" i="25" s="1"/>
  <c r="D19" i="4"/>
  <c r="D54" i="25" s="1"/>
  <c r="B9" i="5"/>
  <c r="D9" i="5" s="1"/>
  <c r="I21" i="4" l="1"/>
  <c r="K21" i="4" s="1"/>
  <c r="J21" i="4"/>
  <c r="L21" i="4" s="1"/>
  <c r="G70" i="25"/>
  <c r="D45" i="25"/>
  <c r="D44" i="25"/>
  <c r="C15" i="28"/>
  <c r="E22" i="4" s="1"/>
  <c r="C17" i="28"/>
  <c r="E24" i="4" s="1"/>
  <c r="D30" i="25"/>
  <c r="B30" i="25"/>
  <c r="E34" i="4"/>
  <c r="E30" i="4"/>
  <c r="H30" i="4" s="1"/>
  <c r="E14" i="4"/>
  <c r="H14" i="4" s="1"/>
  <c r="E9" i="4"/>
  <c r="E5" i="5" s="1"/>
  <c r="H26" i="4"/>
  <c r="J14" i="4" l="1"/>
  <c r="L14" i="4" s="1"/>
  <c r="H49" i="25" s="1"/>
  <c r="I14" i="4"/>
  <c r="K14" i="4" s="1"/>
  <c r="E7" i="5"/>
  <c r="J30" i="4"/>
  <c r="L30" i="4" s="1"/>
  <c r="I30" i="4"/>
  <c r="K30" i="4" s="1"/>
  <c r="E8" i="5"/>
  <c r="J26" i="4"/>
  <c r="L26" i="4" s="1"/>
  <c r="I26" i="4"/>
  <c r="K26" i="4" s="1"/>
  <c r="D42" i="25"/>
  <c r="E49" i="25"/>
  <c r="H19" i="4"/>
  <c r="H34" i="4"/>
  <c r="D5" i="5"/>
  <c r="G5" i="5" s="1"/>
  <c r="I5" i="5" s="1"/>
  <c r="D49" i="25"/>
  <c r="D34" i="4"/>
  <c r="D69" i="25" s="1"/>
  <c r="D65" i="25"/>
  <c r="E61" i="25" l="1"/>
  <c r="I19" i="4"/>
  <c r="K19" i="4" s="1"/>
  <c r="J19" i="4"/>
  <c r="L19" i="4" s="1"/>
  <c r="J34" i="4"/>
  <c r="I34" i="4"/>
  <c r="K34" i="4" s="1"/>
  <c r="F49" i="25"/>
  <c r="E65" i="25"/>
  <c r="F65" i="25"/>
  <c r="H61" i="25"/>
  <c r="F61" i="25"/>
  <c r="D43" i="25"/>
  <c r="G49" i="25"/>
  <c r="D26" i="25"/>
  <c r="E54" i="25"/>
  <c r="G61" i="25"/>
  <c r="H33" i="4"/>
  <c r="H22" i="4"/>
  <c r="H25" i="4"/>
  <c r="H10" i="4"/>
  <c r="H20" i="4"/>
  <c r="H23" i="4"/>
  <c r="H24" i="4"/>
  <c r="J23" i="4" l="1"/>
  <c r="L23" i="4" s="1"/>
  <c r="I23" i="4"/>
  <c r="K23" i="4" s="1"/>
  <c r="J24" i="4"/>
  <c r="L24" i="4" s="1"/>
  <c r="I24" i="4"/>
  <c r="K24" i="4" s="1"/>
  <c r="J25" i="4"/>
  <c r="L25" i="4" s="1"/>
  <c r="I25" i="4"/>
  <c r="K25" i="4" s="1"/>
  <c r="J20" i="4"/>
  <c r="L20" i="4" s="1"/>
  <c r="I20" i="4"/>
  <c r="K20" i="4" s="1"/>
  <c r="J22" i="4"/>
  <c r="L22" i="4" s="1"/>
  <c r="I22" i="4"/>
  <c r="K22" i="4" s="1"/>
  <c r="I33" i="4"/>
  <c r="K33" i="4" s="1"/>
  <c r="J33" i="4"/>
  <c r="L33" i="4" s="1"/>
  <c r="H37" i="4"/>
  <c r="I10" i="4"/>
  <c r="K10" i="4" s="1"/>
  <c r="J10" i="4"/>
  <c r="L10" i="4" s="1"/>
  <c r="H65" i="25"/>
  <c r="H69" i="25"/>
  <c r="F69" i="25"/>
  <c r="E69" i="25"/>
  <c r="G69" i="25"/>
  <c r="F54" i="25"/>
  <c r="H54" i="25"/>
  <c r="E58" i="25"/>
  <c r="E56" i="25"/>
  <c r="E57" i="25"/>
  <c r="F7" i="5"/>
  <c r="H7" i="5" s="1"/>
  <c r="G54" i="25"/>
  <c r="E9" i="5"/>
  <c r="F9" i="5" s="1"/>
  <c r="H9" i="5" s="1"/>
  <c r="H8" i="4"/>
  <c r="H9" i="4"/>
  <c r="J9" i="4" s="1"/>
  <c r="D68" i="25"/>
  <c r="D64" i="25"/>
  <c r="D7" i="5"/>
  <c r="D28" i="25" s="1"/>
  <c r="D8" i="5"/>
  <c r="D29" i="25" s="1"/>
  <c r="D27" i="25"/>
  <c r="E59" i="25" l="1"/>
  <c r="E55" i="25"/>
  <c r="E45" i="25"/>
  <c r="E60" i="25"/>
  <c r="J37" i="4"/>
  <c r="J8" i="4"/>
  <c r="I8" i="4"/>
  <c r="K8" i="4" s="1"/>
  <c r="F45" i="25"/>
  <c r="E68" i="25"/>
  <c r="I9" i="4"/>
  <c r="K9" i="4" s="1"/>
  <c r="L9" i="4"/>
  <c r="H68" i="25"/>
  <c r="F68" i="25"/>
  <c r="H59" i="25"/>
  <c r="F59" i="25"/>
  <c r="H57" i="25"/>
  <c r="F57" i="25"/>
  <c r="H55" i="25"/>
  <c r="F55" i="25"/>
  <c r="H60" i="25"/>
  <c r="F60" i="25"/>
  <c r="H58" i="25"/>
  <c r="F58" i="25"/>
  <c r="H56" i="25"/>
  <c r="F56" i="25"/>
  <c r="F64" i="25"/>
  <c r="G30" i="25"/>
  <c r="E30" i="25"/>
  <c r="G28" i="25"/>
  <c r="E28" i="25"/>
  <c r="H45" i="25"/>
  <c r="F42" i="25"/>
  <c r="I37" i="4"/>
  <c r="H27" i="4"/>
  <c r="G9" i="5"/>
  <c r="F8" i="5"/>
  <c r="H8" i="5" s="1"/>
  <c r="G7" i="5"/>
  <c r="G45" i="25"/>
  <c r="G57" i="25"/>
  <c r="G59" i="25"/>
  <c r="G55" i="25"/>
  <c r="G58" i="25"/>
  <c r="G60" i="25"/>
  <c r="G56" i="25"/>
  <c r="F27" i="25"/>
  <c r="H38" i="4" l="1"/>
  <c r="A87" i="25" s="1"/>
  <c r="F30" i="25"/>
  <c r="I9" i="5"/>
  <c r="H30" i="25" s="1"/>
  <c r="F28" i="25"/>
  <c r="I7" i="5"/>
  <c r="H28" i="25" s="1"/>
  <c r="E44" i="25"/>
  <c r="F44" i="25"/>
  <c r="F43" i="25"/>
  <c r="E43" i="25"/>
  <c r="I27" i="4"/>
  <c r="I38" i="4" s="1"/>
  <c r="E12" i="5"/>
  <c r="G65" i="25"/>
  <c r="G42" i="25"/>
  <c r="E42" i="25"/>
  <c r="F72" i="25"/>
  <c r="G29" i="25"/>
  <c r="E29" i="25"/>
  <c r="E72" i="25"/>
  <c r="E64" i="25"/>
  <c r="H43" i="25"/>
  <c r="H44" i="25"/>
  <c r="F5" i="5"/>
  <c r="H5" i="5" s="1"/>
  <c r="H12" i="5" s="1"/>
  <c r="H42" i="25"/>
  <c r="J27" i="4"/>
  <c r="G68" i="25"/>
  <c r="H27" i="25"/>
  <c r="G44" i="25"/>
  <c r="G43" i="25"/>
  <c r="G64" i="25"/>
  <c r="E62" i="25" l="1"/>
  <c r="K37" i="4"/>
  <c r="G72" i="25" s="1"/>
  <c r="F62" i="25"/>
  <c r="J38" i="4"/>
  <c r="D4" i="25" s="1"/>
  <c r="E26" i="25"/>
  <c r="F12" i="5"/>
  <c r="L27" i="4"/>
  <c r="H64" i="25"/>
  <c r="K27" i="4"/>
  <c r="F26" i="25"/>
  <c r="G8" i="5"/>
  <c r="F29" i="25" l="1"/>
  <c r="I8" i="5"/>
  <c r="H29" i="25" s="1"/>
  <c r="H62" i="25"/>
  <c r="L38" i="4"/>
  <c r="L40" i="4" s="1"/>
  <c r="G62" i="25"/>
  <c r="K38" i="4"/>
  <c r="B81" i="25"/>
  <c r="F73" i="25"/>
  <c r="C92" i="25"/>
  <c r="E33" i="25"/>
  <c r="B5" i="25"/>
  <c r="G26" i="25"/>
  <c r="H72" i="25"/>
  <c r="E73" i="25"/>
  <c r="B4" i="25"/>
  <c r="C81" i="25"/>
  <c r="G12" i="5"/>
  <c r="H26" i="25"/>
  <c r="B101" i="25" l="1"/>
  <c r="B102" i="25"/>
  <c r="C102" i="25"/>
  <c r="C101" i="25"/>
  <c r="D5" i="25"/>
  <c r="B92" i="25"/>
  <c r="C93" i="25"/>
  <c r="G33" i="25"/>
  <c r="C5" i="25"/>
  <c r="B82" i="25"/>
  <c r="H73" i="25"/>
  <c r="G73" i="25"/>
  <c r="C82" i="25"/>
  <c r="C4" i="25"/>
  <c r="I12" i="5"/>
  <c r="F33" i="25"/>
  <c r="B93" i="25" l="1"/>
  <c r="B96" i="25"/>
  <c r="E5" i="25"/>
  <c r="B85" i="25"/>
  <c r="H75" i="25"/>
  <c r="E4" i="25"/>
  <c r="C85" i="25"/>
  <c r="G75" i="25"/>
  <c r="H33" i="25"/>
  <c r="C96" i="25" l="1"/>
</calcChain>
</file>

<file path=xl/sharedStrings.xml><?xml version="1.0" encoding="utf-8"?>
<sst xmlns="http://schemas.openxmlformats.org/spreadsheetml/2006/main" count="336" uniqueCount="187">
  <si>
    <t>2022 CGP ICR - Agency Labor Burden</t>
  </si>
  <si>
    <t>Federal:</t>
  </si>
  <si>
    <t>Labor rate (2024)</t>
  </si>
  <si>
    <t>Hours Per Response</t>
  </si>
  <si>
    <t>Number of Annual Reponses</t>
  </si>
  <si>
    <t>Annual Hours Burden</t>
  </si>
  <si>
    <r>
      <t xml:space="preserve">Annual Cost Burden </t>
    </r>
    <r>
      <rPr>
        <b/>
        <vertAlign val="superscript"/>
        <sz val="11"/>
        <color rgb="FF000000"/>
        <rFont val="Calibri"/>
        <family val="2"/>
        <scheme val="minor"/>
      </rPr>
      <t>2</t>
    </r>
  </si>
  <si>
    <t>Activity</t>
  </si>
  <si>
    <r>
      <t xml:space="preserve">2017 NPDES Program ICR </t>
    </r>
    <r>
      <rPr>
        <b/>
        <vertAlign val="superscript"/>
        <sz val="11"/>
        <color rgb="FF000000"/>
        <rFont val="Calibri"/>
        <family val="2"/>
        <scheme val="minor"/>
      </rPr>
      <t>1</t>
    </r>
  </si>
  <si>
    <t xml:space="preserve">2022 CGP Incremental Change </t>
  </si>
  <si>
    <t xml:space="preserve">2022 CGP Total Hours per Response </t>
  </si>
  <si>
    <t xml:space="preserve">2022 CGP No. Annual Responses </t>
  </si>
  <si>
    <t xml:space="preserve"> 2022 CGP Incremental Change in Annual Burden (hrs)</t>
  </si>
  <si>
    <t xml:space="preserve"> 2022 CGP Annual Burden (hrs) </t>
  </si>
  <si>
    <t xml:space="preserve"> 2022 CGP Incremental Change in Annual Cost</t>
  </si>
  <si>
    <t>2022 CGP Annual Cost</t>
  </si>
  <si>
    <t>NOI review</t>
  </si>
  <si>
    <t>NOT review</t>
  </si>
  <si>
    <t>Waiver Certification Review</t>
  </si>
  <si>
    <t>SWPPP review</t>
  </si>
  <si>
    <t>Standard/Other Reports</t>
  </si>
  <si>
    <t>Turbidity Monitoring Report Review</t>
  </si>
  <si>
    <t>NA</t>
  </si>
  <si>
    <t>Turbidity Report Follow-up</t>
  </si>
  <si>
    <t>Total Agency Activities</t>
  </si>
  <si>
    <t xml:space="preserve"> </t>
  </si>
  <si>
    <t>Table Endnotes</t>
  </si>
  <si>
    <r>
      <rPr>
        <vertAlign val="superscript"/>
        <sz val="11"/>
        <rFont val="Calibri"/>
        <family val="2"/>
        <scheme val="minor"/>
      </rPr>
      <t>1</t>
    </r>
    <r>
      <rPr>
        <sz val="11"/>
        <rFont val="Calibri"/>
        <family val="2"/>
        <scheme val="minor"/>
      </rPr>
      <t xml:space="preserve"> NA indicates that the 2017 NPDES Programmatic ICR did not account for this new burden item.</t>
    </r>
  </si>
  <si>
    <r>
      <rPr>
        <vertAlign val="superscript"/>
        <sz val="11"/>
        <color theme="1"/>
        <rFont val="Calibri"/>
        <family val="2"/>
        <scheme val="minor"/>
      </rPr>
      <t>2</t>
    </r>
    <r>
      <rPr>
        <sz val="11"/>
        <color theme="1"/>
        <rFont val="Calibri"/>
        <family val="2"/>
        <scheme val="minor"/>
      </rPr>
      <t xml:space="preserve"> In the 2022 CGP ICR, EPA assumed that the fully loaded cost of employment for a federal employee is $46.02.</t>
    </r>
  </si>
  <si>
    <t>2022 CGP ICR - Respondent Burden and Cost Table</t>
  </si>
  <si>
    <t>Annual Cost Burden</t>
  </si>
  <si>
    <r>
      <t xml:space="preserve">2017 NPDES Program ICR </t>
    </r>
    <r>
      <rPr>
        <b/>
        <vertAlign val="superscript"/>
        <sz val="9"/>
        <color rgb="FF000000"/>
        <rFont val="Calibri"/>
        <family val="2"/>
        <scheme val="minor"/>
      </rPr>
      <t>1</t>
    </r>
  </si>
  <si>
    <t xml:space="preserve"> 2022 CGP Incremental Change </t>
  </si>
  <si>
    <t xml:space="preserve"> 2022 CGP Total</t>
  </si>
  <si>
    <t xml:space="preserve"> 2022 CGP Number of Respondents</t>
  </si>
  <si>
    <t>Number of Occurrences Per Year</t>
  </si>
  <si>
    <t>2022 CGP Incremental Change in Annual Responses</t>
  </si>
  <si>
    <t xml:space="preserve"> 2022 CGP Number of Annual Responses </t>
  </si>
  <si>
    <t xml:space="preserve"> 2022 CGP Total Annual Burden (hrs)</t>
  </si>
  <si>
    <r>
      <t xml:space="preserve"> 2022 CGP Incremental Change in Annual Cost </t>
    </r>
    <r>
      <rPr>
        <b/>
        <vertAlign val="superscript"/>
        <sz val="9"/>
        <rFont val="Calibri"/>
        <family val="2"/>
        <scheme val="minor"/>
      </rPr>
      <t>2</t>
    </r>
  </si>
  <si>
    <r>
      <t xml:space="preserve"> 2022 CGP Total Annual Cost </t>
    </r>
    <r>
      <rPr>
        <b/>
        <vertAlign val="superscript"/>
        <sz val="9"/>
        <color rgb="FF000000"/>
        <rFont val="Calibri"/>
        <family val="2"/>
        <scheme val="minor"/>
      </rPr>
      <t>2</t>
    </r>
  </si>
  <si>
    <t>Reporting Requirements</t>
  </si>
  <si>
    <t>NOI - Large Sites</t>
  </si>
  <si>
    <t>With ESA Evaluation and No Consultation</t>
  </si>
  <si>
    <t>With ESA Evaluation and Informal Consultation</t>
  </si>
  <si>
    <t>With ESA Evaluation and Formal Consultation</t>
  </si>
  <si>
    <t>NOI - Small Sites with ESA Evaluation and Consultation</t>
  </si>
  <si>
    <t>Appendix D - Eligibility Procedures Relating to Threatened and Endangered Species Protection</t>
  </si>
  <si>
    <t>Included in NOI burden</t>
  </si>
  <si>
    <t>-</t>
  </si>
  <si>
    <t>Appendix E - Historic Property Screening Step 5 (Contact SHPO/THPO)</t>
  </si>
  <si>
    <t>Appendix L - Request for Chemical Treatment</t>
  </si>
  <si>
    <t>Appendix C - Small Construction Waiver</t>
  </si>
  <si>
    <t>NOT</t>
  </si>
  <si>
    <t>Turbidity Benchmark Monitoring - Sampling</t>
  </si>
  <si>
    <t>Turbidity Benchmark Monitoring - Reporting</t>
  </si>
  <si>
    <t>Standard/Other Reporting</t>
  </si>
  <si>
    <t xml:space="preserve">Planned Facility Changes </t>
  </si>
  <si>
    <t>Anticipated Noncompliance</t>
  </si>
  <si>
    <t>24hr reporting - Unanticipated Bypass or Upset (Verbal)</t>
  </si>
  <si>
    <t>24hr reporting - Unanticipated Bypass or Upset (Written)</t>
  </si>
  <si>
    <t>24hr reporting - Violation of Maximum Daily Discharge (Verbal)</t>
  </si>
  <si>
    <t>24hr reporting - Violation of Maximum Daily Discharge (Written)</t>
  </si>
  <si>
    <t>Other Noncompliance reporting</t>
  </si>
  <si>
    <t xml:space="preserve">Other Info - Permittee Report of Inaccurate Previous Information </t>
  </si>
  <si>
    <t>Reporting Subtotal</t>
  </si>
  <si>
    <t>Recordkeeping Requirements</t>
  </si>
  <si>
    <t>Develop New SWPPP - Large Sites</t>
  </si>
  <si>
    <t>Develop New SWPPP - Small Sites</t>
  </si>
  <si>
    <r>
      <t xml:space="preserve">SWPPP Benchmark Monitoring Procedure </t>
    </r>
    <r>
      <rPr>
        <vertAlign val="superscript"/>
        <sz val="11"/>
        <rFont val="Calibri"/>
        <family val="2"/>
        <scheme val="minor"/>
      </rPr>
      <t>3</t>
    </r>
  </si>
  <si>
    <t>Part of developing a SWPPP</t>
  </si>
  <si>
    <t>Update SWPPP</t>
  </si>
  <si>
    <t>Included in SWPPP development burden</t>
  </si>
  <si>
    <t>Site Inspections - Large Sites</t>
  </si>
  <si>
    <t>Site Inspections - Small Sites</t>
  </si>
  <si>
    <t>Dewatering Inspections</t>
  </si>
  <si>
    <t>Corrective Action Records</t>
  </si>
  <si>
    <t xml:space="preserve">Included in burden estimate for site inspections, dewatering inspections, and turbidity monitoring </t>
  </si>
  <si>
    <t>Recordkeeping Subtotal</t>
  </si>
  <si>
    <t>Total Labor Burden and Cost</t>
  </si>
  <si>
    <t>Total Capital and O&amp;M</t>
  </si>
  <si>
    <t>Grand Total</t>
  </si>
  <si>
    <t>Hours (respondent + agency)</t>
  </si>
  <si>
    <t>Responses (respondent + agency)</t>
  </si>
  <si>
    <t>hours per response</t>
  </si>
  <si>
    <r>
      <t>2</t>
    </r>
    <r>
      <rPr>
        <sz val="11"/>
        <rFont val="Calibri"/>
        <family val="2"/>
        <scheme val="minor"/>
      </rPr>
      <t xml:space="preserve"> In the 2022 CGP ICR, EPA assumed that the fully loaded cost of employment for a private sector employee is $73.47.</t>
    </r>
  </si>
  <si>
    <r>
      <rPr>
        <vertAlign val="superscript"/>
        <sz val="11"/>
        <color theme="1"/>
        <rFont val="Calibri"/>
        <family val="2"/>
        <scheme val="minor"/>
      </rPr>
      <t xml:space="preserve">3 </t>
    </r>
    <r>
      <rPr>
        <sz val="11"/>
        <color theme="1"/>
        <rFont val="Calibri"/>
        <family val="2"/>
        <scheme val="minor"/>
      </rPr>
      <t>A subpopulation of respondents need to document their benchmark monitoring procedures in their SWPPP. This is not considered a new response, as it is included in the overall SWPPP response. The burden is calculated in a separate line because the burden applies to a subset of the respondent population</t>
    </r>
  </si>
  <si>
    <t>Calculations for Turbidity Monitoring Requirements</t>
  </si>
  <si>
    <t>Dewatering Turbidity Monitoring Reports</t>
  </si>
  <si>
    <t>Estimate</t>
  </si>
  <si>
    <t>Notes</t>
  </si>
  <si>
    <r>
      <t xml:space="preserve">Average data entry time per element </t>
    </r>
    <r>
      <rPr>
        <vertAlign val="superscript"/>
        <sz val="11"/>
        <color theme="1"/>
        <rFont val="Calibri"/>
        <family val="2"/>
        <scheme val="minor"/>
      </rPr>
      <t>1</t>
    </r>
    <r>
      <rPr>
        <sz val="11"/>
        <color theme="1"/>
        <rFont val="Calibri"/>
        <family val="2"/>
        <scheme val="minor"/>
      </rPr>
      <t xml:space="preserve"> (hours)</t>
    </r>
  </si>
  <si>
    <t xml:space="preserve">This average is based on burden reported in the Economic Analysis of the National Pollutant Discharge Elimination System Electronic Reporting Final Rule (9/2015, Table 4-9 Page 4-14). It is an average of the Hybrid and Batch methods. https://www.epa.gov/sites/production/files/2015-09/documents/npdesea.pdf </t>
  </si>
  <si>
    <t>No. of elements to report per DMR</t>
  </si>
  <si>
    <t xml:space="preserve">Respondents need to fill in either "no dewatering discharge" or the weekly sampling average for every week in the quarter, which is 13 weeks. </t>
  </si>
  <si>
    <t>Hours per Response</t>
  </si>
  <si>
    <t>Turbidity Meter Capital and Operation &amp; Maintenance Costs</t>
  </si>
  <si>
    <t>Monitoring Device</t>
  </si>
  <si>
    <r>
      <t xml:space="preserve">Capital/ Startup Cost for One Respondent </t>
    </r>
    <r>
      <rPr>
        <b/>
        <vertAlign val="superscript"/>
        <sz val="10"/>
        <color theme="1"/>
        <rFont val="Calibri"/>
        <family val="2"/>
        <scheme val="minor"/>
      </rPr>
      <t>1</t>
    </r>
  </si>
  <si>
    <t xml:space="preserve">Number of Respondents </t>
  </si>
  <si>
    <t>Total Capital/ Startup Cost</t>
  </si>
  <si>
    <r>
      <t>Annual O&amp;M Costs for One Respondent</t>
    </r>
    <r>
      <rPr>
        <vertAlign val="superscript"/>
        <sz val="10"/>
        <color theme="1"/>
        <rFont val="Calibri"/>
        <family val="2"/>
        <scheme val="minor"/>
      </rPr>
      <t>b</t>
    </r>
  </si>
  <si>
    <t>Number of Respondents with O&amp;M</t>
  </si>
  <si>
    <t>Total O&amp;M</t>
  </si>
  <si>
    <t>Turbidity Meter</t>
  </si>
  <si>
    <r>
      <rPr>
        <vertAlign val="superscript"/>
        <sz val="11"/>
        <color theme="1"/>
        <rFont val="Calibri"/>
        <family val="2"/>
        <scheme val="minor"/>
      </rPr>
      <t>a</t>
    </r>
    <r>
      <rPr>
        <sz val="11"/>
        <color theme="1"/>
        <rFont val="Calibri"/>
        <family val="2"/>
        <scheme val="minor"/>
      </rPr>
      <t xml:space="preserve"> EPA surveyed publicly available price information from a variety of analytical instrument retailers for prices and instrument information. Of the instruments with publicly available prices that were advertised as able to comply with EPA analytical method standards for turbidity, prices ranged from $970 - $1,870 with a median price of $1,043. Further information on this survey can be found in the Incremental Cost Impact Analysis for the 2022 CGP. </t>
    </r>
  </si>
  <si>
    <r>
      <rPr>
        <vertAlign val="superscript"/>
        <sz val="11"/>
        <color theme="1"/>
        <rFont val="Calibri"/>
        <family val="2"/>
        <scheme val="minor"/>
      </rPr>
      <t xml:space="preserve">b </t>
    </r>
    <r>
      <rPr>
        <sz val="11"/>
        <color theme="1"/>
        <rFont val="Calibri"/>
        <family val="2"/>
        <scheme val="minor"/>
      </rPr>
      <t>EPA assumes that calibration standards are included with the purchase of a turbidity meter, and thus the O&amp;M cost of purchasing calibration standards is included in the capital cost estimate.</t>
    </r>
  </si>
  <si>
    <t>Respondent Percentage</t>
  </si>
  <si>
    <t>Proposed 2022 CGP ICR</t>
  </si>
  <si>
    <t># of NOIs (including Idaho)</t>
  </si>
  <si>
    <t xml:space="preserve">https://permitsearch.epa.gov/epermit-search/ui/search </t>
  </si>
  <si>
    <t># of NOIs (excluding Idaho)</t>
  </si>
  <si>
    <t>2022 CGP NOI Data (Years 1 and 2 of 2022 CGP NOI Data)</t>
  </si>
  <si>
    <t>Operators with Large Sites</t>
  </si>
  <si>
    <t>37% used in 2017 NPDES Program ICR, updated to 41% using 2017 CGP NOI Data (2017-2020), and updated to 45% using the first two years of the 2022 CGP NOI data for 2022 CGP ICR (sites greater than 5 acres)</t>
  </si>
  <si>
    <t>NOI - Large Sites  (ESA Criterion A, B)</t>
  </si>
  <si>
    <t>Same assumption made in 2017 NPDES Program ICR: 60% of large sites</t>
  </si>
  <si>
    <t>NOI - Large Sites  (ESA Criterion C, D, E - Informal Eval)</t>
  </si>
  <si>
    <t>Same assumption made in 2017 NPDES Program ICR: 37.3% of large sites</t>
  </si>
  <si>
    <t>NOI - Large Sites (ESA Criterion F - Formal Eval)</t>
  </si>
  <si>
    <t>Same assumption made in 2017 NPDES Program ICR: 2.7% of large sites</t>
  </si>
  <si>
    <t>Operators with Small Sites</t>
  </si>
  <si>
    <t>63% used in 2017 NPDES Program ICR, updated to 59% using 2017 CGP NOI Data (2017-2020). Updated to 55% in 2024 using the first two years of 2022 CGP NOI Data for the 2022 CGP ICR (sites less than 5 acres)</t>
  </si>
  <si>
    <t>Operators that discharge into Sensitive Water</t>
  </si>
  <si>
    <t xml:space="preserve">Based on analysis of the first two years of 2022 CGP NOI data , where impairment or TMDL was listed in NOI form based on the following search terms: sediment, turbidity, TSS, solids, or transparency or the water was Tier 2, 2.5, or 3. </t>
  </si>
  <si>
    <t>Waivers (5%)</t>
  </si>
  <si>
    <t>Same assumption made in 2017 NPDES Program ICR: 5% on top of the total number of NOIs submitted each year</t>
  </si>
  <si>
    <t># NOTs</t>
  </si>
  <si>
    <t>Same number as number of NOIs</t>
  </si>
  <si>
    <t>Same assumption made in 2017 NPDES Program ICR</t>
  </si>
  <si>
    <t>Table 1 – Total and Incremental Change in Annual Burden for the 2022 CGP</t>
  </si>
  <si>
    <t>Burden Category</t>
  </si>
  <si>
    <t>2022 CGP Incremental Change in Burden</t>
  </si>
  <si>
    <t>2022 CGP Total Burden</t>
  </si>
  <si>
    <t>Labor Burden (hours)</t>
  </si>
  <si>
    <r>
      <t xml:space="preserve">Total Cost ($)
</t>
    </r>
    <r>
      <rPr>
        <i/>
        <sz val="11"/>
        <rFont val="Calibri"/>
        <family val="2"/>
        <scheme val="minor"/>
      </rPr>
      <t>Labor &amp; Capital/O&amp;M</t>
    </r>
    <r>
      <rPr>
        <i/>
        <vertAlign val="superscript"/>
        <sz val="11"/>
        <rFont val="Calibri"/>
        <family val="2"/>
        <scheme val="minor"/>
      </rPr>
      <t>1</t>
    </r>
  </si>
  <si>
    <r>
      <t xml:space="preserve">Total Cost ($)
</t>
    </r>
    <r>
      <rPr>
        <i/>
        <sz val="11"/>
        <rFont val="Calibri"/>
        <family val="2"/>
        <scheme val="minor"/>
      </rPr>
      <t>Labor &amp; Capital/O&amp;M</t>
    </r>
    <r>
      <rPr>
        <vertAlign val="superscript"/>
        <sz val="11"/>
        <rFont val="Calibri"/>
        <family val="2"/>
        <scheme val="minor"/>
      </rPr>
      <t>1</t>
    </r>
  </si>
  <si>
    <t>Total for Respondents</t>
  </si>
  <si>
    <t>Total for Agency</t>
  </si>
  <si>
    <r>
      <rPr>
        <vertAlign val="superscript"/>
        <sz val="11"/>
        <rFont val="Calibri"/>
        <family val="2"/>
        <scheme val="minor"/>
      </rPr>
      <t>1</t>
    </r>
    <r>
      <rPr>
        <sz val="11"/>
        <rFont val="Calibri"/>
        <family val="2"/>
        <scheme val="minor"/>
      </rPr>
      <t xml:space="preserve"> Total Cost for Agency includes labor only.  There are no associated Capital and O&amp;M costs.</t>
    </r>
  </si>
  <si>
    <t>Table 2 – 2022 CGP NOI Burden Summary</t>
  </si>
  <si>
    <t>2017 NPDES Program ICR</t>
  </si>
  <si>
    <r>
      <t xml:space="preserve"> 2022 CGP Incremental Change </t>
    </r>
    <r>
      <rPr>
        <b/>
        <vertAlign val="superscript"/>
        <sz val="9"/>
        <rFont val="Calibri"/>
        <family val="2"/>
        <scheme val="minor"/>
      </rPr>
      <t>1</t>
    </r>
  </si>
  <si>
    <t>Small sites – Includes endangered species evaluation and any consultation</t>
  </si>
  <si>
    <t xml:space="preserve">Large sites – Initial endangered species evaluation and no consultation (60% of large sites) </t>
  </si>
  <si>
    <t>Large sites – Initial endangered species evaluation and informal consultation (37.3% of large sites)</t>
  </si>
  <si>
    <t>Large sites – Initial endangered species evaluation and formal consultation (2.7% of large sites)</t>
  </si>
  <si>
    <r>
      <t xml:space="preserve">1 </t>
    </r>
    <r>
      <rPr>
        <sz val="9"/>
        <rFont val="Calibri"/>
        <family val="2"/>
        <scheme val="minor"/>
      </rPr>
      <t>Decrease by 0.5 hours due to NeT-CGP streamlining plus increase by 0.1 hours due to new NOI questions. [-0.5 hours + 0.1 hours = -0.4 hours]</t>
    </r>
  </si>
  <si>
    <t>Table 3 - Turbidity Meter Capital and O&amp;M Costs</t>
  </si>
  <si>
    <r>
      <t>Capital/ Startup Cost for One Respondent</t>
    </r>
    <r>
      <rPr>
        <b/>
        <vertAlign val="superscript"/>
        <sz val="11"/>
        <rFont val="Calibri"/>
        <family val="2"/>
        <scheme val="minor"/>
      </rPr>
      <t xml:space="preserve">1 </t>
    </r>
  </si>
  <si>
    <r>
      <t>Annual O&amp;M Costs for One Respondent</t>
    </r>
    <r>
      <rPr>
        <b/>
        <vertAlign val="superscript"/>
        <sz val="11"/>
        <rFont val="Calibri"/>
        <family val="2"/>
        <scheme val="minor"/>
      </rPr>
      <t>2</t>
    </r>
  </si>
  <si>
    <r>
      <t>1</t>
    </r>
    <r>
      <rPr>
        <sz val="10"/>
        <rFont val="Calibri"/>
        <family val="2"/>
        <scheme val="minor"/>
      </rPr>
      <t xml:space="preserve"> EPA surveyed publicly available price information from a variety of analytical instrument retailers for prices and instrument information. Of the instruments with publicly available prices that were advertised as able to comply with EPA analytical method standards for turbidity, prices ranged from $970 - $1,870 with a median price of $1,043. Further information on this survey can be found in the Incremental Cost Impact Analysis for the 2022 CGP..</t>
    </r>
  </si>
  <si>
    <r>
      <t>2</t>
    </r>
    <r>
      <rPr>
        <sz val="10"/>
        <rFont val="Calibri"/>
        <family val="2"/>
        <scheme val="minor"/>
      </rPr>
      <t xml:space="preserve"> EPA assumes that calibration standards are included with the purchase of a turbidity meter, and thus the O&amp;M cost of purchasing calibration standards is included in the capital cost estimate.</t>
    </r>
  </si>
  <si>
    <t>Table 4 - Estimated Agency Burden and Cost</t>
  </si>
  <si>
    <r>
      <t>Annual Cost Burden</t>
    </r>
    <r>
      <rPr>
        <b/>
        <vertAlign val="superscript"/>
        <sz val="11"/>
        <rFont val="Calibri"/>
        <family val="2"/>
        <scheme val="minor"/>
      </rPr>
      <t>2</t>
    </r>
  </si>
  <si>
    <r>
      <t xml:space="preserve">2017 NPDES Program ICR </t>
    </r>
    <r>
      <rPr>
        <b/>
        <vertAlign val="superscript"/>
        <sz val="11"/>
        <rFont val="Calibri"/>
        <family val="2"/>
        <scheme val="minor"/>
      </rPr>
      <t>1</t>
    </r>
  </si>
  <si>
    <t xml:space="preserve">Proposed 2022 CGP Total Hours per Response </t>
  </si>
  <si>
    <r>
      <t>1</t>
    </r>
    <r>
      <rPr>
        <sz val="11"/>
        <rFont val="Calibri"/>
        <family val="2"/>
        <scheme val="minor"/>
      </rPr>
      <t xml:space="preserve"> NA indicates that the 2017 NPDES Programmatic ICR did not account for this new burden item.</t>
    </r>
  </si>
  <si>
    <r>
      <t xml:space="preserve">2 </t>
    </r>
    <r>
      <rPr>
        <sz val="11"/>
        <rFont val="Calibri"/>
        <family val="2"/>
        <scheme val="minor"/>
      </rPr>
      <t>In the 2022 CGP ICR, EPA assumed that the fully loaded cost of employment for a federal employee is $46.02.</t>
    </r>
  </si>
  <si>
    <t>Table 5 - Estimated Respondent Burden and Cost</t>
  </si>
  <si>
    <r>
      <t xml:space="preserve">2017 NPDES Program ICR </t>
    </r>
    <r>
      <rPr>
        <b/>
        <vertAlign val="superscript"/>
        <sz val="9"/>
        <rFont val="Calibri"/>
        <family val="2"/>
        <scheme val="minor"/>
      </rPr>
      <t>1</t>
    </r>
  </si>
  <si>
    <t>2022 CGP Total</t>
  </si>
  <si>
    <t xml:space="preserve"> 2022 CGP Total Annual Cost</t>
  </si>
  <si>
    <t>NOI for Large Sites</t>
  </si>
  <si>
    <t>Appendix L -Request for Chemical Treatment</t>
  </si>
  <si>
    <t>Conduct Routine Inspections - Large Sites</t>
  </si>
  <si>
    <t>Conduct Routine Inspections - Small Sites</t>
  </si>
  <si>
    <t>Dewatering Inspections and Corrective Actions</t>
  </si>
  <si>
    <r>
      <t>1</t>
    </r>
    <r>
      <rPr>
        <sz val="10"/>
        <rFont val="Calibri"/>
        <family val="2"/>
        <scheme val="minor"/>
      </rPr>
      <t xml:space="preserve"> NA indicates that the 2017 NPDES Programmatic ICR did not account for this burden item.</t>
    </r>
  </si>
  <si>
    <r>
      <t>2</t>
    </r>
    <r>
      <rPr>
        <sz val="10"/>
        <rFont val="Calibri"/>
        <family val="2"/>
        <scheme val="minor"/>
      </rPr>
      <t xml:space="preserve"> In the 2022 CGP ICR, EPA assumed that the fully loaded cost of employment for a private sector employee is $62.77.</t>
    </r>
  </si>
  <si>
    <t>Table 6 - Bottom Line Respondent Burden Hours and Cost</t>
  </si>
  <si>
    <t>2022 CGP ICR Total</t>
  </si>
  <si>
    <t>Incremental Change</t>
  </si>
  <si>
    <t>Burden (hours)</t>
  </si>
  <si>
    <t>Costs - Labor (dollars)</t>
  </si>
  <si>
    <t>Costs - Capital (dollars)</t>
  </si>
  <si>
    <t>Costs - O&amp;M (dollars)</t>
  </si>
  <si>
    <t>None</t>
  </si>
  <si>
    <t>Total Costs (dollars)</t>
  </si>
  <si>
    <t>Total Responses</t>
  </si>
  <si>
    <t>Table 7 - Bottom Line Agency Burden Hours and Cost</t>
  </si>
  <si>
    <t>Proposed 2022  CGP ICR Total</t>
  </si>
  <si>
    <t>Respondent Summary Calcs</t>
  </si>
  <si>
    <t>Total</t>
  </si>
  <si>
    <t>Incremental</t>
  </si>
  <si>
    <t>Hours per respondent</t>
  </si>
  <si>
    <t>Hours per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</si>
</sst>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
    <numFmt numFmtId="165" formatCode="_(* #,##0_);_(* \(#,##0\);_(* &quot;-&quot;??_);_(@_)"/>
    <numFmt numFmtId="166" formatCode="&quot;$&quot;#,##0"/>
    <numFmt numFmtId="167" formatCode="&quot;$&quot;#,##0.00"/>
    <numFmt numFmtId="168" formatCode="0.0%"/>
    <numFmt numFmtId="169" formatCode="0.0000"/>
    <numFmt numFmtId="170" formatCode="#,##0.0000"/>
    <numFmt numFmtId="171" formatCode="#,##0.0"/>
  </numFmts>
  <fonts count="5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scheme val="minor"/>
    </font>
    <font>
      <sz val="11"/>
      <color rgb="FF000000"/>
      <name val="Calibri"/>
      <family val="2"/>
      <scheme val="minor"/>
    </font>
    <font>
      <sz val="8"/>
      <color theme="1"/>
      <name val="Calibri"/>
      <family val="2"/>
      <scheme val="minor"/>
    </font>
    <font>
      <sz val="11"/>
      <name val="Calibri"/>
      <family val="2"/>
      <scheme val="minor"/>
    </font>
    <font>
      <u/>
      <sz val="11"/>
      <color theme="10"/>
      <name val="Calibri"/>
      <family val="2"/>
      <scheme val="minor"/>
    </font>
    <font>
      <sz val="11"/>
      <color rgb="FF000000"/>
      <name val="Calibri"/>
      <family val="2"/>
    </font>
    <font>
      <b/>
      <sz val="9"/>
      <color rgb="FF000000"/>
      <name val="Calibri"/>
      <family val="2"/>
      <scheme val="minor"/>
    </font>
    <font>
      <b/>
      <vertAlign val="superscript"/>
      <sz val="9"/>
      <color rgb="FF000000"/>
      <name val="Calibri"/>
      <family val="2"/>
      <scheme val="minor"/>
    </font>
    <font>
      <b/>
      <vertAlign val="superscript"/>
      <sz val="11"/>
      <color rgb="FF000000"/>
      <name val="Calibri"/>
      <family val="2"/>
      <scheme val="minor"/>
    </font>
    <font>
      <b/>
      <sz val="11"/>
      <name val="Calibri"/>
      <family val="2"/>
      <scheme val="minor"/>
    </font>
    <font>
      <vertAlign val="superscript"/>
      <sz val="11"/>
      <name val="Calibri"/>
      <family val="2"/>
      <scheme val="minor"/>
    </font>
    <font>
      <sz val="11"/>
      <color theme="0" tint="-0.499984740745262"/>
      <name val="Calibri"/>
      <family val="2"/>
      <scheme val="minor"/>
    </font>
    <font>
      <b/>
      <i/>
      <sz val="11"/>
      <name val="Calibri"/>
      <family val="2"/>
      <scheme val="minor"/>
    </font>
    <font>
      <i/>
      <sz val="11"/>
      <color theme="0" tint="-0.34998626667073579"/>
      <name val="Calibri"/>
      <family val="2"/>
      <scheme val="minor"/>
    </font>
    <font>
      <i/>
      <u/>
      <sz val="11"/>
      <color rgb="FF000000"/>
      <name val="Calibri"/>
      <family val="2"/>
      <scheme val="minor"/>
    </font>
    <font>
      <vertAlign val="superscript"/>
      <sz val="11"/>
      <color theme="1"/>
      <name val="Calibri"/>
      <family val="2"/>
      <scheme val="minor"/>
    </font>
    <font>
      <b/>
      <i/>
      <sz val="10"/>
      <color rgb="FF000000"/>
      <name val="Calibri"/>
      <family val="2"/>
      <scheme val="minor"/>
    </font>
    <font>
      <b/>
      <sz val="10"/>
      <color rgb="FF000000"/>
      <name val="Calibri"/>
      <family val="2"/>
      <scheme val="minor"/>
    </font>
    <font>
      <i/>
      <sz val="11"/>
      <color theme="1"/>
      <name val="Calibri"/>
      <family val="2"/>
      <scheme val="minor"/>
    </font>
    <font>
      <i/>
      <sz val="11"/>
      <name val="Calibri"/>
      <family val="2"/>
      <scheme val="minor"/>
    </font>
    <font>
      <sz val="10"/>
      <color theme="1"/>
      <name val="Calibri"/>
      <family val="2"/>
      <scheme val="minor"/>
    </font>
    <font>
      <b/>
      <vertAlign val="superscript"/>
      <sz val="10"/>
      <color theme="1"/>
      <name val="Calibri"/>
      <family val="2"/>
      <scheme val="minor"/>
    </font>
    <font>
      <vertAlign val="superscript"/>
      <sz val="10"/>
      <color theme="1"/>
      <name val="Calibri"/>
      <family val="2"/>
      <scheme val="minor"/>
    </font>
    <font>
      <b/>
      <vertAlign val="superscript"/>
      <sz val="11"/>
      <name val="Calibri"/>
      <family val="2"/>
      <scheme val="minor"/>
    </font>
    <font>
      <vertAlign val="superscript"/>
      <sz val="10"/>
      <name val="Calibri"/>
      <family val="2"/>
      <scheme val="minor"/>
    </font>
    <font>
      <sz val="10"/>
      <name val="Calibri"/>
      <family val="2"/>
      <scheme val="minor"/>
    </font>
    <font>
      <b/>
      <sz val="9"/>
      <name val="Calibri"/>
      <family val="2"/>
      <scheme val="minor"/>
    </font>
    <font>
      <sz val="11"/>
      <color rgb="FF9966FF"/>
      <name val="Calibri"/>
      <family val="2"/>
      <scheme val="minor"/>
    </font>
    <font>
      <b/>
      <vertAlign val="superscript"/>
      <sz val="9"/>
      <name val="Calibri"/>
      <family val="2"/>
      <scheme val="minor"/>
    </font>
    <font>
      <i/>
      <vertAlign val="superscript"/>
      <sz val="11"/>
      <name val="Calibri"/>
      <family val="2"/>
      <scheme val="minor"/>
    </font>
    <font>
      <strike/>
      <sz val="11"/>
      <name val="Calibri"/>
      <family val="2"/>
      <scheme val="minor"/>
    </font>
    <font>
      <vertAlign val="superscript"/>
      <sz val="9"/>
      <name val="Calibri"/>
      <family val="2"/>
      <scheme val="minor"/>
    </font>
    <font>
      <sz val="9"/>
      <name val="Calibri"/>
      <family val="2"/>
      <scheme val="minor"/>
    </font>
    <font>
      <i/>
      <u/>
      <sz val="11"/>
      <name val="Calibri"/>
      <family val="2"/>
      <scheme val="minor"/>
    </font>
    <font>
      <b/>
      <i/>
      <sz val="10"/>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D9D9D9"/>
        <bgColor indexed="64"/>
      </patternFill>
    </fill>
    <fill>
      <patternFill patternType="solid">
        <fgColor rgb="FFBFBFBF"/>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2" fillId="0" borderId="0" applyNumberFormat="0" applyFill="0" applyBorder="0" applyAlignment="0" applyProtection="0"/>
    <xf numFmtId="0" fontId="23" fillId="0" borderId="0"/>
    <xf numFmtId="9" fontId="1" fillId="0" borderId="0" applyFont="0" applyFill="0" applyBorder="0" applyAlignment="0" applyProtection="0"/>
  </cellStyleXfs>
  <cellXfs count="243">
    <xf numFmtId="0" fontId="0" fillId="0" borderId="0" xfId="0"/>
    <xf numFmtId="0" fontId="0" fillId="0" borderId="0" xfId="0" applyAlignment="1">
      <alignment horizontal="left"/>
    </xf>
    <xf numFmtId="0" fontId="20" fillId="0" borderId="0" xfId="0" applyFont="1" applyAlignment="1">
      <alignment vertical="center"/>
    </xf>
    <xf numFmtId="1" fontId="0" fillId="0" borderId="0" xfId="42" applyNumberFormat="1" applyFont="1" applyAlignment="1">
      <alignment horizontal="center"/>
    </xf>
    <xf numFmtId="0" fontId="0" fillId="0" borderId="0" xfId="0" applyAlignment="1">
      <alignment horizontal="center"/>
    </xf>
    <xf numFmtId="1" fontId="0" fillId="0" borderId="0" xfId="42" applyNumberFormat="1" applyFont="1"/>
    <xf numFmtId="6" fontId="0" fillId="0" borderId="0" xfId="0" applyNumberFormat="1"/>
    <xf numFmtId="0" fontId="18" fillId="0" borderId="11" xfId="0" applyFont="1" applyBorder="1" applyAlignment="1">
      <alignment horizontal="center" vertical="center" wrapText="1"/>
    </xf>
    <xf numFmtId="0" fontId="19" fillId="0" borderId="0" xfId="0" applyFont="1" applyAlignment="1">
      <alignment horizontal="left" vertical="center"/>
    </xf>
    <xf numFmtId="0" fontId="22" fillId="0" borderId="0" xfId="44" applyBorder="1" applyAlignment="1">
      <alignment horizontal="left"/>
    </xf>
    <xf numFmtId="0" fontId="20" fillId="0" borderId="0" xfId="0" applyFont="1" applyAlignment="1">
      <alignment horizontal="left" vertical="center"/>
    </xf>
    <xf numFmtId="0" fontId="16" fillId="0" borderId="0" xfId="0" applyFont="1" applyAlignment="1">
      <alignment horizontal="left" vertical="center"/>
    </xf>
    <xf numFmtId="0" fontId="18" fillId="0" borderId="11" xfId="0" applyFont="1" applyBorder="1" applyAlignment="1">
      <alignment vertical="center" wrapText="1"/>
    </xf>
    <xf numFmtId="0" fontId="19" fillId="0" borderId="11" xfId="0" applyFont="1" applyBorder="1" applyAlignment="1">
      <alignment vertical="center" wrapText="1"/>
    </xf>
    <xf numFmtId="0" fontId="18" fillId="0" borderId="11" xfId="0" applyFont="1" applyBorder="1" applyAlignment="1">
      <alignment horizontal="left" vertical="center" wrapText="1"/>
    </xf>
    <xf numFmtId="0" fontId="0" fillId="0" borderId="11" xfId="0" applyBorder="1" applyAlignment="1">
      <alignment horizontal="center" vertical="center"/>
    </xf>
    <xf numFmtId="0" fontId="0" fillId="0" borderId="0" xfId="0" applyAlignment="1">
      <alignment horizontal="right"/>
    </xf>
    <xf numFmtId="166" fontId="0" fillId="0" borderId="0" xfId="42" applyNumberFormat="1" applyFont="1"/>
    <xf numFmtId="1" fontId="21" fillId="0" borderId="11" xfId="0" applyNumberFormat="1" applyFont="1" applyBorder="1" applyAlignment="1">
      <alignment horizontal="center" vertical="center" wrapText="1"/>
    </xf>
    <xf numFmtId="1" fontId="21" fillId="0" borderId="11" xfId="42" applyNumberFormat="1" applyFont="1" applyFill="1" applyBorder="1" applyAlignment="1">
      <alignment horizontal="center" vertical="center" wrapText="1"/>
    </xf>
    <xf numFmtId="0" fontId="16" fillId="0" borderId="0" xfId="0" applyFont="1"/>
    <xf numFmtId="166" fontId="21" fillId="0" borderId="11" xfId="0" applyNumberFormat="1" applyFont="1" applyBorder="1" applyAlignment="1">
      <alignment horizontal="center" vertical="center" wrapText="1"/>
    </xf>
    <xf numFmtId="0" fontId="24" fillId="34" borderId="11" xfId="0" applyFont="1" applyFill="1" applyBorder="1" applyAlignment="1">
      <alignment horizontal="center" vertical="center" wrapText="1"/>
    </xf>
    <xf numFmtId="0" fontId="19" fillId="0" borderId="11" xfId="0" applyFont="1" applyBorder="1" applyAlignment="1">
      <alignment horizontal="left" vertical="center" wrapText="1"/>
    </xf>
    <xf numFmtId="0" fontId="21" fillId="0" borderId="11" xfId="0" applyFont="1" applyBorder="1" applyAlignment="1">
      <alignment horizontal="left" vertical="center" wrapText="1"/>
    </xf>
    <xf numFmtId="0" fontId="16" fillId="0" borderId="0" xfId="0" applyFont="1" applyAlignment="1">
      <alignment vertical="center"/>
    </xf>
    <xf numFmtId="0" fontId="21" fillId="0" borderId="0" xfId="0" applyFont="1" applyAlignment="1">
      <alignment horizontal="left" vertical="center"/>
    </xf>
    <xf numFmtId="0" fontId="21" fillId="0" borderId="0" xfId="0" applyFont="1"/>
    <xf numFmtId="0" fontId="18" fillId="35" borderId="11" xfId="0" applyFont="1" applyFill="1" applyBorder="1" applyAlignment="1">
      <alignment horizontal="center" vertical="center" wrapText="1"/>
    </xf>
    <xf numFmtId="0" fontId="18" fillId="33" borderId="11" xfId="0" applyFont="1" applyFill="1" applyBorder="1" applyAlignment="1">
      <alignment horizontal="center" vertical="center" wrapText="1"/>
    </xf>
    <xf numFmtId="3" fontId="27" fillId="0" borderId="11" xfId="0" applyNumberFormat="1" applyFont="1" applyBorder="1" applyAlignment="1">
      <alignment horizontal="center" vertical="center"/>
    </xf>
    <xf numFmtId="10" fontId="21" fillId="0" borderId="11" xfId="42" applyNumberFormat="1" applyFont="1" applyBorder="1" applyAlignment="1">
      <alignment horizontal="center" vertical="center" wrapText="1"/>
    </xf>
    <xf numFmtId="0" fontId="21" fillId="37" borderId="11" xfId="0" applyFont="1" applyFill="1" applyBorder="1" applyAlignment="1">
      <alignment horizontal="center" vertical="center" wrapText="1"/>
    </xf>
    <xf numFmtId="0" fontId="29" fillId="0" borderId="0" xfId="0" applyFont="1"/>
    <xf numFmtId="44" fontId="21" fillId="0" borderId="0" xfId="43" applyFont="1" applyFill="1" applyBorder="1"/>
    <xf numFmtId="167" fontId="0" fillId="0" borderId="0" xfId="42" applyNumberFormat="1" applyFont="1" applyFill="1" applyAlignment="1">
      <alignment horizontal="center"/>
    </xf>
    <xf numFmtId="1" fontId="21" fillId="37" borderId="11" xfId="42" applyNumberFormat="1" applyFont="1" applyFill="1" applyBorder="1" applyAlignment="1">
      <alignment horizontal="center" vertical="center" wrapText="1"/>
    </xf>
    <xf numFmtId="3" fontId="21" fillId="37" borderId="11" xfId="42" applyNumberFormat="1" applyFont="1" applyFill="1" applyBorder="1" applyAlignment="1">
      <alignment horizontal="center" vertical="center" wrapText="1"/>
    </xf>
    <xf numFmtId="166" fontId="21" fillId="37" borderId="11" xfId="0" applyNumberFormat="1" applyFont="1" applyFill="1" applyBorder="1" applyAlignment="1">
      <alignment horizontal="center" vertical="center" wrapText="1"/>
    </xf>
    <xf numFmtId="166" fontId="30" fillId="37" borderId="13" xfId="42" applyNumberFormat="1" applyFont="1" applyFill="1" applyBorder="1" applyAlignment="1">
      <alignment horizontal="center" vertical="center" wrapText="1"/>
    </xf>
    <xf numFmtId="3" fontId="30" fillId="37" borderId="13" xfId="42" applyNumberFormat="1" applyFont="1" applyFill="1" applyBorder="1" applyAlignment="1">
      <alignment horizontal="center" vertical="center" wrapText="1"/>
    </xf>
    <xf numFmtId="3" fontId="0" fillId="0" borderId="0" xfId="0" applyNumberFormat="1"/>
    <xf numFmtId="3" fontId="21" fillId="37" borderId="11" xfId="0" applyNumberFormat="1" applyFont="1" applyFill="1" applyBorder="1" applyAlignment="1">
      <alignment horizontal="center" vertical="center" wrapText="1"/>
    </xf>
    <xf numFmtId="0" fontId="0" fillId="0" borderId="11" xfId="0" applyBorder="1"/>
    <xf numFmtId="0" fontId="16" fillId="0" borderId="11" xfId="0" applyFont="1" applyBorder="1" applyAlignment="1">
      <alignment horizontal="left"/>
    </xf>
    <xf numFmtId="1" fontId="21" fillId="0" borderId="11" xfId="0" applyNumberFormat="1" applyFont="1" applyBorder="1" applyAlignment="1">
      <alignment horizontal="center"/>
    </xf>
    <xf numFmtId="0" fontId="16" fillId="0" borderId="11" xfId="0" applyFont="1" applyBorder="1"/>
    <xf numFmtId="1" fontId="0" fillId="0" borderId="11" xfId="0" applyNumberFormat="1" applyBorder="1" applyAlignment="1">
      <alignment horizontal="center"/>
    </xf>
    <xf numFmtId="0" fontId="21" fillId="0" borderId="11" xfId="0" applyFont="1" applyBorder="1" applyAlignment="1">
      <alignment horizontal="left" vertical="center" wrapText="1" indent="1"/>
    </xf>
    <xf numFmtId="0" fontId="16" fillId="38" borderId="11" xfId="0" applyFont="1" applyFill="1" applyBorder="1" applyAlignment="1">
      <alignment horizontal="center"/>
    </xf>
    <xf numFmtId="9" fontId="0" fillId="0" borderId="11" xfId="0" applyNumberFormat="1" applyBorder="1" applyAlignment="1">
      <alignment horizontal="center"/>
    </xf>
    <xf numFmtId="9" fontId="0" fillId="0" borderId="0" xfId="0" applyNumberFormat="1" applyAlignment="1">
      <alignment horizontal="center"/>
    </xf>
    <xf numFmtId="9" fontId="31" fillId="0" borderId="11" xfId="0" applyNumberFormat="1" applyFont="1" applyBorder="1" applyAlignment="1">
      <alignment horizontal="center"/>
    </xf>
    <xf numFmtId="0" fontId="32" fillId="0" borderId="11" xfId="0" applyFont="1" applyBorder="1" applyAlignment="1">
      <alignment horizontal="left" vertical="center" wrapText="1"/>
    </xf>
    <xf numFmtId="2" fontId="0" fillId="0" borderId="11" xfId="0" applyNumberFormat="1" applyBorder="1" applyAlignment="1">
      <alignment horizontal="right"/>
    </xf>
    <xf numFmtId="0" fontId="0" fillId="0" borderId="11" xfId="0" applyBorder="1" applyAlignment="1">
      <alignment wrapText="1"/>
    </xf>
    <xf numFmtId="2" fontId="21" fillId="37" borderId="11" xfId="0" applyNumberFormat="1" applyFont="1" applyFill="1" applyBorder="1" applyAlignment="1">
      <alignment horizontal="center" vertical="center" wrapText="1"/>
    </xf>
    <xf numFmtId="0" fontId="22" fillId="0" borderId="11" xfId="44" applyBorder="1" applyAlignment="1"/>
    <xf numFmtId="0" fontId="27" fillId="0" borderId="11" xfId="0" applyFont="1" applyBorder="1" applyAlignment="1">
      <alignment horizontal="left" wrapText="1"/>
    </xf>
    <xf numFmtId="9" fontId="21" fillId="0" borderId="11" xfId="42" applyNumberFormat="1" applyFont="1" applyFill="1" applyBorder="1" applyAlignment="1">
      <alignment horizontal="left" wrapText="1"/>
    </xf>
    <xf numFmtId="168" fontId="21" fillId="0" borderId="11" xfId="42" applyNumberFormat="1" applyFont="1" applyFill="1" applyBorder="1" applyAlignment="1">
      <alignment horizontal="left" wrapText="1"/>
    </xf>
    <xf numFmtId="0" fontId="27" fillId="0" borderId="15" xfId="0" applyFont="1" applyBorder="1" applyAlignment="1">
      <alignment horizontal="left" wrapText="1"/>
    </xf>
    <xf numFmtId="10" fontId="21" fillId="0" borderId="10" xfId="42" applyNumberFormat="1" applyFont="1" applyFill="1" applyBorder="1" applyAlignment="1">
      <alignment horizontal="center" wrapText="1"/>
    </xf>
    <xf numFmtId="0" fontId="34" fillId="0" borderId="11" xfId="0" applyFont="1" applyBorder="1" applyAlignment="1">
      <alignment horizontal="left" vertical="center" wrapText="1"/>
    </xf>
    <xf numFmtId="0" fontId="35" fillId="36" borderId="11" xfId="0" applyFont="1" applyFill="1" applyBorder="1" applyAlignment="1">
      <alignment horizontal="center" vertical="center" wrapText="1"/>
    </xf>
    <xf numFmtId="3" fontId="34" fillId="0" borderId="13" xfId="0" applyNumberFormat="1" applyFont="1" applyBorder="1" applyAlignment="1">
      <alignment horizontal="left" vertical="center" wrapText="1"/>
    </xf>
    <xf numFmtId="1" fontId="21" fillId="37" borderId="11" xfId="42" quotePrefix="1" applyNumberFormat="1" applyFont="1" applyFill="1" applyBorder="1" applyAlignment="1">
      <alignment horizontal="center" vertical="center" wrapText="1"/>
    </xf>
    <xf numFmtId="10" fontId="21" fillId="0" borderId="11" xfId="42" quotePrefix="1" applyNumberFormat="1" applyFont="1" applyBorder="1" applyAlignment="1">
      <alignment horizontal="center" vertical="center" wrapText="1"/>
    </xf>
    <xf numFmtId="0" fontId="16" fillId="34" borderId="11" xfId="0" applyFont="1" applyFill="1" applyBorder="1" applyAlignment="1">
      <alignment horizontal="center" wrapText="1"/>
    </xf>
    <xf numFmtId="9" fontId="21" fillId="0" borderId="10" xfId="42" applyNumberFormat="1" applyFont="1" applyFill="1" applyBorder="1" applyAlignment="1">
      <alignment horizontal="center" wrapText="1"/>
    </xf>
    <xf numFmtId="0" fontId="18" fillId="36" borderId="11" xfId="0" applyFont="1" applyFill="1" applyBorder="1" applyAlignment="1">
      <alignment horizontal="center" vertical="center" wrapText="1"/>
    </xf>
    <xf numFmtId="4" fontId="21" fillId="37" borderId="11" xfId="0" applyNumberFormat="1" applyFont="1" applyFill="1" applyBorder="1" applyAlignment="1">
      <alignment horizontal="center" vertical="center" wrapText="1"/>
    </xf>
    <xf numFmtId="166" fontId="27" fillId="0" borderId="11" xfId="0" applyNumberFormat="1" applyFont="1" applyBorder="1" applyAlignment="1">
      <alignment horizontal="center" vertical="center"/>
    </xf>
    <xf numFmtId="0" fontId="27" fillId="0" borderId="0" xfId="0" applyFont="1" applyAlignment="1">
      <alignment horizontal="center" vertical="center"/>
    </xf>
    <xf numFmtId="3" fontId="21" fillId="0" borderId="19" xfId="0" applyNumberFormat="1" applyFont="1" applyBorder="1" applyAlignment="1">
      <alignment horizontal="center" vertical="center" wrapText="1"/>
    </xf>
    <xf numFmtId="166" fontId="21" fillId="0" borderId="19" xfId="0" applyNumberFormat="1" applyFont="1" applyBorder="1" applyAlignment="1">
      <alignment horizontal="center" vertical="center" wrapText="1"/>
    </xf>
    <xf numFmtId="1" fontId="0" fillId="0" borderId="0" xfId="0" applyNumberFormat="1"/>
    <xf numFmtId="3" fontId="0" fillId="0" borderId="0" xfId="42" applyNumberFormat="1" applyFont="1"/>
    <xf numFmtId="0" fontId="21" fillId="0" borderId="11" xfId="0" applyFont="1" applyBorder="1" applyAlignment="1">
      <alignment horizontal="center" vertical="center" wrapText="1"/>
    </xf>
    <xf numFmtId="2" fontId="21" fillId="0" borderId="11" xfId="0" applyNumberFormat="1" applyFont="1" applyBorder="1" applyAlignment="1">
      <alignment horizontal="center" vertical="center" wrapText="1"/>
    </xf>
    <xf numFmtId="0" fontId="21" fillId="0" borderId="21" xfId="0" applyFont="1" applyBorder="1" applyAlignment="1">
      <alignment horizontal="center" vertical="center" wrapText="1"/>
    </xf>
    <xf numFmtId="9" fontId="0" fillId="0" borderId="11" xfId="46" quotePrefix="1" applyFont="1" applyFill="1" applyBorder="1" applyAlignment="1">
      <alignment horizontal="center"/>
    </xf>
    <xf numFmtId="9" fontId="0" fillId="0" borderId="11" xfId="0" quotePrefix="1" applyNumberFormat="1" applyBorder="1" applyAlignment="1">
      <alignment horizontal="center"/>
    </xf>
    <xf numFmtId="10" fontId="21" fillId="0" borderId="11" xfId="42" applyNumberFormat="1" applyFont="1" applyFill="1" applyBorder="1" applyAlignment="1">
      <alignment horizontal="center" vertical="center" wrapText="1"/>
    </xf>
    <xf numFmtId="164" fontId="21" fillId="0" borderId="11" xfId="0" applyNumberFormat="1" applyFont="1" applyBorder="1" applyAlignment="1">
      <alignment horizontal="center" vertical="center" wrapText="1"/>
    </xf>
    <xf numFmtId="164" fontId="21" fillId="37" borderId="11" xfId="0" applyNumberFormat="1" applyFont="1" applyFill="1" applyBorder="1" applyAlignment="1">
      <alignment horizontal="center" vertical="center" wrapText="1"/>
    </xf>
    <xf numFmtId="4" fontId="21" fillId="0" borderId="11" xfId="0" applyNumberFormat="1" applyFont="1" applyBorder="1" applyAlignment="1">
      <alignment horizontal="center" vertical="center" wrapText="1"/>
    </xf>
    <xf numFmtId="0" fontId="0" fillId="0" borderId="0" xfId="0" applyAlignment="1">
      <alignment wrapText="1"/>
    </xf>
    <xf numFmtId="3" fontId="35" fillId="0" borderId="13" xfId="0" applyNumberFormat="1" applyFont="1" applyBorder="1" applyAlignment="1">
      <alignment horizontal="left" vertical="center" wrapText="1"/>
    </xf>
    <xf numFmtId="0" fontId="37" fillId="0" borderId="0" xfId="0" applyFont="1"/>
    <xf numFmtId="168" fontId="31" fillId="0" borderId="11" xfId="0" applyNumberFormat="1" applyFont="1" applyBorder="1" applyAlignment="1">
      <alignment horizontal="center"/>
    </xf>
    <xf numFmtId="10" fontId="21" fillId="0" borderId="11" xfId="42" quotePrefix="1" applyNumberFormat="1" applyFont="1" applyFill="1" applyBorder="1" applyAlignment="1">
      <alignment horizontal="center" vertical="center" wrapText="1"/>
    </xf>
    <xf numFmtId="166" fontId="0" fillId="0" borderId="11" xfId="0" applyNumberFormat="1" applyBorder="1" applyAlignment="1">
      <alignment horizontal="center" vertical="center"/>
    </xf>
    <xf numFmtId="0" fontId="27" fillId="0" borderId="0" xfId="0" applyFont="1"/>
    <xf numFmtId="167" fontId="21" fillId="0" borderId="0" xfId="44" applyNumberFormat="1" applyFont="1" applyFill="1" applyBorder="1" applyAlignment="1">
      <alignment horizontal="center"/>
    </xf>
    <xf numFmtId="1" fontId="0" fillId="0" borderId="11" xfId="0" applyNumberFormat="1" applyBorder="1" applyAlignment="1">
      <alignment horizontal="center" vertical="center"/>
    </xf>
    <xf numFmtId="0" fontId="38" fillId="39" borderId="11" xfId="0" applyFont="1" applyFill="1" applyBorder="1" applyAlignment="1">
      <alignment horizontal="center" vertical="center" wrapText="1"/>
    </xf>
    <xf numFmtId="2" fontId="16" fillId="0" borderId="11" xfId="0" applyNumberFormat="1" applyFont="1" applyBorder="1"/>
    <xf numFmtId="0" fontId="36" fillId="0" borderId="0" xfId="0" applyFont="1"/>
    <xf numFmtId="1" fontId="0" fillId="0" borderId="11" xfId="43" applyNumberFormat="1" applyFont="1" applyFill="1" applyBorder="1" applyAlignment="1">
      <alignment horizontal="center" vertical="center"/>
    </xf>
    <xf numFmtId="2" fontId="38" fillId="39" borderId="11" xfId="0" applyNumberFormat="1" applyFont="1" applyFill="1" applyBorder="1" applyAlignment="1">
      <alignment horizontal="center" vertical="center" wrapText="1"/>
    </xf>
    <xf numFmtId="166" fontId="0" fillId="0" borderId="0" xfId="0" applyNumberFormat="1"/>
    <xf numFmtId="3" fontId="27" fillId="37" borderId="11" xfId="0" applyNumberFormat="1" applyFont="1" applyFill="1" applyBorder="1" applyAlignment="1">
      <alignment horizontal="center" vertical="center"/>
    </xf>
    <xf numFmtId="166" fontId="27" fillId="37" borderId="11" xfId="0" applyNumberFormat="1" applyFont="1" applyFill="1" applyBorder="1" applyAlignment="1">
      <alignment horizontal="center" vertical="center"/>
    </xf>
    <xf numFmtId="3" fontId="21" fillId="0" borderId="0" xfId="0" applyNumberFormat="1" applyFont="1" applyAlignment="1">
      <alignment horizontal="center" vertical="center" wrapText="1"/>
    </xf>
    <xf numFmtId="166" fontId="21" fillId="0" borderId="0" xfId="0" applyNumberFormat="1" applyFont="1" applyAlignment="1">
      <alignment horizontal="center" vertical="center" wrapText="1"/>
    </xf>
    <xf numFmtId="3" fontId="30" fillId="37" borderId="11" xfId="0" applyNumberFormat="1" applyFont="1" applyFill="1" applyBorder="1" applyAlignment="1">
      <alignment horizontal="center" vertical="center" wrapText="1"/>
    </xf>
    <xf numFmtId="0" fontId="16" fillId="33" borderId="10" xfId="0" applyFont="1" applyFill="1" applyBorder="1" applyAlignment="1">
      <alignment horizontal="center" wrapText="1"/>
    </xf>
    <xf numFmtId="1" fontId="21" fillId="37" borderId="11" xfId="0" applyNumberFormat="1" applyFont="1" applyFill="1" applyBorder="1" applyAlignment="1">
      <alignment horizontal="center" vertical="center" wrapText="1"/>
    </xf>
    <xf numFmtId="166" fontId="30" fillId="37" borderId="11" xfId="0" applyNumberFormat="1" applyFont="1" applyFill="1" applyBorder="1" applyAlignment="1">
      <alignment horizontal="center" vertical="center" wrapText="1"/>
    </xf>
    <xf numFmtId="0" fontId="21" fillId="0" borderId="26" xfId="0" quotePrefix="1" applyFont="1" applyBorder="1" applyAlignment="1">
      <alignment vertical="center" wrapText="1"/>
    </xf>
    <xf numFmtId="0" fontId="21" fillId="0" borderId="0" xfId="0" quotePrefix="1" applyFont="1" applyAlignment="1">
      <alignment vertical="center" wrapText="1"/>
    </xf>
    <xf numFmtId="40" fontId="30" fillId="0" borderId="10" xfId="0" applyNumberFormat="1" applyFont="1" applyBorder="1" applyAlignment="1">
      <alignment vertical="center" wrapText="1"/>
    </xf>
    <xf numFmtId="40" fontId="30" fillId="0" borderId="14" xfId="0" applyNumberFormat="1" applyFont="1" applyBorder="1" applyAlignment="1">
      <alignment vertical="center" wrapText="1"/>
    </xf>
    <xf numFmtId="40" fontId="30" fillId="0" borderId="12" xfId="0" applyNumberFormat="1" applyFont="1" applyBorder="1" applyAlignment="1">
      <alignment vertical="center" wrapText="1"/>
    </xf>
    <xf numFmtId="1" fontId="21" fillId="0" borderId="11" xfId="42" quotePrefix="1" applyNumberFormat="1" applyFont="1" applyFill="1" applyBorder="1" applyAlignment="1">
      <alignment horizontal="center" vertical="center" wrapText="1"/>
    </xf>
    <xf numFmtId="3" fontId="30" fillId="0" borderId="11" xfId="0" applyNumberFormat="1" applyFont="1" applyBorder="1" applyAlignment="1">
      <alignment horizontal="center" vertical="center" wrapText="1"/>
    </xf>
    <xf numFmtId="3" fontId="21" fillId="0" borderId="11" xfId="42" applyNumberFormat="1" applyFont="1" applyFill="1" applyBorder="1" applyAlignment="1">
      <alignment horizontal="center" vertical="center" wrapText="1"/>
    </xf>
    <xf numFmtId="3" fontId="30" fillId="0" borderId="13" xfId="42" applyNumberFormat="1" applyFont="1" applyFill="1" applyBorder="1" applyAlignment="1">
      <alignment horizontal="center" vertical="center" wrapText="1"/>
    </xf>
    <xf numFmtId="3" fontId="21" fillId="0" borderId="11" xfId="0" applyNumberFormat="1" applyFont="1" applyBorder="1" applyAlignment="1">
      <alignment horizontal="center" vertical="center" wrapText="1"/>
    </xf>
    <xf numFmtId="166" fontId="30" fillId="0" borderId="11" xfId="0" applyNumberFormat="1" applyFont="1" applyBorder="1" applyAlignment="1">
      <alignment horizontal="center" vertical="center" wrapText="1"/>
    </xf>
    <xf numFmtId="165" fontId="21" fillId="0" borderId="11" xfId="42" applyNumberFormat="1" applyFont="1" applyFill="1" applyBorder="1" applyAlignment="1">
      <alignment horizontal="center" vertical="center" wrapText="1"/>
    </xf>
    <xf numFmtId="38" fontId="30" fillId="0" borderId="12" xfId="0" applyNumberFormat="1" applyFont="1" applyBorder="1" applyAlignment="1">
      <alignment vertical="center" wrapText="1"/>
    </xf>
    <xf numFmtId="2" fontId="30" fillId="0" borderId="0" xfId="0" applyNumberFormat="1" applyFont="1"/>
    <xf numFmtId="38" fontId="30" fillId="0" borderId="25" xfId="0" applyNumberFormat="1" applyFont="1" applyBorder="1" applyAlignment="1">
      <alignment horizontal="center" vertical="center" wrapText="1"/>
    </xf>
    <xf numFmtId="164" fontId="29" fillId="0" borderId="0" xfId="0" applyNumberFormat="1" applyFont="1"/>
    <xf numFmtId="165" fontId="0" fillId="0" borderId="0" xfId="42" applyNumberFormat="1" applyFont="1" applyFill="1"/>
    <xf numFmtId="38" fontId="27" fillId="0" borderId="12" xfId="0" applyNumberFormat="1" applyFont="1" applyBorder="1" applyAlignment="1">
      <alignment horizontal="center" vertical="center" wrapText="1"/>
    </xf>
    <xf numFmtId="166" fontId="27" fillId="37" borderId="11" xfId="42" applyNumberFormat="1" applyFont="1" applyFill="1" applyBorder="1" applyAlignment="1">
      <alignment horizontal="center" vertical="center" wrapText="1"/>
    </xf>
    <xf numFmtId="166" fontId="27" fillId="0" borderId="11" xfId="42" applyNumberFormat="1" applyFont="1" applyFill="1" applyBorder="1" applyAlignment="1">
      <alignment horizontal="center" vertical="center" wrapText="1"/>
    </xf>
    <xf numFmtId="1" fontId="27" fillId="36" borderId="11" xfId="42" applyNumberFormat="1" applyFont="1" applyFill="1" applyBorder="1" applyAlignment="1">
      <alignment horizontal="center" vertical="center" wrapText="1"/>
    </xf>
    <xf numFmtId="0" fontId="42" fillId="0" borderId="0" xfId="0" applyFont="1" applyAlignment="1">
      <alignment vertical="center"/>
    </xf>
    <xf numFmtId="0" fontId="28" fillId="0" borderId="0" xfId="0" applyFont="1" applyAlignment="1">
      <alignment vertical="center"/>
    </xf>
    <xf numFmtId="1" fontId="44" fillId="36" borderId="11" xfId="42" applyNumberFormat="1" applyFont="1" applyFill="1" applyBorder="1" applyAlignment="1">
      <alignment horizontal="center" vertical="center" wrapText="1"/>
    </xf>
    <xf numFmtId="0" fontId="44" fillId="41" borderId="11" xfId="0" applyFont="1" applyFill="1" applyBorder="1" applyAlignment="1">
      <alignment horizontal="center" vertical="center" wrapText="1"/>
    </xf>
    <xf numFmtId="1" fontId="21" fillId="0" borderId="11" xfId="0" quotePrefix="1" applyNumberFormat="1" applyFont="1" applyBorder="1" applyAlignment="1">
      <alignment horizontal="center" vertical="center" wrapText="1"/>
    </xf>
    <xf numFmtId="164" fontId="21" fillId="0" borderId="0" xfId="0" applyNumberFormat="1" applyFont="1"/>
    <xf numFmtId="169" fontId="21" fillId="0" borderId="11" xfId="0" applyNumberFormat="1" applyFont="1" applyBorder="1" applyAlignment="1">
      <alignment horizontal="center"/>
    </xf>
    <xf numFmtId="0" fontId="14" fillId="0" borderId="0" xfId="0" applyFont="1"/>
    <xf numFmtId="170" fontId="21" fillId="37" borderId="11" xfId="42" applyNumberFormat="1" applyFont="1" applyFill="1" applyBorder="1" applyAlignment="1">
      <alignment horizontal="center" vertical="center" wrapText="1"/>
    </xf>
    <xf numFmtId="170" fontId="21" fillId="0" borderId="11" xfId="42" applyNumberFormat="1" applyFont="1" applyFill="1" applyBorder="1" applyAlignment="1">
      <alignment horizontal="center" vertical="center" wrapText="1"/>
    </xf>
    <xf numFmtId="166" fontId="21" fillId="37" borderId="11" xfId="42" applyNumberFormat="1" applyFont="1" applyFill="1" applyBorder="1" applyAlignment="1">
      <alignment horizontal="center" vertical="center" wrapText="1"/>
    </xf>
    <xf numFmtId="166" fontId="21" fillId="0" borderId="11" xfId="42" applyNumberFormat="1" applyFont="1" applyFill="1" applyBorder="1" applyAlignment="1">
      <alignment horizontal="center" vertical="center" wrapText="1"/>
    </xf>
    <xf numFmtId="1" fontId="27" fillId="37" borderId="11" xfId="0" applyNumberFormat="1" applyFont="1" applyFill="1" applyBorder="1" applyAlignment="1">
      <alignment horizontal="center" vertical="center"/>
    </xf>
    <xf numFmtId="0" fontId="45" fillId="0" borderId="0" xfId="0" applyFont="1"/>
    <xf numFmtId="164" fontId="21" fillId="37" borderId="12" xfId="0" applyNumberFormat="1" applyFont="1" applyFill="1" applyBorder="1" applyAlignment="1">
      <alignment horizontal="center" vertical="center" wrapText="1"/>
    </xf>
    <xf numFmtId="166" fontId="30" fillId="0" borderId="13" xfId="42" applyNumberFormat="1" applyFont="1" applyFill="1" applyBorder="1" applyAlignment="1">
      <alignment horizontal="center" vertical="center" wrapText="1"/>
    </xf>
    <xf numFmtId="0" fontId="44" fillId="36" borderId="26" xfId="0" applyFont="1" applyFill="1" applyBorder="1" applyAlignment="1">
      <alignment vertical="center" wrapText="1"/>
    </xf>
    <xf numFmtId="0" fontId="44" fillId="36" borderId="0" xfId="0" applyFont="1" applyFill="1" applyAlignment="1">
      <alignment vertical="center" wrapText="1"/>
    </xf>
    <xf numFmtId="3" fontId="27" fillId="0" borderId="11" xfId="42" applyNumberFormat="1" applyFont="1" applyFill="1" applyBorder="1" applyAlignment="1">
      <alignment horizontal="center" vertical="center" wrapText="1"/>
    </xf>
    <xf numFmtId="3" fontId="27" fillId="37" borderId="11" xfId="42" applyNumberFormat="1" applyFont="1" applyFill="1" applyBorder="1" applyAlignment="1">
      <alignment horizontal="center" vertical="center" wrapText="1"/>
    </xf>
    <xf numFmtId="0" fontId="44" fillId="34" borderId="11" xfId="0" applyFont="1" applyFill="1" applyBorder="1" applyAlignment="1">
      <alignment horizontal="center" vertical="center" wrapText="1"/>
    </xf>
    <xf numFmtId="1" fontId="44" fillId="33" borderId="11" xfId="42" applyNumberFormat="1" applyFont="1" applyFill="1" applyBorder="1" applyAlignment="1">
      <alignment horizontal="center" vertical="center" wrapText="1"/>
    </xf>
    <xf numFmtId="0" fontId="27" fillId="40" borderId="19" xfId="0" applyFont="1" applyFill="1" applyBorder="1" applyAlignment="1">
      <alignment horizontal="center" vertical="center" wrapText="1"/>
    </xf>
    <xf numFmtId="0" fontId="21" fillId="0" borderId="18" xfId="0" applyFont="1" applyBorder="1" applyAlignment="1">
      <alignment vertical="center" wrapText="1"/>
    </xf>
    <xf numFmtId="0" fontId="21" fillId="0" borderId="0" xfId="0" applyFont="1" applyAlignment="1">
      <alignment vertical="center"/>
    </xf>
    <xf numFmtId="3" fontId="48" fillId="0" borderId="0" xfId="0" applyNumberFormat="1" applyFont="1" applyAlignment="1">
      <alignment horizontal="center" vertical="center" wrapText="1"/>
    </xf>
    <xf numFmtId="166" fontId="48" fillId="0" borderId="0" xfId="0" applyNumberFormat="1" applyFont="1" applyAlignment="1">
      <alignment horizontal="center" vertical="center" wrapText="1"/>
    </xf>
    <xf numFmtId="0" fontId="21" fillId="0" borderId="0" xfId="0" applyFont="1" applyAlignment="1">
      <alignment vertical="center" wrapText="1"/>
    </xf>
    <xf numFmtId="0" fontId="27" fillId="0" borderId="23" xfId="0" applyFont="1" applyBorder="1" applyAlignment="1">
      <alignment horizontal="left" vertical="center"/>
    </xf>
    <xf numFmtId="0" fontId="21" fillId="0" borderId="18" xfId="0" applyFont="1" applyBorder="1" applyAlignment="1">
      <alignment horizontal="left" vertical="center" wrapText="1"/>
    </xf>
    <xf numFmtId="0" fontId="21" fillId="0" borderId="19" xfId="0" applyFont="1" applyBorder="1" applyAlignment="1">
      <alignment horizontal="center" vertical="center" wrapText="1"/>
    </xf>
    <xf numFmtId="0" fontId="21" fillId="0" borderId="19" xfId="0" applyFont="1" applyBorder="1" applyAlignment="1">
      <alignment horizontal="center" vertical="center"/>
    </xf>
    <xf numFmtId="0" fontId="49" fillId="0" borderId="0" xfId="0" applyFont="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50" fillId="0" borderId="0" xfId="0" applyFont="1"/>
    <xf numFmtId="0" fontId="27" fillId="36" borderId="11" xfId="0" applyFont="1" applyFill="1" applyBorder="1" applyAlignment="1">
      <alignment horizontal="center" vertical="center" wrapText="1"/>
    </xf>
    <xf numFmtId="0" fontId="21" fillId="0" borderId="11" xfId="0" applyFont="1" applyBorder="1"/>
    <xf numFmtId="166" fontId="21" fillId="0" borderId="11" xfId="0" applyNumberFormat="1" applyFont="1" applyBorder="1" applyAlignment="1">
      <alignment horizontal="center" vertical="center"/>
    </xf>
    <xf numFmtId="166" fontId="21" fillId="0" borderId="0" xfId="0" applyNumberFormat="1" applyFont="1" applyAlignment="1">
      <alignment horizontal="center" vertical="center"/>
    </xf>
    <xf numFmtId="1" fontId="27" fillId="41" borderId="11" xfId="42" applyNumberFormat="1" applyFont="1" applyFill="1" applyBorder="1" applyAlignment="1">
      <alignment horizontal="center" vertical="center" wrapText="1"/>
    </xf>
    <xf numFmtId="0" fontId="21" fillId="0" borderId="11" xfId="0" applyFont="1" applyBorder="1" applyAlignment="1">
      <alignment vertical="center" wrapText="1"/>
    </xf>
    <xf numFmtId="0" fontId="27" fillId="0" borderId="11" xfId="0" applyFont="1" applyBorder="1" applyAlignment="1">
      <alignment vertical="center" wrapText="1"/>
    </xf>
    <xf numFmtId="0" fontId="27" fillId="0" borderId="11" xfId="0" applyFont="1" applyBorder="1" applyAlignment="1">
      <alignment horizontal="center" vertical="center" wrapText="1"/>
    </xf>
    <xf numFmtId="0" fontId="27" fillId="37" borderId="11" xfId="0" applyFont="1" applyFill="1" applyBorder="1" applyAlignment="1">
      <alignment horizontal="center" vertical="center" wrapText="1"/>
    </xf>
    <xf numFmtId="0" fontId="27" fillId="0" borderId="0" xfId="0" applyFont="1" applyAlignment="1">
      <alignment vertical="center" wrapText="1"/>
    </xf>
    <xf numFmtId="0" fontId="21" fillId="0" borderId="0" xfId="0" applyFont="1" applyAlignment="1">
      <alignment horizontal="right"/>
    </xf>
    <xf numFmtId="0" fontId="21" fillId="36" borderId="11" xfId="0" applyFont="1" applyFill="1" applyBorder="1" applyAlignment="1">
      <alignment horizontal="center" vertical="center" wrapText="1"/>
    </xf>
    <xf numFmtId="0" fontId="51" fillId="0" borderId="11" xfId="0" applyFont="1" applyBorder="1" applyAlignment="1">
      <alignment horizontal="left" vertical="center" wrapText="1"/>
    </xf>
    <xf numFmtId="0" fontId="52" fillId="0" borderId="11" xfId="0" applyFont="1" applyBorder="1" applyAlignment="1">
      <alignment horizontal="left" vertical="center" wrapText="1"/>
    </xf>
    <xf numFmtId="3" fontId="30" fillId="37" borderId="11" xfId="42" applyNumberFormat="1" applyFont="1" applyFill="1" applyBorder="1" applyAlignment="1">
      <alignment horizontal="center" vertical="center" wrapText="1"/>
    </xf>
    <xf numFmtId="3" fontId="30" fillId="0" borderId="13" xfId="0" applyNumberFormat="1" applyFont="1" applyBorder="1" applyAlignment="1">
      <alignment horizontal="left" vertical="center" wrapText="1"/>
    </xf>
    <xf numFmtId="3" fontId="27" fillId="0" borderId="13" xfId="0" applyNumberFormat="1" applyFont="1" applyBorder="1" applyAlignment="1">
      <alignment horizontal="left" vertical="center" wrapText="1"/>
    </xf>
    <xf numFmtId="0" fontId="27" fillId="0" borderId="11" xfId="0" applyFont="1" applyBorder="1" applyAlignment="1">
      <alignment horizontal="left" vertical="center" wrapText="1"/>
    </xf>
    <xf numFmtId="0" fontId="27" fillId="41" borderId="21" xfId="0" applyFont="1" applyFill="1" applyBorder="1" applyAlignment="1">
      <alignment vertical="center" wrapText="1"/>
    </xf>
    <xf numFmtId="3" fontId="21" fillId="0" borderId="12" xfId="0" applyNumberFormat="1" applyFont="1" applyBorder="1" applyAlignment="1">
      <alignment horizontal="center"/>
    </xf>
    <xf numFmtId="3" fontId="21" fillId="0" borderId="0" xfId="0" applyNumberFormat="1" applyFont="1"/>
    <xf numFmtId="6" fontId="21" fillId="0" borderId="11" xfId="0" applyNumberFormat="1" applyFont="1" applyBorder="1" applyAlignment="1">
      <alignment horizontal="center" vertical="center" wrapText="1"/>
    </xf>
    <xf numFmtId="38" fontId="21" fillId="0" borderId="0" xfId="0" applyNumberFormat="1" applyFont="1"/>
    <xf numFmtId="0" fontId="21" fillId="38" borderId="11" xfId="0" applyFont="1" applyFill="1" applyBorder="1" applyAlignment="1">
      <alignment vertical="center" wrapText="1"/>
    </xf>
    <xf numFmtId="0" fontId="27" fillId="38" borderId="11" xfId="0" applyFont="1" applyFill="1" applyBorder="1" applyAlignment="1">
      <alignment horizontal="center" vertical="center" wrapText="1"/>
    </xf>
    <xf numFmtId="165" fontId="21" fillId="0" borderId="0" xfId="0" applyNumberFormat="1" applyFont="1" applyAlignment="1">
      <alignment horizontal="left" indent="1"/>
    </xf>
    <xf numFmtId="43" fontId="21" fillId="0" borderId="0" xfId="0" applyNumberFormat="1" applyFont="1"/>
    <xf numFmtId="171" fontId="21" fillId="0" borderId="11" xfId="0" applyNumberFormat="1" applyFont="1" applyBorder="1" applyAlignment="1">
      <alignment horizontal="center" vertical="center" wrapText="1"/>
    </xf>
    <xf numFmtId="0" fontId="0" fillId="0" borderId="27" xfId="0" applyBorder="1"/>
    <xf numFmtId="3" fontId="0" fillId="0" borderId="27" xfId="0" applyNumberFormat="1" applyBorder="1"/>
    <xf numFmtId="1" fontId="0" fillId="0" borderId="27" xfId="42" applyNumberFormat="1" applyFont="1" applyBorder="1"/>
    <xf numFmtId="40" fontId="30" fillId="0" borderId="14"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1" xfId="0" quotePrefix="1" applyFont="1" applyBorder="1" applyAlignment="1">
      <alignment horizontal="center" vertical="center" wrapText="1"/>
    </xf>
    <xf numFmtId="0" fontId="24" fillId="36" borderId="11" xfId="0" applyFont="1" applyFill="1" applyBorder="1" applyAlignment="1">
      <alignment horizontal="center" vertical="center" wrapText="1"/>
    </xf>
    <xf numFmtId="0" fontId="16" fillId="34" borderId="11" xfId="0" applyFont="1" applyFill="1" applyBorder="1" applyAlignment="1">
      <alignment horizontal="center"/>
    </xf>
    <xf numFmtId="0" fontId="16" fillId="39" borderId="11" xfId="0" applyFont="1" applyFill="1" applyBorder="1" applyAlignment="1">
      <alignment horizontal="center"/>
    </xf>
    <xf numFmtId="0" fontId="44" fillId="36" borderId="11" xfId="0" applyFont="1" applyFill="1" applyBorder="1" applyAlignment="1">
      <alignment horizontal="center" vertical="center" wrapText="1"/>
    </xf>
    <xf numFmtId="0" fontId="27" fillId="0" borderId="0" xfId="0" applyFont="1" applyAlignment="1">
      <alignment horizontal="center" vertical="center" wrapText="1"/>
    </xf>
    <xf numFmtId="0" fontId="27" fillId="41" borderId="11" xfId="0" applyFont="1" applyFill="1" applyBorder="1" applyAlignment="1">
      <alignment horizontal="center" vertical="center" wrapText="1"/>
    </xf>
    <xf numFmtId="0" fontId="16" fillId="35" borderId="11" xfId="0" applyFont="1" applyFill="1" applyBorder="1" applyAlignment="1">
      <alignment horizontal="center" vertical="center"/>
    </xf>
    <xf numFmtId="1" fontId="18" fillId="36" borderId="10" xfId="42" applyNumberFormat="1" applyFont="1" applyFill="1" applyBorder="1" applyAlignment="1">
      <alignment horizontal="center" vertical="center" wrapText="1"/>
    </xf>
    <xf numFmtId="1" fontId="18" fillId="36" borderId="12" xfId="42" applyNumberFormat="1" applyFont="1" applyFill="1" applyBorder="1" applyAlignment="1">
      <alignment horizontal="center" vertical="center" wrapText="1"/>
    </xf>
    <xf numFmtId="40" fontId="30" fillId="0" borderId="10" xfId="0" applyNumberFormat="1" applyFont="1" applyBorder="1" applyAlignment="1">
      <alignment horizontal="center" vertical="center" wrapText="1"/>
    </xf>
    <xf numFmtId="40" fontId="30" fillId="0" borderId="14" xfId="0" applyNumberFormat="1" applyFont="1" applyBorder="1" applyAlignment="1">
      <alignment horizontal="center" vertical="center" wrapText="1"/>
    </xf>
    <xf numFmtId="40" fontId="30" fillId="0" borderId="12" xfId="0" applyNumberFormat="1" applyFont="1" applyBorder="1" applyAlignment="1">
      <alignment horizontal="center" vertical="center" wrapText="1"/>
    </xf>
    <xf numFmtId="3" fontId="30" fillId="0" borderId="14" xfId="42" applyNumberFormat="1" applyFont="1" applyBorder="1" applyAlignment="1">
      <alignment horizontal="center" vertical="center" wrapText="1"/>
    </xf>
    <xf numFmtId="0" fontId="21" fillId="0" borderId="10"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1" xfId="0" quotePrefix="1" applyFont="1" applyBorder="1" applyAlignment="1">
      <alignment horizontal="center" vertical="center" wrapText="1"/>
    </xf>
    <xf numFmtId="1" fontId="36" fillId="0" borderId="0" xfId="0" applyNumberFormat="1" applyFont="1" applyAlignment="1">
      <alignment horizontal="center"/>
    </xf>
    <xf numFmtId="0" fontId="27" fillId="36" borderId="11" xfId="0" applyFont="1" applyFill="1" applyBorder="1" applyAlignment="1">
      <alignment horizontal="center"/>
    </xf>
    <xf numFmtId="0" fontId="16" fillId="33" borderId="10" xfId="0" applyFont="1" applyFill="1" applyBorder="1" applyAlignment="1">
      <alignment horizontal="center"/>
    </xf>
    <xf numFmtId="0" fontId="16" fillId="33" borderId="14" xfId="0" applyFont="1" applyFill="1" applyBorder="1" applyAlignment="1">
      <alignment horizontal="center"/>
    </xf>
    <xf numFmtId="0" fontId="16" fillId="33" borderId="12" xfId="0" applyFont="1" applyFill="1" applyBorder="1" applyAlignment="1">
      <alignment horizontal="center"/>
    </xf>
    <xf numFmtId="0" fontId="24" fillId="36" borderId="11" xfId="0" applyFont="1" applyFill="1" applyBorder="1" applyAlignment="1">
      <alignment horizontal="center" vertical="center" wrapText="1"/>
    </xf>
    <xf numFmtId="0" fontId="16" fillId="34" borderId="11" xfId="0" applyFont="1" applyFill="1" applyBorder="1" applyAlignment="1">
      <alignment horizontal="center"/>
    </xf>
    <xf numFmtId="0" fontId="0" fillId="0" borderId="11" xfId="0" applyBorder="1" applyAlignment="1">
      <alignment horizontal="left" wrapText="1"/>
    </xf>
    <xf numFmtId="0" fontId="16" fillId="39" borderId="11" xfId="0" applyFont="1" applyFill="1" applyBorder="1" applyAlignment="1">
      <alignment horizontal="center"/>
    </xf>
    <xf numFmtId="0" fontId="0" fillId="0" borderId="11" xfId="0" applyBorder="1" applyAlignment="1">
      <alignment horizontal="center" wrapText="1"/>
    </xf>
    <xf numFmtId="0" fontId="27" fillId="41" borderId="11" xfId="0" applyFont="1" applyFill="1" applyBorder="1" applyAlignment="1">
      <alignment horizontal="center"/>
    </xf>
    <xf numFmtId="0" fontId="44" fillId="36" borderId="11" xfId="0" applyFont="1" applyFill="1" applyBorder="1" applyAlignment="1">
      <alignment horizontal="center" vertical="center" wrapText="1"/>
    </xf>
    <xf numFmtId="0" fontId="27" fillId="40" borderId="16" xfId="0" applyFont="1" applyFill="1" applyBorder="1" applyAlignment="1">
      <alignment horizontal="center" vertical="center" wrapText="1"/>
    </xf>
    <xf numFmtId="0" fontId="27" fillId="40" borderId="17" xfId="0" applyFont="1" applyFill="1" applyBorder="1" applyAlignment="1">
      <alignment horizontal="center" vertical="center" wrapText="1"/>
    </xf>
    <xf numFmtId="0" fontId="27" fillId="41" borderId="10" xfId="0" applyFont="1" applyFill="1" applyBorder="1" applyAlignment="1">
      <alignment horizontal="center"/>
    </xf>
    <xf numFmtId="0" fontId="27" fillId="41" borderId="12" xfId="0" applyFont="1" applyFill="1" applyBorder="1" applyAlignment="1">
      <alignment horizontal="center"/>
    </xf>
    <xf numFmtId="0" fontId="27" fillId="40" borderId="22" xfId="0" applyFont="1" applyFill="1" applyBorder="1" applyAlignment="1">
      <alignment horizontal="center" vertical="center" wrapText="1"/>
    </xf>
    <xf numFmtId="0" fontId="27" fillId="0" borderId="0" xfId="0" applyFont="1" applyAlignment="1">
      <alignment horizontal="center" vertical="center" wrapText="1"/>
    </xf>
    <xf numFmtId="0" fontId="27" fillId="40" borderId="20" xfId="0" applyFont="1" applyFill="1" applyBorder="1" applyAlignment="1">
      <alignment horizontal="center" vertical="center" wrapText="1"/>
    </xf>
    <xf numFmtId="0" fontId="27" fillId="40" borderId="18" xfId="0" applyFont="1" applyFill="1" applyBorder="1" applyAlignment="1">
      <alignment horizontal="center" vertical="center" wrapText="1"/>
    </xf>
    <xf numFmtId="40" fontId="30" fillId="0" borderId="11" xfId="0" applyNumberFormat="1" applyFont="1" applyBorder="1" applyAlignment="1">
      <alignment horizontal="center" vertical="center" wrapText="1"/>
    </xf>
    <xf numFmtId="0" fontId="27" fillId="41" borderId="11" xfId="0" applyFont="1" applyFill="1" applyBorder="1" applyAlignment="1">
      <alignment horizontal="center" vertical="center" wrapText="1"/>
    </xf>
    <xf numFmtId="0" fontId="27" fillId="41" borderId="24" xfId="0" applyFont="1" applyFill="1" applyBorder="1" applyAlignment="1">
      <alignment horizontal="center" vertical="center" wrapText="1"/>
    </xf>
    <xf numFmtId="0" fontId="27" fillId="41" borderId="25" xfId="0" applyFont="1" applyFill="1" applyBorder="1" applyAlignment="1">
      <alignment horizontal="center" vertical="center" wrapText="1"/>
    </xf>
    <xf numFmtId="167" fontId="0" fillId="0" borderId="0" xfId="0" applyNumberFormat="1"/>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urrency" xfId="43"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rmal 2" xfId="45" xr:uid="{500C9B7A-D9F1-4590-91E0-B2B90898823C}"/>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9966FF"/>
      <color rgb="FFBFBFBF"/>
      <color rgb="FFCBA9E5"/>
      <color rgb="FFE8D9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permitsearch.epa.gov/epermit-search/ui/search"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C6633-6F8E-49C6-AEE2-C7355CD7814E}">
  <sheetPr>
    <tabColor theme="0"/>
  </sheetPr>
  <dimension ref="A1:K18"/>
  <sheetViews>
    <sheetView topLeftCell="C1" zoomScale="85" zoomScaleNormal="85" workbookViewId="0">
      <selection activeCell="I12" sqref="I12"/>
    </sheetView>
  </sheetViews>
  <sheetFormatPr defaultRowHeight="15" x14ac:dyDescent="0.25"/>
  <cols>
    <col min="1" max="1" width="25.7109375" customWidth="1"/>
    <col min="2" max="2" width="14.7109375" customWidth="1"/>
    <col min="3" max="4" width="13.42578125" customWidth="1"/>
    <col min="5" max="5" width="16.7109375" customWidth="1"/>
    <col min="6" max="6" width="16.42578125" customWidth="1"/>
    <col min="7" max="8" width="14.7109375" style="3" customWidth="1"/>
    <col min="9" max="9" width="17.7109375" style="4" customWidth="1"/>
  </cols>
  <sheetData>
    <row r="1" spans="1:11" x14ac:dyDescent="0.25">
      <c r="A1" s="1" t="s">
        <v>0</v>
      </c>
      <c r="B1" s="138"/>
      <c r="C1" s="9"/>
      <c r="H1" s="16" t="s">
        <v>1</v>
      </c>
      <c r="I1" t="s">
        <v>2</v>
      </c>
    </row>
    <row r="2" spans="1:11" x14ac:dyDescent="0.25">
      <c r="A2" s="1"/>
      <c r="B2" s="144"/>
      <c r="C2" s="1"/>
      <c r="H2" s="35"/>
      <c r="I2" s="94">
        <v>51.15</v>
      </c>
    </row>
    <row r="3" spans="1:11" ht="28.9" customHeight="1" x14ac:dyDescent="0.25">
      <c r="B3" s="207" t="s">
        <v>3</v>
      </c>
      <c r="C3" s="207"/>
      <c r="D3" s="207"/>
      <c r="E3" s="107" t="s">
        <v>4</v>
      </c>
      <c r="F3" s="208" t="s">
        <v>5</v>
      </c>
      <c r="G3" s="209"/>
      <c r="H3" s="208" t="s">
        <v>6</v>
      </c>
      <c r="I3" s="209"/>
    </row>
    <row r="4" spans="1:11" ht="60.75" customHeight="1" x14ac:dyDescent="0.25">
      <c r="A4" s="70" t="s">
        <v>7</v>
      </c>
      <c r="B4" s="28" t="s">
        <v>8</v>
      </c>
      <c r="C4" s="28" t="s">
        <v>9</v>
      </c>
      <c r="D4" s="28" t="s">
        <v>10</v>
      </c>
      <c r="E4" s="29" t="s">
        <v>11</v>
      </c>
      <c r="F4" s="130" t="s">
        <v>12</v>
      </c>
      <c r="G4" s="130" t="s">
        <v>13</v>
      </c>
      <c r="H4" s="130" t="s">
        <v>14</v>
      </c>
      <c r="I4" s="70" t="s">
        <v>15</v>
      </c>
    </row>
    <row r="5" spans="1:11" x14ac:dyDescent="0.25">
      <c r="A5" s="13" t="s">
        <v>16</v>
      </c>
      <c r="B5" s="78">
        <v>1</v>
      </c>
      <c r="C5" s="32">
        <v>0</v>
      </c>
      <c r="D5" s="78">
        <f>B5+C5</f>
        <v>1</v>
      </c>
      <c r="E5" s="119">
        <f>SUM('Respondent Burden and Cost'!E7:E10)</f>
        <v>3630</v>
      </c>
      <c r="F5" s="36">
        <f t="shared" ref="F5:F11" si="0">E5*C5</f>
        <v>0</v>
      </c>
      <c r="G5" s="117">
        <f>D5*E5</f>
        <v>3630</v>
      </c>
      <c r="H5" s="38">
        <f t="shared" ref="H5:I11" si="1">ROUND(F5*$I$2,0)</f>
        <v>0</v>
      </c>
      <c r="I5" s="21">
        <f t="shared" si="1"/>
        <v>185675</v>
      </c>
    </row>
    <row r="6" spans="1:11" x14ac:dyDescent="0.25">
      <c r="A6" s="13" t="s">
        <v>17</v>
      </c>
      <c r="B6" s="78">
        <v>0.25</v>
      </c>
      <c r="C6" s="32">
        <v>0</v>
      </c>
      <c r="D6" s="78">
        <f>B6+C6</f>
        <v>0.25</v>
      </c>
      <c r="E6" s="119">
        <f>'Respondent Burden and Cost'!$H$15</f>
        <v>3631</v>
      </c>
      <c r="F6" s="36">
        <f>E6*C6</f>
        <v>0</v>
      </c>
      <c r="G6" s="117">
        <f>D6*E6</f>
        <v>907.75</v>
      </c>
      <c r="H6" s="38">
        <f t="shared" si="1"/>
        <v>0</v>
      </c>
      <c r="I6" s="21">
        <f t="shared" si="1"/>
        <v>46431</v>
      </c>
    </row>
    <row r="7" spans="1:11" ht="30" x14ac:dyDescent="0.25">
      <c r="A7" s="13" t="s">
        <v>18</v>
      </c>
      <c r="B7" s="78">
        <v>1</v>
      </c>
      <c r="C7" s="32">
        <v>0</v>
      </c>
      <c r="D7" s="78">
        <f>B7+C7</f>
        <v>1</v>
      </c>
      <c r="E7" s="119">
        <f>'Respondent Burden and Cost'!H14</f>
        <v>182</v>
      </c>
      <c r="F7" s="36">
        <f t="shared" si="0"/>
        <v>0</v>
      </c>
      <c r="G7" s="117">
        <f t="shared" ref="G7:G10" si="2">D7*E7</f>
        <v>182</v>
      </c>
      <c r="H7" s="38">
        <f t="shared" si="1"/>
        <v>0</v>
      </c>
      <c r="I7" s="21">
        <f t="shared" si="1"/>
        <v>9309</v>
      </c>
    </row>
    <row r="8" spans="1:11" x14ac:dyDescent="0.25">
      <c r="A8" s="13" t="s">
        <v>19</v>
      </c>
      <c r="B8" s="78">
        <v>1</v>
      </c>
      <c r="C8" s="32">
        <v>0</v>
      </c>
      <c r="D8" s="78">
        <f>B8+C8</f>
        <v>1</v>
      </c>
      <c r="E8" s="119">
        <f>SUM('Respondent Burden and Cost'!H29:H30)</f>
        <v>3631</v>
      </c>
      <c r="F8" s="36">
        <f t="shared" si="0"/>
        <v>0</v>
      </c>
      <c r="G8" s="117">
        <f t="shared" si="2"/>
        <v>3631</v>
      </c>
      <c r="H8" s="38">
        <f t="shared" si="1"/>
        <v>0</v>
      </c>
      <c r="I8" s="21">
        <f t="shared" si="1"/>
        <v>185726</v>
      </c>
    </row>
    <row r="9" spans="1:11" x14ac:dyDescent="0.25">
      <c r="A9" s="13" t="s">
        <v>20</v>
      </c>
      <c r="B9" s="135">
        <f>AVERAGE(4,20)</f>
        <v>12</v>
      </c>
      <c r="C9" s="32">
        <v>0</v>
      </c>
      <c r="D9" s="18">
        <f>B9+C9</f>
        <v>12</v>
      </c>
      <c r="E9" s="119">
        <f>SUM('Respondent Burden and Cost'!H19:H26)</f>
        <v>176</v>
      </c>
      <c r="F9" s="36">
        <f t="shared" si="0"/>
        <v>0</v>
      </c>
      <c r="G9" s="117">
        <f t="shared" si="2"/>
        <v>2112</v>
      </c>
      <c r="H9" s="38">
        <f t="shared" si="1"/>
        <v>0</v>
      </c>
      <c r="I9" s="21">
        <f t="shared" si="1"/>
        <v>108029</v>
      </c>
    </row>
    <row r="10" spans="1:11" ht="30" x14ac:dyDescent="0.25">
      <c r="A10" s="13" t="s">
        <v>21</v>
      </c>
      <c r="B10" s="78" t="s">
        <v>22</v>
      </c>
      <c r="C10" s="32">
        <v>0.16</v>
      </c>
      <c r="D10" s="78">
        <f>C10</f>
        <v>0.16</v>
      </c>
      <c r="E10" s="119">
        <f>'Number of Respondents'!C9</f>
        <v>835</v>
      </c>
      <c r="F10" s="36">
        <f>E10*C10</f>
        <v>133.6</v>
      </c>
      <c r="G10" s="117">
        <f t="shared" si="2"/>
        <v>133.6</v>
      </c>
      <c r="H10" s="38">
        <f t="shared" si="1"/>
        <v>6834</v>
      </c>
      <c r="I10" s="21">
        <f t="shared" si="1"/>
        <v>6834</v>
      </c>
      <c r="J10" s="6"/>
      <c r="K10" s="76"/>
    </row>
    <row r="11" spans="1:11" x14ac:dyDescent="0.25">
      <c r="A11" s="13" t="s">
        <v>23</v>
      </c>
      <c r="B11" s="78" t="s">
        <v>22</v>
      </c>
      <c r="C11" s="32">
        <v>0.5</v>
      </c>
      <c r="D11" s="78">
        <f>C11</f>
        <v>0.5</v>
      </c>
      <c r="E11" s="119">
        <f>ROUND(0.2*E10,0)</f>
        <v>167</v>
      </c>
      <c r="F11" s="36">
        <f t="shared" si="0"/>
        <v>83.5</v>
      </c>
      <c r="G11" s="117">
        <f>D11*E11</f>
        <v>83.5</v>
      </c>
      <c r="H11" s="38">
        <f t="shared" si="1"/>
        <v>4271</v>
      </c>
      <c r="I11" s="21">
        <f t="shared" si="1"/>
        <v>4271</v>
      </c>
    </row>
    <row r="12" spans="1:11" x14ac:dyDescent="0.25">
      <c r="A12" s="12" t="s">
        <v>24</v>
      </c>
      <c r="B12" s="7"/>
      <c r="C12" s="7"/>
      <c r="D12" s="15" t="s">
        <v>25</v>
      </c>
      <c r="E12" s="30">
        <f>SUM(E5:E11)</f>
        <v>12252</v>
      </c>
      <c r="F12" s="143">
        <f>SUM(F5:F11)</f>
        <v>217.1</v>
      </c>
      <c r="G12" s="30">
        <f t="shared" ref="G12:I12" si="3">SUM(G5:G11)</f>
        <v>10679.85</v>
      </c>
      <c r="H12" s="103">
        <f>SUM(H5:H11)</f>
        <v>11105</v>
      </c>
      <c r="I12" s="72">
        <f t="shared" si="3"/>
        <v>546275</v>
      </c>
    </row>
    <row r="13" spans="1:11" x14ac:dyDescent="0.25">
      <c r="F13" s="25"/>
      <c r="G13" s="5"/>
    </row>
    <row r="14" spans="1:11" x14ac:dyDescent="0.25">
      <c r="A14" s="11" t="s">
        <v>26</v>
      </c>
      <c r="B14" s="11"/>
      <c r="C14" s="11"/>
      <c r="F14" s="20"/>
      <c r="G14" s="77"/>
    </row>
    <row r="15" spans="1:11" ht="17.25" x14ac:dyDescent="0.25">
      <c r="A15" s="26" t="s">
        <v>27</v>
      </c>
      <c r="B15" s="8"/>
      <c r="C15" s="8"/>
      <c r="F15" s="20"/>
      <c r="G15" s="17"/>
    </row>
    <row r="16" spans="1:11" ht="17.25" x14ac:dyDescent="0.25">
      <c r="A16" t="s">
        <v>28</v>
      </c>
    </row>
    <row r="17" spans="6:9" x14ac:dyDescent="0.25">
      <c r="F17" s="4"/>
      <c r="G17"/>
      <c r="H17"/>
      <c r="I17"/>
    </row>
    <row r="18" spans="6:9" x14ac:dyDescent="0.25">
      <c r="F18" s="4"/>
      <c r="G18"/>
      <c r="H18"/>
      <c r="I18"/>
    </row>
  </sheetData>
  <mergeCells count="3">
    <mergeCell ref="B3:D3"/>
    <mergeCell ref="F3:G3"/>
    <mergeCell ref="H3:I3"/>
  </mergeCells>
  <pageMargins left="0.7" right="0.7" top="0.75" bottom="0.75" header="0.3" footer="0.3"/>
  <pageSetup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D8F7A-F8E0-481E-91D3-DA231478B8A3}">
  <sheetPr>
    <tabColor theme="0"/>
  </sheetPr>
  <dimension ref="A1:T49"/>
  <sheetViews>
    <sheetView tabSelected="1" topLeftCell="A25" zoomScale="103" zoomScaleNormal="96" workbookViewId="0">
      <selection activeCell="M44" sqref="M44"/>
    </sheetView>
  </sheetViews>
  <sheetFormatPr defaultRowHeight="15" x14ac:dyDescent="0.25"/>
  <cols>
    <col min="1" max="1" width="66.28515625" style="1" customWidth="1"/>
    <col min="2" max="2" width="17.28515625" customWidth="1"/>
    <col min="3" max="3" width="14.5703125" customWidth="1"/>
    <col min="4" max="4" width="13.5703125" customWidth="1"/>
    <col min="5" max="7" width="14.7109375" customWidth="1"/>
    <col min="8" max="8" width="30.7109375" customWidth="1"/>
    <col min="9" max="10" width="12.28515625" customWidth="1"/>
    <col min="11" max="11" width="16.7109375" customWidth="1"/>
    <col min="12" max="12" width="18.42578125" customWidth="1"/>
    <col min="13" max="14" width="20" customWidth="1"/>
    <col min="15" max="15" width="16.7109375" customWidth="1"/>
    <col min="16" max="16" width="10.7109375" bestFit="1" customWidth="1"/>
    <col min="17" max="17" width="15.5703125" customWidth="1"/>
    <col min="18" max="18" width="15.28515625" bestFit="1" customWidth="1"/>
  </cols>
  <sheetData>
    <row r="1" spans="1:20" x14ac:dyDescent="0.25">
      <c r="A1" s="1" t="s">
        <v>29</v>
      </c>
      <c r="B1" s="138"/>
      <c r="D1" s="16"/>
      <c r="K1" t="s">
        <v>2</v>
      </c>
    </row>
    <row r="2" spans="1:20" x14ac:dyDescent="0.25">
      <c r="B2" s="144"/>
      <c r="D2" s="16"/>
      <c r="E2" s="76"/>
      <c r="K2" s="34">
        <v>73.47</v>
      </c>
    </row>
    <row r="3" spans="1:20" ht="17.25" customHeight="1" x14ac:dyDescent="0.25">
      <c r="B3" s="224" t="s">
        <v>3</v>
      </c>
      <c r="C3" s="224"/>
      <c r="D3" s="224"/>
      <c r="E3" s="220" t="s">
        <v>4</v>
      </c>
      <c r="F3" s="221"/>
      <c r="G3" s="221"/>
      <c r="H3" s="222"/>
      <c r="I3" s="219" t="s">
        <v>5</v>
      </c>
      <c r="J3" s="219"/>
      <c r="K3" s="219" t="s">
        <v>30</v>
      </c>
      <c r="L3" s="219"/>
    </row>
    <row r="4" spans="1:20" ht="61.5" customHeight="1" x14ac:dyDescent="0.25">
      <c r="A4" s="201" t="s">
        <v>7</v>
      </c>
      <c r="B4" s="22" t="s">
        <v>31</v>
      </c>
      <c r="C4" s="151" t="s">
        <v>32</v>
      </c>
      <c r="D4" s="151" t="s">
        <v>33</v>
      </c>
      <c r="E4" s="152" t="s">
        <v>34</v>
      </c>
      <c r="F4" s="152" t="s">
        <v>35</v>
      </c>
      <c r="G4" s="152" t="s">
        <v>36</v>
      </c>
      <c r="H4" s="152" t="s">
        <v>37</v>
      </c>
      <c r="I4" s="133" t="s">
        <v>12</v>
      </c>
      <c r="J4" s="133" t="s">
        <v>38</v>
      </c>
      <c r="K4" s="204" t="s">
        <v>39</v>
      </c>
      <c r="L4" s="201" t="s">
        <v>40</v>
      </c>
    </row>
    <row r="5" spans="1:20" ht="15" customHeight="1" x14ac:dyDescent="0.25">
      <c r="A5" s="64" t="s">
        <v>41</v>
      </c>
      <c r="B5" s="223"/>
      <c r="C5" s="223"/>
      <c r="D5" s="223"/>
      <c r="E5" s="223"/>
      <c r="F5" s="223"/>
      <c r="G5" s="223"/>
      <c r="H5" s="223"/>
      <c r="I5" s="223"/>
      <c r="J5" s="223"/>
      <c r="K5" s="223"/>
      <c r="L5" s="223"/>
    </row>
    <row r="6" spans="1:20" x14ac:dyDescent="0.25">
      <c r="A6" s="23" t="s">
        <v>42</v>
      </c>
      <c r="B6" s="217"/>
      <c r="C6" s="217"/>
      <c r="D6" s="217"/>
      <c r="E6" s="217"/>
      <c r="F6" s="217"/>
      <c r="G6" s="217"/>
      <c r="H6" s="217"/>
      <c r="I6" s="217"/>
      <c r="J6" s="217"/>
      <c r="K6" s="217"/>
      <c r="L6" s="217"/>
    </row>
    <row r="7" spans="1:20" s="33" customFormat="1" x14ac:dyDescent="0.25">
      <c r="A7" s="48" t="s">
        <v>43</v>
      </c>
      <c r="B7" s="78">
        <v>1.5</v>
      </c>
      <c r="C7" s="32">
        <v>-0.4</v>
      </c>
      <c r="D7" s="78">
        <f>B7+C7</f>
        <v>1.1000000000000001</v>
      </c>
      <c r="E7" s="19">
        <f>'Number of Respondents'!C5</f>
        <v>980</v>
      </c>
      <c r="F7" s="78">
        <v>1</v>
      </c>
      <c r="G7" s="78">
        <v>0</v>
      </c>
      <c r="H7" s="19">
        <f>E7*F7</f>
        <v>980</v>
      </c>
      <c r="I7" s="108">
        <f>ROUND(H7*C7,0)</f>
        <v>-392</v>
      </c>
      <c r="J7" s="18">
        <f>ROUND(H7*D7,0)</f>
        <v>1078</v>
      </c>
      <c r="K7" s="38">
        <f>ROUND(I7*$K$2,0)</f>
        <v>-28800</v>
      </c>
      <c r="L7" s="21">
        <f>ROUND(J7*$K$2,0)</f>
        <v>79201</v>
      </c>
      <c r="M7"/>
      <c r="N7"/>
      <c r="O7"/>
      <c r="P7"/>
      <c r="Q7"/>
      <c r="R7"/>
      <c r="S7" s="125"/>
    </row>
    <row r="8" spans="1:20" s="33" customFormat="1" x14ac:dyDescent="0.25">
      <c r="A8" s="48" t="s">
        <v>44</v>
      </c>
      <c r="B8" s="78">
        <v>6</v>
      </c>
      <c r="C8" s="32">
        <v>-0.4</v>
      </c>
      <c r="D8" s="78">
        <f>B8+C8</f>
        <v>5.6</v>
      </c>
      <c r="E8" s="19">
        <f>'Number of Respondents'!C6</f>
        <v>609</v>
      </c>
      <c r="F8" s="78">
        <v>1</v>
      </c>
      <c r="G8" s="78">
        <v>0</v>
      </c>
      <c r="H8" s="19">
        <f>E8*F8</f>
        <v>609</v>
      </c>
      <c r="I8" s="108">
        <f>ROUND(H8*C8,0)</f>
        <v>-244</v>
      </c>
      <c r="J8" s="119">
        <f>ROUND(H8*D8,0)</f>
        <v>3410</v>
      </c>
      <c r="K8" s="38">
        <f>ROUND(I8*$K$2,0)</f>
        <v>-17927</v>
      </c>
      <c r="L8" s="21">
        <f>ROUND(J8*$K$2,0)</f>
        <v>250533</v>
      </c>
      <c r="M8"/>
      <c r="N8"/>
      <c r="O8"/>
      <c r="P8"/>
      <c r="Q8"/>
      <c r="R8"/>
    </row>
    <row r="9" spans="1:20" s="33" customFormat="1" x14ac:dyDescent="0.25">
      <c r="A9" s="48" t="s">
        <v>45</v>
      </c>
      <c r="B9" s="78">
        <v>20</v>
      </c>
      <c r="C9" s="32">
        <v>-0.4</v>
      </c>
      <c r="D9" s="78">
        <f>B9+C9</f>
        <v>19.600000000000001</v>
      </c>
      <c r="E9" s="19">
        <f>'Number of Respondents'!C7</f>
        <v>44</v>
      </c>
      <c r="F9" s="78">
        <v>1</v>
      </c>
      <c r="G9" s="78">
        <v>0</v>
      </c>
      <c r="H9" s="19">
        <f>E9*F9</f>
        <v>44</v>
      </c>
      <c r="I9" s="108">
        <f>ROUND(H9*C9,0)</f>
        <v>-18</v>
      </c>
      <c r="J9" s="18">
        <f>ROUND(H9*D9,0)</f>
        <v>862</v>
      </c>
      <c r="K9" s="38">
        <f>ROUND(I9*$K$2,0)</f>
        <v>-1322</v>
      </c>
      <c r="L9" s="21">
        <f t="shared" ref="K9:L10" si="0">ROUND(J9*$K$2,0)</f>
        <v>63331</v>
      </c>
      <c r="M9"/>
      <c r="N9"/>
      <c r="O9"/>
      <c r="P9"/>
      <c r="Q9"/>
      <c r="R9"/>
    </row>
    <row r="10" spans="1:20" x14ac:dyDescent="0.25">
      <c r="A10" s="23" t="s">
        <v>46</v>
      </c>
      <c r="B10" s="78">
        <v>3.7</v>
      </c>
      <c r="C10" s="32">
        <v>-0.4</v>
      </c>
      <c r="D10" s="78">
        <f>B10+C10</f>
        <v>3.3000000000000003</v>
      </c>
      <c r="E10" s="19">
        <f>'Number of Respondents'!C8</f>
        <v>1997</v>
      </c>
      <c r="F10" s="78">
        <v>1</v>
      </c>
      <c r="G10" s="78">
        <v>0</v>
      </c>
      <c r="H10" s="19">
        <f>E10*F10</f>
        <v>1997</v>
      </c>
      <c r="I10" s="108">
        <f>ROUND(H10*C10,0)</f>
        <v>-799</v>
      </c>
      <c r="J10" s="119">
        <f>ROUND(H10*D10,0)</f>
        <v>6590</v>
      </c>
      <c r="K10" s="38">
        <f t="shared" si="0"/>
        <v>-58703</v>
      </c>
      <c r="L10" s="21">
        <f>ROUND(J10*$K$2,0)</f>
        <v>484167</v>
      </c>
    </row>
    <row r="11" spans="1:20" ht="30" x14ac:dyDescent="0.25">
      <c r="A11" s="23" t="s">
        <v>47</v>
      </c>
      <c r="B11" s="200" t="s">
        <v>48</v>
      </c>
      <c r="C11" s="66" t="s">
        <v>49</v>
      </c>
      <c r="D11" s="67" t="s">
        <v>49</v>
      </c>
      <c r="E11" s="19" t="s">
        <v>49</v>
      </c>
      <c r="F11" s="31" t="s">
        <v>49</v>
      </c>
      <c r="G11" s="31" t="s">
        <v>49</v>
      </c>
      <c r="H11" s="19" t="s">
        <v>49</v>
      </c>
      <c r="I11" s="37" t="s">
        <v>49</v>
      </c>
      <c r="J11" s="117" t="s">
        <v>49</v>
      </c>
      <c r="K11" s="36" t="s">
        <v>49</v>
      </c>
      <c r="L11" s="19" t="s">
        <v>49</v>
      </c>
      <c r="S11" s="125"/>
      <c r="T11" s="33"/>
    </row>
    <row r="12" spans="1:20" ht="30" x14ac:dyDescent="0.25">
      <c r="A12" s="24" t="s">
        <v>50</v>
      </c>
      <c r="B12" s="200" t="s">
        <v>48</v>
      </c>
      <c r="C12" s="66" t="s">
        <v>49</v>
      </c>
      <c r="D12" s="67" t="s">
        <v>49</v>
      </c>
      <c r="E12" s="19" t="s">
        <v>49</v>
      </c>
      <c r="F12" s="31" t="s">
        <v>49</v>
      </c>
      <c r="G12" s="31" t="s">
        <v>49</v>
      </c>
      <c r="H12" s="19" t="s">
        <v>49</v>
      </c>
      <c r="I12" s="37" t="s">
        <v>49</v>
      </c>
      <c r="J12" s="117" t="s">
        <v>49</v>
      </c>
      <c r="K12" s="36" t="s">
        <v>49</v>
      </c>
      <c r="L12" s="19" t="s">
        <v>49</v>
      </c>
      <c r="S12" s="33"/>
      <c r="T12" s="33"/>
    </row>
    <row r="13" spans="1:20" ht="30" x14ac:dyDescent="0.25">
      <c r="A13" s="24" t="s">
        <v>51</v>
      </c>
      <c r="B13" s="200" t="s">
        <v>48</v>
      </c>
      <c r="C13" s="36" t="s">
        <v>49</v>
      </c>
      <c r="D13" s="31" t="s">
        <v>49</v>
      </c>
      <c r="E13" s="19" t="s">
        <v>49</v>
      </c>
      <c r="F13" s="31" t="s">
        <v>49</v>
      </c>
      <c r="G13" s="31" t="s">
        <v>49</v>
      </c>
      <c r="H13" s="19" t="s">
        <v>49</v>
      </c>
      <c r="I13" s="37" t="s">
        <v>49</v>
      </c>
      <c r="J13" s="117" t="s">
        <v>49</v>
      </c>
      <c r="K13" s="36" t="s">
        <v>49</v>
      </c>
      <c r="L13" s="19" t="s">
        <v>49</v>
      </c>
      <c r="S13" s="218"/>
      <c r="T13" s="218"/>
    </row>
    <row r="14" spans="1:20" ht="15" customHeight="1" x14ac:dyDescent="0.25">
      <c r="A14" s="24" t="s">
        <v>52</v>
      </c>
      <c r="B14" s="78">
        <v>1</v>
      </c>
      <c r="C14" s="32">
        <v>0</v>
      </c>
      <c r="D14" s="78">
        <f>B14+C14</f>
        <v>1</v>
      </c>
      <c r="E14" s="19">
        <f>'Number of Respondents'!C10</f>
        <v>182</v>
      </c>
      <c r="F14" s="78">
        <v>1</v>
      </c>
      <c r="G14" s="78">
        <v>0</v>
      </c>
      <c r="H14" s="19">
        <f>E14*F14</f>
        <v>182</v>
      </c>
      <c r="I14" s="42">
        <f>ROUND(H14*C14,0)</f>
        <v>0</v>
      </c>
      <c r="J14" s="119">
        <f>ROUND(H14*D14,0)</f>
        <v>182</v>
      </c>
      <c r="K14" s="38">
        <f t="shared" ref="K14:L17" si="1">ROUND(I14*$K$2,0)</f>
        <v>0</v>
      </c>
      <c r="L14" s="21">
        <f t="shared" si="1"/>
        <v>13372</v>
      </c>
    </row>
    <row r="15" spans="1:20" ht="15" customHeight="1" x14ac:dyDescent="0.25">
      <c r="A15" s="24" t="s">
        <v>53</v>
      </c>
      <c r="B15" s="80">
        <v>0.5</v>
      </c>
      <c r="C15" s="145">
        <f>ROUND(('Number of Respondents'!$C$4*1+'Number of Respondents'!$C$8*0.5)/'Number of Respondents'!C3,1)</f>
        <v>0.7</v>
      </c>
      <c r="D15" s="84">
        <f>B15+C15</f>
        <v>1.2</v>
      </c>
      <c r="E15" s="19">
        <f>'Number of Respondents'!$C$11</f>
        <v>3631</v>
      </c>
      <c r="F15" s="199">
        <v>1</v>
      </c>
      <c r="G15" s="199">
        <v>0</v>
      </c>
      <c r="H15" s="19">
        <f>E15*F15</f>
        <v>3631</v>
      </c>
      <c r="I15" s="42">
        <f>ROUND(H15*C15,0)</f>
        <v>2542</v>
      </c>
      <c r="J15" s="119">
        <f>ROUND(H15*D15,0)</f>
        <v>4357</v>
      </c>
      <c r="K15" s="38">
        <f t="shared" si="1"/>
        <v>186761</v>
      </c>
      <c r="L15" s="21">
        <f t="shared" si="1"/>
        <v>320109</v>
      </c>
    </row>
    <row r="16" spans="1:20" x14ac:dyDescent="0.25">
      <c r="A16" s="23" t="s">
        <v>54</v>
      </c>
      <c r="B16" s="78" t="s">
        <v>22</v>
      </c>
      <c r="C16" s="85">
        <v>0.5</v>
      </c>
      <c r="D16" s="84">
        <f>C16</f>
        <v>0.5</v>
      </c>
      <c r="E16" s="19">
        <f>'Number of Respondents'!$C$9</f>
        <v>835</v>
      </c>
      <c r="F16" s="19">
        <v>29</v>
      </c>
      <c r="G16" s="19">
        <f>E16*F16</f>
        <v>24215</v>
      </c>
      <c r="H16" s="19">
        <f>E16*F16</f>
        <v>24215</v>
      </c>
      <c r="I16" s="42">
        <f>ROUND(H16*C16,0)</f>
        <v>12108</v>
      </c>
      <c r="J16" s="119">
        <f>ROUND(H16*D16,0)</f>
        <v>12108</v>
      </c>
      <c r="K16" s="38">
        <f t="shared" si="1"/>
        <v>889575</v>
      </c>
      <c r="L16" s="21">
        <f t="shared" si="1"/>
        <v>889575</v>
      </c>
      <c r="M16" s="101"/>
      <c r="N16" s="101"/>
    </row>
    <row r="17" spans="1:15" x14ac:dyDescent="0.25">
      <c r="A17" s="23" t="s">
        <v>55</v>
      </c>
      <c r="B17" s="78" t="s">
        <v>22</v>
      </c>
      <c r="C17" s="56">
        <f>ROUND('Turbidity Monitoring'!B7,2)</f>
        <v>0.75</v>
      </c>
      <c r="D17" s="79">
        <f>C17</f>
        <v>0.75</v>
      </c>
      <c r="E17" s="19">
        <f>'Number of Respondents'!$C$9</f>
        <v>835</v>
      </c>
      <c r="F17" s="19">
        <v>4</v>
      </c>
      <c r="G17" s="19">
        <f>E17*F17</f>
        <v>3340</v>
      </c>
      <c r="H17" s="19">
        <f>E17*F17</f>
        <v>3340</v>
      </c>
      <c r="I17" s="42">
        <f>ROUND(H17*C17,0)</f>
        <v>2505</v>
      </c>
      <c r="J17" s="119">
        <f>ROUND(H17*D17,0)</f>
        <v>2505</v>
      </c>
      <c r="K17" s="38">
        <f t="shared" si="1"/>
        <v>184042</v>
      </c>
      <c r="L17" s="21">
        <f t="shared" si="1"/>
        <v>184042</v>
      </c>
      <c r="M17" s="101"/>
      <c r="N17" s="126"/>
      <c r="O17" s="41"/>
    </row>
    <row r="18" spans="1:15" x14ac:dyDescent="0.25">
      <c r="A18" s="53" t="s">
        <v>56</v>
      </c>
      <c r="B18" s="110"/>
      <c r="C18" s="111"/>
      <c r="D18" s="111"/>
      <c r="E18" s="111"/>
      <c r="F18" s="111"/>
      <c r="G18" s="111"/>
      <c r="H18" s="111"/>
      <c r="I18" s="111"/>
      <c r="J18" s="111"/>
      <c r="K18" s="111"/>
      <c r="L18" s="111"/>
    </row>
    <row r="19" spans="1:15" x14ac:dyDescent="0.25">
      <c r="A19" s="48" t="s">
        <v>57</v>
      </c>
      <c r="B19" s="78">
        <v>4</v>
      </c>
      <c r="C19" s="32">
        <v>0</v>
      </c>
      <c r="D19" s="18">
        <f t="shared" ref="D19:D26" si="2">B19+C19</f>
        <v>4</v>
      </c>
      <c r="E19" s="19">
        <f>'Number of Respondents'!C12</f>
        <v>18</v>
      </c>
      <c r="F19" s="19">
        <v>1</v>
      </c>
      <c r="G19" s="19">
        <v>0</v>
      </c>
      <c r="H19" s="19">
        <f t="shared" ref="H19:H26" si="3">E19*F19</f>
        <v>18</v>
      </c>
      <c r="I19" s="42">
        <f t="shared" ref="I19:I26" si="4">ROUND(H19*C19,0)</f>
        <v>0</v>
      </c>
      <c r="J19" s="119">
        <f t="shared" ref="J19:J26" si="5">ROUND(H19*D19,0)</f>
        <v>72</v>
      </c>
      <c r="K19" s="38">
        <f t="shared" ref="K19:L26" si="6">ROUND(I19*$K$2,0)</f>
        <v>0</v>
      </c>
      <c r="L19" s="21">
        <f t="shared" si="6"/>
        <v>5290</v>
      </c>
    </row>
    <row r="20" spans="1:15" x14ac:dyDescent="0.25">
      <c r="A20" s="48" t="s">
        <v>58</v>
      </c>
      <c r="B20" s="78">
        <v>5</v>
      </c>
      <c r="C20" s="32">
        <v>0</v>
      </c>
      <c r="D20" s="18">
        <f>B20+C20</f>
        <v>5</v>
      </c>
      <c r="E20" s="19">
        <f>'Number of Respondents'!C13</f>
        <v>4</v>
      </c>
      <c r="F20" s="19">
        <v>1</v>
      </c>
      <c r="G20" s="19">
        <v>0</v>
      </c>
      <c r="H20" s="19">
        <f t="shared" si="3"/>
        <v>4</v>
      </c>
      <c r="I20" s="42">
        <f t="shared" si="4"/>
        <v>0</v>
      </c>
      <c r="J20" s="119">
        <f t="shared" si="5"/>
        <v>20</v>
      </c>
      <c r="K20" s="38">
        <f t="shared" si="6"/>
        <v>0</v>
      </c>
      <c r="L20" s="21">
        <f t="shared" si="6"/>
        <v>1469</v>
      </c>
    </row>
    <row r="21" spans="1:15" x14ac:dyDescent="0.25">
      <c r="A21" s="48" t="s">
        <v>59</v>
      </c>
      <c r="B21" s="78">
        <v>5</v>
      </c>
      <c r="C21" s="32">
        <v>0</v>
      </c>
      <c r="D21" s="18">
        <f t="shared" si="2"/>
        <v>5</v>
      </c>
      <c r="E21" s="19">
        <f>'Number of Respondents'!C14</f>
        <v>4</v>
      </c>
      <c r="F21" s="19">
        <v>1</v>
      </c>
      <c r="G21" s="19">
        <v>0</v>
      </c>
      <c r="H21" s="19">
        <f>E21*F21</f>
        <v>4</v>
      </c>
      <c r="I21" s="42">
        <f t="shared" si="4"/>
        <v>0</v>
      </c>
      <c r="J21" s="119">
        <f t="shared" si="5"/>
        <v>20</v>
      </c>
      <c r="K21" s="38">
        <f t="shared" si="6"/>
        <v>0</v>
      </c>
      <c r="L21" s="21">
        <f t="shared" si="6"/>
        <v>1469</v>
      </c>
    </row>
    <row r="22" spans="1:15" x14ac:dyDescent="0.25">
      <c r="A22" s="48" t="s">
        <v>60</v>
      </c>
      <c r="B22" s="78">
        <v>2</v>
      </c>
      <c r="C22" s="32">
        <v>0</v>
      </c>
      <c r="D22" s="18">
        <f t="shared" si="2"/>
        <v>2</v>
      </c>
      <c r="E22" s="19">
        <f>'Number of Respondents'!C15</f>
        <v>3</v>
      </c>
      <c r="F22" s="19">
        <v>1</v>
      </c>
      <c r="G22" s="19">
        <v>0</v>
      </c>
      <c r="H22" s="19">
        <f t="shared" si="3"/>
        <v>3</v>
      </c>
      <c r="I22" s="42">
        <f t="shared" si="4"/>
        <v>0</v>
      </c>
      <c r="J22" s="119">
        <f t="shared" si="5"/>
        <v>6</v>
      </c>
      <c r="K22" s="38">
        <f t="shared" si="6"/>
        <v>0</v>
      </c>
      <c r="L22" s="21">
        <f t="shared" si="6"/>
        <v>441</v>
      </c>
    </row>
    <row r="23" spans="1:15" x14ac:dyDescent="0.25">
      <c r="A23" s="48" t="s">
        <v>61</v>
      </c>
      <c r="B23" s="78">
        <v>3</v>
      </c>
      <c r="C23" s="32">
        <v>0</v>
      </c>
      <c r="D23" s="18">
        <f t="shared" si="2"/>
        <v>3</v>
      </c>
      <c r="E23" s="19">
        <f>'Number of Respondents'!C16</f>
        <v>73</v>
      </c>
      <c r="F23" s="19">
        <v>1</v>
      </c>
      <c r="G23" s="19">
        <v>0</v>
      </c>
      <c r="H23" s="19">
        <f t="shared" si="3"/>
        <v>73</v>
      </c>
      <c r="I23" s="42">
        <f t="shared" si="4"/>
        <v>0</v>
      </c>
      <c r="J23" s="119">
        <f t="shared" si="5"/>
        <v>219</v>
      </c>
      <c r="K23" s="38">
        <f t="shared" si="6"/>
        <v>0</v>
      </c>
      <c r="L23" s="21">
        <f t="shared" si="6"/>
        <v>16090</v>
      </c>
    </row>
    <row r="24" spans="1:15" x14ac:dyDescent="0.25">
      <c r="A24" s="48" t="s">
        <v>62</v>
      </c>
      <c r="B24" s="78">
        <v>2</v>
      </c>
      <c r="C24" s="32">
        <v>0</v>
      </c>
      <c r="D24" s="18">
        <f t="shared" si="2"/>
        <v>2</v>
      </c>
      <c r="E24" s="19">
        <f>'Number of Respondents'!C17</f>
        <v>36</v>
      </c>
      <c r="F24" s="19">
        <v>1</v>
      </c>
      <c r="G24" s="19">
        <v>0</v>
      </c>
      <c r="H24" s="19">
        <f t="shared" si="3"/>
        <v>36</v>
      </c>
      <c r="I24" s="42">
        <f t="shared" si="4"/>
        <v>0</v>
      </c>
      <c r="J24" s="119">
        <f t="shared" si="5"/>
        <v>72</v>
      </c>
      <c r="K24" s="38">
        <f t="shared" si="6"/>
        <v>0</v>
      </c>
      <c r="L24" s="21">
        <f t="shared" si="6"/>
        <v>5290</v>
      </c>
    </row>
    <row r="25" spans="1:15" x14ac:dyDescent="0.25">
      <c r="A25" s="48" t="s">
        <v>63</v>
      </c>
      <c r="B25" s="78">
        <v>5</v>
      </c>
      <c r="C25" s="32">
        <v>0</v>
      </c>
      <c r="D25" s="18">
        <f t="shared" si="2"/>
        <v>5</v>
      </c>
      <c r="E25" s="19">
        <f>'Number of Respondents'!C18</f>
        <v>36</v>
      </c>
      <c r="F25" s="19">
        <v>1</v>
      </c>
      <c r="G25" s="19">
        <v>0</v>
      </c>
      <c r="H25" s="19">
        <f t="shared" si="3"/>
        <v>36</v>
      </c>
      <c r="I25" s="42">
        <f t="shared" si="4"/>
        <v>0</v>
      </c>
      <c r="J25" s="119">
        <f t="shared" si="5"/>
        <v>180</v>
      </c>
      <c r="K25" s="38">
        <f t="shared" si="6"/>
        <v>0</v>
      </c>
      <c r="L25" s="21">
        <f t="shared" si="6"/>
        <v>13225</v>
      </c>
    </row>
    <row r="26" spans="1:15" x14ac:dyDescent="0.25">
      <c r="A26" s="48" t="s">
        <v>64</v>
      </c>
      <c r="B26" s="78">
        <v>2</v>
      </c>
      <c r="C26" s="32">
        <v>0</v>
      </c>
      <c r="D26" s="18">
        <f t="shared" si="2"/>
        <v>2</v>
      </c>
      <c r="E26" s="19">
        <f>'Number of Respondents'!C19</f>
        <v>2</v>
      </c>
      <c r="F26" s="19">
        <v>1</v>
      </c>
      <c r="G26" s="19">
        <v>0</v>
      </c>
      <c r="H26" s="19">
        <f t="shared" si="3"/>
        <v>2</v>
      </c>
      <c r="I26" s="42">
        <f t="shared" si="4"/>
        <v>0</v>
      </c>
      <c r="J26" s="119">
        <f t="shared" si="5"/>
        <v>4</v>
      </c>
      <c r="K26" s="38">
        <f t="shared" si="6"/>
        <v>0</v>
      </c>
      <c r="L26" s="21">
        <f t="shared" si="6"/>
        <v>294</v>
      </c>
    </row>
    <row r="27" spans="1:15" ht="15" customHeight="1" x14ac:dyDescent="0.25">
      <c r="A27" s="63" t="s">
        <v>65</v>
      </c>
      <c r="B27" s="112"/>
      <c r="C27" s="113"/>
      <c r="D27" s="113"/>
      <c r="E27" s="113"/>
      <c r="F27" s="114"/>
      <c r="G27" s="122">
        <f>SUM(G7:G10,G14:G17,G19:G26)</f>
        <v>27555</v>
      </c>
      <c r="H27" s="116">
        <f t="shared" ref="H27:K27" si="7">SUM(H7:H26)</f>
        <v>35174</v>
      </c>
      <c r="I27" s="106">
        <f>SUM(I7:I26)</f>
        <v>15702</v>
      </c>
      <c r="J27" s="116">
        <f t="shared" si="7"/>
        <v>31685</v>
      </c>
      <c r="K27" s="39">
        <f t="shared" si="7"/>
        <v>1153626</v>
      </c>
      <c r="L27" s="146">
        <f>SUM(L7:L10,L14:L17,L19:L26)</f>
        <v>2327898</v>
      </c>
    </row>
    <row r="28" spans="1:15" ht="15" customHeight="1" x14ac:dyDescent="0.25">
      <c r="A28" s="64" t="s">
        <v>66</v>
      </c>
      <c r="B28" s="147"/>
      <c r="C28" s="148"/>
      <c r="D28" s="148"/>
      <c r="E28" s="148"/>
      <c r="F28" s="148"/>
      <c r="G28" s="148"/>
      <c r="H28" s="148"/>
      <c r="I28" s="148"/>
      <c r="J28" s="148"/>
      <c r="K28" s="148"/>
      <c r="L28" s="148"/>
    </row>
    <row r="29" spans="1:15" ht="15" customHeight="1" x14ac:dyDescent="0.25">
      <c r="A29" s="24" t="s">
        <v>67</v>
      </c>
      <c r="B29" s="78">
        <v>36.4</v>
      </c>
      <c r="C29" s="32">
        <v>0</v>
      </c>
      <c r="D29" s="78">
        <f>B29+C29</f>
        <v>36.4</v>
      </c>
      <c r="E29" s="19">
        <f>'Number of Respondents'!C4</f>
        <v>1634</v>
      </c>
      <c r="F29" s="78">
        <v>1</v>
      </c>
      <c r="G29" s="78">
        <v>0</v>
      </c>
      <c r="H29" s="19">
        <f>E29*F29</f>
        <v>1634</v>
      </c>
      <c r="I29" s="42">
        <f>ROUND(H29*C29,0)</f>
        <v>0</v>
      </c>
      <c r="J29" s="119">
        <f>ROUND(H29*D29,0)</f>
        <v>59478</v>
      </c>
      <c r="K29" s="38">
        <f t="shared" ref="K29:L31" si="8">ROUND(I29*$K$2,0)</f>
        <v>0</v>
      </c>
      <c r="L29" s="21">
        <f>ROUND(J29*$K$2,0)</f>
        <v>4369849</v>
      </c>
    </row>
    <row r="30" spans="1:15" ht="15" customHeight="1" x14ac:dyDescent="0.25">
      <c r="A30" s="24" t="s">
        <v>68</v>
      </c>
      <c r="B30" s="78">
        <v>22.7</v>
      </c>
      <c r="C30" s="32">
        <v>0</v>
      </c>
      <c r="D30" s="78">
        <f>B30+C30</f>
        <v>22.7</v>
      </c>
      <c r="E30" s="19">
        <f>'Number of Respondents'!C8</f>
        <v>1997</v>
      </c>
      <c r="F30" s="78">
        <v>1</v>
      </c>
      <c r="G30" s="78">
        <v>0</v>
      </c>
      <c r="H30" s="19">
        <f>E30*F30</f>
        <v>1997</v>
      </c>
      <c r="I30" s="42">
        <f>ROUND(H30*C30,0)</f>
        <v>0</v>
      </c>
      <c r="J30" s="119">
        <f>ROUND(H30*D30,0)</f>
        <v>45332</v>
      </c>
      <c r="K30" s="38">
        <f t="shared" si="8"/>
        <v>0</v>
      </c>
      <c r="L30" s="21">
        <f t="shared" si="8"/>
        <v>3330542</v>
      </c>
    </row>
    <row r="31" spans="1:15" ht="33.6" customHeight="1" x14ac:dyDescent="0.25">
      <c r="A31" s="48" t="s">
        <v>69</v>
      </c>
      <c r="B31" s="200" t="s">
        <v>22</v>
      </c>
      <c r="C31" s="32">
        <v>4</v>
      </c>
      <c r="D31" s="78">
        <f>C31</f>
        <v>4</v>
      </c>
      <c r="E31" s="19">
        <f>'Number of Respondents'!C9</f>
        <v>835</v>
      </c>
      <c r="F31" s="214" t="s">
        <v>70</v>
      </c>
      <c r="G31" s="215"/>
      <c r="H31" s="216"/>
      <c r="I31" s="42">
        <f>ROUND(E31*C31,0)</f>
        <v>3340</v>
      </c>
      <c r="J31" s="119">
        <f>ROUND(E31*D31,0)</f>
        <v>3340</v>
      </c>
      <c r="K31" s="38">
        <f t="shared" si="8"/>
        <v>245390</v>
      </c>
      <c r="L31" s="21">
        <f t="shared" si="8"/>
        <v>245390</v>
      </c>
    </row>
    <row r="32" spans="1:15" ht="60" x14ac:dyDescent="0.25">
      <c r="A32" s="24" t="s">
        <v>71</v>
      </c>
      <c r="B32" s="200" t="s">
        <v>72</v>
      </c>
      <c r="C32" s="66" t="s">
        <v>49</v>
      </c>
      <c r="D32" s="67" t="s">
        <v>49</v>
      </c>
      <c r="E32" s="19" t="s">
        <v>49</v>
      </c>
      <c r="F32" s="31" t="s">
        <v>49</v>
      </c>
      <c r="G32" s="31" t="s">
        <v>49</v>
      </c>
      <c r="H32" s="19" t="s">
        <v>49</v>
      </c>
      <c r="I32" s="139" t="s">
        <v>49</v>
      </c>
      <c r="J32" s="140" t="s">
        <v>49</v>
      </c>
      <c r="K32" s="141" t="s">
        <v>49</v>
      </c>
      <c r="L32" s="142" t="s">
        <v>49</v>
      </c>
    </row>
    <row r="33" spans="1:13" x14ac:dyDescent="0.25">
      <c r="A33" s="23" t="s">
        <v>73</v>
      </c>
      <c r="B33" s="78">
        <v>0.5</v>
      </c>
      <c r="C33" s="42">
        <v>0</v>
      </c>
      <c r="D33" s="194">
        <f>B33+C33</f>
        <v>0.5</v>
      </c>
      <c r="E33" s="19">
        <f>'Number of Respondents'!C4</f>
        <v>1634</v>
      </c>
      <c r="F33" s="19">
        <v>26</v>
      </c>
      <c r="G33" s="19">
        <v>0</v>
      </c>
      <c r="H33" s="117">
        <f>E33*F33</f>
        <v>42484</v>
      </c>
      <c r="I33" s="42">
        <f>ROUND(H33*C33,0)</f>
        <v>0</v>
      </c>
      <c r="J33" s="119">
        <f>ROUND(H33*D33,0)</f>
        <v>21242</v>
      </c>
      <c r="K33" s="38">
        <f t="shared" ref="K33:L35" si="9">ROUND(I33*$K$2,0)</f>
        <v>0</v>
      </c>
      <c r="L33" s="21">
        <f t="shared" si="9"/>
        <v>1560650</v>
      </c>
    </row>
    <row r="34" spans="1:13" x14ac:dyDescent="0.25">
      <c r="A34" s="23" t="s">
        <v>74</v>
      </c>
      <c r="B34" s="78">
        <v>0.25</v>
      </c>
      <c r="C34" s="42">
        <v>0</v>
      </c>
      <c r="D34" s="78">
        <f>B34+C34</f>
        <v>0.25</v>
      </c>
      <c r="E34" s="19">
        <f>'Number of Respondents'!C8</f>
        <v>1997</v>
      </c>
      <c r="F34" s="19">
        <v>26</v>
      </c>
      <c r="G34" s="19">
        <v>0</v>
      </c>
      <c r="H34" s="117">
        <f>E34*F34</f>
        <v>51922</v>
      </c>
      <c r="I34" s="42">
        <f>ROUND(H34*C34,0)</f>
        <v>0</v>
      </c>
      <c r="J34" s="119">
        <f>ROUND(H34*D34,0)</f>
        <v>12981</v>
      </c>
      <c r="K34" s="38">
        <f t="shared" si="9"/>
        <v>0</v>
      </c>
      <c r="L34" s="21">
        <f>ROUND(J34*$K$2,0)</f>
        <v>953714</v>
      </c>
    </row>
    <row r="35" spans="1:13" x14ac:dyDescent="0.25">
      <c r="A35" s="23" t="s">
        <v>75</v>
      </c>
      <c r="B35" s="67" t="s">
        <v>22</v>
      </c>
      <c r="C35" s="71">
        <v>0.25</v>
      </c>
      <c r="D35" s="86">
        <f>C35</f>
        <v>0.25</v>
      </c>
      <c r="E35" s="19">
        <f>'Number of Respondents'!$C$3</f>
        <v>3631</v>
      </c>
      <c r="F35" s="18">
        <v>29</v>
      </c>
      <c r="G35" s="19">
        <f>E35*F35</f>
        <v>105299</v>
      </c>
      <c r="H35" s="117">
        <f>E35*F35</f>
        <v>105299</v>
      </c>
      <c r="I35" s="42">
        <f>ROUND(H35*C35,0)</f>
        <v>26325</v>
      </c>
      <c r="J35" s="119">
        <f>ROUND(H35*D35,0)</f>
        <v>26325</v>
      </c>
      <c r="K35" s="38">
        <f t="shared" si="9"/>
        <v>1934098</v>
      </c>
      <c r="L35" s="21">
        <f t="shared" si="9"/>
        <v>1934098</v>
      </c>
    </row>
    <row r="36" spans="1:13" ht="120" x14ac:dyDescent="0.25">
      <c r="A36" s="24" t="s">
        <v>76</v>
      </c>
      <c r="B36" s="200" t="s">
        <v>77</v>
      </c>
      <c r="C36" s="66" t="s">
        <v>49</v>
      </c>
      <c r="D36" s="91" t="s">
        <v>49</v>
      </c>
      <c r="E36" s="115" t="s">
        <v>49</v>
      </c>
      <c r="F36" s="83" t="s">
        <v>49</v>
      </c>
      <c r="G36" s="83" t="s">
        <v>49</v>
      </c>
      <c r="H36" s="115" t="s">
        <v>49</v>
      </c>
      <c r="I36" s="66" t="s">
        <v>49</v>
      </c>
      <c r="J36" s="115" t="s">
        <v>49</v>
      </c>
      <c r="K36" s="66" t="s">
        <v>49</v>
      </c>
      <c r="L36" s="115" t="s">
        <v>49</v>
      </c>
    </row>
    <row r="37" spans="1:13" s="41" customFormat="1" ht="15" customHeight="1" x14ac:dyDescent="0.25">
      <c r="A37" s="65" t="s">
        <v>78</v>
      </c>
      <c r="B37" s="210"/>
      <c r="C37" s="211"/>
      <c r="D37" s="211"/>
      <c r="E37" s="211"/>
      <c r="F37" s="212"/>
      <c r="G37" s="124">
        <f>SUM(G29:G31,G33:G35)</f>
        <v>105299</v>
      </c>
      <c r="H37" s="118">
        <f>SUM(H29:H36)</f>
        <v>203336</v>
      </c>
      <c r="I37" s="40">
        <f>SUM(I29:I36)</f>
        <v>29665</v>
      </c>
      <c r="J37" s="118">
        <f>SUM(J29:J36)</f>
        <v>168698</v>
      </c>
      <c r="K37" s="39">
        <f>SUM(K29:K36)</f>
        <v>2179488</v>
      </c>
      <c r="L37" s="146">
        <f>SUM(L29:L36)</f>
        <v>12394243</v>
      </c>
    </row>
    <row r="38" spans="1:13" s="41" customFormat="1" ht="15" customHeight="1" x14ac:dyDescent="0.25">
      <c r="A38" s="88" t="s">
        <v>79</v>
      </c>
      <c r="B38" s="210"/>
      <c r="C38" s="211"/>
      <c r="D38" s="211"/>
      <c r="E38" s="211"/>
      <c r="F38" s="212"/>
      <c r="G38" s="127">
        <f>G37+G27</f>
        <v>132854</v>
      </c>
      <c r="H38" s="149">
        <f>H37+H27</f>
        <v>238510</v>
      </c>
      <c r="I38" s="150">
        <f t="shared" ref="I38:L38" si="10">I37+I27</f>
        <v>45367</v>
      </c>
      <c r="J38" s="149">
        <f t="shared" si="10"/>
        <v>200383</v>
      </c>
      <c r="K38" s="128">
        <f t="shared" si="10"/>
        <v>3333114</v>
      </c>
      <c r="L38" s="129">
        <f t="shared" si="10"/>
        <v>14722141</v>
      </c>
    </row>
    <row r="39" spans="1:13" s="41" customFormat="1" x14ac:dyDescent="0.25">
      <c r="A39" s="88" t="s">
        <v>80</v>
      </c>
      <c r="B39" s="210"/>
      <c r="C39" s="211"/>
      <c r="D39" s="211"/>
      <c r="E39" s="211"/>
      <c r="F39" s="212"/>
      <c r="G39" s="198"/>
      <c r="H39" s="213"/>
      <c r="I39" s="213"/>
      <c r="J39" s="213"/>
      <c r="K39" s="128">
        <f>'Turbidity Monitoring'!D12</f>
        <v>888440</v>
      </c>
      <c r="L39" s="129">
        <f>K39</f>
        <v>888440</v>
      </c>
    </row>
    <row r="40" spans="1:13" ht="15" customHeight="1" x14ac:dyDescent="0.25">
      <c r="A40" s="14" t="s">
        <v>81</v>
      </c>
      <c r="B40" s="210"/>
      <c r="C40" s="211"/>
      <c r="D40" s="211"/>
      <c r="E40" s="211"/>
      <c r="F40" s="212"/>
      <c r="G40" s="198"/>
      <c r="H40" s="213"/>
      <c r="I40" s="213"/>
      <c r="J40" s="213"/>
      <c r="K40" s="128">
        <f>K38+K39</f>
        <v>4221554</v>
      </c>
      <c r="L40" s="129">
        <f>L38+L39</f>
        <v>15610581</v>
      </c>
    </row>
    <row r="41" spans="1:13" x14ac:dyDescent="0.25">
      <c r="A41" s="10"/>
      <c r="B41" s="2"/>
      <c r="E41" s="2"/>
      <c r="F41" s="2"/>
      <c r="G41" s="2"/>
      <c r="H41" s="5"/>
    </row>
    <row r="42" spans="1:13" x14ac:dyDescent="0.25">
      <c r="B42" s="2"/>
      <c r="E42" s="2"/>
      <c r="F42" s="2"/>
      <c r="G42" s="2"/>
      <c r="H42" s="195" t="s">
        <v>82</v>
      </c>
      <c r="I42" s="196">
        <f>(J38+'Agency Burden'!G12)</f>
        <v>211062.85</v>
      </c>
    </row>
    <row r="43" spans="1:13" x14ac:dyDescent="0.25">
      <c r="H43" s="197" t="s">
        <v>83</v>
      </c>
      <c r="I43" s="196">
        <f>H38+'Agency Burden'!E12</f>
        <v>250762</v>
      </c>
      <c r="K43" s="6"/>
    </row>
    <row r="44" spans="1:13" x14ac:dyDescent="0.25">
      <c r="A44" s="11" t="s">
        <v>26</v>
      </c>
      <c r="H44" s="195" t="s">
        <v>84</v>
      </c>
      <c r="I44" s="195">
        <f>I42/I43</f>
        <v>0.84168594125106677</v>
      </c>
      <c r="M44" s="242">
        <f>L39/3</f>
        <v>296146.66666666669</v>
      </c>
    </row>
    <row r="45" spans="1:13" ht="17.25" x14ac:dyDescent="0.25">
      <c r="A45" s="26" t="s">
        <v>27</v>
      </c>
    </row>
    <row r="46" spans="1:13" ht="17.25" x14ac:dyDescent="0.25">
      <c r="A46" s="132" t="s">
        <v>85</v>
      </c>
    </row>
    <row r="47" spans="1:13" ht="17.25" x14ac:dyDescent="0.25">
      <c r="A47" s="1" t="s">
        <v>86</v>
      </c>
    </row>
    <row r="48" spans="1:13" s="33" customFormat="1" x14ac:dyDescent="0.25">
      <c r="A48" s="1"/>
    </row>
    <row r="49" s="33" customFormat="1" x14ac:dyDescent="0.25"/>
  </sheetData>
  <autoFilter ref="A4:K4" xr:uid="{FA7FF974-822C-4FF1-84B4-B8D7E9FF4835}"/>
  <mergeCells count="14">
    <mergeCell ref="B6:L6"/>
    <mergeCell ref="B37:F37"/>
    <mergeCell ref="S13:T13"/>
    <mergeCell ref="K3:L3"/>
    <mergeCell ref="I3:J3"/>
    <mergeCell ref="E3:H3"/>
    <mergeCell ref="B5:L5"/>
    <mergeCell ref="B3:D3"/>
    <mergeCell ref="B40:F40"/>
    <mergeCell ref="H40:J40"/>
    <mergeCell ref="F31:H31"/>
    <mergeCell ref="B38:F38"/>
    <mergeCell ref="B39:F39"/>
    <mergeCell ref="H39:J39"/>
  </mergeCells>
  <pageMargins left="0.7" right="0.7" top="0.75" bottom="0.75" header="0.3" footer="0.3"/>
  <pageSetup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53D14-84CE-4049-A937-D8A72DD72D4C}">
  <dimension ref="A1:T19"/>
  <sheetViews>
    <sheetView zoomScaleNormal="100" workbookViewId="0">
      <selection activeCell="D19" sqref="D19"/>
    </sheetView>
  </sheetViews>
  <sheetFormatPr defaultRowHeight="15" x14ac:dyDescent="0.25"/>
  <cols>
    <col min="1" max="1" width="41" customWidth="1"/>
    <col min="2" max="2" width="15" customWidth="1"/>
    <col min="3" max="7" width="14.42578125" customWidth="1"/>
    <col min="10" max="10" width="10.28515625" bestFit="1" customWidth="1"/>
    <col min="12" max="12" width="13.7109375" customWidth="1"/>
    <col min="13" max="13" width="11.28515625" customWidth="1"/>
    <col min="15" max="15" width="35" customWidth="1"/>
  </cols>
  <sheetData>
    <row r="1" spans="1:20" x14ac:dyDescent="0.25">
      <c r="A1" t="s">
        <v>87</v>
      </c>
    </row>
    <row r="3" spans="1:20" x14ac:dyDescent="0.25">
      <c r="A3" s="98" t="s">
        <v>88</v>
      </c>
    </row>
    <row r="4" spans="1:20" x14ac:dyDescent="0.25">
      <c r="A4" s="203" t="s">
        <v>7</v>
      </c>
      <c r="B4" s="203" t="s">
        <v>89</v>
      </c>
      <c r="C4" s="226" t="s">
        <v>90</v>
      </c>
      <c r="D4" s="226"/>
      <c r="E4" s="226"/>
      <c r="F4" s="226"/>
      <c r="G4" s="226"/>
      <c r="H4" s="226"/>
      <c r="I4" s="226"/>
      <c r="J4" s="226"/>
    </row>
    <row r="5" spans="1:20" ht="47.65" customHeight="1" x14ac:dyDescent="0.25">
      <c r="A5" s="55" t="s">
        <v>91</v>
      </c>
      <c r="B5" s="54">
        <f>3.535/60</f>
        <v>5.8916666666666666E-2</v>
      </c>
      <c r="C5" s="225" t="s">
        <v>92</v>
      </c>
      <c r="D5" s="225"/>
      <c r="E5" s="225"/>
      <c r="F5" s="225"/>
      <c r="G5" s="225"/>
      <c r="H5" s="225"/>
      <c r="I5" s="225"/>
      <c r="J5" s="225"/>
    </row>
    <row r="6" spans="1:20" ht="28.15" customHeight="1" x14ac:dyDescent="0.25">
      <c r="A6" s="43" t="s">
        <v>93</v>
      </c>
      <c r="B6" s="43">
        <v>13</v>
      </c>
      <c r="C6" s="225" t="s">
        <v>94</v>
      </c>
      <c r="D6" s="225"/>
      <c r="E6" s="225"/>
      <c r="F6" s="225"/>
      <c r="G6" s="225"/>
      <c r="H6" s="225"/>
      <c r="I6" s="225"/>
      <c r="J6" s="225"/>
    </row>
    <row r="7" spans="1:20" x14ac:dyDescent="0.25">
      <c r="A7" s="46" t="s">
        <v>95</v>
      </c>
      <c r="B7" s="97">
        <f>MROUND(B5*B6,0.05)</f>
        <v>0.75</v>
      </c>
      <c r="C7" s="227"/>
      <c r="D7" s="227"/>
      <c r="E7" s="227"/>
      <c r="F7" s="227"/>
      <c r="G7" s="227"/>
      <c r="H7" s="227"/>
      <c r="I7" s="227"/>
      <c r="J7" s="227"/>
    </row>
    <row r="9" spans="1:20" x14ac:dyDescent="0.25">
      <c r="J9" s="6"/>
    </row>
    <row r="10" spans="1:20" x14ac:dyDescent="0.25">
      <c r="A10" s="89" t="s">
        <v>96</v>
      </c>
    </row>
    <row r="11" spans="1:20" ht="40.5" x14ac:dyDescent="0.25">
      <c r="A11" s="96" t="s">
        <v>97</v>
      </c>
      <c r="B11" s="96" t="s">
        <v>98</v>
      </c>
      <c r="C11" s="96" t="s">
        <v>99</v>
      </c>
      <c r="D11" s="96" t="s">
        <v>100</v>
      </c>
      <c r="E11" s="96" t="s">
        <v>101</v>
      </c>
      <c r="F11" s="96" t="s">
        <v>102</v>
      </c>
      <c r="G11" s="100" t="s">
        <v>103</v>
      </c>
    </row>
    <row r="12" spans="1:20" ht="20.65" customHeight="1" x14ac:dyDescent="0.25">
      <c r="A12" s="43" t="s">
        <v>104</v>
      </c>
      <c r="B12" s="92">
        <v>1064</v>
      </c>
      <c r="C12" s="99">
        <f>'Number of Respondents'!C9</f>
        <v>835</v>
      </c>
      <c r="D12" s="92">
        <f>B12*C12</f>
        <v>888440</v>
      </c>
      <c r="E12" s="92">
        <v>0</v>
      </c>
      <c r="F12" s="95">
        <f>C12</f>
        <v>835</v>
      </c>
      <c r="G12" s="21">
        <v>0</v>
      </c>
    </row>
    <row r="13" spans="1:20" ht="17.25" x14ac:dyDescent="0.25">
      <c r="A13" t="s">
        <v>105</v>
      </c>
      <c r="N13" s="87"/>
      <c r="O13" s="87"/>
      <c r="P13" s="87"/>
      <c r="Q13" s="87"/>
      <c r="R13" s="87"/>
      <c r="S13" s="87"/>
      <c r="T13" s="87"/>
    </row>
    <row r="14" spans="1:20" ht="17.25" x14ac:dyDescent="0.25">
      <c r="A14" t="s">
        <v>106</v>
      </c>
      <c r="N14" s="87"/>
      <c r="O14" s="87"/>
      <c r="P14" s="87"/>
      <c r="Q14" s="87"/>
      <c r="R14" s="87"/>
      <c r="S14" s="87"/>
      <c r="T14" s="87"/>
    </row>
    <row r="19" spans="4:4" x14ac:dyDescent="0.25">
      <c r="D19" s="242">
        <f>D12/3</f>
        <v>296146.66666666669</v>
      </c>
    </row>
  </sheetData>
  <mergeCells count="4">
    <mergeCell ref="C5:J5"/>
    <mergeCell ref="C4:J4"/>
    <mergeCell ref="C6:J6"/>
    <mergeCell ref="C7:J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558CF-879E-43D5-B41A-6BB9C2D7F433}">
  <dimension ref="A1:H21"/>
  <sheetViews>
    <sheetView zoomScale="86" zoomScaleNormal="100" workbookViewId="0">
      <pane xSplit="1" ySplit="1" topLeftCell="B6" activePane="bottomRight" state="frozen"/>
      <selection pane="topRight" activeCell="B1" sqref="B1"/>
      <selection pane="bottomLeft" activeCell="A2" sqref="A2"/>
      <selection pane="bottomRight" activeCell="F9" sqref="F9"/>
    </sheetView>
  </sheetViews>
  <sheetFormatPr defaultRowHeight="15" x14ac:dyDescent="0.25"/>
  <cols>
    <col min="1" max="1" width="42" customWidth="1"/>
    <col min="2" max="2" width="31.28515625" style="4" customWidth="1"/>
    <col min="3" max="3" width="20" customWidth="1"/>
    <col min="4" max="4" width="52.28515625" customWidth="1"/>
    <col min="6" max="6" width="33.42578125" customWidth="1"/>
    <col min="13" max="13" width="10.42578125" bestFit="1" customWidth="1"/>
  </cols>
  <sheetData>
    <row r="1" spans="1:8" ht="41.25" customHeight="1" x14ac:dyDescent="0.25">
      <c r="A1" s="43"/>
      <c r="B1" s="49" t="s">
        <v>107</v>
      </c>
      <c r="C1" s="68" t="s">
        <v>108</v>
      </c>
      <c r="D1" s="202" t="s">
        <v>90</v>
      </c>
      <c r="E1" s="138"/>
    </row>
    <row r="2" spans="1:8" x14ac:dyDescent="0.25">
      <c r="A2" s="44" t="s">
        <v>109</v>
      </c>
      <c r="B2" s="82" t="s">
        <v>49</v>
      </c>
      <c r="C2" s="137" t="s">
        <v>22</v>
      </c>
      <c r="D2" s="57" t="s">
        <v>110</v>
      </c>
      <c r="E2" s="144"/>
      <c r="F2" s="76"/>
    </row>
    <row r="3" spans="1:8" ht="25.9" customHeight="1" x14ac:dyDescent="0.25">
      <c r="A3" s="44" t="s">
        <v>111</v>
      </c>
      <c r="B3" s="82" t="s">
        <v>49</v>
      </c>
      <c r="C3" s="45">
        <v>3631</v>
      </c>
      <c r="D3" s="43" t="s">
        <v>112</v>
      </c>
    </row>
    <row r="4" spans="1:8" ht="60" x14ac:dyDescent="0.25">
      <c r="A4" s="46" t="s">
        <v>113</v>
      </c>
      <c r="B4" s="50">
        <v>0.45</v>
      </c>
      <c r="C4" s="47">
        <f>ROUND($C$3*$B$4,0)</f>
        <v>1634</v>
      </c>
      <c r="D4" s="55" t="s">
        <v>114</v>
      </c>
      <c r="H4" s="41"/>
    </row>
    <row r="5" spans="1:8" ht="30" x14ac:dyDescent="0.25">
      <c r="A5" s="58" t="s">
        <v>115</v>
      </c>
      <c r="B5" s="52">
        <v>0.6</v>
      </c>
      <c r="C5" s="45">
        <f>ROUND($B5*C$4,0)</f>
        <v>980</v>
      </c>
      <c r="D5" s="59" t="s">
        <v>116</v>
      </c>
    </row>
    <row r="6" spans="1:8" ht="30" x14ac:dyDescent="0.25">
      <c r="A6" s="58" t="s">
        <v>117</v>
      </c>
      <c r="B6" s="90">
        <v>0.373</v>
      </c>
      <c r="C6" s="45">
        <f>ROUNDDOWN($B6*C$4,0)</f>
        <v>609</v>
      </c>
      <c r="D6" s="60" t="s">
        <v>118</v>
      </c>
    </row>
    <row r="7" spans="1:8" ht="30" x14ac:dyDescent="0.25">
      <c r="A7" s="58" t="s">
        <v>119</v>
      </c>
      <c r="B7" s="90">
        <v>2.7E-2</v>
      </c>
      <c r="C7" s="45">
        <f>ROUND($B7*C$4,0)</f>
        <v>44</v>
      </c>
      <c r="D7" s="60" t="s">
        <v>120</v>
      </c>
    </row>
    <row r="8" spans="1:8" ht="60" x14ac:dyDescent="0.25">
      <c r="A8" s="46" t="s">
        <v>121</v>
      </c>
      <c r="B8" s="50">
        <v>0.55000000000000004</v>
      </c>
      <c r="C8" s="47">
        <f>ROUND($C$3*$B$8,0)</f>
        <v>1997</v>
      </c>
      <c r="D8" s="55" t="s">
        <v>122</v>
      </c>
    </row>
    <row r="9" spans="1:8" ht="90.4" customHeight="1" x14ac:dyDescent="0.25">
      <c r="A9" s="58" t="s">
        <v>123</v>
      </c>
      <c r="B9" s="81">
        <v>0.23</v>
      </c>
      <c r="C9" s="47">
        <f>ROUND(C3*B9,0)</f>
        <v>835</v>
      </c>
      <c r="D9" s="55" t="s">
        <v>124</v>
      </c>
    </row>
    <row r="10" spans="1:8" ht="30" x14ac:dyDescent="0.25">
      <c r="A10" s="44" t="s">
        <v>125</v>
      </c>
      <c r="B10" s="50">
        <v>0.05</v>
      </c>
      <c r="C10" s="45">
        <f>ROUND(C3*(1+$B$10)-C3,0)</f>
        <v>182</v>
      </c>
      <c r="D10" s="55" t="s">
        <v>126</v>
      </c>
    </row>
    <row r="11" spans="1:8" x14ac:dyDescent="0.25">
      <c r="A11" s="61" t="s">
        <v>127</v>
      </c>
      <c r="B11" s="51">
        <v>1</v>
      </c>
      <c r="C11" s="47">
        <f>ROUND(C3*B11,0)</f>
        <v>3631</v>
      </c>
      <c r="D11" s="43" t="s">
        <v>128</v>
      </c>
    </row>
    <row r="12" spans="1:8" x14ac:dyDescent="0.25">
      <c r="A12" s="58" t="s">
        <v>57</v>
      </c>
      <c r="B12" s="62">
        <v>5.0000000000000001E-3</v>
      </c>
      <c r="C12" s="47">
        <f t="shared" ref="C12:C19" si="0">ROUND(C$3*$B12,0)</f>
        <v>18</v>
      </c>
      <c r="D12" s="43" t="s">
        <v>129</v>
      </c>
    </row>
    <row r="13" spans="1:8" x14ac:dyDescent="0.25">
      <c r="A13" s="58" t="s">
        <v>58</v>
      </c>
      <c r="B13" s="62">
        <v>1E-3</v>
      </c>
      <c r="C13" s="47">
        <f t="shared" si="0"/>
        <v>4</v>
      </c>
      <c r="D13" s="43" t="s">
        <v>129</v>
      </c>
    </row>
    <row r="14" spans="1:8" ht="30" x14ac:dyDescent="0.25">
      <c r="A14" s="58" t="s">
        <v>59</v>
      </c>
      <c r="B14" s="62">
        <v>1E-3</v>
      </c>
      <c r="C14" s="47">
        <f t="shared" si="0"/>
        <v>4</v>
      </c>
      <c r="D14" s="43" t="s">
        <v>129</v>
      </c>
    </row>
    <row r="15" spans="1:8" ht="30" x14ac:dyDescent="0.25">
      <c r="A15" s="58" t="s">
        <v>60</v>
      </c>
      <c r="B15" s="62">
        <f>B14*75%</f>
        <v>7.5000000000000002E-4</v>
      </c>
      <c r="C15" s="47">
        <f t="shared" si="0"/>
        <v>3</v>
      </c>
      <c r="D15" s="43" t="s">
        <v>129</v>
      </c>
    </row>
    <row r="16" spans="1:8" ht="30" x14ac:dyDescent="0.25">
      <c r="A16" s="58" t="s">
        <v>61</v>
      </c>
      <c r="B16" s="69">
        <v>0.02</v>
      </c>
      <c r="C16" s="47">
        <f t="shared" si="0"/>
        <v>73</v>
      </c>
      <c r="D16" s="43" t="s">
        <v>129</v>
      </c>
    </row>
    <row r="17" spans="1:4" ht="30" x14ac:dyDescent="0.25">
      <c r="A17" s="58" t="s">
        <v>62</v>
      </c>
      <c r="B17" s="69">
        <f>B16*50%</f>
        <v>0.01</v>
      </c>
      <c r="C17" s="47">
        <f t="shared" si="0"/>
        <v>36</v>
      </c>
      <c r="D17" s="43" t="s">
        <v>129</v>
      </c>
    </row>
    <row r="18" spans="1:4" x14ac:dyDescent="0.25">
      <c r="A18" s="58" t="s">
        <v>63</v>
      </c>
      <c r="B18" s="69">
        <f>1%</f>
        <v>0.01</v>
      </c>
      <c r="C18" s="47">
        <f t="shared" si="0"/>
        <v>36</v>
      </c>
      <c r="D18" s="43" t="s">
        <v>129</v>
      </c>
    </row>
    <row r="19" spans="1:4" ht="30" x14ac:dyDescent="0.25">
      <c r="A19" s="58" t="s">
        <v>64</v>
      </c>
      <c r="B19" s="62">
        <v>5.0000000000000001E-4</v>
      </c>
      <c r="C19" s="47">
        <f t="shared" si="0"/>
        <v>2</v>
      </c>
      <c r="D19" s="43" t="s">
        <v>129</v>
      </c>
    </row>
    <row r="20" spans="1:4" x14ac:dyDescent="0.25">
      <c r="B20"/>
    </row>
    <row r="21" spans="1:4" x14ac:dyDescent="0.25">
      <c r="B21"/>
    </row>
  </sheetData>
  <hyperlinks>
    <hyperlink ref="D2" r:id="rId1" display="https://permitsearch.epa.gov/epermit-search/ui/search" xr:uid="{E99A8A4B-6E2D-4E69-9E9A-2448457CB932}"/>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EBADB-F05E-45D1-A7BB-FD53999CB648}">
  <dimension ref="A1:H107"/>
  <sheetViews>
    <sheetView topLeftCell="A79" zoomScale="70" zoomScaleNormal="70" workbookViewId="0">
      <selection activeCell="G12" sqref="G12"/>
    </sheetView>
  </sheetViews>
  <sheetFormatPr defaultColWidth="8.7109375" defaultRowHeight="15" x14ac:dyDescent="0.25"/>
  <cols>
    <col min="1" max="1" width="42.7109375" style="27" customWidth="1"/>
    <col min="2" max="2" width="17.7109375" style="27" customWidth="1"/>
    <col min="3" max="3" width="15" style="27" customWidth="1"/>
    <col min="4" max="4" width="12.42578125" style="27" customWidth="1"/>
    <col min="5" max="5" width="18.7109375" style="27" customWidth="1"/>
    <col min="6" max="6" width="10" style="27" customWidth="1"/>
    <col min="7" max="7" width="13.42578125" style="27" customWidth="1"/>
    <col min="8" max="8" width="12.5703125" style="27" customWidth="1"/>
    <col min="9" max="16384" width="8.7109375" style="27"/>
  </cols>
  <sheetData>
    <row r="1" spans="1:7" ht="15.75" thickBot="1" x14ac:dyDescent="0.3">
      <c r="A1" s="93" t="s">
        <v>130</v>
      </c>
    </row>
    <row r="2" spans="1:7" ht="65.25" customHeight="1" thickBot="1" x14ac:dyDescent="0.3">
      <c r="A2" s="236" t="s">
        <v>131</v>
      </c>
      <c r="B2" s="230" t="s">
        <v>132</v>
      </c>
      <c r="C2" s="231"/>
      <c r="D2" s="230" t="s">
        <v>133</v>
      </c>
      <c r="E2" s="231"/>
    </row>
    <row r="3" spans="1:7" ht="46.5" customHeight="1" thickBot="1" x14ac:dyDescent="0.3">
      <c r="A3" s="237"/>
      <c r="B3" s="153" t="s">
        <v>134</v>
      </c>
      <c r="C3" s="153" t="s">
        <v>135</v>
      </c>
      <c r="D3" s="153" t="s">
        <v>134</v>
      </c>
      <c r="E3" s="153" t="s">
        <v>136</v>
      </c>
    </row>
    <row r="4" spans="1:7" ht="15.75" thickBot="1" x14ac:dyDescent="0.3">
      <c r="A4" s="154" t="s">
        <v>137</v>
      </c>
      <c r="B4" s="74">
        <f>'Respondent Burden and Cost'!I38</f>
        <v>45367</v>
      </c>
      <c r="C4" s="75">
        <f>'Respondent Burden and Cost'!K40</f>
        <v>4221554</v>
      </c>
      <c r="D4" s="74">
        <f>'Respondent Burden and Cost'!J38</f>
        <v>200383</v>
      </c>
      <c r="E4" s="75">
        <f>'Respondent Burden and Cost'!L40</f>
        <v>15610581</v>
      </c>
    </row>
    <row r="5" spans="1:7" ht="15.75" thickBot="1" x14ac:dyDescent="0.3">
      <c r="A5" s="154" t="s">
        <v>138</v>
      </c>
      <c r="B5" s="74">
        <f>'Agency Burden'!F12</f>
        <v>217.1</v>
      </c>
      <c r="C5" s="75">
        <f>'Agency Burden'!H12</f>
        <v>11105</v>
      </c>
      <c r="D5" s="74">
        <f>'Agency Burden'!G12</f>
        <v>10679.85</v>
      </c>
      <c r="E5" s="75">
        <f>'Agency Burden'!I12</f>
        <v>546275</v>
      </c>
    </row>
    <row r="6" spans="1:7" ht="17.25" x14ac:dyDescent="0.25">
      <c r="A6" s="155" t="s">
        <v>139</v>
      </c>
      <c r="B6" s="156"/>
      <c r="C6" s="157"/>
      <c r="D6" s="104"/>
      <c r="E6" s="105"/>
      <c r="F6" s="104"/>
      <c r="G6" s="105"/>
    </row>
    <row r="7" spans="1:7" x14ac:dyDescent="0.25">
      <c r="A7" s="158"/>
      <c r="B7" s="104"/>
      <c r="C7" s="105"/>
      <c r="D7" s="104"/>
      <c r="E7" s="105"/>
      <c r="F7" s="104"/>
      <c r="G7" s="105"/>
    </row>
    <row r="8" spans="1:7" ht="15.75" thickBot="1" x14ac:dyDescent="0.3">
      <c r="A8" s="159" t="s">
        <v>140</v>
      </c>
      <c r="B8" s="104"/>
      <c r="C8" s="105"/>
      <c r="D8" s="104"/>
      <c r="E8" s="105"/>
      <c r="F8" s="104"/>
      <c r="G8" s="105"/>
    </row>
    <row r="9" spans="1:7" ht="15" customHeight="1" thickBot="1" x14ac:dyDescent="0.3">
      <c r="A9" s="236" t="s">
        <v>7</v>
      </c>
      <c r="B9" s="230" t="s">
        <v>3</v>
      </c>
      <c r="C9" s="234"/>
      <c r="D9" s="231"/>
      <c r="E9" s="104"/>
      <c r="F9" s="105"/>
    </row>
    <row r="10" spans="1:7" ht="43.15" customHeight="1" thickBot="1" x14ac:dyDescent="0.3">
      <c r="A10" s="237"/>
      <c r="B10" s="153" t="s">
        <v>141</v>
      </c>
      <c r="C10" s="153" t="s">
        <v>142</v>
      </c>
      <c r="D10" s="153" t="s">
        <v>33</v>
      </c>
      <c r="E10" s="158"/>
      <c r="F10" s="104"/>
      <c r="G10" s="105"/>
    </row>
    <row r="11" spans="1:7" ht="30.75" thickBot="1" x14ac:dyDescent="0.3">
      <c r="A11" s="160" t="s">
        <v>143</v>
      </c>
      <c r="B11" s="161">
        <v>3.7</v>
      </c>
      <c r="C11" s="161">
        <v>-0.4</v>
      </c>
      <c r="D11" s="162">
        <v>3.3</v>
      </c>
      <c r="E11" s="158"/>
      <c r="F11" s="104"/>
      <c r="G11" s="105"/>
    </row>
    <row r="12" spans="1:7" ht="44.65" customHeight="1" thickBot="1" x14ac:dyDescent="0.3">
      <c r="A12" s="160" t="s">
        <v>144</v>
      </c>
      <c r="B12" s="161">
        <v>1.5</v>
      </c>
      <c r="C12" s="161">
        <v>-0.4</v>
      </c>
      <c r="D12" s="162">
        <v>1.1000000000000001</v>
      </c>
      <c r="E12" s="158"/>
      <c r="F12" s="104"/>
      <c r="G12" s="105"/>
    </row>
    <row r="13" spans="1:7" ht="48" customHeight="1" thickBot="1" x14ac:dyDescent="0.3">
      <c r="A13" s="160" t="s">
        <v>145</v>
      </c>
      <c r="B13" s="161">
        <v>6</v>
      </c>
      <c r="C13" s="161">
        <v>-0.4</v>
      </c>
      <c r="D13" s="162">
        <v>5.6</v>
      </c>
      <c r="E13" s="158"/>
      <c r="F13" s="104"/>
      <c r="G13" s="105"/>
    </row>
    <row r="14" spans="1:7" ht="46.9" customHeight="1" thickBot="1" x14ac:dyDescent="0.3">
      <c r="A14" s="160" t="s">
        <v>146</v>
      </c>
      <c r="B14" s="161">
        <v>20</v>
      </c>
      <c r="C14" s="161">
        <v>-0.4</v>
      </c>
      <c r="D14" s="162">
        <v>19.600000000000001</v>
      </c>
      <c r="E14" s="158"/>
      <c r="F14" s="104"/>
      <c r="G14" s="105"/>
    </row>
    <row r="15" spans="1:7" ht="16.899999999999999" customHeight="1" x14ac:dyDescent="0.25">
      <c r="A15" s="163" t="s">
        <v>147</v>
      </c>
      <c r="B15" s="164"/>
      <c r="C15" s="164"/>
      <c r="D15" s="165"/>
      <c r="E15" s="158"/>
      <c r="F15" s="104"/>
      <c r="G15" s="105"/>
    </row>
    <row r="16" spans="1:7" x14ac:dyDescent="0.25">
      <c r="A16" s="166"/>
    </row>
    <row r="17" spans="1:8" x14ac:dyDescent="0.25">
      <c r="A17" s="93" t="s">
        <v>148</v>
      </c>
    </row>
    <row r="18" spans="1:8" ht="75" x14ac:dyDescent="0.25">
      <c r="A18" s="167" t="s">
        <v>97</v>
      </c>
      <c r="B18" s="167" t="s">
        <v>149</v>
      </c>
      <c r="C18" s="167" t="s">
        <v>99</v>
      </c>
      <c r="D18" s="167" t="s">
        <v>100</v>
      </c>
      <c r="E18" s="167" t="s">
        <v>150</v>
      </c>
      <c r="F18" s="167" t="s">
        <v>102</v>
      </c>
      <c r="G18" s="167" t="s">
        <v>103</v>
      </c>
    </row>
    <row r="19" spans="1:8" x14ac:dyDescent="0.25">
      <c r="A19" s="168" t="s">
        <v>104</v>
      </c>
      <c r="B19" s="169">
        <f>'Turbidity Monitoring'!B12</f>
        <v>1064</v>
      </c>
      <c r="C19" s="169">
        <f>'Turbidity Monitoring'!C12</f>
        <v>835</v>
      </c>
      <c r="D19" s="169">
        <f>'Turbidity Monitoring'!D12</f>
        <v>888440</v>
      </c>
      <c r="E19" s="169">
        <f>'Turbidity Monitoring'!E12</f>
        <v>0</v>
      </c>
      <c r="F19" s="169">
        <f>'Turbidity Monitoring'!F12</f>
        <v>835</v>
      </c>
      <c r="G19" s="169">
        <f>'Turbidity Monitoring'!G12</f>
        <v>0</v>
      </c>
      <c r="H19" s="170"/>
    </row>
    <row r="20" spans="1:8" x14ac:dyDescent="0.25">
      <c r="A20" s="131" t="s">
        <v>151</v>
      </c>
    </row>
    <row r="21" spans="1:8" x14ac:dyDescent="0.25">
      <c r="A21" s="131" t="s">
        <v>152</v>
      </c>
    </row>
    <row r="22" spans="1:8" x14ac:dyDescent="0.25">
      <c r="A22" s="131"/>
    </row>
    <row r="23" spans="1:8" x14ac:dyDescent="0.25">
      <c r="A23" s="93" t="s">
        <v>153</v>
      </c>
    </row>
    <row r="24" spans="1:8" ht="17.25" x14ac:dyDescent="0.25">
      <c r="A24" s="240" t="s">
        <v>7</v>
      </c>
      <c r="B24" s="228" t="s">
        <v>3</v>
      </c>
      <c r="C24" s="228"/>
      <c r="D24" s="228"/>
      <c r="E24" s="232" t="s">
        <v>5</v>
      </c>
      <c r="F24" s="233"/>
      <c r="G24" s="228" t="s">
        <v>154</v>
      </c>
      <c r="H24" s="228"/>
    </row>
    <row r="25" spans="1:8" ht="75" x14ac:dyDescent="0.25">
      <c r="A25" s="241"/>
      <c r="B25" s="206" t="s">
        <v>155</v>
      </c>
      <c r="C25" s="206" t="s">
        <v>9</v>
      </c>
      <c r="D25" s="206" t="s">
        <v>156</v>
      </c>
      <c r="E25" s="171" t="str">
        <f>'Agency Burden'!F4</f>
        <v xml:space="preserve"> 2022 CGP Incremental Change in Annual Burden (hrs)</v>
      </c>
      <c r="F25" s="171" t="str">
        <f>'Agency Burden'!G4</f>
        <v xml:space="preserve"> 2022 CGP Annual Burden (hrs) </v>
      </c>
      <c r="G25" s="171" t="s">
        <v>14</v>
      </c>
      <c r="H25" s="206" t="s">
        <v>15</v>
      </c>
    </row>
    <row r="26" spans="1:8" x14ac:dyDescent="0.25">
      <c r="A26" s="172" t="str">
        <f>'Agency Burden'!A5</f>
        <v>NOI review</v>
      </c>
      <c r="B26" s="78">
        <f>'Agency Burden'!B5</f>
        <v>1</v>
      </c>
      <c r="C26" s="32">
        <f>'Agency Burden'!C5</f>
        <v>0</v>
      </c>
      <c r="D26" s="78">
        <f>'Agency Burden'!D5</f>
        <v>1</v>
      </c>
      <c r="E26" s="36">
        <f>'Agency Burden'!F5</f>
        <v>0</v>
      </c>
      <c r="F26" s="121">
        <f>'Agency Burden'!G5</f>
        <v>3630</v>
      </c>
      <c r="G26" s="38">
        <f>'Agency Burden'!H5</f>
        <v>0</v>
      </c>
      <c r="H26" s="21">
        <f>'Agency Burden'!I5</f>
        <v>185675</v>
      </c>
    </row>
    <row r="27" spans="1:8" x14ac:dyDescent="0.25">
      <c r="A27" s="172" t="str">
        <f>'Agency Burden'!A6</f>
        <v>NOT review</v>
      </c>
      <c r="B27" s="78">
        <f>'Agency Burden'!B6</f>
        <v>0.25</v>
      </c>
      <c r="C27" s="32">
        <f>'Agency Burden'!C6</f>
        <v>0</v>
      </c>
      <c r="D27" s="78">
        <f>'Agency Burden'!D6</f>
        <v>0.25</v>
      </c>
      <c r="E27" s="36">
        <f>'Agency Burden'!F6</f>
        <v>0</v>
      </c>
      <c r="F27" s="121">
        <f>'Agency Burden'!G6</f>
        <v>907.75</v>
      </c>
      <c r="G27" s="38">
        <f>'Agency Burden'!H6</f>
        <v>0</v>
      </c>
      <c r="H27" s="21">
        <f>'Agency Burden'!I6</f>
        <v>46431</v>
      </c>
    </row>
    <row r="28" spans="1:8" x14ac:dyDescent="0.25">
      <c r="A28" s="172" t="str">
        <f>'Agency Burden'!A7</f>
        <v>Waiver Certification Review</v>
      </c>
      <c r="B28" s="78">
        <f>'Agency Burden'!B7</f>
        <v>1</v>
      </c>
      <c r="C28" s="32">
        <f>'Agency Burden'!C7</f>
        <v>0</v>
      </c>
      <c r="D28" s="78">
        <f>'Agency Burden'!D7</f>
        <v>1</v>
      </c>
      <c r="E28" s="36">
        <f>'Agency Burden'!F7</f>
        <v>0</v>
      </c>
      <c r="F28" s="121">
        <f>'Agency Burden'!G7</f>
        <v>182</v>
      </c>
      <c r="G28" s="38">
        <f>'Agency Burden'!H7</f>
        <v>0</v>
      </c>
      <c r="H28" s="21">
        <f>'Agency Burden'!I7</f>
        <v>9309</v>
      </c>
    </row>
    <row r="29" spans="1:8" x14ac:dyDescent="0.25">
      <c r="A29" s="172" t="str">
        <f>'Agency Burden'!A8</f>
        <v>SWPPP review</v>
      </c>
      <c r="B29" s="78">
        <f>'Agency Burden'!B8</f>
        <v>1</v>
      </c>
      <c r="C29" s="32">
        <f>'Agency Burden'!C8</f>
        <v>0</v>
      </c>
      <c r="D29" s="78">
        <f>'Agency Burden'!D8</f>
        <v>1</v>
      </c>
      <c r="E29" s="36">
        <f>'Agency Burden'!F8</f>
        <v>0</v>
      </c>
      <c r="F29" s="121">
        <f>'Agency Burden'!G8</f>
        <v>3631</v>
      </c>
      <c r="G29" s="38">
        <f>'Agency Burden'!H8</f>
        <v>0</v>
      </c>
      <c r="H29" s="21">
        <f>'Agency Burden'!I8</f>
        <v>185726</v>
      </c>
    </row>
    <row r="30" spans="1:8" x14ac:dyDescent="0.25">
      <c r="A30" s="172" t="str">
        <f>'Agency Burden'!A9</f>
        <v>Standard/Other Reports</v>
      </c>
      <c r="B30" s="78">
        <f>'Agency Burden'!B9</f>
        <v>12</v>
      </c>
      <c r="C30" s="32">
        <f>'Agency Burden'!C9</f>
        <v>0</v>
      </c>
      <c r="D30" s="78">
        <f>'Agency Burden'!D9</f>
        <v>12</v>
      </c>
      <c r="E30" s="36">
        <f>'Agency Burden'!F9</f>
        <v>0</v>
      </c>
      <c r="F30" s="121">
        <f>'Agency Burden'!G9</f>
        <v>2112</v>
      </c>
      <c r="G30" s="38">
        <f>'Agency Burden'!H9</f>
        <v>0</v>
      </c>
      <c r="H30" s="21">
        <f>'Agency Burden'!I9</f>
        <v>108029</v>
      </c>
    </row>
    <row r="31" spans="1:8" x14ac:dyDescent="0.25">
      <c r="A31" s="172" t="str">
        <f>'Agency Burden'!A10</f>
        <v>Turbidity Monitoring Report Review</v>
      </c>
      <c r="B31" s="78" t="str">
        <f>'Agency Burden'!B10</f>
        <v>NA</v>
      </c>
      <c r="C31" s="32">
        <f>'Agency Burden'!C10</f>
        <v>0.16</v>
      </c>
      <c r="D31" s="78">
        <f>'Agency Burden'!D10</f>
        <v>0.16</v>
      </c>
      <c r="E31" s="36">
        <f>'Agency Burden'!F10</f>
        <v>133.6</v>
      </c>
      <c r="F31" s="121">
        <f>'Agency Burden'!G10</f>
        <v>133.6</v>
      </c>
      <c r="G31" s="38">
        <f>'Agency Burden'!H10</f>
        <v>6834</v>
      </c>
      <c r="H31" s="21">
        <f>'Agency Burden'!I10</f>
        <v>6834</v>
      </c>
    </row>
    <row r="32" spans="1:8" x14ac:dyDescent="0.25">
      <c r="A32" s="172" t="str">
        <f>'Agency Burden'!A11</f>
        <v>Turbidity Report Follow-up</v>
      </c>
      <c r="B32" s="78" t="str">
        <f>'Agency Burden'!B11</f>
        <v>NA</v>
      </c>
      <c r="C32" s="32">
        <f>'Agency Burden'!C11</f>
        <v>0.5</v>
      </c>
      <c r="D32" s="78">
        <f>'Agency Burden'!D11</f>
        <v>0.5</v>
      </c>
      <c r="E32" s="36">
        <f>'Agency Burden'!F11</f>
        <v>83.5</v>
      </c>
      <c r="F32" s="121">
        <f>'Agency Burden'!G11</f>
        <v>83.5</v>
      </c>
      <c r="G32" s="38">
        <f>'Agency Burden'!H11</f>
        <v>4271</v>
      </c>
      <c r="H32" s="21">
        <f>'Agency Burden'!I11</f>
        <v>4271</v>
      </c>
    </row>
    <row r="33" spans="1:8" x14ac:dyDescent="0.25">
      <c r="A33" s="173" t="s">
        <v>24</v>
      </c>
      <c r="B33" s="174"/>
      <c r="C33" s="175"/>
      <c r="D33" s="78" t="str">
        <f>'Agency Burden'!D12</f>
        <v xml:space="preserve"> </v>
      </c>
      <c r="E33" s="102">
        <f>'Agency Burden'!F12</f>
        <v>217.1</v>
      </c>
      <c r="F33" s="30">
        <f>'Agency Burden'!G12</f>
        <v>10679.85</v>
      </c>
      <c r="G33" s="103">
        <f>'Agency Burden'!H12</f>
        <v>11105</v>
      </c>
      <c r="H33" s="72">
        <f>'Agency Burden'!I12</f>
        <v>546275</v>
      </c>
    </row>
    <row r="34" spans="1:8" ht="17.25" x14ac:dyDescent="0.25">
      <c r="A34" s="132" t="s">
        <v>157</v>
      </c>
      <c r="B34" s="176"/>
      <c r="C34" s="176"/>
      <c r="D34" s="176"/>
      <c r="E34" s="176"/>
      <c r="F34" s="176"/>
      <c r="G34" s="176"/>
      <c r="H34" s="176"/>
    </row>
    <row r="35" spans="1:8" ht="17.25" x14ac:dyDescent="0.25">
      <c r="A35" s="132" t="s">
        <v>158</v>
      </c>
      <c r="D35" s="177"/>
    </row>
    <row r="36" spans="1:8" ht="17.25" x14ac:dyDescent="0.25">
      <c r="A36" s="132"/>
      <c r="D36" s="177"/>
    </row>
    <row r="37" spans="1:8" x14ac:dyDescent="0.25">
      <c r="A37" s="73" t="s">
        <v>159</v>
      </c>
      <c r="D37" s="177"/>
      <c r="G37" s="34"/>
      <c r="H37" s="34"/>
    </row>
    <row r="38" spans="1:8" ht="17.25" x14ac:dyDescent="0.25">
      <c r="A38" s="239" t="s">
        <v>7</v>
      </c>
      <c r="B38" s="228" t="s">
        <v>3</v>
      </c>
      <c r="C38" s="228"/>
      <c r="D38" s="228"/>
      <c r="E38" s="228" t="s">
        <v>5</v>
      </c>
      <c r="F38" s="228"/>
      <c r="G38" s="228" t="s">
        <v>154</v>
      </c>
      <c r="H38" s="228"/>
    </row>
    <row r="39" spans="1:8" ht="48" x14ac:dyDescent="0.25">
      <c r="A39" s="239"/>
      <c r="B39" s="134" t="s">
        <v>160</v>
      </c>
      <c r="C39" s="134" t="s">
        <v>9</v>
      </c>
      <c r="D39" s="134" t="s">
        <v>161</v>
      </c>
      <c r="E39" s="133" t="s">
        <v>12</v>
      </c>
      <c r="F39" s="134" t="s">
        <v>38</v>
      </c>
      <c r="G39" s="204" t="s">
        <v>14</v>
      </c>
      <c r="H39" s="134" t="s">
        <v>162</v>
      </c>
    </row>
    <row r="40" spans="1:8" x14ac:dyDescent="0.25">
      <c r="A40" s="178" t="s">
        <v>41</v>
      </c>
      <c r="B40" s="229"/>
      <c r="C40" s="229"/>
      <c r="D40" s="229"/>
      <c r="E40" s="229"/>
      <c r="F40" s="229"/>
      <c r="G40" s="229"/>
      <c r="H40" s="229"/>
    </row>
    <row r="41" spans="1:8" x14ac:dyDescent="0.25">
      <c r="A41" s="179" t="s">
        <v>163</v>
      </c>
      <c r="B41" s="217"/>
      <c r="C41" s="217"/>
      <c r="D41" s="217"/>
      <c r="E41" s="217"/>
      <c r="F41" s="217"/>
      <c r="G41" s="217"/>
      <c r="H41" s="217"/>
    </row>
    <row r="42" spans="1:8" x14ac:dyDescent="0.25">
      <c r="A42" s="48" t="s">
        <v>43</v>
      </c>
      <c r="B42" s="78">
        <f>'Respondent Burden and Cost'!B7</f>
        <v>1.5</v>
      </c>
      <c r="C42" s="32">
        <f>'Respondent Burden and Cost'!C7</f>
        <v>-0.4</v>
      </c>
      <c r="D42" s="78">
        <f>'Respondent Burden and Cost'!D7</f>
        <v>1.1000000000000001</v>
      </c>
      <c r="E42" s="108">
        <f>'Respondent Burden and Cost'!I7</f>
        <v>-392</v>
      </c>
      <c r="F42" s="119">
        <f>'Respondent Burden and Cost'!J7</f>
        <v>1078</v>
      </c>
      <c r="G42" s="38">
        <f>'Respondent Burden and Cost'!K7</f>
        <v>-28800</v>
      </c>
      <c r="H42" s="21">
        <f>'Respondent Burden and Cost'!L7</f>
        <v>79201</v>
      </c>
    </row>
    <row r="43" spans="1:8" ht="30" x14ac:dyDescent="0.25">
      <c r="A43" s="48" t="s">
        <v>44</v>
      </c>
      <c r="B43" s="78">
        <f>'Respondent Burden and Cost'!B8</f>
        <v>6</v>
      </c>
      <c r="C43" s="32">
        <f>'Respondent Burden and Cost'!C8</f>
        <v>-0.4</v>
      </c>
      <c r="D43" s="78">
        <f>'Respondent Burden and Cost'!D8</f>
        <v>5.6</v>
      </c>
      <c r="E43" s="108">
        <f>'Respondent Burden and Cost'!I8</f>
        <v>-244</v>
      </c>
      <c r="F43" s="119">
        <f>'Respondent Burden and Cost'!J8</f>
        <v>3410</v>
      </c>
      <c r="G43" s="38">
        <f>'Respondent Burden and Cost'!K8</f>
        <v>-17927</v>
      </c>
      <c r="H43" s="21">
        <f>'Respondent Burden and Cost'!L8</f>
        <v>250533</v>
      </c>
    </row>
    <row r="44" spans="1:8" ht="30" x14ac:dyDescent="0.25">
      <c r="A44" s="48" t="s">
        <v>45</v>
      </c>
      <c r="B44" s="78">
        <f>'Respondent Burden and Cost'!B9</f>
        <v>20</v>
      </c>
      <c r="C44" s="32">
        <f>'Respondent Burden and Cost'!C9</f>
        <v>-0.4</v>
      </c>
      <c r="D44" s="78">
        <f>'Respondent Burden and Cost'!D9</f>
        <v>19.600000000000001</v>
      </c>
      <c r="E44" s="108">
        <f>'Respondent Burden and Cost'!I9</f>
        <v>-18</v>
      </c>
      <c r="F44" s="119">
        <f>'Respondent Burden and Cost'!J9</f>
        <v>862</v>
      </c>
      <c r="G44" s="38">
        <f>'Respondent Burden and Cost'!K9</f>
        <v>-1322</v>
      </c>
      <c r="H44" s="21">
        <f>'Respondent Burden and Cost'!L9</f>
        <v>63331</v>
      </c>
    </row>
    <row r="45" spans="1:8" ht="30" x14ac:dyDescent="0.25">
      <c r="A45" s="24" t="s">
        <v>46</v>
      </c>
      <c r="B45" s="78">
        <f>'Respondent Burden and Cost'!B10</f>
        <v>3.7</v>
      </c>
      <c r="C45" s="32">
        <f>'Respondent Burden and Cost'!C10</f>
        <v>-0.4</v>
      </c>
      <c r="D45" s="78">
        <f>'Respondent Burden and Cost'!D10</f>
        <v>3.3000000000000003</v>
      </c>
      <c r="E45" s="108">
        <f>'Respondent Burden and Cost'!I10</f>
        <v>-799</v>
      </c>
      <c r="F45" s="119">
        <f>'Respondent Burden and Cost'!J10</f>
        <v>6590</v>
      </c>
      <c r="G45" s="38">
        <f>'Respondent Burden and Cost'!K10</f>
        <v>-58703</v>
      </c>
      <c r="H45" s="21">
        <f>'Respondent Burden and Cost'!L10</f>
        <v>484167</v>
      </c>
    </row>
    <row r="46" spans="1:8" ht="45" x14ac:dyDescent="0.25">
      <c r="A46" s="24" t="s">
        <v>47</v>
      </c>
      <c r="B46" s="214" t="str">
        <f>'Respondent Burden and Cost'!B11</f>
        <v>Included in NOI burden</v>
      </c>
      <c r="C46" s="215"/>
      <c r="D46" s="216"/>
      <c r="E46" s="108" t="str">
        <f>'Respondent Burden and Cost'!I11</f>
        <v>-</v>
      </c>
      <c r="F46" s="119" t="str">
        <f>'Respondent Burden and Cost'!J11</f>
        <v>-</v>
      </c>
      <c r="G46" s="38" t="str">
        <f>'Respondent Burden and Cost'!K11</f>
        <v>-</v>
      </c>
      <c r="H46" s="21" t="str">
        <f>'Respondent Burden and Cost'!L11</f>
        <v>-</v>
      </c>
    </row>
    <row r="47" spans="1:8" ht="30" x14ac:dyDescent="0.25">
      <c r="A47" s="24" t="s">
        <v>50</v>
      </c>
      <c r="B47" s="214" t="str">
        <f>'Respondent Burden and Cost'!B12</f>
        <v>Included in NOI burden</v>
      </c>
      <c r="C47" s="215"/>
      <c r="D47" s="216"/>
      <c r="E47" s="108" t="str">
        <f>'Respondent Burden and Cost'!I12</f>
        <v>-</v>
      </c>
      <c r="F47" s="119" t="str">
        <f>'Respondent Burden and Cost'!J12</f>
        <v>-</v>
      </c>
      <c r="G47" s="38" t="str">
        <f>'Respondent Burden and Cost'!K12</f>
        <v>-</v>
      </c>
      <c r="H47" s="21" t="str">
        <f>'Respondent Burden and Cost'!L12</f>
        <v>-</v>
      </c>
    </row>
    <row r="48" spans="1:8" x14ac:dyDescent="0.25">
      <c r="A48" s="24" t="s">
        <v>164</v>
      </c>
      <c r="B48" s="214" t="str">
        <f>'Respondent Burden and Cost'!B13</f>
        <v>Included in NOI burden</v>
      </c>
      <c r="C48" s="215"/>
      <c r="D48" s="216"/>
      <c r="E48" s="108" t="str">
        <f>'Respondent Burden and Cost'!I13</f>
        <v>-</v>
      </c>
      <c r="F48" s="119" t="str">
        <f>'Respondent Burden and Cost'!J13</f>
        <v>-</v>
      </c>
      <c r="G48" s="38" t="str">
        <f>'Respondent Burden and Cost'!K13</f>
        <v>-</v>
      </c>
      <c r="H48" s="21" t="str">
        <f>'Respondent Burden and Cost'!L13</f>
        <v>-</v>
      </c>
    </row>
    <row r="49" spans="1:8" x14ac:dyDescent="0.25">
      <c r="A49" s="24" t="s">
        <v>52</v>
      </c>
      <c r="B49" s="78">
        <f>'Respondent Burden and Cost'!B14</f>
        <v>1</v>
      </c>
      <c r="C49" s="85">
        <f>'Respondent Burden and Cost'!C14</f>
        <v>0</v>
      </c>
      <c r="D49" s="78">
        <f>'Respondent Burden and Cost'!D14</f>
        <v>1</v>
      </c>
      <c r="E49" s="108">
        <f>'Respondent Burden and Cost'!I14</f>
        <v>0</v>
      </c>
      <c r="F49" s="119">
        <f>'Respondent Burden and Cost'!J14</f>
        <v>182</v>
      </c>
      <c r="G49" s="38">
        <f>'Respondent Burden and Cost'!K14</f>
        <v>0</v>
      </c>
      <c r="H49" s="21">
        <f>'Respondent Burden and Cost'!L14</f>
        <v>13372</v>
      </c>
    </row>
    <row r="50" spans="1:8" x14ac:dyDescent="0.25">
      <c r="A50" s="24" t="s">
        <v>53</v>
      </c>
      <c r="B50" s="78">
        <f>'Respondent Burden and Cost'!B15</f>
        <v>0.5</v>
      </c>
      <c r="C50" s="85">
        <f>'Respondent Burden and Cost'!C15</f>
        <v>0.7</v>
      </c>
      <c r="D50" s="84">
        <f>'Respondent Burden and Cost'!D15</f>
        <v>1.2</v>
      </c>
      <c r="E50" s="42">
        <f>'Respondent Burden and Cost'!I15</f>
        <v>2542</v>
      </c>
      <c r="F50" s="119">
        <f>'Respondent Burden and Cost'!J15</f>
        <v>4357</v>
      </c>
      <c r="G50" s="38">
        <f>'Respondent Burden and Cost'!K15</f>
        <v>186761</v>
      </c>
      <c r="H50" s="21">
        <f>'Respondent Burden and Cost'!L15</f>
        <v>320109</v>
      </c>
    </row>
    <row r="51" spans="1:8" x14ac:dyDescent="0.25">
      <c r="A51" s="24" t="str">
        <f>'Respondent Burden and Cost'!A16</f>
        <v>Turbidity Benchmark Monitoring - Sampling</v>
      </c>
      <c r="B51" s="78" t="str">
        <f>'Respondent Burden and Cost'!B16</f>
        <v>NA</v>
      </c>
      <c r="C51" s="85">
        <f>'Respondent Burden and Cost'!C16</f>
        <v>0.5</v>
      </c>
      <c r="D51" s="84">
        <f>'Respondent Burden and Cost'!D16</f>
        <v>0.5</v>
      </c>
      <c r="E51" s="42">
        <f>'Respondent Burden and Cost'!I16</f>
        <v>12108</v>
      </c>
      <c r="F51" s="119">
        <f>'Respondent Burden and Cost'!J16</f>
        <v>12108</v>
      </c>
      <c r="G51" s="38">
        <f>'Respondent Burden and Cost'!K16</f>
        <v>889575</v>
      </c>
      <c r="H51" s="21">
        <f>'Respondent Burden and Cost'!L16</f>
        <v>889575</v>
      </c>
    </row>
    <row r="52" spans="1:8" x14ac:dyDescent="0.25">
      <c r="A52" s="24" t="str">
        <f>'Respondent Burden and Cost'!A17</f>
        <v>Turbidity Benchmark Monitoring - Reporting</v>
      </c>
      <c r="B52" s="78" t="str">
        <f>'Respondent Burden and Cost'!B17</f>
        <v>NA</v>
      </c>
      <c r="C52" s="85">
        <f>'Respondent Burden and Cost'!C17</f>
        <v>0.75</v>
      </c>
      <c r="D52" s="84">
        <f>'Respondent Burden and Cost'!D17</f>
        <v>0.75</v>
      </c>
      <c r="E52" s="42">
        <f>'Respondent Burden and Cost'!I17</f>
        <v>2505</v>
      </c>
      <c r="F52" s="119">
        <f>'Respondent Burden and Cost'!J17</f>
        <v>2505</v>
      </c>
      <c r="G52" s="38">
        <f>'Respondent Burden and Cost'!K17</f>
        <v>184042</v>
      </c>
      <c r="H52" s="21">
        <f>'Respondent Burden and Cost'!L17</f>
        <v>184042</v>
      </c>
    </row>
    <row r="53" spans="1:8" x14ac:dyDescent="0.25">
      <c r="A53" s="179" t="s">
        <v>56</v>
      </c>
      <c r="B53" s="217"/>
      <c r="C53" s="217"/>
      <c r="D53" s="217"/>
      <c r="E53" s="217"/>
      <c r="F53" s="217"/>
      <c r="G53" s="217"/>
      <c r="H53" s="217"/>
    </row>
    <row r="54" spans="1:8" x14ac:dyDescent="0.25">
      <c r="A54" s="48" t="s">
        <v>57</v>
      </c>
      <c r="B54" s="78">
        <f>'Respondent Burden and Cost'!B19</f>
        <v>4</v>
      </c>
      <c r="C54" s="32">
        <f>'Respondent Burden and Cost'!C19</f>
        <v>0</v>
      </c>
      <c r="D54" s="78">
        <f>'Respondent Burden and Cost'!D19</f>
        <v>4</v>
      </c>
      <c r="E54" s="42">
        <f>'Respondent Burden and Cost'!I19</f>
        <v>0</v>
      </c>
      <c r="F54" s="119">
        <f>'Respondent Burden and Cost'!J19</f>
        <v>72</v>
      </c>
      <c r="G54" s="38">
        <f>'Respondent Burden and Cost'!K19</f>
        <v>0</v>
      </c>
      <c r="H54" s="21">
        <f>'Respondent Burden and Cost'!L19</f>
        <v>5290</v>
      </c>
    </row>
    <row r="55" spans="1:8" x14ac:dyDescent="0.25">
      <c r="A55" s="48" t="s">
        <v>58</v>
      </c>
      <c r="B55" s="78">
        <f>'Respondent Burden and Cost'!B20</f>
        <v>5</v>
      </c>
      <c r="C55" s="32">
        <f>'Respondent Burden and Cost'!C20</f>
        <v>0</v>
      </c>
      <c r="D55" s="78">
        <f>'Respondent Burden and Cost'!D20</f>
        <v>5</v>
      </c>
      <c r="E55" s="42">
        <f>'Respondent Burden and Cost'!I20</f>
        <v>0</v>
      </c>
      <c r="F55" s="119">
        <f>'Respondent Burden and Cost'!J20</f>
        <v>20</v>
      </c>
      <c r="G55" s="38">
        <f>'Respondent Burden and Cost'!K20</f>
        <v>0</v>
      </c>
      <c r="H55" s="21">
        <f>'Respondent Burden and Cost'!L20</f>
        <v>1469</v>
      </c>
    </row>
    <row r="56" spans="1:8" ht="30" x14ac:dyDescent="0.25">
      <c r="A56" s="48" t="s">
        <v>59</v>
      </c>
      <c r="B56" s="78">
        <f>'Respondent Burden and Cost'!B21</f>
        <v>5</v>
      </c>
      <c r="C56" s="32">
        <f>'Respondent Burden and Cost'!C21</f>
        <v>0</v>
      </c>
      <c r="D56" s="78">
        <f>'Respondent Burden and Cost'!D21</f>
        <v>5</v>
      </c>
      <c r="E56" s="42">
        <f>'Respondent Burden and Cost'!I21</f>
        <v>0</v>
      </c>
      <c r="F56" s="119">
        <f>'Respondent Burden and Cost'!J21</f>
        <v>20</v>
      </c>
      <c r="G56" s="38">
        <f>'Respondent Burden and Cost'!K21</f>
        <v>0</v>
      </c>
      <c r="H56" s="21">
        <f>'Respondent Burden and Cost'!L21</f>
        <v>1469</v>
      </c>
    </row>
    <row r="57" spans="1:8" ht="30" x14ac:dyDescent="0.25">
      <c r="A57" s="48" t="s">
        <v>60</v>
      </c>
      <c r="B57" s="78">
        <f>'Respondent Burden and Cost'!B22</f>
        <v>2</v>
      </c>
      <c r="C57" s="32">
        <f>'Respondent Burden and Cost'!C22</f>
        <v>0</v>
      </c>
      <c r="D57" s="78">
        <f>'Respondent Burden and Cost'!D22</f>
        <v>2</v>
      </c>
      <c r="E57" s="42">
        <f>'Respondent Burden and Cost'!I22</f>
        <v>0</v>
      </c>
      <c r="F57" s="119">
        <f>'Respondent Burden and Cost'!J22</f>
        <v>6</v>
      </c>
      <c r="G57" s="38">
        <f>'Respondent Burden and Cost'!K22</f>
        <v>0</v>
      </c>
      <c r="H57" s="21">
        <f>'Respondent Burden and Cost'!L22</f>
        <v>441</v>
      </c>
    </row>
    <row r="58" spans="1:8" ht="30" x14ac:dyDescent="0.25">
      <c r="A58" s="48" t="s">
        <v>61</v>
      </c>
      <c r="B58" s="78">
        <f>'Respondent Burden and Cost'!B23</f>
        <v>3</v>
      </c>
      <c r="C58" s="32">
        <f>'Respondent Burden and Cost'!C23</f>
        <v>0</v>
      </c>
      <c r="D58" s="78">
        <f>'Respondent Burden and Cost'!D23</f>
        <v>3</v>
      </c>
      <c r="E58" s="42">
        <f>'Respondent Burden and Cost'!I23</f>
        <v>0</v>
      </c>
      <c r="F58" s="119">
        <f>'Respondent Burden and Cost'!J23</f>
        <v>219</v>
      </c>
      <c r="G58" s="38">
        <f>'Respondent Burden and Cost'!K23</f>
        <v>0</v>
      </c>
      <c r="H58" s="21">
        <f>'Respondent Burden and Cost'!L23</f>
        <v>16090</v>
      </c>
    </row>
    <row r="59" spans="1:8" ht="30" x14ac:dyDescent="0.25">
      <c r="A59" s="48" t="s">
        <v>62</v>
      </c>
      <c r="B59" s="78">
        <f>'Respondent Burden and Cost'!B24</f>
        <v>2</v>
      </c>
      <c r="C59" s="32">
        <f>'Respondent Burden and Cost'!C24</f>
        <v>0</v>
      </c>
      <c r="D59" s="78">
        <f>'Respondent Burden and Cost'!D24</f>
        <v>2</v>
      </c>
      <c r="E59" s="42">
        <f>'Respondent Burden and Cost'!I24</f>
        <v>0</v>
      </c>
      <c r="F59" s="119">
        <f>'Respondent Burden and Cost'!J24</f>
        <v>72</v>
      </c>
      <c r="G59" s="38">
        <f>'Respondent Burden and Cost'!K24</f>
        <v>0</v>
      </c>
      <c r="H59" s="21">
        <f>'Respondent Burden and Cost'!L24</f>
        <v>5290</v>
      </c>
    </row>
    <row r="60" spans="1:8" x14ac:dyDescent="0.25">
      <c r="A60" s="48" t="s">
        <v>63</v>
      </c>
      <c r="B60" s="78">
        <f>'Respondent Burden and Cost'!B25</f>
        <v>5</v>
      </c>
      <c r="C60" s="32">
        <f>'Respondent Burden and Cost'!C25</f>
        <v>0</v>
      </c>
      <c r="D60" s="78">
        <f>'Respondent Burden and Cost'!D25</f>
        <v>5</v>
      </c>
      <c r="E60" s="42">
        <f>'Respondent Burden and Cost'!I25</f>
        <v>0</v>
      </c>
      <c r="F60" s="119">
        <f>'Respondent Burden and Cost'!J25</f>
        <v>180</v>
      </c>
      <c r="G60" s="38">
        <f>'Respondent Burden and Cost'!K25</f>
        <v>0</v>
      </c>
      <c r="H60" s="21">
        <f>'Respondent Burden and Cost'!L25</f>
        <v>13225</v>
      </c>
    </row>
    <row r="61" spans="1:8" ht="30" x14ac:dyDescent="0.25">
      <c r="A61" s="48" t="s">
        <v>64</v>
      </c>
      <c r="B61" s="78">
        <f>'Respondent Burden and Cost'!B26</f>
        <v>2</v>
      </c>
      <c r="C61" s="32">
        <f>'Respondent Burden and Cost'!C26</f>
        <v>0</v>
      </c>
      <c r="D61" s="78">
        <f>'Respondent Burden and Cost'!D26</f>
        <v>2</v>
      </c>
      <c r="E61" s="42">
        <f>'Respondent Burden and Cost'!I26</f>
        <v>0</v>
      </c>
      <c r="F61" s="119">
        <f>'Respondent Burden and Cost'!J26</f>
        <v>4</v>
      </c>
      <c r="G61" s="38">
        <f>'Respondent Burden and Cost'!K26</f>
        <v>0</v>
      </c>
      <c r="H61" s="21">
        <f>'Respondent Burden and Cost'!L26</f>
        <v>294</v>
      </c>
    </row>
    <row r="62" spans="1:8" x14ac:dyDescent="0.25">
      <c r="A62" s="180" t="s">
        <v>65</v>
      </c>
      <c r="B62" s="238"/>
      <c r="C62" s="238"/>
      <c r="D62" s="238"/>
      <c r="E62" s="181">
        <f>'Respondent Burden and Cost'!I27</f>
        <v>15702</v>
      </c>
      <c r="F62" s="116">
        <f>'Respondent Burden and Cost'!J27</f>
        <v>31685</v>
      </c>
      <c r="G62" s="109">
        <f>'Respondent Burden and Cost'!K27</f>
        <v>1153626</v>
      </c>
      <c r="H62" s="120">
        <f>'Respondent Burden and Cost'!L27</f>
        <v>2327898</v>
      </c>
    </row>
    <row r="63" spans="1:8" x14ac:dyDescent="0.25">
      <c r="A63" s="178" t="s">
        <v>66</v>
      </c>
      <c r="B63" s="229"/>
      <c r="C63" s="229"/>
      <c r="D63" s="229"/>
      <c r="E63" s="229"/>
      <c r="F63" s="229"/>
      <c r="G63" s="229"/>
      <c r="H63" s="229"/>
    </row>
    <row r="64" spans="1:8" x14ac:dyDescent="0.25">
      <c r="A64" s="24" t="s">
        <v>67</v>
      </c>
      <c r="B64" s="78">
        <f>'Respondent Burden and Cost'!B29</f>
        <v>36.4</v>
      </c>
      <c r="C64" s="32">
        <f>'Respondent Burden and Cost'!C29</f>
        <v>0</v>
      </c>
      <c r="D64" s="78">
        <f>'Respondent Burden and Cost'!D29</f>
        <v>36.4</v>
      </c>
      <c r="E64" s="42">
        <f>'Respondent Burden and Cost'!I29</f>
        <v>0</v>
      </c>
      <c r="F64" s="119">
        <f>'Respondent Burden and Cost'!J29</f>
        <v>59478</v>
      </c>
      <c r="G64" s="38">
        <f>'Respondent Burden and Cost'!K29</f>
        <v>0</v>
      </c>
      <c r="H64" s="21">
        <f>'Respondent Burden and Cost'!L29</f>
        <v>4369849</v>
      </c>
    </row>
    <row r="65" spans="1:8" x14ac:dyDescent="0.25">
      <c r="A65" s="24" t="s">
        <v>68</v>
      </c>
      <c r="B65" s="78">
        <f>'Respondent Burden and Cost'!B30</f>
        <v>22.7</v>
      </c>
      <c r="C65" s="32">
        <f>'Respondent Burden and Cost'!C30</f>
        <v>0</v>
      </c>
      <c r="D65" s="78">
        <f>'Respondent Burden and Cost'!D30</f>
        <v>22.7</v>
      </c>
      <c r="E65" s="42">
        <f>'Respondent Burden and Cost'!I30</f>
        <v>0</v>
      </c>
      <c r="F65" s="119">
        <f>'Respondent Burden and Cost'!J30</f>
        <v>45332</v>
      </c>
      <c r="G65" s="38">
        <f>'Respondent Burden and Cost'!K30</f>
        <v>0</v>
      </c>
      <c r="H65" s="21">
        <f>'Respondent Burden and Cost'!L30</f>
        <v>3330542</v>
      </c>
    </row>
    <row r="66" spans="1:8" x14ac:dyDescent="0.25">
      <c r="A66" s="78" t="str">
        <f>'Respondent Burden and Cost'!A31</f>
        <v>SWPPP Benchmark Monitoring Procedure 3</v>
      </c>
      <c r="B66" s="78" t="str">
        <f>'Respondent Burden and Cost'!B31</f>
        <v>NA</v>
      </c>
      <c r="C66" s="32">
        <f>'Respondent Burden and Cost'!C31</f>
        <v>4</v>
      </c>
      <c r="D66" s="78">
        <f>'Respondent Burden and Cost'!D31</f>
        <v>4</v>
      </c>
      <c r="E66" s="42">
        <f>'Respondent Burden and Cost'!I31</f>
        <v>3340</v>
      </c>
      <c r="F66" s="119">
        <f>'Respondent Burden and Cost'!J31</f>
        <v>3340</v>
      </c>
      <c r="G66" s="38">
        <f>'Respondent Burden and Cost'!K31</f>
        <v>245390</v>
      </c>
      <c r="H66" s="21">
        <f>'Respondent Burden and Cost'!L31</f>
        <v>245390</v>
      </c>
    </row>
    <row r="67" spans="1:8" x14ac:dyDescent="0.25">
      <c r="A67" s="24" t="s">
        <v>71</v>
      </c>
      <c r="B67" s="214" t="str">
        <f>'Respondent Burden and Cost'!B32</f>
        <v>Included in SWPPP development burden</v>
      </c>
      <c r="C67" s="215"/>
      <c r="D67" s="216"/>
      <c r="E67" s="42" t="str">
        <f>'Respondent Burden and Cost'!I32</f>
        <v>-</v>
      </c>
      <c r="F67" s="119" t="str">
        <f>'Respondent Burden and Cost'!J32</f>
        <v>-</v>
      </c>
      <c r="G67" s="38" t="str">
        <f>'Respondent Burden and Cost'!K32</f>
        <v>-</v>
      </c>
      <c r="H67" s="21" t="str">
        <f>'Respondent Burden and Cost'!L32</f>
        <v>-</v>
      </c>
    </row>
    <row r="68" spans="1:8" x14ac:dyDescent="0.25">
      <c r="A68" s="24" t="s">
        <v>165</v>
      </c>
      <c r="B68" s="78">
        <f>'Respondent Burden and Cost'!B33</f>
        <v>0.5</v>
      </c>
      <c r="C68" s="42">
        <f>'Respondent Burden and Cost'!C33</f>
        <v>0</v>
      </c>
      <c r="D68" s="78">
        <f>'Respondent Burden and Cost'!D33</f>
        <v>0.5</v>
      </c>
      <c r="E68" s="42">
        <f>'Respondent Burden and Cost'!I33</f>
        <v>0</v>
      </c>
      <c r="F68" s="119">
        <f>'Respondent Burden and Cost'!J33</f>
        <v>21242</v>
      </c>
      <c r="G68" s="38">
        <f>'Respondent Burden and Cost'!K33</f>
        <v>0</v>
      </c>
      <c r="H68" s="21">
        <f>'Respondent Burden and Cost'!L33</f>
        <v>1560650</v>
      </c>
    </row>
    <row r="69" spans="1:8" x14ac:dyDescent="0.25">
      <c r="A69" s="24" t="s">
        <v>166</v>
      </c>
      <c r="B69" s="78">
        <f>'Respondent Burden and Cost'!B34</f>
        <v>0.25</v>
      </c>
      <c r="C69" s="42">
        <f>'Respondent Burden and Cost'!C34</f>
        <v>0</v>
      </c>
      <c r="D69" s="78">
        <f>'Respondent Burden and Cost'!D34</f>
        <v>0.25</v>
      </c>
      <c r="E69" s="42">
        <f>'Respondent Burden and Cost'!I34</f>
        <v>0</v>
      </c>
      <c r="F69" s="119">
        <f>'Respondent Burden and Cost'!J34</f>
        <v>12981</v>
      </c>
      <c r="G69" s="38">
        <f>'Respondent Burden and Cost'!K34</f>
        <v>0</v>
      </c>
      <c r="H69" s="21">
        <f>'Respondent Burden and Cost'!L34</f>
        <v>953714</v>
      </c>
    </row>
    <row r="70" spans="1:8" ht="30" x14ac:dyDescent="0.25">
      <c r="A70" s="24" t="s">
        <v>167</v>
      </c>
      <c r="B70" s="78" t="str">
        <f>'Respondent Burden and Cost'!B35</f>
        <v>NA</v>
      </c>
      <c r="C70" s="42">
        <f>'Respondent Burden and Cost'!C35</f>
        <v>0.25</v>
      </c>
      <c r="D70" s="79">
        <f>'Respondent Burden and Cost'!D35</f>
        <v>0.25</v>
      </c>
      <c r="E70" s="42">
        <f>'Respondent Burden and Cost'!I35</f>
        <v>26325</v>
      </c>
      <c r="F70" s="119">
        <f>'Respondent Burden and Cost'!J35</f>
        <v>26325</v>
      </c>
      <c r="G70" s="38">
        <f>'Respondent Burden and Cost'!K35</f>
        <v>1934098</v>
      </c>
      <c r="H70" s="21">
        <f>'Respondent Burden and Cost'!L35</f>
        <v>1934098</v>
      </c>
    </row>
    <row r="71" spans="1:8" ht="32.65" customHeight="1" x14ac:dyDescent="0.25">
      <c r="A71" s="24" t="s">
        <v>76</v>
      </c>
      <c r="B71" s="214" t="str">
        <f>'Respondent Burden and Cost'!B36</f>
        <v xml:space="preserve">Included in burden estimate for site inspections, dewatering inspections, and turbidity monitoring </v>
      </c>
      <c r="C71" s="215"/>
      <c r="D71" s="216"/>
      <c r="E71" s="42" t="str">
        <f>'Respondent Burden and Cost'!I36</f>
        <v>-</v>
      </c>
      <c r="F71" s="119" t="str">
        <f>'Respondent Burden and Cost'!J36</f>
        <v>-</v>
      </c>
      <c r="G71" s="38" t="str">
        <f>'Respondent Burden and Cost'!K36</f>
        <v>-</v>
      </c>
      <c r="H71" s="21" t="str">
        <f>'Respondent Burden and Cost'!L36</f>
        <v>-</v>
      </c>
    </row>
    <row r="72" spans="1:8" x14ac:dyDescent="0.25">
      <c r="A72" s="182" t="s">
        <v>78</v>
      </c>
      <c r="B72" s="238"/>
      <c r="C72" s="238"/>
      <c r="D72" s="238"/>
      <c r="E72" s="106">
        <f>'Respondent Burden and Cost'!I37</f>
        <v>29665</v>
      </c>
      <c r="F72" s="116">
        <f>'Respondent Burden and Cost'!J37</f>
        <v>168698</v>
      </c>
      <c r="G72" s="109">
        <f>'Respondent Burden and Cost'!K37</f>
        <v>2179488</v>
      </c>
      <c r="H72" s="120">
        <f>'Respondent Burden and Cost'!L37</f>
        <v>12394243</v>
      </c>
    </row>
    <row r="73" spans="1:8" x14ac:dyDescent="0.25">
      <c r="A73" s="183" t="s">
        <v>79</v>
      </c>
      <c r="B73" s="238"/>
      <c r="C73" s="238"/>
      <c r="D73" s="238"/>
      <c r="E73" s="106">
        <f>'Respondent Burden and Cost'!I38</f>
        <v>45367</v>
      </c>
      <c r="F73" s="116">
        <f>'Respondent Burden and Cost'!J38</f>
        <v>200383</v>
      </c>
      <c r="G73" s="109">
        <f>'Respondent Burden and Cost'!K38</f>
        <v>3333114</v>
      </c>
      <c r="H73" s="120">
        <f>'Respondent Burden and Cost'!L38</f>
        <v>14722141</v>
      </c>
    </row>
    <row r="74" spans="1:8" x14ac:dyDescent="0.25">
      <c r="A74" s="183" t="s">
        <v>80</v>
      </c>
      <c r="B74" s="210"/>
      <c r="C74" s="211"/>
      <c r="D74" s="211"/>
      <c r="E74" s="211"/>
      <c r="F74" s="212"/>
      <c r="G74" s="109">
        <f>'Respondent Burden and Cost'!K39</f>
        <v>888440</v>
      </c>
      <c r="H74" s="120">
        <f>'Respondent Burden and Cost'!L39</f>
        <v>888440</v>
      </c>
    </row>
    <row r="75" spans="1:8" x14ac:dyDescent="0.25">
      <c r="A75" s="184" t="s">
        <v>81</v>
      </c>
      <c r="B75" s="210"/>
      <c r="C75" s="211"/>
      <c r="D75" s="211"/>
      <c r="E75" s="211"/>
      <c r="F75" s="212"/>
      <c r="G75" s="109">
        <f>'Respondent Burden and Cost'!K40</f>
        <v>4221554</v>
      </c>
      <c r="H75" s="120">
        <f>'Respondent Burden and Cost'!L40</f>
        <v>15610581</v>
      </c>
    </row>
    <row r="76" spans="1:8" x14ac:dyDescent="0.25">
      <c r="A76" s="131" t="s">
        <v>168</v>
      </c>
    </row>
    <row r="77" spans="1:8" x14ac:dyDescent="0.25">
      <c r="A77" s="131" t="s">
        <v>169</v>
      </c>
    </row>
    <row r="79" spans="1:8" ht="15.75" customHeight="1" x14ac:dyDescent="0.25">
      <c r="A79" s="235" t="s">
        <v>170</v>
      </c>
      <c r="B79" s="235"/>
      <c r="C79" s="235"/>
      <c r="D79" s="235"/>
    </row>
    <row r="80" spans="1:8" ht="30" x14ac:dyDescent="0.25">
      <c r="A80" s="185"/>
      <c r="B80" s="206" t="s">
        <v>171</v>
      </c>
      <c r="C80" s="206" t="s">
        <v>172</v>
      </c>
      <c r="E80" s="205"/>
    </row>
    <row r="81" spans="1:5" x14ac:dyDescent="0.25">
      <c r="A81" s="172" t="s">
        <v>173</v>
      </c>
      <c r="B81" s="186">
        <f>'Respondent Burden and Cost'!J38</f>
        <v>200383</v>
      </c>
      <c r="C81" s="186">
        <f>'Respondent Burden and Cost'!I38</f>
        <v>45367</v>
      </c>
      <c r="E81" s="187"/>
    </row>
    <row r="82" spans="1:5" x14ac:dyDescent="0.25">
      <c r="A82" s="172" t="s">
        <v>174</v>
      </c>
      <c r="B82" s="21">
        <f>'Respondent Burden and Cost'!L38</f>
        <v>14722141</v>
      </c>
      <c r="C82" s="21">
        <f>'Respondent Burden and Cost'!K38</f>
        <v>3333114</v>
      </c>
      <c r="E82" s="187"/>
    </row>
    <row r="83" spans="1:5" x14ac:dyDescent="0.25">
      <c r="A83" s="172" t="s">
        <v>175</v>
      </c>
      <c r="B83" s="188">
        <f>'Respondent Burden and Cost'!L39</f>
        <v>888440</v>
      </c>
      <c r="C83" s="188">
        <f>'Respondent Burden and Cost'!K39</f>
        <v>888440</v>
      </c>
      <c r="E83" s="187"/>
    </row>
    <row r="84" spans="1:5" x14ac:dyDescent="0.25">
      <c r="A84" s="172" t="s">
        <v>176</v>
      </c>
      <c r="B84" s="21" t="s">
        <v>177</v>
      </c>
      <c r="C84" s="21" t="s">
        <v>177</v>
      </c>
    </row>
    <row r="85" spans="1:5" x14ac:dyDescent="0.25">
      <c r="A85" s="172" t="s">
        <v>178</v>
      </c>
      <c r="B85" s="21">
        <f>'Respondent Burden and Cost'!L40</f>
        <v>15610581</v>
      </c>
      <c r="C85" s="21">
        <f>'Respondent Burden and Cost'!K40</f>
        <v>4221554</v>
      </c>
    </row>
    <row r="87" spans="1:5" x14ac:dyDescent="0.25">
      <c r="A87" s="189">
        <f>'Respondent Burden and Cost'!H38</f>
        <v>238510</v>
      </c>
      <c r="B87" s="27" t="s">
        <v>179</v>
      </c>
    </row>
    <row r="90" spans="1:5" ht="15" customHeight="1" x14ac:dyDescent="0.25">
      <c r="A90" s="235" t="s">
        <v>180</v>
      </c>
      <c r="B90" s="235"/>
      <c r="C90" s="235"/>
      <c r="D90" s="235"/>
    </row>
    <row r="91" spans="1:5" ht="30" x14ac:dyDescent="0.25">
      <c r="A91" s="190"/>
      <c r="B91" s="191" t="s">
        <v>181</v>
      </c>
      <c r="C91" s="191" t="s">
        <v>172</v>
      </c>
      <c r="E91" s="205"/>
    </row>
    <row r="92" spans="1:5" x14ac:dyDescent="0.25">
      <c r="A92" s="172" t="s">
        <v>173</v>
      </c>
      <c r="B92" s="119">
        <f>'Agency Burden'!G12</f>
        <v>10679.85</v>
      </c>
      <c r="C92" s="119">
        <f>'Agency Burden'!F12</f>
        <v>217.1</v>
      </c>
      <c r="E92" s="187"/>
    </row>
    <row r="93" spans="1:5" x14ac:dyDescent="0.25">
      <c r="A93" s="172" t="s">
        <v>174</v>
      </c>
      <c r="B93" s="21">
        <f>'Agency Burden'!I12</f>
        <v>546275</v>
      </c>
      <c r="C93" s="21">
        <f>'Agency Burden'!H12</f>
        <v>11105</v>
      </c>
      <c r="E93" s="187"/>
    </row>
    <row r="94" spans="1:5" x14ac:dyDescent="0.25">
      <c r="A94" s="172" t="s">
        <v>175</v>
      </c>
      <c r="B94" s="78" t="s">
        <v>177</v>
      </c>
      <c r="C94" s="78" t="s">
        <v>177</v>
      </c>
      <c r="E94" s="187"/>
    </row>
    <row r="95" spans="1:5" x14ac:dyDescent="0.25">
      <c r="A95" s="172" t="s">
        <v>176</v>
      </c>
      <c r="B95" s="78" t="s">
        <v>177</v>
      </c>
      <c r="C95" s="78" t="s">
        <v>177</v>
      </c>
    </row>
    <row r="96" spans="1:5" x14ac:dyDescent="0.25">
      <c r="A96" s="172" t="s">
        <v>178</v>
      </c>
      <c r="B96" s="21">
        <f>'Agency Burden'!I12</f>
        <v>546275</v>
      </c>
      <c r="C96" s="21">
        <f>C93</f>
        <v>11105</v>
      </c>
    </row>
    <row r="98" spans="1:3" x14ac:dyDescent="0.25">
      <c r="A98" s="27">
        <v>173156</v>
      </c>
      <c r="B98" s="27" t="s">
        <v>179</v>
      </c>
    </row>
    <row r="100" spans="1:3" x14ac:dyDescent="0.25">
      <c r="A100" s="158" t="s">
        <v>182</v>
      </c>
      <c r="B100" s="27" t="s">
        <v>183</v>
      </c>
      <c r="C100" s="27" t="s">
        <v>184</v>
      </c>
    </row>
    <row r="101" spans="1:3" x14ac:dyDescent="0.25">
      <c r="A101" s="158" t="s">
        <v>185</v>
      </c>
      <c r="B101" s="192">
        <f>B81/'Number of Respondents'!C3</f>
        <v>55.186725419994495</v>
      </c>
      <c r="C101" s="193">
        <f>ROUND(C81/'Number of Respondents'!C3,2)</f>
        <v>12.49</v>
      </c>
    </row>
    <row r="102" spans="1:3" x14ac:dyDescent="0.25">
      <c r="A102" s="158" t="s">
        <v>186</v>
      </c>
      <c r="B102" s="136">
        <f>ROUND(A87/B81,1)</f>
        <v>1.2</v>
      </c>
      <c r="C102" s="123">
        <f>ROUND(C81/A87,2)</f>
        <v>0.19</v>
      </c>
    </row>
    <row r="105" spans="1:3" x14ac:dyDescent="0.25">
      <c r="A105" s="176"/>
    </row>
    <row r="106" spans="1:3" x14ac:dyDescent="0.25">
      <c r="A106" s="158"/>
    </row>
    <row r="107" spans="1:3" x14ac:dyDescent="0.25">
      <c r="A107" s="158"/>
    </row>
  </sheetData>
  <mergeCells count="29">
    <mergeCell ref="A90:D90"/>
    <mergeCell ref="A79:D79"/>
    <mergeCell ref="A2:A3"/>
    <mergeCell ref="B2:C2"/>
    <mergeCell ref="B72:D72"/>
    <mergeCell ref="A38:A39"/>
    <mergeCell ref="B53:H53"/>
    <mergeCell ref="B46:D46"/>
    <mergeCell ref="B75:F75"/>
    <mergeCell ref="A24:A25"/>
    <mergeCell ref="A9:A10"/>
    <mergeCell ref="B73:D73"/>
    <mergeCell ref="B62:D62"/>
    <mergeCell ref="B63:H63"/>
    <mergeCell ref="B71:D71"/>
    <mergeCell ref="B67:D67"/>
    <mergeCell ref="D2:E2"/>
    <mergeCell ref="B24:D24"/>
    <mergeCell ref="E24:F24"/>
    <mergeCell ref="G24:H24"/>
    <mergeCell ref="B9:D9"/>
    <mergeCell ref="B47:D47"/>
    <mergeCell ref="B48:D48"/>
    <mergeCell ref="B74:F74"/>
    <mergeCell ref="E38:F38"/>
    <mergeCell ref="B40:H40"/>
    <mergeCell ref="B41:H41"/>
    <mergeCell ref="B38:D38"/>
    <mergeCell ref="G38:H3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lcf76f155ced4ddcb4097134ff3c332f xmlns="ac3b49f6-dd20-4a49-ba92-2d4d52ff2b3f">
      <Terms xmlns="http://schemas.microsoft.com/office/infopath/2007/PartnerControls"/>
    </lcf76f155ced4ddcb4097134ff3c332f>
    <Record xmlns="4ffa91fb-a0ff-4ac5-b2db-65c790d184a4">Shared</Record>
    <_ip_UnifiedCompliancePolicyProperties xmlns="http://schemas.microsoft.com/sharepoint/v3" xsi:nil="true"/>
    <Notes xmlns="ac3b49f6-dd20-4a49-ba92-2d4d52ff2b3f" xsi:nil="true"/>
    <Rights xmlns="4ffa91fb-a0ff-4ac5-b2db-65c790d184a4" xsi:nil="true"/>
    <Document_x0020_Creation_x0020_Date xmlns="4ffa91fb-a0ff-4ac5-b2db-65c790d184a4">2024-10-03T13:58:25+00:00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AddedtoExcel_x003f_ xmlns="ac3b49f6-dd20-4a49-ba92-2d4d52ff2b3f">false</AddedtoExcel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62CC818B0AB19428705E72DAFDF541F" ma:contentTypeVersion="20" ma:contentTypeDescription="Create a new document." ma:contentTypeScope="" ma:versionID="f5681e22fbb4600114c7de9a70b39fc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c3b49f6-dd20-4a49-ba92-2d4d52ff2b3f" xmlns:ns6="5ac1d4f1-1736-461c-bc70-7e033fb379e8" targetNamespace="http://schemas.microsoft.com/office/2006/metadata/properties" ma:root="true" ma:fieldsID="e8ee39a2d94976d7e222b11f2d71bad0" ns1:_="" ns2:_="" ns3:_="" ns4:_="" ns5:_="" ns6:_="">
    <xsd:import namespace="http://schemas.microsoft.com/sharepoint/v3"/>
    <xsd:import namespace="4ffa91fb-a0ff-4ac5-b2db-65c790d184a4"/>
    <xsd:import namespace="http://schemas.microsoft.com/sharepoint.v3"/>
    <xsd:import namespace="http://schemas.microsoft.com/sharepoint/v3/fields"/>
    <xsd:import namespace="ac3b49f6-dd20-4a49-ba92-2d4d52ff2b3f"/>
    <xsd:import namespace="5ac1d4f1-1736-461c-bc70-7e033fb379e8"/>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LengthInSeconds" minOccurs="0"/>
                <xsd:element ref="ns5:MediaServiceLocation" minOccurs="0"/>
                <xsd:element ref="ns1:_ip_UnifiedCompliancePolicyProperties" minOccurs="0"/>
                <xsd:element ref="ns1:_ip_UnifiedCompliancePolicyUIAction" minOccurs="0"/>
                <xsd:element ref="ns5:MediaServiceObjectDetectorVersions" minOccurs="0"/>
                <xsd:element ref="ns5:AddedtoExcel_x003f_" minOccurs="0"/>
                <xsd:element ref="ns5:MediaServiceSearchPropertie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40" nillable="true" ma:displayName="Unified Compliance Policy Properties" ma:hidden="true" ma:internalName="_ip_UnifiedCompliancePolicyProperties">
      <xsd:simpleType>
        <xsd:restriction base="dms:Note"/>
      </xsd:simpleType>
    </xsd:element>
    <xsd:element name="_ip_UnifiedCompliancePolicyUIAction" ma:index="4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f3f92367-004d-4e5f-9c7c-0c0e86988e66}" ma:internalName="TaxCatchAllLabel" ma:readOnly="true" ma:showField="CatchAllDataLabel" ma:web="5ac1d4f1-1736-461c-bc70-7e033fb379e8">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f3f92367-004d-4e5f-9c7c-0c0e86988e66}" ma:internalName="TaxCatchAll" ma:showField="CatchAllData" ma:web="5ac1d4f1-1736-461c-bc70-7e033fb379e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3b49f6-dd20-4a49-ba92-2d4d52ff2b3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internalName="MediaServiceDateTake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Location" ma:index="39" nillable="true" ma:displayName="Location" ma:indexed="true" ma:internalName="MediaServiceLocation" ma:readOnly="true">
      <xsd:simpleType>
        <xsd:restriction base="dms:Text"/>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AddedtoExcel_x003f_" ma:index="43" nillable="true" ma:displayName="Added to Excel?" ma:default="0" ma:format="Dropdown" ma:internalName="AddedtoExcel_x003f_">
      <xsd:simpleType>
        <xsd:restriction base="dms:Boolean"/>
      </xsd:simpleType>
    </xsd:element>
    <xsd:element name="MediaServiceSearchProperties" ma:index="44" nillable="true" ma:displayName="MediaServiceSearchProperties" ma:hidden="true" ma:internalName="MediaServiceSearchProperties" ma:readOnly="true">
      <xsd:simpleType>
        <xsd:restriction base="dms:Note"/>
      </xsd:simpleType>
    </xsd:element>
    <xsd:element name="Notes" ma:index="45" nillable="true" ma:displayName="Notes" ma:description="last updated/saved"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c1d4f1-1736-461c-bc70-7e033fb379e8"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BF58DE41-ABB8-4BBA-AACF-1EE899373AAC}">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ac3b49f6-dd20-4a49-ba92-2d4d52ff2b3f"/>
    <ds:schemaRef ds:uri="http://schemas.microsoft.com/sharepoint.v3"/>
  </ds:schemaRefs>
</ds:datastoreItem>
</file>

<file path=customXml/itemProps2.xml><?xml version="1.0" encoding="utf-8"?>
<ds:datastoreItem xmlns:ds="http://schemas.openxmlformats.org/officeDocument/2006/customXml" ds:itemID="{076B396B-FDF6-40AA-8E1D-8EB141E68E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ac3b49f6-dd20-4a49-ba92-2d4d52ff2b3f"/>
    <ds:schemaRef ds:uri="5ac1d4f1-1736-461c-bc70-7e033fb379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5327CC-BCAD-44F5-B098-113F2748A4FA}">
  <ds:schemaRefs>
    <ds:schemaRef ds:uri="http://schemas.microsoft.com/sharepoint/v3/contenttype/forms"/>
  </ds:schemaRefs>
</ds:datastoreItem>
</file>

<file path=customXml/itemProps4.xml><?xml version="1.0" encoding="utf-8"?>
<ds:datastoreItem xmlns:ds="http://schemas.openxmlformats.org/officeDocument/2006/customXml" ds:itemID="{429C2D0F-1395-4308-BADA-8F317875192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Agency Burden</vt:lpstr>
      <vt:lpstr>Respondent Burden and Cost</vt:lpstr>
      <vt:lpstr>Turbidity Monitoring</vt:lpstr>
      <vt:lpstr>Number of Respondents</vt:lpstr>
      <vt:lpstr>Tables for SS</vt:lpstr>
      <vt:lpstr>'Tables for SS'!_Ref63629561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Farris, Erika D.</dc:creator>
  <cp:keywords/>
  <dc:description/>
  <cp:lastModifiedBy>Schultz, Eric</cp:lastModifiedBy>
  <cp:revision/>
  <dcterms:created xsi:type="dcterms:W3CDTF">2019-07-22T14:43:59Z</dcterms:created>
  <dcterms:modified xsi:type="dcterms:W3CDTF">2025-02-24T07:25:59Z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0x0101008131BD0C33BAD64288857839A46BF86B</vt:lpwstr>
  </property>
  <property fmtid="{D5CDD505-2E9C-101B-9397-08002B2CF9AE}" pid="3" name="TaxKeyword">
    <vt:lpwstr/>
  </property>
  <property fmtid="{D5CDD505-2E9C-101B-9397-08002B2CF9AE}" pid="4" name="Document Type">
    <vt:lpwstr/>
  </property>
  <property fmtid="{D5CDD505-2E9C-101B-9397-08002B2CF9AE}" pid="5" name="MediaServiceImageTags">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ies>
</file>