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Tracy\ICRs - SPPD\FY2024\0186.17 Vinyl Chloride NESHAP\Drafts\Send to EPA\"/>
    </mc:Choice>
  </mc:AlternateContent>
  <xr:revisionPtr revIDLastSave="0" documentId="13_ncr:1_{0191933A-CB76-4771-8576-49303F2A6DFA}" xr6:coauthVersionLast="47" xr6:coauthVersionMax="47" xr10:uidLastSave="{00000000-0000-0000-0000-000000000000}"/>
  <bookViews>
    <workbookView xWindow="-28920" yWindow="-3765" windowWidth="29040" windowHeight="1644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9" i="2" l="1"/>
  <c r="K41" i="1"/>
  <c r="I40" i="1"/>
  <c r="G6" i="3"/>
  <c r="I26" i="1"/>
  <c r="I37" i="1"/>
  <c r="I8" i="1"/>
  <c r="F26" i="1"/>
  <c r="F37" i="1"/>
  <c r="B5" i="3"/>
  <c r="E5" i="3"/>
  <c r="F38" i="1" l="1"/>
  <c r="B4" i="6" s="1"/>
  <c r="I38" i="1"/>
  <c r="I5" i="2"/>
  <c r="E5" i="5" l="1"/>
  <c r="E6" i="5"/>
  <c r="E7" i="5"/>
  <c r="E8" i="5"/>
  <c r="E9" i="5"/>
  <c r="E10" i="5"/>
  <c r="E11" i="5"/>
  <c r="E12" i="5"/>
  <c r="E13" i="5"/>
  <c r="E14" i="5"/>
  <c r="E4" i="5"/>
  <c r="I9" i="2" l="1"/>
  <c r="I10" i="2"/>
  <c r="I11" i="2"/>
  <c r="I12" i="2"/>
  <c r="I13" i="2"/>
  <c r="I14" i="2"/>
  <c r="I15" i="2"/>
  <c r="I16" i="2"/>
  <c r="I8" i="2"/>
  <c r="I6" i="2"/>
  <c r="I17" i="1"/>
  <c r="I18" i="1"/>
  <c r="I19" i="1"/>
  <c r="I20" i="1"/>
  <c r="I21" i="1"/>
  <c r="I22" i="1"/>
  <c r="I23" i="1"/>
  <c r="I16" i="1"/>
  <c r="I15" i="1"/>
  <c r="I11" i="1"/>
  <c r="I10" i="1"/>
  <c r="E15" i="5" l="1"/>
  <c r="G5" i="3"/>
  <c r="D5" i="3"/>
  <c r="D18" i="2"/>
  <c r="F18" i="2" s="1"/>
  <c r="D17" i="2"/>
  <c r="F17" i="2" s="1"/>
  <c r="F16" i="2"/>
  <c r="D16" i="2"/>
  <c r="D15" i="2"/>
  <c r="F15" i="2" s="1"/>
  <c r="D14" i="2"/>
  <c r="F14" i="2" s="1"/>
  <c r="D13" i="2"/>
  <c r="F13" i="2" s="1"/>
  <c r="F12" i="2"/>
  <c r="D12" i="2"/>
  <c r="D11" i="2"/>
  <c r="F11" i="2" s="1"/>
  <c r="D10" i="2"/>
  <c r="F10" i="2" s="1"/>
  <c r="D9" i="2"/>
  <c r="F9" i="2" s="1"/>
  <c r="F8" i="2"/>
  <c r="D8" i="2"/>
  <c r="D6" i="2"/>
  <c r="F6" i="2" s="1"/>
  <c r="H5" i="2"/>
  <c r="F5" i="2"/>
  <c r="G5" i="2" s="1"/>
  <c r="D5" i="2"/>
  <c r="D34" i="1"/>
  <c r="F34" i="1" s="1"/>
  <c r="D33" i="1"/>
  <c r="F33" i="1" s="1"/>
  <c r="D25" i="1"/>
  <c r="F25" i="1" s="1"/>
  <c r="F24" i="1"/>
  <c r="D24" i="1"/>
  <c r="D23" i="1"/>
  <c r="F23" i="1" s="1"/>
  <c r="D22" i="1"/>
  <c r="F22" i="1" s="1"/>
  <c r="D21" i="1"/>
  <c r="F21" i="1" s="1"/>
  <c r="D20" i="1"/>
  <c r="F20" i="1" s="1"/>
  <c r="H19" i="1"/>
  <c r="G19" i="1"/>
  <c r="F19" i="1"/>
  <c r="D19" i="1"/>
  <c r="D18" i="1"/>
  <c r="F18" i="1" s="1"/>
  <c r="D17" i="1"/>
  <c r="F17" i="1" s="1"/>
  <c r="F16" i="1"/>
  <c r="H16" i="1" s="1"/>
  <c r="D16" i="1"/>
  <c r="D15" i="1"/>
  <c r="F15" i="1" s="1"/>
  <c r="D11" i="1"/>
  <c r="F11" i="1" s="1"/>
  <c r="D10" i="1"/>
  <c r="F10" i="1" s="1"/>
  <c r="D8" i="1"/>
  <c r="F8" i="1" s="1"/>
  <c r="I34" i="1" l="1"/>
  <c r="H24" i="1"/>
  <c r="I24" i="1"/>
  <c r="H15" i="2"/>
  <c r="G15" i="2"/>
  <c r="H9" i="2"/>
  <c r="G9" i="2"/>
  <c r="H10" i="2"/>
  <c r="G10" i="2"/>
  <c r="G11" i="2"/>
  <c r="H11" i="2"/>
  <c r="H17" i="2"/>
  <c r="G17" i="2"/>
  <c r="I17" i="2" s="1"/>
  <c r="G6" i="2"/>
  <c r="H6" i="2"/>
  <c r="H13" i="2"/>
  <c r="G13" i="2"/>
  <c r="G14" i="2"/>
  <c r="H14" i="2"/>
  <c r="H18" i="2"/>
  <c r="G18" i="2"/>
  <c r="I18" i="2" s="1"/>
  <c r="G8" i="2"/>
  <c r="H8" i="2"/>
  <c r="H16" i="2"/>
  <c r="G16" i="2"/>
  <c r="G12" i="2"/>
  <c r="H12" i="2"/>
  <c r="G18" i="1"/>
  <c r="H18" i="1"/>
  <c r="H17" i="1"/>
  <c r="G17" i="1"/>
  <c r="H23" i="1"/>
  <c r="G23" i="1"/>
  <c r="G10" i="1"/>
  <c r="H10" i="1"/>
  <c r="H11" i="1"/>
  <c r="G11" i="1"/>
  <c r="H25" i="1"/>
  <c r="G25" i="1"/>
  <c r="I25" i="1" s="1"/>
  <c r="H33" i="1"/>
  <c r="G33" i="1"/>
  <c r="I33" i="1" s="1"/>
  <c r="H8" i="1"/>
  <c r="G8" i="1"/>
  <c r="H15" i="1"/>
  <c r="G15" i="1"/>
  <c r="H20" i="1"/>
  <c r="G20" i="1"/>
  <c r="G34" i="1"/>
  <c r="H34" i="1"/>
  <c r="G22" i="1"/>
  <c r="H22" i="1"/>
  <c r="G21" i="1"/>
  <c r="H21" i="1"/>
  <c r="G16" i="1"/>
  <c r="G24" i="1"/>
  <c r="I19" i="2" l="1"/>
  <c r="C8" i="4" l="1"/>
  <c r="B8" i="4"/>
  <c r="F7" i="4"/>
  <c r="F6" i="4"/>
  <c r="F5" i="4"/>
  <c r="F8" i="4" l="1"/>
  <c r="B3" i="6" s="1"/>
  <c r="D6" i="3"/>
  <c r="I6" i="3" s="1"/>
  <c r="I39" i="1" s="1"/>
  <c r="B5" i="6" s="1"/>
  <c r="B6" i="6" l="1"/>
  <c r="B2" i="6" l="1"/>
</calcChain>
</file>

<file path=xl/sharedStrings.xml><?xml version="1.0" encoding="utf-8"?>
<sst xmlns="http://schemas.openxmlformats.org/spreadsheetml/2006/main" count="199" uniqueCount="152">
  <si>
    <t>ICR Summary Information</t>
  </si>
  <si>
    <t>Number of Respondents</t>
  </si>
  <si>
    <t>Total Estimated Burden Hours</t>
  </si>
  <si>
    <t>Total Estimated Costs</t>
  </si>
  <si>
    <t>Annualized Capital O&amp;M</t>
  </si>
  <si>
    <t>Total Annual Responses</t>
  </si>
  <si>
    <t>Form Number</t>
  </si>
  <si>
    <t>Labor Rates</t>
  </si>
  <si>
    <t>Management</t>
  </si>
  <si>
    <t>Technical</t>
  </si>
  <si>
    <t>Clerical</t>
  </si>
  <si>
    <t>Subtotal for Reporting Requirements</t>
  </si>
  <si>
    <t>hr/response</t>
  </si>
  <si>
    <t>Assumptions:</t>
  </si>
  <si>
    <t>Burden item</t>
  </si>
  <si>
    <t xml:space="preserve">Technical </t>
  </si>
  <si>
    <r>
      <t>Capital/Startup vs. Operation and Maintenance (O&amp;M) Costs</t>
    </r>
    <r>
      <rPr>
        <sz val="10"/>
        <color theme="1"/>
        <rFont val="Times New Roman"/>
        <family val="1"/>
      </rPr>
      <t> </t>
    </r>
  </si>
  <si>
    <t>(A)</t>
  </si>
  <si>
    <t>(B)</t>
  </si>
  <si>
    <t>(C)</t>
  </si>
  <si>
    <t>(D)</t>
  </si>
  <si>
    <t>(E)</t>
  </si>
  <si>
    <t>(F)</t>
  </si>
  <si>
    <t>(G)</t>
  </si>
  <si>
    <t>Continuous Monitoring Device</t>
  </si>
  <si>
    <t>Capital/Startup Cost for One Respondent</t>
  </si>
  <si>
    <t>Total Capital/Startup Cost,  (B X C)</t>
  </si>
  <si>
    <t>Total O&amp;M, 
(E X F)</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</si>
  <si>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</si>
  <si>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</si>
  <si>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</si>
  <si>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</si>
  <si>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</si>
  <si>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</si>
  <si>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</si>
  <si>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</si>
  <si>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</si>
  <si>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</si>
  <si>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</si>
  <si>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</si>
  <si>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</si>
  <si>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</si>
  <si>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</si>
  <si>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t>Not Applicable</t>
  </si>
  <si>
    <t>Table 1: Annual Respondent Burden and Cost – NESHAP for Vinyl Chloride (40 CFR Part 61, Subpart F) (Renewal)</t>
  </si>
  <si>
    <t xml:space="preserve">(B) </t>
  </si>
  <si>
    <t xml:space="preserve">(C) </t>
  </si>
  <si>
    <t xml:space="preserve">(E) </t>
  </si>
  <si>
    <t xml:space="preserve">(H) </t>
  </si>
  <si>
    <t>Person-‌hours per occurrence</t>
  </si>
  <si>
    <t>No. of occurrences per respondent per year</t>
  </si>
  <si>
    <t>Person- hours per respondent per year 
(C=AxB)</t>
  </si>
  <si>
    <r>
      <t xml:space="preserve">Respondents per year </t>
    </r>
    <r>
      <rPr>
        <b/>
        <vertAlign val="superscript"/>
        <sz val="10"/>
        <color rgb="FF000000"/>
        <rFont val="Times New Roman"/>
        <family val="1"/>
      </rPr>
      <t>a</t>
    </r>
  </si>
  <si>
    <t>Technical person- hours per year 
(E=CxD)</t>
  </si>
  <si>
    <t>Management person-hours per year 
(F=Ex0.05)</t>
  </si>
  <si>
    <t>Clerical person-hours per year 
(G=Ex0.1)</t>
  </si>
  <si>
    <r>
      <t xml:space="preserve">Cost ($) </t>
    </r>
    <r>
      <rPr>
        <b/>
        <vertAlign val="superscript"/>
        <sz val="10"/>
        <color rgb="FF000000"/>
        <rFont val="Times New Roman"/>
        <family val="1"/>
      </rPr>
      <t>b</t>
    </r>
  </si>
  <si>
    <t>1. Applications</t>
  </si>
  <si>
    <t>N/A</t>
  </si>
  <si>
    <t>2. Survey and Studies</t>
  </si>
  <si>
    <t>3. Reporting requirements</t>
  </si>
  <si>
    <r>
      <t xml:space="preserve">A. Familiarize with regulatory requirements </t>
    </r>
    <r>
      <rPr>
        <vertAlign val="superscript"/>
        <sz val="10"/>
        <color rgb="FF000000"/>
        <rFont val="Times New Roman"/>
        <family val="1"/>
      </rPr>
      <t>c</t>
    </r>
  </si>
  <si>
    <t>B. Required activities</t>
  </si>
  <si>
    <r>
      <t xml:space="preserve">Initial performance test </t>
    </r>
    <r>
      <rPr>
        <vertAlign val="superscript"/>
        <sz val="10"/>
        <color rgb="FF000000"/>
        <rFont val="Times New Roman"/>
        <family val="1"/>
      </rPr>
      <t>d</t>
    </r>
  </si>
  <si>
    <r>
      <t xml:space="preserve">Repeat performance tests </t>
    </r>
    <r>
      <rPr>
        <vertAlign val="superscript"/>
        <sz val="10"/>
        <color rgb="FF000000"/>
        <rFont val="Times New Roman"/>
        <family val="1"/>
      </rPr>
      <t>e</t>
    </r>
  </si>
  <si>
    <t>C. Create information</t>
  </si>
  <si>
    <t>See 3B</t>
  </si>
  <si>
    <t>D. Gather existing information</t>
  </si>
  <si>
    <t>E. Write Report</t>
  </si>
  <si>
    <t>Notification of construction/reconstruction</t>
  </si>
  <si>
    <t>Notification of anticipated startup</t>
  </si>
  <si>
    <t>Notification of actual startup</t>
  </si>
  <si>
    <t>Notification of emission testing</t>
  </si>
  <si>
    <t>Notification of test report</t>
  </si>
  <si>
    <r>
      <t xml:space="preserve">Notification of physical or operational change </t>
    </r>
    <r>
      <rPr>
        <vertAlign val="superscript"/>
        <sz val="10"/>
        <color rgb="FF000000"/>
        <rFont val="Times New Roman"/>
        <family val="1"/>
      </rPr>
      <t>f</t>
    </r>
  </si>
  <si>
    <r>
      <t xml:space="preserve">Application for waiver of testing </t>
    </r>
    <r>
      <rPr>
        <vertAlign val="superscript"/>
        <sz val="10"/>
        <color rgb="FF000000"/>
        <rFont val="Times New Roman"/>
        <family val="1"/>
      </rPr>
      <t>g</t>
    </r>
  </si>
  <si>
    <r>
      <t xml:space="preserve">Application of equivalency </t>
    </r>
    <r>
      <rPr>
        <vertAlign val="superscript"/>
        <sz val="10"/>
        <color rgb="FF000000"/>
        <rFont val="Times New Roman"/>
        <family val="1"/>
      </rPr>
      <t>h</t>
    </r>
  </si>
  <si>
    <t>Initial report</t>
  </si>
  <si>
    <r>
      <t xml:space="preserve">Quarterly report </t>
    </r>
    <r>
      <rPr>
        <vertAlign val="superscript"/>
        <sz val="10"/>
        <color rgb="FF000000"/>
        <rFont val="Times New Roman"/>
        <family val="1"/>
      </rPr>
      <t>i</t>
    </r>
  </si>
  <si>
    <r>
      <t xml:space="preserve">MVV/RVD report </t>
    </r>
    <r>
      <rPr>
        <vertAlign val="superscript"/>
        <sz val="10"/>
        <color rgb="FF000000"/>
        <rFont val="Times New Roman"/>
        <family val="1"/>
      </rPr>
      <t>j</t>
    </r>
  </si>
  <si>
    <t>4. Recordkeeping requirements</t>
  </si>
  <si>
    <t>A. Familiarize with regulatory requirements</t>
  </si>
  <si>
    <t>See 3A</t>
  </si>
  <si>
    <t>B. Plan activities</t>
  </si>
  <si>
    <t>C. Implement Activities</t>
  </si>
  <si>
    <t>See 3D</t>
  </si>
  <si>
    <t>D. Develop record system</t>
  </si>
  <si>
    <t>E. Time to enter information</t>
  </si>
  <si>
    <r>
      <t xml:space="preserve">Records of reactor parameters and emission </t>
    </r>
    <r>
      <rPr>
        <vertAlign val="superscript"/>
        <sz val="10"/>
        <color rgb="FF000000"/>
        <rFont val="Times New Roman"/>
        <family val="1"/>
      </rPr>
      <t>k</t>
    </r>
  </si>
  <si>
    <r>
      <t xml:space="preserve">Records of leaks detected </t>
    </r>
    <r>
      <rPr>
        <vertAlign val="superscript"/>
        <sz val="10"/>
        <color rgb="FF000000"/>
        <rFont val="Times New Roman"/>
        <family val="1"/>
      </rPr>
      <t>l</t>
    </r>
  </si>
  <si>
    <t>F. Time to train personnel</t>
  </si>
  <si>
    <t>G. Time for audits</t>
  </si>
  <si>
    <t>Subtotal for Recordkeeping Requirements</t>
  </si>
  <si>
    <r>
      <t xml:space="preserve">TOTAL ANNUAL BURDEN AND LABOR COST (rounded) </t>
    </r>
    <r>
      <rPr>
        <b/>
        <vertAlign val="superscript"/>
        <sz val="10"/>
        <color rgb="FF000000"/>
        <rFont val="Times New Roman"/>
        <family val="1"/>
      </rPr>
      <t>m</t>
    </r>
  </si>
  <si>
    <r>
      <t xml:space="preserve">TOTAL CAPITAL AND O&amp;M COST (rounded) </t>
    </r>
    <r>
      <rPr>
        <b/>
        <vertAlign val="superscript"/>
        <sz val="10"/>
        <color rgb="FF000000"/>
        <rFont val="Times New Roman"/>
        <family val="1"/>
      </rPr>
      <t>m</t>
    </r>
  </si>
  <si>
    <r>
      <t xml:space="preserve">GRAND TOTAL (rounded) </t>
    </r>
    <r>
      <rPr>
        <b/>
        <vertAlign val="superscript"/>
        <sz val="10"/>
        <color rgb="FF000000"/>
        <rFont val="Times New Roman"/>
        <family val="1"/>
      </rPr>
      <t>m</t>
    </r>
  </si>
  <si>
    <r>
      <t>c</t>
    </r>
    <r>
      <rPr>
        <sz val="10"/>
        <color theme="1"/>
        <rFont val="Times New Roman"/>
        <family val="1"/>
      </rPr>
      <t xml:space="preserve">  We have assumed that all sources will have to familiarize with the regulatory requirements quarterly.</t>
    </r>
  </si>
  <si>
    <r>
      <t>d</t>
    </r>
    <r>
      <rPr>
        <sz val="10"/>
        <color theme="1"/>
        <rFont val="Times New Roman"/>
        <family val="1"/>
      </rPr>
      <t xml:space="preserve">  We have assumed that it will take 60 hours to complete the performance tests.</t>
    </r>
  </si>
  <si>
    <r>
      <t>e</t>
    </r>
    <r>
      <rPr>
        <sz val="10"/>
        <color theme="1"/>
        <rFont val="Times New Roman"/>
        <family val="1"/>
      </rPr>
      <t xml:space="preserve">  We have assumed that 20 percent of initial performance tests must be repeated due to failure.</t>
    </r>
  </si>
  <si>
    <r>
      <t>f</t>
    </r>
    <r>
      <rPr>
        <sz val="10"/>
        <color theme="1"/>
        <rFont val="Times New Roman"/>
        <family val="1"/>
      </rPr>
      <t xml:space="preserve">  Assumed that there will be no physical or operational changes over the next three years.</t>
    </r>
  </si>
  <si>
    <r>
      <t xml:space="preserve">g  </t>
    </r>
    <r>
      <rPr>
        <sz val="10"/>
        <color theme="1"/>
        <rFont val="Times New Roman"/>
        <family val="1"/>
      </rPr>
      <t>Assume it will take eight hours to prepare application for waiver of testing.</t>
    </r>
  </si>
  <si>
    <r>
      <t>h</t>
    </r>
    <r>
      <rPr>
        <sz val="10"/>
        <color theme="1"/>
        <rFont val="Times New Roman"/>
        <family val="1"/>
      </rPr>
      <t xml:space="preserve">  Assume it will take 40 hours to prepare application for equivalency.</t>
    </r>
  </si>
  <si>
    <r>
      <t>i</t>
    </r>
    <r>
      <rPr>
        <sz val="10"/>
        <color theme="1"/>
        <rFont val="Times New Roman"/>
        <family val="1"/>
      </rPr>
      <t xml:space="preserve">  We have assumed that it will take 50 hours to prepare the quarterly report.</t>
    </r>
  </si>
  <si>
    <r>
      <t>j</t>
    </r>
    <r>
      <rPr>
        <sz val="10"/>
        <color theme="1"/>
        <rFont val="Times New Roman"/>
        <family val="1"/>
      </rPr>
      <t xml:space="preserve">  We have estimated that there will be one manual vent valve/relief valve discharge (MVV/RVD) per year.</t>
    </r>
  </si>
  <si>
    <r>
      <t>k</t>
    </r>
    <r>
      <rPr>
        <sz val="10"/>
        <color theme="1"/>
        <rFont val="Times New Roman"/>
        <family val="1"/>
      </rPr>
      <t xml:space="preserve">  Assume that affected facilities will operate 365 days per year as required of all facilities that are subject to the rule.</t>
    </r>
  </si>
  <si>
    <r>
      <t>l</t>
    </r>
    <r>
      <rPr>
        <sz val="10"/>
        <rFont val="Times New Roman"/>
        <family val="1"/>
      </rPr>
      <t xml:space="preserve">  It is estimated that respondents will enter records of leak detection 52 times per year.</t>
    </r>
  </si>
  <si>
    <r>
      <t>m</t>
    </r>
    <r>
      <rPr>
        <sz val="10"/>
        <color theme="1"/>
        <rFont val="Times New Roman"/>
        <family val="1"/>
      </rPr>
      <t xml:space="preserve">  Totals have been rounded to 3 significant figures. Figures may not add exactly due to rounding. </t>
    </r>
  </si>
  <si>
    <t>Table 2: Average Annual EPA Burden and Cost – NESHAP for Vinyl Chloride (40 CFR Part 61, Subpart F) (Renewal)</t>
  </si>
  <si>
    <t>Activity</t>
  </si>
  <si>
    <t xml:space="preserve">(A) </t>
  </si>
  <si>
    <t>EPA person- hours per occurrence</t>
  </si>
  <si>
    <t>No. of occurrences per plant per year</t>
  </si>
  <si>
    <t>EPA person-hours per plant per year 
(C=AxB)</t>
  </si>
  <si>
    <t>Plants per year</t>
  </si>
  <si>
    <t>Management person-hours per year (F=Ex0.05)</t>
  </si>
  <si>
    <t>Clerical person-hours per year (G=Ex0.1)</t>
  </si>
  <si>
    <r>
      <t xml:space="preserve">1. Initial performance test </t>
    </r>
    <r>
      <rPr>
        <vertAlign val="superscript"/>
        <sz val="10"/>
        <color rgb="FF000000"/>
        <rFont val="Times New Roman"/>
        <family val="1"/>
      </rPr>
      <t>c</t>
    </r>
  </si>
  <si>
    <r>
      <t xml:space="preserve">2. Repeat performance test </t>
    </r>
    <r>
      <rPr>
        <vertAlign val="superscript"/>
        <sz val="10"/>
        <color rgb="FF000000"/>
        <rFont val="Times New Roman"/>
        <family val="1"/>
      </rPr>
      <t>d</t>
    </r>
  </si>
  <si>
    <t>3. Report review</t>
  </si>
  <si>
    <r>
      <t>Notification of physical or operational change </t>
    </r>
    <r>
      <rPr>
        <vertAlign val="superscript"/>
        <sz val="10"/>
        <color rgb="FF000000"/>
        <rFont val="Times New Roman"/>
        <family val="1"/>
      </rPr>
      <t>e</t>
    </r>
  </si>
  <si>
    <r>
      <t xml:space="preserve">Emission test report </t>
    </r>
    <r>
      <rPr>
        <vertAlign val="superscript"/>
        <sz val="10"/>
        <color rgb="FF000000"/>
        <rFont val="Times New Roman"/>
        <family val="1"/>
      </rPr>
      <t>f</t>
    </r>
  </si>
  <si>
    <t>Application for equivalency</t>
  </si>
  <si>
    <r>
      <t xml:space="preserve">Quarterly report </t>
    </r>
    <r>
      <rPr>
        <vertAlign val="superscript"/>
        <sz val="10"/>
        <color rgb="FF000000"/>
        <rFont val="Times New Roman"/>
        <family val="1"/>
      </rPr>
      <t>h</t>
    </r>
  </si>
  <si>
    <r>
      <t xml:space="preserve">MVV/RVD report </t>
    </r>
    <r>
      <rPr>
        <vertAlign val="superscript"/>
        <sz val="10"/>
        <color rgb="FF000000"/>
        <rFont val="Times New Roman"/>
        <family val="1"/>
      </rPr>
      <t>i</t>
    </r>
  </si>
  <si>
    <r>
      <t xml:space="preserve">TOTAL ANNUAL BURDEN (rounded) </t>
    </r>
    <r>
      <rPr>
        <b/>
        <vertAlign val="superscript"/>
        <sz val="10"/>
        <color rgb="FF000000"/>
        <rFont val="Times New Roman"/>
        <family val="1"/>
      </rPr>
      <t>j</t>
    </r>
  </si>
  <si>
    <r>
      <t>c</t>
    </r>
    <r>
      <rPr>
        <sz val="10"/>
        <color theme="1"/>
        <rFont val="Times New Roman"/>
        <family val="1"/>
      </rPr>
      <t xml:space="preserve">  We have assumed that it will take twenty-four hours to complete the performance tests.</t>
    </r>
  </si>
  <si>
    <r>
      <t xml:space="preserve">d  </t>
    </r>
    <r>
      <rPr>
        <sz val="10"/>
        <color theme="1"/>
        <rFont val="Times New Roman"/>
        <family val="1"/>
      </rPr>
      <t>We have assumed that 20 percent of initial performance tests must be repeated due to failure.</t>
    </r>
  </si>
  <si>
    <r>
      <t>e</t>
    </r>
    <r>
      <rPr>
        <sz val="10"/>
        <color theme="1"/>
        <rFont val="Times New Roman"/>
        <family val="1"/>
      </rPr>
      <t xml:space="preserve">  Assume that there will be no physical or operational changes over the next three years.</t>
    </r>
  </si>
  <si>
    <r>
      <t xml:space="preserve">f  </t>
    </r>
    <r>
      <rPr>
        <sz val="10"/>
        <color theme="1"/>
        <rFont val="Times New Roman"/>
        <family val="1"/>
      </rPr>
      <t>It is assumed that it will take twenty-four hours to review an emissions test report.</t>
    </r>
  </si>
  <si>
    <r>
      <t xml:space="preserve">g  </t>
    </r>
    <r>
      <rPr>
        <sz val="10"/>
        <color theme="1"/>
        <rFont val="Times New Roman"/>
        <family val="1"/>
      </rPr>
      <t>Assume that it will take twenty-four hours to review application for waiver of test.</t>
    </r>
  </si>
  <si>
    <r>
      <t xml:space="preserve">h  </t>
    </r>
    <r>
      <rPr>
        <sz val="10"/>
        <color theme="1"/>
        <rFont val="Times New Roman"/>
        <family val="1"/>
      </rPr>
      <t>We have assumed that it will take four hours to review the quarterly report.</t>
    </r>
  </si>
  <si>
    <r>
      <t xml:space="preserve">i  </t>
    </r>
    <r>
      <rPr>
        <sz val="10"/>
        <color theme="1"/>
        <rFont val="Times New Roman"/>
        <family val="1"/>
      </rPr>
      <t>We have assumed that there will be one manual vent valve/relief valve discharge (MVV/RVD) per year.</t>
    </r>
  </si>
  <si>
    <r>
      <t>j</t>
    </r>
    <r>
      <rPr>
        <sz val="10"/>
        <color theme="1"/>
        <rFont val="Times New Roman"/>
        <family val="1"/>
      </rPr>
      <t xml:space="preserve">  Totals have been rounded to 3 significant figures. Figures may not add exactly due to rounding. </t>
    </r>
  </si>
  <si>
    <t>CEMS</t>
  </si>
  <si>
    <t>Notification of physical or operational change</t>
  </si>
  <si>
    <t>Application for waiver of testing</t>
  </si>
  <si>
    <t>Application of equivalency</t>
  </si>
  <si>
    <t>Quarterly report</t>
  </si>
  <si>
    <t>MVV/RVD report</t>
  </si>
  <si>
    <r>
      <rPr>
        <vertAlign val="superscript"/>
        <sz val="10"/>
        <rFont val="Times New Roman"/>
        <family val="1"/>
      </rPr>
      <t xml:space="preserve">b </t>
    </r>
    <r>
      <rPr>
        <sz val="10"/>
        <rFont val="Times New Roman"/>
        <family val="1"/>
      </rPr>
      <t xml:space="preserve">The cost is based on the following labor rate which incorporates a 1.6 benefits multiplication factor to account for government overhead expenses.  Managerial rates of $73.46 (GS-13, Step 5, $45.91 + 60%), Technical rate of $54.51 (GS-12, Step 1, $34.07 + 60%), and Clerical rate of $29.50 (GS-6, Step 3, $18.44 + 60%).  These rates are from the Office of Personnel Management (OPM), 2023 General Schedule, which excludes locality, rates of pay. The rates have been increased by 60 percent to account for the benefit packages available to government employees. </t>
    </r>
  </si>
  <si>
    <r>
      <rPr>
        <vertAlign val="superscript"/>
        <sz val="10"/>
        <color theme="1"/>
        <rFont val="Times New Roman"/>
        <family val="1"/>
      </rPr>
      <t>b</t>
    </r>
    <r>
      <rPr>
        <sz val="10"/>
        <color theme="1"/>
        <rFont val="Times New Roman"/>
        <family val="1"/>
      </rPr>
      <t xml:space="preserve"> This ICR uses the following labor rates: $163.17 ($77.70 + 110%) per hour for Executive, Administrative, and Managerial labor; $130.28 ($62.04 + 110%) per hour for Technical labor, and $65.71 ($31.29 + 110%) per hour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</si>
  <si>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a</t>
    </r>
    <r>
      <rPr>
        <sz val="10"/>
        <color theme="1"/>
        <rFont val="Times New Roman"/>
        <family val="1"/>
      </rPr>
      <t xml:space="preserve">  We estimate there are 25 existing sources subject to the standard and no additional sources will become subject over the three-year period of this ICR.</t>
    </r>
  </si>
  <si>
    <r>
      <rPr>
        <vertAlign val="superscript"/>
        <sz val="10"/>
        <color rgb="FF000000"/>
        <rFont val="Times New Roman"/>
        <family val="1"/>
      </rPr>
      <t>a</t>
    </r>
    <r>
      <rPr>
        <sz val="10"/>
        <color rgb="FF000000"/>
        <rFont val="Times New Roman"/>
        <family val="1"/>
      </rPr>
      <t xml:space="preserve"> New respondents include sources with constructed, reconstructed and modified affected facilities.</t>
    </r>
    <r>
      <rPr>
        <sz val="10"/>
        <color rgb="FFFF0000"/>
        <rFont val="Times New Roman"/>
        <family val="1"/>
      </rPr>
      <t xml:space="preserve"> </t>
    </r>
  </si>
  <si>
    <r>
      <t>Totals</t>
    </r>
    <r>
      <rPr>
        <sz val="10"/>
        <color theme="1"/>
        <rFont val="Times New Roman"/>
        <family val="1"/>
      </rPr>
      <t xml:space="preserve"> (rounded)</t>
    </r>
    <r>
      <rPr>
        <b/>
        <sz val="10"/>
        <color theme="1"/>
        <rFont val="Times New Roman"/>
        <family val="1"/>
      </rPr>
      <t xml:space="preserve"> </t>
    </r>
    <r>
      <rPr>
        <b/>
        <vertAlign val="superscript"/>
        <sz val="10"/>
        <color theme="1"/>
        <rFont val="Times New Roman"/>
        <family val="1"/>
      </rPr>
      <t>b</t>
    </r>
  </si>
  <si>
    <r>
      <rPr>
        <vertAlign val="superscript"/>
        <sz val="10"/>
        <color theme="1"/>
        <rFont val="Times New Roman"/>
        <family val="1"/>
      </rPr>
      <t>b</t>
    </r>
    <r>
      <rPr>
        <sz val="10"/>
        <color theme="1"/>
        <rFont val="Times New Roman"/>
        <family val="1"/>
      </rPr>
      <t xml:space="preserve"> Totals have been rounded to 3 significant digits. Figures may not add exactly due to rounding. </t>
    </r>
  </si>
  <si>
    <t>Number of New  Respondents</t>
  </si>
  <si>
    <r>
      <t xml:space="preserve">Annual O&amp;M Costs for One Respondent </t>
    </r>
    <r>
      <rPr>
        <b/>
        <vertAlign val="superscript"/>
        <sz val="10"/>
        <color theme="1"/>
        <rFont val="Times New Roman"/>
        <family val="1"/>
      </rPr>
      <t>a</t>
    </r>
  </si>
  <si>
    <t>Number of Respondents with O&amp;M</t>
  </si>
  <si>
    <r>
      <rPr>
        <vertAlign val="superscript"/>
        <sz val="10"/>
        <color theme="1"/>
        <rFont val="Times New Roman"/>
        <family val="1"/>
      </rPr>
      <t>a</t>
    </r>
    <r>
      <rPr>
        <sz val="10"/>
        <color theme="1"/>
        <rFont val="Times New Roman"/>
        <family val="1"/>
      </rPr>
      <t xml:space="preserve">  Capital/startup costs and O&amp;M costs have been updated from 2008 dollars to 2022 dollars using the CEPCI CE Index.</t>
    </r>
  </si>
  <si>
    <t>2022 CEPCI CE Index</t>
  </si>
  <si>
    <t>2008 CEPCI CE Index</t>
  </si>
  <si>
    <t>Hours per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</si>
</sst>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1" formatCode="_(* #,##0_);_(* \(#,##0\);_(* &quot;-&quot;_);_(@_)"/>
    <numFmt numFmtId="164" formatCode="General_)"/>
    <numFmt numFmtId="165" formatCode="&quot;$&quot;#,##0.00"/>
    <numFmt numFmtId="166" formatCode="&quot;$&quot;#,##0"/>
    <numFmt numFmtId="167" formatCode="0.0"/>
  </numFmts>
  <fonts count="26" x14ac:knownFonts="1">
    <font>
      <sz val="11"/>
      <color theme="1"/>
      <name val="Calibri"/>
      <family val="2"/>
      <scheme val="minor"/>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rgb="FF000000"/>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10"/>
      <color rgb="FFFF0000"/>
      <name val="Calibri"/>
      <family val="2"/>
      <scheme val="minor"/>
    </font>
    <font>
      <sz val="8"/>
      <name val="Calibri"/>
      <family val="2"/>
      <scheme val="minor"/>
    </font>
    <font>
      <sz val="11"/>
      <color theme="1"/>
      <name val="Calibri"/>
      <family val="2"/>
      <scheme val="minor"/>
    </font>
    <font>
      <sz val="9"/>
      <color rgb="FF000000"/>
      <name val="Times New Roman"/>
      <family val="1"/>
    </font>
    <font>
      <b/>
      <sz val="9"/>
      <color rgb="FF000000"/>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xf numFmtId="164" fontId="10" fillId="0" borderId="0"/>
  </cellStyleXfs>
  <cellXfs count="108">
    <xf numFmtId="0" fontId="0" fillId="0" borderId="0" xfId="0"/>
    <xf numFmtId="0" fontId="1" fillId="0" borderId="0" xfId="0" applyFont="1"/>
    <xf numFmtId="0" fontId="8" fillId="0" borderId="0" xfId="0" applyFont="1"/>
    <xf numFmtId="164" fontId="11" fillId="0" borderId="0" xfId="1" applyFont="1" applyAlignment="1">
      <alignment horizontal="center" vertical="center" wrapText="1"/>
    </xf>
    <xf numFmtId="164" fontId="9" fillId="0" borderId="0" xfId="1" applyFont="1" applyAlignment="1">
      <alignment horizontal="center" vertical="center" wrapText="1"/>
    </xf>
    <xf numFmtId="165" fontId="9" fillId="0" borderId="0" xfId="1" applyNumberFormat="1" applyFont="1" applyAlignment="1">
      <alignment horizontal="right" wrapText="1"/>
    </xf>
    <xf numFmtId="0" fontId="8" fillId="0" borderId="0" xfId="0" applyFont="1" applyAlignment="1">
      <alignment wrapText="1"/>
    </xf>
    <xf numFmtId="0" fontId="16" fillId="0" borderId="0" xfId="0" applyFont="1"/>
    <xf numFmtId="0" fontId="16" fillId="0" borderId="3" xfId="0" applyFont="1" applyBorder="1"/>
    <xf numFmtId="0" fontId="13" fillId="0" borderId="1" xfId="0" applyFont="1" applyBorder="1"/>
    <xf numFmtId="41" fontId="16" fillId="0" borderId="0" xfId="0" applyNumberFormat="1" applyFont="1"/>
    <xf numFmtId="0" fontId="16" fillId="0" borderId="3" xfId="0" applyFont="1" applyBorder="1" applyAlignment="1">
      <alignment horizontal="center"/>
    </xf>
    <xf numFmtId="41" fontId="16" fillId="0" borderId="3" xfId="0" applyNumberFormat="1" applyFont="1" applyBorder="1"/>
    <xf numFmtId="164" fontId="11" fillId="0" borderId="0" xfId="1" applyFont="1" applyAlignment="1">
      <alignment wrapText="1"/>
    </xf>
    <xf numFmtId="0" fontId="20" fillId="0" borderId="0" xfId="0" applyFont="1"/>
    <xf numFmtId="0" fontId="1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6" fontId="1" fillId="0" borderId="1" xfId="0" applyNumberFormat="1" applyFont="1" applyBorder="1" applyAlignment="1">
      <alignment horizontal="center" vertical="center" wrapText="1"/>
    </xf>
    <xf numFmtId="0" fontId="2" fillId="0" borderId="1" xfId="0" applyFont="1" applyBorder="1" applyAlignment="1">
      <alignment vertical="center" wrapText="1"/>
    </xf>
    <xf numFmtId="6"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6" fontId="1" fillId="0" borderId="0" xfId="0" applyNumberFormat="1" applyFont="1" applyAlignment="1">
      <alignment horizontal="center" vertical="center" wrapText="1"/>
    </xf>
    <xf numFmtId="6" fontId="2" fillId="0" borderId="0" xfId="0" applyNumberFormat="1" applyFont="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3" fillId="0" borderId="0" xfId="0" applyFont="1" applyAlignment="1">
      <alignment vertical="top" wrapText="1"/>
    </xf>
    <xf numFmtId="165" fontId="9" fillId="0" borderId="1" xfId="0" applyNumberFormat="1" applyFont="1" applyBorder="1"/>
    <xf numFmtId="0" fontId="9" fillId="0" borderId="1" xfId="0" applyFont="1" applyBorder="1" applyAlignment="1">
      <alignment horizontal="left" vertical="center" wrapText="1"/>
    </xf>
    <xf numFmtId="6"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21" fillId="0" borderId="0" xfId="0" applyFont="1" applyAlignment="1">
      <alignment vertical="top" wrapText="1"/>
    </xf>
    <xf numFmtId="41" fontId="9" fillId="0" borderId="0" xfId="0" applyNumberFormat="1" applyFont="1"/>
    <xf numFmtId="3" fontId="8" fillId="0" borderId="0" xfId="0" applyNumberFormat="1" applyFont="1"/>
    <xf numFmtId="0" fontId="18" fillId="0" borderId="0" xfId="0" applyFont="1"/>
    <xf numFmtId="0" fontId="2" fillId="0" borderId="0" xfId="0" applyFont="1" applyAlignment="1">
      <alignment horizontal="center" wrapText="1"/>
    </xf>
    <xf numFmtId="0" fontId="1" fillId="0" borderId="0" xfId="0" applyFont="1" applyAlignment="1">
      <alignment horizontal="left" vertical="top" wrapText="1" indent="1"/>
    </xf>
    <xf numFmtId="0" fontId="1" fillId="0" borderId="0" xfId="0" applyFont="1" applyAlignment="1">
      <alignment horizontal="center" wrapText="1"/>
    </xf>
    <xf numFmtId="0" fontId="1" fillId="0" borderId="0" xfId="0" applyFont="1" applyAlignment="1">
      <alignment horizontal="right" wrapText="1"/>
    </xf>
    <xf numFmtId="3" fontId="1" fillId="0" borderId="0" xfId="0" applyNumberFormat="1" applyFont="1" applyAlignment="1">
      <alignment horizontal="center" wrapText="1"/>
    </xf>
    <xf numFmtId="166" fontId="1" fillId="0" borderId="0" xfId="0" applyNumberFormat="1" applyFont="1" applyAlignment="1">
      <alignment horizontal="right" wrapText="1"/>
    </xf>
    <xf numFmtId="1" fontId="1" fillId="0" borderId="0" xfId="0" applyNumberFormat="1" applyFont="1" applyAlignment="1">
      <alignment horizontal="center" wrapText="1"/>
    </xf>
    <xf numFmtId="167" fontId="1" fillId="0" borderId="0" xfId="0" applyNumberFormat="1" applyFont="1" applyAlignment="1">
      <alignment horizontal="center" wrapText="1"/>
    </xf>
    <xf numFmtId="0" fontId="7" fillId="0" borderId="0" xfId="0" applyFont="1" applyAlignment="1">
      <alignment vertical="top" wrapText="1"/>
    </xf>
    <xf numFmtId="3" fontId="6" fillId="0" borderId="0" xfId="0" applyNumberFormat="1" applyFont="1" applyAlignment="1">
      <alignment wrapText="1"/>
    </xf>
    <xf numFmtId="6" fontId="6" fillId="0" borderId="0" xfId="0" applyNumberFormat="1" applyFont="1" applyAlignment="1">
      <alignment horizontal="right" wrapText="1"/>
    </xf>
    <xf numFmtId="0" fontId="2" fillId="0" borderId="0" xfId="0" applyFont="1" applyAlignment="1">
      <alignment wrapText="1"/>
    </xf>
    <xf numFmtId="0" fontId="13" fillId="0" borderId="0" xfId="0" applyFont="1" applyAlignment="1">
      <alignment vertical="top"/>
    </xf>
    <xf numFmtId="3" fontId="1" fillId="0" borderId="1" xfId="0" applyNumberFormat="1" applyFont="1" applyBorder="1" applyAlignment="1">
      <alignment horizontal="center" vertical="center" wrapText="1"/>
    </xf>
    <xf numFmtId="164" fontId="8" fillId="0" borderId="0" xfId="1" applyFont="1" applyAlignment="1">
      <alignment vertical="center"/>
    </xf>
    <xf numFmtId="164" fontId="8" fillId="0" borderId="0" xfId="1" applyFont="1"/>
    <xf numFmtId="0" fontId="2" fillId="0" borderId="0" xfId="0" applyFont="1" applyAlignment="1">
      <alignment vertical="center" wrapText="1"/>
    </xf>
    <xf numFmtId="0" fontId="1" fillId="0" borderId="0" xfId="0" applyFont="1" applyAlignment="1">
      <alignment horizontal="center" vertical="center" wrapText="1"/>
    </xf>
    <xf numFmtId="6" fontId="20" fillId="0" borderId="0" xfId="0" applyNumberFormat="1" applyFont="1"/>
    <xf numFmtId="164" fontId="8" fillId="0" borderId="0" xfId="1" applyFont="1" applyAlignment="1">
      <alignment horizontal="left" vertical="center"/>
    </xf>
    <xf numFmtId="41" fontId="0" fillId="0" borderId="0" xfId="0" applyNumberFormat="1"/>
    <xf numFmtId="3" fontId="0" fillId="0" borderId="0" xfId="0" applyNumberFormat="1"/>
    <xf numFmtId="6" fontId="0" fillId="0" borderId="0" xfId="0" applyNumberFormat="1"/>
    <xf numFmtId="0" fontId="12" fillId="0" borderId="0" xfId="0" applyFont="1"/>
    <xf numFmtId="0" fontId="23" fillId="0" borderId="0" xfId="0" applyFont="1"/>
    <xf numFmtId="0" fontId="14" fillId="0" borderId="1" xfId="0" applyFont="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horizontal="left" vertical="center" indent="1"/>
    </xf>
    <xf numFmtId="8" fontId="13" fillId="0" borderId="1" xfId="0" applyNumberFormat="1" applyFont="1" applyBorder="1" applyAlignment="1">
      <alignment horizontal="center" vertical="center" wrapText="1"/>
    </xf>
    <xf numFmtId="0" fontId="13" fillId="0" borderId="1" xfId="0" applyFont="1" applyBorder="1" applyAlignment="1">
      <alignment horizontal="left" vertical="center" indent="2"/>
    </xf>
    <xf numFmtId="6" fontId="13" fillId="0" borderId="1" xfId="0" applyNumberFormat="1"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4" fillId="0" borderId="1" xfId="0" applyFont="1" applyBorder="1" applyAlignment="1">
      <alignment vertical="center"/>
    </xf>
    <xf numFmtId="3" fontId="2" fillId="0" borderId="1" xfId="0" applyNumberFormat="1" applyFont="1" applyBorder="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17" fillId="0" borderId="0" xfId="0" applyFont="1" applyAlignment="1">
      <alignment vertical="center"/>
    </xf>
    <xf numFmtId="0" fontId="12" fillId="0" borderId="0" xfId="0" applyFont="1" applyAlignment="1">
      <alignment horizontal="left" vertical="center"/>
    </xf>
    <xf numFmtId="0" fontId="13" fillId="0" borderId="1" xfId="0" applyFont="1" applyBorder="1" applyAlignment="1">
      <alignment horizontal="center" vertical="center"/>
    </xf>
    <xf numFmtId="6" fontId="13" fillId="0" borderId="1" xfId="0" applyNumberFormat="1" applyFont="1" applyBorder="1" applyAlignment="1">
      <alignment horizontal="right" vertical="center"/>
    </xf>
    <xf numFmtId="0" fontId="13" fillId="0" borderId="1" xfId="0" applyFont="1" applyBorder="1" applyAlignment="1">
      <alignment horizontal="right" vertical="center"/>
    </xf>
    <xf numFmtId="0" fontId="1" fillId="0" borderId="1" xfId="0" applyFont="1" applyBorder="1" applyAlignment="1">
      <alignment horizontal="center" vertical="center"/>
    </xf>
    <xf numFmtId="3" fontId="1" fillId="0" borderId="1" xfId="0" applyNumberFormat="1" applyFont="1" applyBorder="1" applyAlignment="1">
      <alignment horizontal="center" vertical="center"/>
    </xf>
    <xf numFmtId="167" fontId="1" fillId="0" borderId="1" xfId="0" applyNumberFormat="1" applyFont="1" applyBorder="1" applyAlignment="1">
      <alignment horizontal="center" vertical="center"/>
    </xf>
    <xf numFmtId="0" fontId="1" fillId="0" borderId="1" xfId="0" applyFont="1" applyBorder="1" applyAlignment="1">
      <alignment vertical="center"/>
    </xf>
    <xf numFmtId="6" fontId="2" fillId="0" borderId="1" xfId="0" applyNumberFormat="1" applyFont="1" applyBorder="1" applyAlignment="1">
      <alignment horizontal="right" vertical="center"/>
    </xf>
    <xf numFmtId="0" fontId="13" fillId="0" borderId="0" xfId="0" applyFont="1" applyAlignment="1">
      <alignment vertical="center" wrapText="1"/>
    </xf>
    <xf numFmtId="0" fontId="24" fillId="0" borderId="0" xfId="0" applyFont="1" applyAlignment="1">
      <alignment horizontal="center" vertical="center" wrapText="1"/>
    </xf>
    <xf numFmtId="0" fontId="13" fillId="0" borderId="1" xfId="0" applyFont="1" applyBorder="1" applyAlignment="1">
      <alignment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3" fillId="0" borderId="0" xfId="0" applyFont="1"/>
    <xf numFmtId="0" fontId="0" fillId="0" borderId="0" xfId="0" applyAlignment="1">
      <alignment horizontal="center"/>
    </xf>
    <xf numFmtId="0" fontId="1" fillId="0" borderId="0" xfId="0" applyFont="1" applyAlignment="1">
      <alignment vertical="center" wrapText="1"/>
    </xf>
    <xf numFmtId="0" fontId="13" fillId="0" borderId="1" xfId="0" applyFont="1" applyBorder="1" applyAlignment="1">
      <alignment horizontal="center"/>
    </xf>
    <xf numFmtId="0" fontId="14" fillId="0" borderId="1" xfId="0" applyFont="1" applyBorder="1" applyAlignment="1">
      <alignment horizontal="center" vertical="center"/>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0" fontId="17" fillId="0" borderId="0" xfId="0" applyFont="1" applyAlignment="1">
      <alignment horizontal="left" vertical="center" wrapText="1"/>
    </xf>
    <xf numFmtId="0" fontId="4" fillId="0" borderId="0" xfId="0" applyFont="1" applyAlignment="1">
      <alignment horizontal="left" vertical="center" wrapText="1"/>
    </xf>
    <xf numFmtId="0" fontId="14" fillId="0" borderId="1" xfId="0" applyFont="1" applyBorder="1" applyAlignment="1">
      <alignment horizontal="center" vertical="center" wrapText="1"/>
    </xf>
    <xf numFmtId="0" fontId="1" fillId="0" borderId="0" xfId="0" applyFont="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left" wrapText="1"/>
    </xf>
    <xf numFmtId="0" fontId="12" fillId="0" borderId="1" xfId="0" applyFont="1" applyBorder="1" applyAlignment="1">
      <alignment horizontal="center" vertical="center" wrapText="1"/>
    </xf>
    <xf numFmtId="0" fontId="14" fillId="0" borderId="1" xfId="0" applyFont="1" applyBorder="1" applyAlignment="1">
      <alignment vertical="center" wrapText="1"/>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7"/>
  <sheetViews>
    <sheetView tabSelected="1" workbookViewId="0">
      <selection activeCell="D1" sqref="D1"/>
    </sheetView>
  </sheetViews>
  <sheetFormatPr defaultRowHeight="15" x14ac:dyDescent="0.25"/>
  <cols>
    <col min="1" max="1" width="27.85546875" bestFit="1" customWidth="1"/>
    <col min="2" max="2" width="14.28515625" bestFit="1" customWidth="1"/>
  </cols>
  <sheetData>
    <row r="1" spans="1:2" x14ac:dyDescent="0.25">
      <c r="A1" s="93" t="s">
        <v>0</v>
      </c>
      <c r="B1" s="93"/>
    </row>
    <row r="2" spans="1:2" x14ac:dyDescent="0.25">
      <c r="A2" t="s">
        <v>151</v>
      </c>
      <c r="B2" s="57">
        <f>'Table 1'!K41</f>
        <v>81.680000000000007</v>
      </c>
    </row>
    <row r="3" spans="1:2" x14ac:dyDescent="0.25">
      <c r="A3" t="s">
        <v>1</v>
      </c>
      <c r="B3">
        <f>Respondents!F8</f>
        <v>25</v>
      </c>
    </row>
    <row r="4" spans="1:2" x14ac:dyDescent="0.25">
      <c r="A4" t="s">
        <v>2</v>
      </c>
      <c r="B4" s="58">
        <f>'Table 1'!F38</f>
        <v>10210</v>
      </c>
    </row>
    <row r="5" spans="1:2" x14ac:dyDescent="0.25">
      <c r="A5" t="s">
        <v>3</v>
      </c>
      <c r="B5" s="59">
        <f>'Table 1'!I40</f>
        <v>2890000</v>
      </c>
    </row>
    <row r="6" spans="1:2" x14ac:dyDescent="0.25">
      <c r="A6" t="s">
        <v>4</v>
      </c>
      <c r="B6" s="59">
        <f>'Capital O&amp;M'!D6+'Capital O&amp;M'!G6</f>
        <v>1600000</v>
      </c>
    </row>
    <row r="7" spans="1:2" x14ac:dyDescent="0.25">
      <c r="A7" t="s">
        <v>6</v>
      </c>
      <c r="B7" t="s">
        <v>43</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71"/>
  <sheetViews>
    <sheetView zoomScale="87" zoomScaleNormal="87" workbookViewId="0">
      <selection activeCell="A2" sqref="A2"/>
    </sheetView>
  </sheetViews>
  <sheetFormatPr defaultRowHeight="15" x14ac:dyDescent="0.25"/>
  <cols>
    <col min="1" max="1" width="49.28515625" style="61" customWidth="1"/>
    <col min="2" max="2" width="9.5703125" style="61" customWidth="1"/>
    <col min="3" max="3" width="10.42578125" style="61" customWidth="1"/>
    <col min="4" max="4" width="9.7109375" style="61" customWidth="1"/>
    <col min="5" max="5" width="10.7109375" style="61" customWidth="1"/>
    <col min="6" max="6" width="9.28515625" style="61"/>
    <col min="7" max="7" width="11.28515625" style="61" customWidth="1"/>
    <col min="8" max="8" width="9.28515625" style="61"/>
    <col min="9" max="9" width="11.28515625" style="61" bestFit="1" customWidth="1"/>
    <col min="10" max="10" width="6.7109375" customWidth="1"/>
    <col min="11" max="11" width="11.42578125" customWidth="1"/>
    <col min="12" max="12" width="7.7109375" customWidth="1"/>
    <col min="13" max="13" width="47.85546875" customWidth="1"/>
    <col min="14" max="14" width="12.140625" customWidth="1"/>
    <col min="21" max="21" width="11.7109375" customWidth="1"/>
  </cols>
  <sheetData>
    <row r="1" spans="1:21" ht="20.25" x14ac:dyDescent="0.3">
      <c r="A1" s="60" t="s">
        <v>44</v>
      </c>
      <c r="J1" s="1"/>
      <c r="K1" s="2"/>
      <c r="L1" s="1"/>
      <c r="M1" s="36"/>
      <c r="N1" s="7"/>
    </row>
    <row r="2" spans="1:21" s="1" customFormat="1" x14ac:dyDescent="0.25">
      <c r="A2" s="61"/>
      <c r="B2" s="61"/>
      <c r="C2" s="61"/>
      <c r="D2" s="61"/>
      <c r="E2" s="61"/>
      <c r="F2" s="61"/>
      <c r="G2" s="61"/>
      <c r="H2" s="61"/>
      <c r="I2" s="61"/>
      <c r="J2" s="2"/>
    </row>
    <row r="3" spans="1:21" s="1" customFormat="1" ht="12.75" x14ac:dyDescent="0.2">
      <c r="A3" s="96" t="s">
        <v>14</v>
      </c>
      <c r="B3" s="26" t="s">
        <v>17</v>
      </c>
      <c r="C3" s="26" t="s">
        <v>45</v>
      </c>
      <c r="D3" s="26" t="s">
        <v>46</v>
      </c>
      <c r="E3" s="26" t="s">
        <v>20</v>
      </c>
      <c r="F3" s="26" t="s">
        <v>47</v>
      </c>
      <c r="G3" s="26" t="s">
        <v>22</v>
      </c>
      <c r="H3" s="26" t="s">
        <v>23</v>
      </c>
      <c r="I3" s="26" t="s">
        <v>48</v>
      </c>
      <c r="J3" s="2"/>
      <c r="M3" s="37"/>
      <c r="N3" s="37"/>
      <c r="O3" s="37"/>
      <c r="P3" s="37"/>
      <c r="Q3" s="37"/>
      <c r="R3" s="37"/>
      <c r="S3" s="37"/>
      <c r="T3" s="37"/>
      <c r="U3" s="37"/>
    </row>
    <row r="4" spans="1:21" s="1" customFormat="1" ht="63.75" x14ac:dyDescent="0.2">
      <c r="A4" s="96"/>
      <c r="B4" s="26" t="s">
        <v>49</v>
      </c>
      <c r="C4" s="26" t="s">
        <v>50</v>
      </c>
      <c r="D4" s="26" t="s">
        <v>51</v>
      </c>
      <c r="E4" s="26" t="s">
        <v>52</v>
      </c>
      <c r="F4" s="26" t="s">
        <v>53</v>
      </c>
      <c r="G4" s="26" t="s">
        <v>54</v>
      </c>
      <c r="H4" s="26" t="s">
        <v>55</v>
      </c>
      <c r="I4" s="26" t="s">
        <v>56</v>
      </c>
      <c r="J4" s="2"/>
      <c r="K4" s="95" t="s">
        <v>7</v>
      </c>
      <c r="L4" s="95"/>
      <c r="O4" s="39"/>
      <c r="P4" s="39"/>
      <c r="Q4" s="39"/>
      <c r="R4" s="39"/>
      <c r="S4" s="39"/>
      <c r="T4" s="39"/>
      <c r="U4" s="40"/>
    </row>
    <row r="5" spans="1:21" s="1" customFormat="1" ht="12.75" x14ac:dyDescent="0.2">
      <c r="A5" s="63" t="s">
        <v>57</v>
      </c>
      <c r="B5" s="15" t="s">
        <v>58</v>
      </c>
      <c r="C5" s="15"/>
      <c r="D5" s="15"/>
      <c r="E5" s="15"/>
      <c r="F5" s="15"/>
      <c r="G5" s="15"/>
      <c r="H5" s="15"/>
      <c r="I5" s="15"/>
      <c r="J5" s="6"/>
      <c r="K5" s="9" t="s">
        <v>8</v>
      </c>
      <c r="L5" s="28">
        <v>163.16999999999999</v>
      </c>
      <c r="M5" s="38"/>
      <c r="N5" s="39"/>
      <c r="O5" s="39"/>
      <c r="P5" s="39"/>
      <c r="Q5" s="39"/>
      <c r="R5" s="41"/>
      <c r="S5" s="39"/>
      <c r="T5" s="39"/>
      <c r="U5" s="42"/>
    </row>
    <row r="6" spans="1:21" s="1" customFormat="1" ht="12.75" x14ac:dyDescent="0.2">
      <c r="A6" s="63" t="s">
        <v>59</v>
      </c>
      <c r="B6" s="15" t="s">
        <v>58</v>
      </c>
      <c r="C6" s="15"/>
      <c r="D6" s="15"/>
      <c r="E6" s="15"/>
      <c r="F6" s="15"/>
      <c r="G6" s="15"/>
      <c r="H6" s="15"/>
      <c r="I6" s="15"/>
      <c r="J6" s="2"/>
      <c r="K6" s="9" t="s">
        <v>9</v>
      </c>
      <c r="L6" s="28">
        <v>130.28</v>
      </c>
      <c r="M6" s="38"/>
      <c r="N6" s="39"/>
      <c r="O6" s="39"/>
      <c r="P6" s="39"/>
      <c r="Q6" s="39"/>
      <c r="R6" s="39"/>
      <c r="S6" s="39"/>
      <c r="T6" s="39"/>
      <c r="U6" s="42"/>
    </row>
    <row r="7" spans="1:21" s="1" customFormat="1" ht="12.75" x14ac:dyDescent="0.2">
      <c r="A7" s="63" t="s">
        <v>60</v>
      </c>
      <c r="B7" s="15"/>
      <c r="C7" s="15"/>
      <c r="D7" s="15"/>
      <c r="E7" s="15"/>
      <c r="F7" s="15"/>
      <c r="G7" s="15"/>
      <c r="H7" s="15"/>
      <c r="I7" s="15"/>
      <c r="J7" s="2"/>
      <c r="K7" s="9" t="s">
        <v>10</v>
      </c>
      <c r="L7" s="28">
        <v>65.709999999999994</v>
      </c>
      <c r="M7" s="38"/>
      <c r="N7" s="39"/>
      <c r="O7" s="39"/>
      <c r="P7" s="39"/>
      <c r="Q7" s="39"/>
      <c r="R7" s="39"/>
      <c r="S7" s="39"/>
      <c r="T7" s="39"/>
      <c r="U7" s="42"/>
    </row>
    <row r="8" spans="1:21" s="1" customFormat="1" ht="15.75" x14ac:dyDescent="0.2">
      <c r="A8" s="64" t="s">
        <v>61</v>
      </c>
      <c r="B8" s="15">
        <v>1</v>
      </c>
      <c r="C8" s="15">
        <v>4</v>
      </c>
      <c r="D8" s="15">
        <f>+B8*C8</f>
        <v>4</v>
      </c>
      <c r="E8" s="15">
        <v>25</v>
      </c>
      <c r="F8" s="15">
        <f>+D8*E8</f>
        <v>100</v>
      </c>
      <c r="G8" s="15">
        <f>+F8*0.05</f>
        <v>5</v>
      </c>
      <c r="H8" s="15">
        <f>+F8*0.1</f>
        <v>10</v>
      </c>
      <c r="I8" s="65">
        <f>+$L$6*F8+$L$5*G8+$L$7*H8</f>
        <v>14500.95</v>
      </c>
      <c r="J8" s="2"/>
      <c r="K8" s="52"/>
      <c r="L8" s="13"/>
      <c r="M8" s="38"/>
      <c r="N8" s="39"/>
      <c r="O8" s="39"/>
      <c r="P8" s="39"/>
      <c r="Q8" s="43"/>
      <c r="R8" s="43"/>
      <c r="S8" s="43"/>
      <c r="T8" s="43"/>
      <c r="U8" s="42"/>
    </row>
    <row r="9" spans="1:21" s="1" customFormat="1" ht="12.75" x14ac:dyDescent="0.2">
      <c r="A9" s="64" t="s">
        <v>62</v>
      </c>
      <c r="B9" s="15"/>
      <c r="C9" s="15"/>
      <c r="D9" s="15"/>
      <c r="E9" s="15"/>
      <c r="F9" s="15"/>
      <c r="G9" s="15"/>
      <c r="H9" s="15"/>
      <c r="I9" s="15"/>
      <c r="J9" s="2"/>
      <c r="K9" s="56"/>
      <c r="L9" s="3"/>
      <c r="M9" s="38"/>
      <c r="N9" s="39"/>
      <c r="O9" s="39"/>
      <c r="P9" s="39"/>
      <c r="Q9" s="43"/>
      <c r="R9" s="43"/>
      <c r="S9" s="43"/>
      <c r="T9" s="43"/>
      <c r="U9" s="42"/>
    </row>
    <row r="10" spans="1:21" s="1" customFormat="1" ht="15.75" x14ac:dyDescent="0.2">
      <c r="A10" s="66" t="s">
        <v>63</v>
      </c>
      <c r="B10" s="15">
        <v>60</v>
      </c>
      <c r="C10" s="15">
        <v>1</v>
      </c>
      <c r="D10" s="15">
        <f t="shared" ref="D10:D34" si="0">+B10*C10</f>
        <v>60</v>
      </c>
      <c r="E10" s="15">
        <v>0</v>
      </c>
      <c r="F10" s="15">
        <f t="shared" ref="F10:F25" si="1">+D10*E10</f>
        <v>0</v>
      </c>
      <c r="G10" s="15">
        <f t="shared" ref="G10:G25" si="2">+F10*0.05</f>
        <v>0</v>
      </c>
      <c r="H10" s="15">
        <f t="shared" ref="H10:H25" si="3">+F10*0.1</f>
        <v>0</v>
      </c>
      <c r="I10" s="67">
        <f>+$L$6*F10+$L$5*G10+$L$7*H10</f>
        <v>0</v>
      </c>
      <c r="J10" s="2"/>
      <c r="K10" s="3"/>
      <c r="L10" s="3"/>
      <c r="M10" s="38"/>
      <c r="N10" s="39"/>
      <c r="O10" s="39"/>
      <c r="P10" s="39"/>
      <c r="Q10" s="43"/>
      <c r="R10" s="43"/>
      <c r="S10" s="43"/>
      <c r="T10" s="43"/>
      <c r="U10" s="42"/>
    </row>
    <row r="11" spans="1:21" s="1" customFormat="1" ht="15.75" x14ac:dyDescent="0.2">
      <c r="A11" s="66" t="s">
        <v>64</v>
      </c>
      <c r="B11" s="15">
        <v>60</v>
      </c>
      <c r="C11" s="15">
        <v>0.2</v>
      </c>
      <c r="D11" s="15">
        <f t="shared" si="0"/>
        <v>12</v>
      </c>
      <c r="E11" s="15">
        <v>0</v>
      </c>
      <c r="F11" s="15">
        <f t="shared" si="1"/>
        <v>0</v>
      </c>
      <c r="G11" s="15">
        <f t="shared" si="2"/>
        <v>0</v>
      </c>
      <c r="H11" s="15">
        <f t="shared" si="3"/>
        <v>0</v>
      </c>
      <c r="I11" s="67">
        <f>+$L$6*F11+$L$5*G11+$L$7*H11</f>
        <v>0</v>
      </c>
      <c r="J11" s="2"/>
      <c r="K11" s="4"/>
      <c r="L11" s="5"/>
      <c r="M11" s="38"/>
      <c r="N11" s="39"/>
      <c r="O11" s="39"/>
      <c r="P11" s="39"/>
      <c r="Q11" s="43"/>
      <c r="R11" s="43"/>
      <c r="S11" s="44"/>
      <c r="T11" s="44"/>
      <c r="U11" s="42"/>
    </row>
    <row r="12" spans="1:21" s="1" customFormat="1" ht="12.75" x14ac:dyDescent="0.2">
      <c r="A12" s="64" t="s">
        <v>65</v>
      </c>
      <c r="B12" s="15" t="s">
        <v>66</v>
      </c>
      <c r="C12" s="15"/>
      <c r="D12" s="15"/>
      <c r="E12" s="15"/>
      <c r="F12" s="15"/>
      <c r="G12" s="15"/>
      <c r="H12" s="15"/>
      <c r="I12" s="67"/>
      <c r="J12" s="2"/>
      <c r="K12" s="4"/>
      <c r="L12" s="5"/>
      <c r="M12" s="38"/>
      <c r="N12" s="39"/>
      <c r="O12" s="39"/>
      <c r="P12" s="39"/>
      <c r="Q12" s="43"/>
      <c r="R12" s="43"/>
      <c r="S12" s="44"/>
      <c r="T12" s="44"/>
      <c r="U12" s="42"/>
    </row>
    <row r="13" spans="1:21" s="1" customFormat="1" ht="12.75" x14ac:dyDescent="0.2">
      <c r="A13" s="64" t="s">
        <v>67</v>
      </c>
      <c r="B13" s="15" t="s">
        <v>66</v>
      </c>
      <c r="C13" s="15"/>
      <c r="D13" s="15"/>
      <c r="E13" s="15"/>
      <c r="F13" s="15"/>
      <c r="G13" s="15"/>
      <c r="H13" s="15"/>
      <c r="I13" s="67"/>
      <c r="J13" s="2"/>
      <c r="K13" s="4"/>
      <c r="L13" s="5"/>
      <c r="M13" s="38"/>
      <c r="N13" s="39"/>
      <c r="O13" s="39"/>
      <c r="P13" s="39"/>
      <c r="Q13" s="39"/>
      <c r="R13" s="39"/>
      <c r="S13" s="39"/>
      <c r="T13" s="39"/>
      <c r="U13" s="42"/>
    </row>
    <row r="14" spans="1:21" s="1" customFormat="1" ht="18" customHeight="1" x14ac:dyDescent="0.2">
      <c r="A14" s="64" t="s">
        <v>68</v>
      </c>
      <c r="B14" s="15"/>
      <c r="C14" s="15"/>
      <c r="D14" s="15"/>
      <c r="E14" s="15"/>
      <c r="F14" s="15"/>
      <c r="G14" s="15"/>
      <c r="H14" s="15"/>
      <c r="I14" s="67"/>
      <c r="J14" s="6"/>
      <c r="K14" s="51"/>
      <c r="L14" s="5"/>
      <c r="M14" s="38"/>
      <c r="N14" s="39"/>
      <c r="O14" s="39"/>
      <c r="P14" s="39"/>
      <c r="Q14" s="39"/>
      <c r="R14" s="39"/>
      <c r="S14" s="39"/>
      <c r="T14" s="39"/>
      <c r="U14" s="42"/>
    </row>
    <row r="15" spans="1:21" s="1" customFormat="1" ht="12.75" x14ac:dyDescent="0.2">
      <c r="A15" s="66" t="s">
        <v>69</v>
      </c>
      <c r="B15" s="15">
        <v>2</v>
      </c>
      <c r="C15" s="15">
        <v>1</v>
      </c>
      <c r="D15" s="15">
        <f t="shared" si="0"/>
        <v>2</v>
      </c>
      <c r="E15" s="15">
        <v>0</v>
      </c>
      <c r="F15" s="15">
        <f t="shared" si="1"/>
        <v>0</v>
      </c>
      <c r="G15" s="15">
        <f t="shared" si="2"/>
        <v>0</v>
      </c>
      <c r="H15" s="15">
        <f t="shared" si="3"/>
        <v>0</v>
      </c>
      <c r="I15" s="67">
        <f>+$L$6*F15+$L$5*G15+$L$7*H15</f>
        <v>0</v>
      </c>
      <c r="J15" s="2"/>
      <c r="K15" s="51"/>
      <c r="M15" s="38"/>
      <c r="N15" s="39"/>
      <c r="O15" s="39"/>
      <c r="P15" s="39"/>
      <c r="Q15" s="39"/>
      <c r="R15" s="39"/>
      <c r="S15" s="39"/>
      <c r="T15" s="39"/>
      <c r="U15" s="42"/>
    </row>
    <row r="16" spans="1:21" s="1" customFormat="1" ht="27.75" customHeight="1" x14ac:dyDescent="0.2">
      <c r="A16" s="66" t="s">
        <v>70</v>
      </c>
      <c r="B16" s="15">
        <v>2</v>
      </c>
      <c r="C16" s="15">
        <v>1</v>
      </c>
      <c r="D16" s="15">
        <f t="shared" si="0"/>
        <v>2</v>
      </c>
      <c r="E16" s="15">
        <v>0</v>
      </c>
      <c r="F16" s="15">
        <f t="shared" si="1"/>
        <v>0</v>
      </c>
      <c r="G16" s="15">
        <f t="shared" si="2"/>
        <v>0</v>
      </c>
      <c r="H16" s="15">
        <f t="shared" si="3"/>
        <v>0</v>
      </c>
      <c r="I16" s="67">
        <f>+$L$6*F16+$L$5*G16+$L$7*H16</f>
        <v>0</v>
      </c>
      <c r="J16" s="2"/>
      <c r="K16" s="51"/>
      <c r="M16" s="38"/>
      <c r="N16" s="39"/>
      <c r="O16" s="39"/>
      <c r="P16" s="39"/>
      <c r="Q16" s="39"/>
      <c r="R16" s="39"/>
      <c r="S16" s="39"/>
      <c r="T16" s="39"/>
      <c r="U16" s="42"/>
    </row>
    <row r="17" spans="1:21" s="1" customFormat="1" ht="12.75" x14ac:dyDescent="0.2">
      <c r="A17" s="66" t="s">
        <v>71</v>
      </c>
      <c r="B17" s="15">
        <v>2</v>
      </c>
      <c r="C17" s="15">
        <v>1</v>
      </c>
      <c r="D17" s="15">
        <f t="shared" si="0"/>
        <v>2</v>
      </c>
      <c r="E17" s="15">
        <v>0</v>
      </c>
      <c r="F17" s="15">
        <f t="shared" si="1"/>
        <v>0</v>
      </c>
      <c r="G17" s="15">
        <f t="shared" si="2"/>
        <v>0</v>
      </c>
      <c r="H17" s="15">
        <f t="shared" si="3"/>
        <v>0</v>
      </c>
      <c r="I17" s="67">
        <f t="shared" ref="I17:I25" si="4">+$L$6*F17+$L$5*G17+$L$7*H17</f>
        <v>0</v>
      </c>
      <c r="J17" s="2"/>
      <c r="K17" s="51"/>
      <c r="M17" s="38"/>
      <c r="N17" s="39"/>
      <c r="O17" s="39"/>
      <c r="P17" s="39"/>
      <c r="Q17" s="39"/>
      <c r="R17" s="39"/>
      <c r="S17" s="39"/>
      <c r="T17" s="39"/>
      <c r="U17" s="42"/>
    </row>
    <row r="18" spans="1:21" s="1" customFormat="1" ht="19.5" customHeight="1" x14ac:dyDescent="0.2">
      <c r="A18" s="66" t="s">
        <v>72</v>
      </c>
      <c r="B18" s="15">
        <v>2</v>
      </c>
      <c r="C18" s="15">
        <v>1</v>
      </c>
      <c r="D18" s="15">
        <f t="shared" si="0"/>
        <v>2</v>
      </c>
      <c r="E18" s="15">
        <v>0</v>
      </c>
      <c r="F18" s="15">
        <f t="shared" si="1"/>
        <v>0</v>
      </c>
      <c r="G18" s="15">
        <f t="shared" si="2"/>
        <v>0</v>
      </c>
      <c r="H18" s="15">
        <f t="shared" si="3"/>
        <v>0</v>
      </c>
      <c r="I18" s="67">
        <f t="shared" si="4"/>
        <v>0</v>
      </c>
      <c r="J18" s="2"/>
      <c r="K18" s="51"/>
      <c r="M18" s="38"/>
      <c r="N18" s="39"/>
      <c r="O18" s="39"/>
      <c r="P18" s="39"/>
      <c r="Q18" s="39"/>
      <c r="R18" s="39"/>
      <c r="S18" s="39"/>
      <c r="T18" s="39"/>
      <c r="U18" s="42"/>
    </row>
    <row r="19" spans="1:21" s="1" customFormat="1" ht="16.5" customHeight="1" x14ac:dyDescent="0.2">
      <c r="A19" s="66" t="s">
        <v>73</v>
      </c>
      <c r="B19" s="15">
        <v>2</v>
      </c>
      <c r="C19" s="15">
        <v>1</v>
      </c>
      <c r="D19" s="15">
        <f t="shared" si="0"/>
        <v>2</v>
      </c>
      <c r="E19" s="15">
        <v>0</v>
      </c>
      <c r="F19" s="15">
        <f t="shared" si="1"/>
        <v>0</v>
      </c>
      <c r="G19" s="15">
        <f t="shared" si="2"/>
        <v>0</v>
      </c>
      <c r="H19" s="15">
        <f t="shared" si="3"/>
        <v>0</v>
      </c>
      <c r="I19" s="67">
        <f t="shared" si="4"/>
        <v>0</v>
      </c>
      <c r="J19" s="2"/>
      <c r="K19" s="2"/>
      <c r="M19" s="38"/>
      <c r="N19" s="39"/>
      <c r="O19" s="39"/>
      <c r="P19" s="39"/>
      <c r="Q19" s="39"/>
      <c r="R19" s="39"/>
      <c r="S19" s="39"/>
      <c r="T19" s="39"/>
      <c r="U19" s="42"/>
    </row>
    <row r="20" spans="1:21" s="1" customFormat="1" ht="15.75" x14ac:dyDescent="0.2">
      <c r="A20" s="66" t="s">
        <v>74</v>
      </c>
      <c r="B20" s="15">
        <v>2</v>
      </c>
      <c r="C20" s="15">
        <v>1</v>
      </c>
      <c r="D20" s="15">
        <f t="shared" si="0"/>
        <v>2</v>
      </c>
      <c r="E20" s="15">
        <v>0</v>
      </c>
      <c r="F20" s="15">
        <f t="shared" si="1"/>
        <v>0</v>
      </c>
      <c r="G20" s="15">
        <f t="shared" si="2"/>
        <v>0</v>
      </c>
      <c r="H20" s="15">
        <f t="shared" si="3"/>
        <v>0</v>
      </c>
      <c r="I20" s="67">
        <f t="shared" si="4"/>
        <v>0</v>
      </c>
      <c r="J20" s="2"/>
      <c r="M20" s="38"/>
      <c r="N20" s="39"/>
      <c r="O20" s="39"/>
      <c r="P20" s="39"/>
      <c r="Q20" s="39"/>
      <c r="R20" s="39"/>
      <c r="S20" s="39"/>
      <c r="T20" s="39"/>
      <c r="U20" s="42"/>
    </row>
    <row r="21" spans="1:21" s="1" customFormat="1" ht="15.75" x14ac:dyDescent="0.2">
      <c r="A21" s="66" t="s">
        <v>75</v>
      </c>
      <c r="B21" s="15">
        <v>8</v>
      </c>
      <c r="C21" s="15">
        <v>1</v>
      </c>
      <c r="D21" s="15">
        <f t="shared" si="0"/>
        <v>8</v>
      </c>
      <c r="E21" s="15">
        <v>0</v>
      </c>
      <c r="F21" s="15">
        <f t="shared" si="1"/>
        <v>0</v>
      </c>
      <c r="G21" s="15">
        <f t="shared" si="2"/>
        <v>0</v>
      </c>
      <c r="H21" s="15">
        <f t="shared" si="3"/>
        <v>0</v>
      </c>
      <c r="I21" s="67">
        <f t="shared" si="4"/>
        <v>0</v>
      </c>
      <c r="J21" s="2"/>
      <c r="M21" s="38"/>
      <c r="N21" s="39"/>
      <c r="O21" s="39"/>
      <c r="P21" s="39"/>
      <c r="Q21" s="39"/>
      <c r="R21" s="41"/>
      <c r="S21" s="39"/>
      <c r="T21" s="39"/>
      <c r="U21" s="42"/>
    </row>
    <row r="22" spans="1:21" s="1" customFormat="1" ht="15.75" x14ac:dyDescent="0.25">
      <c r="A22" s="66" t="s">
        <v>76</v>
      </c>
      <c r="B22" s="15">
        <v>40</v>
      </c>
      <c r="C22" s="15">
        <v>1</v>
      </c>
      <c r="D22" s="15">
        <f t="shared" si="0"/>
        <v>40</v>
      </c>
      <c r="E22" s="15">
        <v>0</v>
      </c>
      <c r="F22" s="15">
        <f t="shared" si="1"/>
        <v>0</v>
      </c>
      <c r="G22" s="15">
        <f t="shared" si="2"/>
        <v>0</v>
      </c>
      <c r="H22" s="15">
        <f t="shared" si="3"/>
        <v>0</v>
      </c>
      <c r="I22" s="67">
        <f t="shared" si="4"/>
        <v>0</v>
      </c>
      <c r="J22" s="2"/>
      <c r="K22" s="2"/>
      <c r="M22" s="45"/>
      <c r="N22" s="45"/>
      <c r="O22" s="45"/>
      <c r="P22" s="45"/>
      <c r="Q22" s="45"/>
      <c r="R22" s="46"/>
      <c r="S22" s="46"/>
      <c r="T22" s="46"/>
      <c r="U22" s="47"/>
    </row>
    <row r="23" spans="1:21" s="1" customFormat="1" ht="12.75" x14ac:dyDescent="0.2">
      <c r="A23" s="66" t="s">
        <v>77</v>
      </c>
      <c r="B23" s="15">
        <v>24</v>
      </c>
      <c r="C23" s="15">
        <v>1</v>
      </c>
      <c r="D23" s="15">
        <f>+B23*C23</f>
        <v>24</v>
      </c>
      <c r="E23" s="15">
        <v>0</v>
      </c>
      <c r="F23" s="15">
        <f t="shared" si="1"/>
        <v>0</v>
      </c>
      <c r="G23" s="15">
        <f t="shared" si="2"/>
        <v>0</v>
      </c>
      <c r="H23" s="15">
        <f t="shared" si="3"/>
        <v>0</v>
      </c>
      <c r="I23" s="67">
        <f t="shared" si="4"/>
        <v>0</v>
      </c>
      <c r="J23" s="2"/>
      <c r="K23" s="2"/>
      <c r="M23" s="38"/>
      <c r="N23" s="39"/>
      <c r="O23" s="39"/>
      <c r="P23" s="39"/>
      <c r="Q23" s="39"/>
      <c r="R23" s="39"/>
      <c r="S23" s="39"/>
      <c r="T23" s="39"/>
      <c r="U23" s="40"/>
    </row>
    <row r="24" spans="1:21" s="1" customFormat="1" ht="15.75" x14ac:dyDescent="0.2">
      <c r="A24" s="66" t="s">
        <v>78</v>
      </c>
      <c r="B24" s="15">
        <v>50</v>
      </c>
      <c r="C24" s="15">
        <v>4</v>
      </c>
      <c r="D24" s="15">
        <f t="shared" si="0"/>
        <v>200</v>
      </c>
      <c r="E24" s="16">
        <v>25</v>
      </c>
      <c r="F24" s="50">
        <f t="shared" si="1"/>
        <v>5000</v>
      </c>
      <c r="G24" s="16">
        <f t="shared" si="2"/>
        <v>250</v>
      </c>
      <c r="H24" s="16">
        <f t="shared" si="3"/>
        <v>500</v>
      </c>
      <c r="I24" s="65">
        <f t="shared" si="4"/>
        <v>725047.5</v>
      </c>
      <c r="J24" s="2"/>
      <c r="K24" s="2"/>
      <c r="M24" s="38"/>
      <c r="N24" s="39"/>
      <c r="O24" s="39"/>
      <c r="P24" s="39"/>
      <c r="Q24" s="39"/>
      <c r="R24" s="39"/>
      <c r="S24" s="39"/>
      <c r="T24" s="39"/>
      <c r="U24" s="42"/>
    </row>
    <row r="25" spans="1:21" s="1" customFormat="1" ht="15.75" x14ac:dyDescent="0.2">
      <c r="A25" s="66" t="s">
        <v>79</v>
      </c>
      <c r="B25" s="15">
        <v>8</v>
      </c>
      <c r="C25" s="15">
        <v>1</v>
      </c>
      <c r="D25" s="15">
        <f t="shared" si="0"/>
        <v>8</v>
      </c>
      <c r="E25" s="16">
        <v>25</v>
      </c>
      <c r="F25" s="16">
        <f t="shared" si="1"/>
        <v>200</v>
      </c>
      <c r="G25" s="16">
        <f t="shared" si="2"/>
        <v>10</v>
      </c>
      <c r="H25" s="16">
        <f t="shared" si="3"/>
        <v>20</v>
      </c>
      <c r="I25" s="65">
        <f t="shared" si="4"/>
        <v>29001.9</v>
      </c>
      <c r="J25" s="2"/>
      <c r="M25" s="38"/>
      <c r="N25" s="39"/>
      <c r="O25" s="39"/>
      <c r="P25" s="39"/>
      <c r="Q25" s="39"/>
      <c r="R25" s="39"/>
      <c r="S25" s="39"/>
      <c r="T25" s="39"/>
      <c r="U25" s="42"/>
    </row>
    <row r="26" spans="1:21" s="1" customFormat="1" ht="13.5" x14ac:dyDescent="0.2">
      <c r="A26" s="68" t="s">
        <v>11</v>
      </c>
      <c r="B26" s="69"/>
      <c r="C26" s="69"/>
      <c r="D26" s="15"/>
      <c r="E26" s="17"/>
      <c r="F26" s="97">
        <f>+SUM(F5:H25)</f>
        <v>6095</v>
      </c>
      <c r="G26" s="97"/>
      <c r="H26" s="97"/>
      <c r="I26" s="21">
        <f>+SUM(I5:I25)</f>
        <v>768550.35</v>
      </c>
      <c r="J26" s="2"/>
      <c r="K26" s="2"/>
      <c r="M26" s="38"/>
      <c r="N26" s="39"/>
      <c r="O26" s="39"/>
      <c r="P26" s="39"/>
      <c r="Q26" s="39"/>
      <c r="R26" s="41"/>
      <c r="S26" s="39"/>
      <c r="T26" s="39"/>
      <c r="U26" s="42"/>
    </row>
    <row r="27" spans="1:21" s="1" customFormat="1" ht="18" customHeight="1" x14ac:dyDescent="0.2">
      <c r="A27" s="63" t="s">
        <v>80</v>
      </c>
      <c r="B27" s="69"/>
      <c r="C27" s="69"/>
      <c r="D27" s="15"/>
      <c r="E27" s="17"/>
      <c r="F27" s="70"/>
      <c r="G27" s="70"/>
      <c r="H27" s="70"/>
      <c r="I27" s="71"/>
      <c r="J27" s="2"/>
      <c r="K27" s="2"/>
      <c r="M27" s="38"/>
      <c r="N27" s="39"/>
      <c r="O27" s="39"/>
      <c r="P27" s="39"/>
      <c r="Q27" s="39"/>
      <c r="R27" s="39"/>
      <c r="S27" s="39"/>
      <c r="T27" s="39"/>
      <c r="U27" s="42"/>
    </row>
    <row r="28" spans="1:21" s="1" customFormat="1" ht="12.75" x14ac:dyDescent="0.2">
      <c r="A28" s="64" t="s">
        <v>81</v>
      </c>
      <c r="B28" s="15" t="s">
        <v>82</v>
      </c>
      <c r="C28" s="15"/>
      <c r="D28" s="15"/>
      <c r="E28" s="16"/>
      <c r="F28" s="16"/>
      <c r="G28" s="16"/>
      <c r="H28" s="16"/>
      <c r="I28" s="16"/>
      <c r="J28" s="2"/>
      <c r="K28" s="2"/>
      <c r="M28" s="38"/>
      <c r="N28" s="39"/>
      <c r="O28" s="39"/>
      <c r="P28" s="39"/>
      <c r="Q28" s="39"/>
      <c r="R28" s="39"/>
      <c r="S28" s="39"/>
      <c r="T28" s="39"/>
      <c r="U28" s="42"/>
    </row>
    <row r="29" spans="1:21" s="1" customFormat="1" ht="12.75" x14ac:dyDescent="0.2">
      <c r="A29" s="64" t="s">
        <v>83</v>
      </c>
      <c r="B29" s="15" t="s">
        <v>66</v>
      </c>
      <c r="C29" s="15"/>
      <c r="D29" s="15"/>
      <c r="E29" s="16"/>
      <c r="F29" s="16"/>
      <c r="G29" s="16"/>
      <c r="H29" s="16"/>
      <c r="I29" s="16"/>
      <c r="J29" s="2"/>
      <c r="K29" s="2"/>
      <c r="M29" s="38"/>
      <c r="N29" s="39"/>
      <c r="O29" s="39"/>
      <c r="P29" s="39"/>
      <c r="Q29" s="39"/>
      <c r="R29" s="39"/>
      <c r="S29" s="39"/>
      <c r="T29" s="39"/>
      <c r="U29" s="42"/>
    </row>
    <row r="30" spans="1:21" s="1" customFormat="1" ht="12.75" x14ac:dyDescent="0.2">
      <c r="A30" s="64" t="s">
        <v>84</v>
      </c>
      <c r="B30" s="15" t="s">
        <v>85</v>
      </c>
      <c r="C30" s="15"/>
      <c r="D30" s="15"/>
      <c r="E30" s="16"/>
      <c r="F30" s="16"/>
      <c r="G30" s="16"/>
      <c r="H30" s="16"/>
      <c r="I30" s="16"/>
      <c r="J30" s="2"/>
      <c r="K30" s="2"/>
      <c r="M30" s="38"/>
      <c r="N30" s="39"/>
      <c r="O30" s="39"/>
      <c r="P30" s="39"/>
      <c r="Q30" s="39"/>
      <c r="R30" s="39"/>
      <c r="S30" s="39"/>
      <c r="T30" s="39"/>
      <c r="U30" s="42"/>
    </row>
    <row r="31" spans="1:21" s="1" customFormat="1" ht="12.75" x14ac:dyDescent="0.2">
      <c r="A31" s="64" t="s">
        <v>86</v>
      </c>
      <c r="B31" s="15" t="s">
        <v>58</v>
      </c>
      <c r="C31" s="15"/>
      <c r="D31" s="15"/>
      <c r="E31" s="16"/>
      <c r="F31" s="16"/>
      <c r="G31" s="16"/>
      <c r="H31" s="16"/>
      <c r="I31" s="16"/>
      <c r="J31" s="2"/>
      <c r="K31" s="2"/>
      <c r="M31" s="38"/>
      <c r="N31" s="39"/>
      <c r="O31" s="39"/>
      <c r="P31" s="39"/>
      <c r="Q31" s="39"/>
      <c r="R31" s="39"/>
      <c r="S31" s="39"/>
      <c r="T31" s="39"/>
      <c r="U31" s="42"/>
    </row>
    <row r="32" spans="1:21" s="1" customFormat="1" ht="12.75" x14ac:dyDescent="0.2">
      <c r="A32" s="64" t="s">
        <v>87</v>
      </c>
      <c r="B32" s="15"/>
      <c r="C32" s="15"/>
      <c r="D32" s="15"/>
      <c r="E32" s="16"/>
      <c r="F32" s="16"/>
      <c r="G32" s="16"/>
      <c r="H32" s="16"/>
      <c r="I32" s="16"/>
      <c r="J32" s="2"/>
      <c r="K32" s="2"/>
      <c r="M32" s="38"/>
      <c r="N32" s="39"/>
      <c r="O32" s="39"/>
      <c r="P32" s="39"/>
      <c r="Q32" s="39"/>
      <c r="R32" s="39"/>
      <c r="S32" s="39"/>
      <c r="T32" s="39"/>
      <c r="U32" s="42"/>
    </row>
    <row r="33" spans="1:21" s="1" customFormat="1" ht="19.5" customHeight="1" x14ac:dyDescent="0.2">
      <c r="A33" s="66" t="s">
        <v>88</v>
      </c>
      <c r="B33" s="15">
        <v>0.25</v>
      </c>
      <c r="C33" s="15">
        <v>365</v>
      </c>
      <c r="D33" s="15">
        <f t="shared" si="0"/>
        <v>91.25</v>
      </c>
      <c r="E33" s="16">
        <v>25</v>
      </c>
      <c r="F33" s="50">
        <f t="shared" ref="F33:F34" si="5">+D33*E33</f>
        <v>2281.25</v>
      </c>
      <c r="G33" s="32">
        <f t="shared" ref="G33:G34" si="6">+F33*0.05</f>
        <v>114.0625</v>
      </c>
      <c r="H33" s="16">
        <f t="shared" ref="H33:H34" si="7">+F33*0.1</f>
        <v>228.125</v>
      </c>
      <c r="I33" s="65">
        <f t="shared" ref="I33:I34" si="8">+$L$6*F33+$L$5*G33+$L$7*H33</f>
        <v>330802.921875</v>
      </c>
      <c r="J33" s="2"/>
      <c r="K33" s="2"/>
      <c r="M33" s="38"/>
      <c r="N33" s="39"/>
      <c r="O33" s="39"/>
      <c r="P33" s="39"/>
      <c r="Q33" s="39"/>
      <c r="R33" s="39"/>
      <c r="S33" s="39"/>
      <c r="T33" s="39"/>
      <c r="U33" s="42"/>
    </row>
    <row r="34" spans="1:21" s="1" customFormat="1" ht="31.5" customHeight="1" x14ac:dyDescent="0.2">
      <c r="A34" s="66" t="s">
        <v>89</v>
      </c>
      <c r="B34" s="15">
        <v>1</v>
      </c>
      <c r="C34" s="15">
        <v>52</v>
      </c>
      <c r="D34" s="15">
        <f t="shared" si="0"/>
        <v>52</v>
      </c>
      <c r="E34" s="16">
        <v>25</v>
      </c>
      <c r="F34" s="16">
        <f t="shared" si="5"/>
        <v>1300</v>
      </c>
      <c r="G34" s="16">
        <f t="shared" si="6"/>
        <v>65</v>
      </c>
      <c r="H34" s="16">
        <f t="shared" si="7"/>
        <v>130</v>
      </c>
      <c r="I34" s="65">
        <f t="shared" si="8"/>
        <v>188512.34999999998</v>
      </c>
      <c r="J34" s="2"/>
      <c r="K34" s="2"/>
      <c r="M34" s="38"/>
      <c r="N34" s="39"/>
      <c r="O34" s="39"/>
      <c r="P34" s="39"/>
      <c r="Q34" s="39"/>
      <c r="R34" s="41"/>
      <c r="S34" s="39"/>
      <c r="T34" s="39"/>
      <c r="U34" s="42"/>
    </row>
    <row r="35" spans="1:21" s="1" customFormat="1" ht="12.75" x14ac:dyDescent="0.2">
      <c r="A35" s="64" t="s">
        <v>90</v>
      </c>
      <c r="B35" s="15" t="s">
        <v>58</v>
      </c>
      <c r="C35" s="15"/>
      <c r="D35" s="15"/>
      <c r="E35" s="16"/>
      <c r="F35" s="16"/>
      <c r="G35" s="16"/>
      <c r="H35" s="16"/>
      <c r="I35" s="16"/>
      <c r="J35" s="2"/>
      <c r="K35" s="2"/>
      <c r="M35" s="38"/>
      <c r="N35" s="39"/>
      <c r="O35" s="39"/>
      <c r="P35" s="39"/>
      <c r="Q35" s="39"/>
      <c r="R35" s="39"/>
      <c r="S35" s="39"/>
      <c r="T35" s="39"/>
      <c r="U35" s="42"/>
    </row>
    <row r="36" spans="1:21" s="1" customFormat="1" ht="18.75" customHeight="1" x14ac:dyDescent="0.2">
      <c r="A36" s="64" t="s">
        <v>91</v>
      </c>
      <c r="B36" s="15" t="s">
        <v>58</v>
      </c>
      <c r="C36" s="15"/>
      <c r="D36" s="15"/>
      <c r="E36" s="16"/>
      <c r="F36" s="16"/>
      <c r="G36" s="16"/>
      <c r="H36" s="16"/>
      <c r="I36" s="16"/>
      <c r="J36" s="2"/>
      <c r="K36" s="2"/>
      <c r="M36" s="38"/>
      <c r="N36" s="39"/>
      <c r="O36" s="39"/>
      <c r="P36" s="39"/>
      <c r="Q36" s="39"/>
      <c r="R36" s="39"/>
      <c r="S36" s="39"/>
      <c r="T36" s="39"/>
      <c r="U36" s="42"/>
    </row>
    <row r="37" spans="1:21" s="1" customFormat="1" ht="13.5" x14ac:dyDescent="0.2">
      <c r="A37" s="68" t="s">
        <v>92</v>
      </c>
      <c r="B37" s="69"/>
      <c r="C37" s="69"/>
      <c r="D37" s="69"/>
      <c r="E37" s="72"/>
      <c r="F37" s="97">
        <f>+SUM(F27:H36)</f>
        <v>4118.4375</v>
      </c>
      <c r="G37" s="97"/>
      <c r="H37" s="97"/>
      <c r="I37" s="21">
        <f>+SUM(I27:I36)</f>
        <v>519315.27187499998</v>
      </c>
      <c r="J37" s="2"/>
      <c r="K37" s="2"/>
      <c r="M37" s="38"/>
      <c r="N37" s="39"/>
      <c r="O37" s="39"/>
      <c r="P37" s="39"/>
      <c r="Q37" s="39"/>
      <c r="R37" s="39"/>
      <c r="S37" s="39"/>
      <c r="T37" s="39"/>
      <c r="U37" s="42"/>
    </row>
    <row r="38" spans="1:21" s="1" customFormat="1" ht="15.75" x14ac:dyDescent="0.2">
      <c r="A38" s="73" t="s">
        <v>93</v>
      </c>
      <c r="B38" s="26"/>
      <c r="C38" s="26"/>
      <c r="D38" s="26"/>
      <c r="E38" s="18"/>
      <c r="F38" s="98">
        <f>+ROUND(F26+F37,-1)</f>
        <v>10210</v>
      </c>
      <c r="G38" s="98"/>
      <c r="H38" s="98"/>
      <c r="I38" s="21">
        <f>+ROUND(I26+I37,-4)</f>
        <v>1290000</v>
      </c>
      <c r="J38" s="11"/>
      <c r="K38" s="2"/>
      <c r="M38" s="38"/>
      <c r="N38" s="39"/>
      <c r="O38" s="39"/>
      <c r="P38" s="39"/>
      <c r="Q38" s="39"/>
      <c r="R38" s="39"/>
      <c r="S38" s="39"/>
      <c r="T38" s="39"/>
      <c r="U38" s="42"/>
    </row>
    <row r="39" spans="1:21" s="1" customFormat="1" ht="15.75" x14ac:dyDescent="0.2">
      <c r="A39" s="73" t="s">
        <v>94</v>
      </c>
      <c r="B39" s="26"/>
      <c r="C39" s="26"/>
      <c r="D39" s="26"/>
      <c r="E39" s="18"/>
      <c r="F39" s="74"/>
      <c r="G39" s="74"/>
      <c r="H39" s="74"/>
      <c r="I39" s="21">
        <f>ROUND('Capital O&amp;M'!I6,-3)</f>
        <v>1600000</v>
      </c>
      <c r="J39" s="8"/>
      <c r="K39" s="7"/>
      <c r="L39" s="2"/>
      <c r="M39" s="38"/>
      <c r="N39" s="39"/>
      <c r="O39" s="39"/>
      <c r="P39" s="39"/>
      <c r="Q39" s="39"/>
      <c r="R39" s="39"/>
      <c r="S39" s="39"/>
      <c r="T39" s="39"/>
      <c r="U39" s="42"/>
    </row>
    <row r="40" spans="1:21" s="1" customFormat="1" ht="15.75" x14ac:dyDescent="0.2">
      <c r="A40" s="73" t="s">
        <v>95</v>
      </c>
      <c r="B40" s="26"/>
      <c r="C40" s="26"/>
      <c r="D40" s="26"/>
      <c r="E40" s="18"/>
      <c r="F40" s="74"/>
      <c r="G40" s="74"/>
      <c r="H40" s="74"/>
      <c r="I40" s="21">
        <f>+ROUND(I38+I39,-4)</f>
        <v>2890000</v>
      </c>
      <c r="J40" s="12"/>
      <c r="L40" s="2"/>
      <c r="M40" s="38"/>
      <c r="N40" s="39"/>
      <c r="O40" s="39"/>
      <c r="P40" s="39"/>
      <c r="Q40" s="39"/>
      <c r="R40" s="41"/>
      <c r="S40" s="39"/>
      <c r="T40" s="39"/>
      <c r="U40" s="42"/>
    </row>
    <row r="41" spans="1:21" s="1" customFormat="1" x14ac:dyDescent="0.25">
      <c r="A41" s="61"/>
      <c r="B41" s="61"/>
      <c r="C41" s="61"/>
      <c r="D41" s="61"/>
      <c r="E41" s="61"/>
      <c r="F41" s="61"/>
      <c r="G41" s="61"/>
      <c r="H41" s="61"/>
      <c r="I41" s="61"/>
      <c r="J41" s="12"/>
      <c r="K41" s="34">
        <f>F38/Responses!E15</f>
        <v>81.680000000000007</v>
      </c>
      <c r="L41" s="34" t="s">
        <v>12</v>
      </c>
      <c r="M41" s="38"/>
      <c r="N41" s="39"/>
      <c r="O41" s="39"/>
      <c r="P41" s="39"/>
      <c r="Q41" s="39"/>
      <c r="R41" s="39"/>
      <c r="S41" s="39"/>
      <c r="T41" s="39"/>
      <c r="U41" s="42"/>
    </row>
    <row r="42" spans="1:21" s="1" customFormat="1" ht="13.5" customHeight="1" x14ac:dyDescent="0.25">
      <c r="A42" s="75" t="s">
        <v>13</v>
      </c>
      <c r="B42" s="61"/>
      <c r="C42" s="61"/>
      <c r="D42" s="61"/>
      <c r="E42" s="61"/>
      <c r="F42" s="61"/>
      <c r="G42" s="61"/>
      <c r="H42" s="61"/>
      <c r="I42" s="61"/>
      <c r="J42" s="12"/>
      <c r="K42" s="10"/>
      <c r="L42" s="2"/>
      <c r="M42" s="38"/>
      <c r="N42" s="39"/>
      <c r="O42" s="39"/>
      <c r="P42" s="39"/>
      <c r="Q42" s="39"/>
      <c r="R42" s="39"/>
      <c r="S42" s="39"/>
      <c r="T42" s="39"/>
      <c r="U42" s="42"/>
    </row>
    <row r="43" spans="1:21" s="1" customFormat="1" ht="21" customHeight="1" x14ac:dyDescent="0.25">
      <c r="A43" s="76" t="s">
        <v>141</v>
      </c>
      <c r="B43" s="61"/>
      <c r="C43" s="61"/>
      <c r="D43" s="61"/>
      <c r="E43" s="61"/>
      <c r="F43" s="61"/>
      <c r="G43" s="61"/>
      <c r="H43" s="61"/>
      <c r="I43" s="61"/>
      <c r="J43" s="2"/>
      <c r="M43" s="45"/>
      <c r="N43" s="45"/>
      <c r="O43" s="45"/>
      <c r="P43" s="45"/>
      <c r="Q43" s="45"/>
      <c r="R43" s="46"/>
      <c r="S43" s="46"/>
      <c r="T43" s="46"/>
      <c r="U43" s="47"/>
    </row>
    <row r="44" spans="1:21" s="1" customFormat="1" ht="81.599999999999994" customHeight="1" x14ac:dyDescent="0.25">
      <c r="A44" s="94" t="s">
        <v>140</v>
      </c>
      <c r="B44" s="94"/>
      <c r="C44" s="94"/>
      <c r="D44" s="94"/>
      <c r="E44" s="94"/>
      <c r="F44" s="94"/>
      <c r="G44" s="94"/>
      <c r="H44" s="94"/>
      <c r="I44" s="94"/>
      <c r="J44" s="2"/>
      <c r="M44" s="48"/>
      <c r="N44" s="48"/>
      <c r="O44" s="48"/>
      <c r="P44" s="48"/>
      <c r="Q44" s="48"/>
      <c r="R44" s="46"/>
      <c r="S44" s="46"/>
      <c r="T44" s="46"/>
      <c r="U44" s="47"/>
    </row>
    <row r="45" spans="1:21" s="1" customFormat="1" ht="15.75" x14ac:dyDescent="0.25">
      <c r="A45" s="76" t="s">
        <v>96</v>
      </c>
      <c r="B45" s="61"/>
      <c r="C45" s="61"/>
      <c r="D45" s="61"/>
      <c r="E45" s="61"/>
      <c r="F45" s="61"/>
      <c r="G45" s="61"/>
      <c r="H45" s="61"/>
      <c r="I45" s="61"/>
      <c r="J45" s="2"/>
      <c r="M45" s="48"/>
      <c r="N45" s="48"/>
      <c r="O45" s="48"/>
      <c r="P45" s="48"/>
      <c r="Q45" s="48"/>
      <c r="R45" s="48"/>
      <c r="S45" s="48"/>
      <c r="T45" s="48"/>
      <c r="U45" s="47"/>
    </row>
    <row r="46" spans="1:21" s="1" customFormat="1" ht="15.75" x14ac:dyDescent="0.25">
      <c r="A46" s="76" t="s">
        <v>97</v>
      </c>
      <c r="B46" s="61"/>
      <c r="C46" s="61"/>
      <c r="D46" s="61"/>
      <c r="E46" s="61"/>
      <c r="F46" s="61"/>
      <c r="G46" s="61"/>
      <c r="H46" s="61"/>
      <c r="I46" s="61"/>
      <c r="J46" s="2"/>
      <c r="M46" s="48"/>
      <c r="N46" s="48"/>
      <c r="O46" s="48"/>
      <c r="P46" s="48"/>
      <c r="Q46" s="48"/>
      <c r="R46" s="48"/>
      <c r="S46" s="48"/>
      <c r="T46" s="48"/>
      <c r="U46" s="47"/>
    </row>
    <row r="47" spans="1:21" s="1" customFormat="1" ht="15.75" x14ac:dyDescent="0.25">
      <c r="A47" s="76" t="s">
        <v>98</v>
      </c>
      <c r="B47" s="61"/>
      <c r="C47" s="61"/>
      <c r="D47" s="61"/>
      <c r="E47" s="61"/>
      <c r="F47" s="61"/>
      <c r="G47" s="61"/>
      <c r="H47" s="61"/>
      <c r="I47" s="61"/>
      <c r="J47" s="2"/>
      <c r="M47" s="27"/>
      <c r="N47" s="27"/>
      <c r="O47" s="27"/>
      <c r="P47" s="27"/>
      <c r="Q47" s="27"/>
      <c r="R47" s="27"/>
      <c r="S47" s="27"/>
      <c r="T47" s="27"/>
      <c r="U47" s="27"/>
    </row>
    <row r="48" spans="1:21" s="1" customFormat="1" ht="15.75" x14ac:dyDescent="0.25">
      <c r="A48" s="76" t="s">
        <v>99</v>
      </c>
      <c r="B48" s="61"/>
      <c r="C48" s="61"/>
      <c r="D48" s="61"/>
      <c r="E48" s="61"/>
      <c r="F48" s="61"/>
      <c r="G48" s="61"/>
      <c r="H48" s="61"/>
      <c r="I48" s="61"/>
      <c r="J48" s="2"/>
      <c r="M48" s="27"/>
      <c r="N48" s="27"/>
      <c r="O48" s="27"/>
      <c r="P48" s="27"/>
      <c r="Q48" s="27"/>
      <c r="R48" s="27"/>
      <c r="S48" s="27"/>
      <c r="T48" s="27"/>
      <c r="U48" s="27"/>
    </row>
    <row r="49" spans="1:21" s="1" customFormat="1" ht="15.75" x14ac:dyDescent="0.25">
      <c r="A49" s="76" t="s">
        <v>100</v>
      </c>
      <c r="B49" s="61"/>
      <c r="C49" s="61"/>
      <c r="D49" s="61"/>
      <c r="E49" s="61"/>
      <c r="F49" s="61"/>
      <c r="G49" s="61"/>
      <c r="H49" s="61"/>
      <c r="I49" s="61"/>
      <c r="J49" s="6"/>
      <c r="M49" s="27"/>
      <c r="N49" s="27"/>
      <c r="O49" s="27"/>
      <c r="P49" s="27"/>
      <c r="Q49" s="27"/>
      <c r="R49" s="27"/>
      <c r="S49" s="27"/>
      <c r="T49" s="27"/>
      <c r="U49" s="27"/>
    </row>
    <row r="50" spans="1:21" s="1" customFormat="1" ht="15.75" x14ac:dyDescent="0.25">
      <c r="A50" s="76" t="s">
        <v>101</v>
      </c>
      <c r="B50" s="61"/>
      <c r="C50" s="61"/>
      <c r="D50" s="61"/>
      <c r="E50" s="61"/>
      <c r="F50" s="61"/>
      <c r="G50" s="61"/>
      <c r="H50" s="61"/>
      <c r="I50" s="61"/>
      <c r="J50" s="2"/>
      <c r="M50" s="27"/>
      <c r="N50" s="27"/>
      <c r="O50" s="27"/>
      <c r="P50" s="27"/>
      <c r="Q50" s="27"/>
      <c r="R50" s="27"/>
      <c r="S50" s="27"/>
      <c r="T50" s="27"/>
      <c r="U50" s="27"/>
    </row>
    <row r="51" spans="1:21" s="1" customFormat="1" ht="15.75" x14ac:dyDescent="0.25">
      <c r="A51" s="76" t="s">
        <v>102</v>
      </c>
      <c r="B51" s="61"/>
      <c r="C51" s="61"/>
      <c r="D51" s="61"/>
      <c r="E51" s="61"/>
      <c r="F51" s="61"/>
      <c r="G51" s="61"/>
      <c r="H51" s="61"/>
      <c r="I51" s="61"/>
      <c r="M51" s="27"/>
      <c r="N51" s="27"/>
      <c r="O51" s="27"/>
      <c r="P51" s="27"/>
      <c r="Q51" s="27"/>
      <c r="R51" s="27"/>
      <c r="S51" s="27"/>
      <c r="T51" s="27"/>
      <c r="U51" s="27"/>
    </row>
    <row r="52" spans="1:21" s="1" customFormat="1" ht="15.75" x14ac:dyDescent="0.25">
      <c r="A52" s="76" t="s">
        <v>103</v>
      </c>
      <c r="B52" s="61"/>
      <c r="C52" s="61"/>
      <c r="D52" s="61"/>
      <c r="E52" s="61"/>
      <c r="F52" s="61"/>
      <c r="G52" s="61"/>
      <c r="H52" s="61"/>
      <c r="I52" s="61"/>
      <c r="M52" s="27"/>
      <c r="N52" s="27"/>
      <c r="O52" s="27"/>
      <c r="P52" s="27"/>
      <c r="Q52" s="27"/>
      <c r="R52" s="27"/>
      <c r="S52" s="27"/>
      <c r="T52" s="27"/>
      <c r="U52" s="27"/>
    </row>
    <row r="53" spans="1:21" s="1" customFormat="1" ht="15.75" x14ac:dyDescent="0.25">
      <c r="A53" s="76" t="s">
        <v>104</v>
      </c>
      <c r="B53" s="61"/>
      <c r="C53" s="61"/>
      <c r="D53" s="61"/>
      <c r="E53" s="61"/>
      <c r="F53" s="61"/>
      <c r="G53" s="61"/>
      <c r="H53" s="61"/>
      <c r="I53" s="61"/>
      <c r="M53" s="49"/>
      <c r="N53" s="49"/>
      <c r="O53" s="49"/>
      <c r="P53" s="49"/>
      <c r="Q53" s="49"/>
      <c r="R53" s="49"/>
      <c r="S53" s="49"/>
      <c r="T53" s="49"/>
      <c r="U53" s="49"/>
    </row>
    <row r="54" spans="1:21" s="1" customFormat="1" ht="15.75" x14ac:dyDescent="0.25">
      <c r="A54" s="77" t="s">
        <v>105</v>
      </c>
      <c r="B54" s="61"/>
      <c r="C54" s="61"/>
      <c r="D54" s="61"/>
      <c r="E54" s="61"/>
      <c r="F54" s="61"/>
      <c r="G54" s="61"/>
      <c r="H54" s="61"/>
      <c r="I54" s="61"/>
      <c r="M54" s="27"/>
      <c r="N54" s="27"/>
      <c r="O54" s="27"/>
      <c r="P54" s="27"/>
      <c r="Q54" s="27"/>
      <c r="R54" s="27"/>
      <c r="S54" s="27"/>
      <c r="T54" s="27"/>
      <c r="U54" s="27"/>
    </row>
    <row r="55" spans="1:21" s="1" customFormat="1" ht="15.75" x14ac:dyDescent="0.25">
      <c r="A55" s="76" t="s">
        <v>106</v>
      </c>
      <c r="B55" s="61"/>
      <c r="C55" s="61"/>
      <c r="D55" s="61"/>
      <c r="E55" s="61"/>
      <c r="F55" s="61"/>
      <c r="G55" s="61"/>
      <c r="H55" s="61"/>
      <c r="I55" s="61"/>
      <c r="M55" s="27"/>
      <c r="N55" s="27"/>
      <c r="O55" s="27"/>
      <c r="P55" s="27"/>
      <c r="Q55" s="27"/>
      <c r="R55" s="27"/>
      <c r="S55" s="27"/>
      <c r="T55" s="27"/>
      <c r="U55" s="27"/>
    </row>
    <row r="56" spans="1:21" s="1" customFormat="1" x14ac:dyDescent="0.25">
      <c r="A56" s="61"/>
      <c r="B56" s="61"/>
      <c r="C56" s="61"/>
      <c r="D56" s="61"/>
      <c r="E56" s="61"/>
      <c r="F56" s="61"/>
      <c r="G56" s="61"/>
      <c r="H56" s="61"/>
      <c r="I56" s="61"/>
      <c r="M56" s="27"/>
      <c r="N56" s="27"/>
      <c r="O56" s="27"/>
      <c r="P56" s="27"/>
      <c r="Q56" s="27"/>
      <c r="R56" s="27"/>
      <c r="S56" s="27"/>
      <c r="T56" s="27"/>
      <c r="U56" s="27"/>
    </row>
    <row r="70" ht="15.75" customHeight="1" x14ac:dyDescent="0.25"/>
    <row r="71" ht="15" customHeight="1" x14ac:dyDescent="0.25"/>
  </sheetData>
  <sortState xmlns:xlrd2="http://schemas.microsoft.com/office/spreadsheetml/2017/richdata2" ref="A61:C76">
    <sortCondition ref="C61:C76"/>
  </sortState>
  <mergeCells count="6">
    <mergeCell ref="A44:I44"/>
    <mergeCell ref="K4:L4"/>
    <mergeCell ref="A3:A4"/>
    <mergeCell ref="F26:H26"/>
    <mergeCell ref="F37:H37"/>
    <mergeCell ref="F38:H38"/>
  </mergeCells>
  <phoneticPr fontId="22"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33"/>
  <sheetViews>
    <sheetView workbookViewId="0">
      <selection activeCell="A2" sqref="A2"/>
    </sheetView>
  </sheetViews>
  <sheetFormatPr defaultRowHeight="15" x14ac:dyDescent="0.25"/>
  <cols>
    <col min="1" max="1" width="38.7109375" customWidth="1"/>
    <col min="2" max="2" width="10" customWidth="1"/>
    <col min="3" max="3" width="10.5703125" customWidth="1"/>
    <col min="7" max="7" width="10.7109375" customWidth="1"/>
    <col min="9" max="9" width="11.28515625" customWidth="1"/>
    <col min="10" max="10" width="8.140625" customWidth="1"/>
    <col min="11" max="11" width="11.85546875" customWidth="1"/>
  </cols>
  <sheetData>
    <row r="1" spans="1:12" ht="15.75" x14ac:dyDescent="0.25">
      <c r="A1" s="78" t="s">
        <v>107</v>
      </c>
      <c r="K1" s="2"/>
    </row>
    <row r="3" spans="1:12" x14ac:dyDescent="0.25">
      <c r="A3" s="101" t="s">
        <v>108</v>
      </c>
      <c r="B3" s="26" t="s">
        <v>109</v>
      </c>
      <c r="C3" s="26" t="s">
        <v>45</v>
      </c>
      <c r="D3" s="26" t="s">
        <v>46</v>
      </c>
      <c r="E3" s="26" t="s">
        <v>20</v>
      </c>
      <c r="F3" s="26" t="s">
        <v>47</v>
      </c>
      <c r="G3" s="26" t="s">
        <v>22</v>
      </c>
      <c r="H3" s="26" t="s">
        <v>23</v>
      </c>
      <c r="I3" s="26" t="s">
        <v>48</v>
      </c>
      <c r="J3" s="1"/>
      <c r="K3" s="1"/>
      <c r="L3" s="1"/>
    </row>
    <row r="4" spans="1:12" ht="76.5" x14ac:dyDescent="0.25">
      <c r="A4" s="101"/>
      <c r="B4" s="26" t="s">
        <v>110</v>
      </c>
      <c r="C4" s="26" t="s">
        <v>111</v>
      </c>
      <c r="D4" s="26" t="s">
        <v>112</v>
      </c>
      <c r="E4" s="26" t="s">
        <v>113</v>
      </c>
      <c r="F4" s="26" t="s">
        <v>53</v>
      </c>
      <c r="G4" s="26" t="s">
        <v>114</v>
      </c>
      <c r="H4" s="26" t="s">
        <v>115</v>
      </c>
      <c r="I4" s="26" t="s">
        <v>56</v>
      </c>
      <c r="J4" s="1"/>
      <c r="K4" s="95" t="s">
        <v>7</v>
      </c>
      <c r="L4" s="95"/>
    </row>
    <row r="5" spans="1:12" ht="15.75" x14ac:dyDescent="0.25">
      <c r="A5" s="63" t="s">
        <v>116</v>
      </c>
      <c r="B5" s="79">
        <v>24</v>
      </c>
      <c r="C5" s="79">
        <v>1</v>
      </c>
      <c r="D5" s="79">
        <f>+B5*C5</f>
        <v>24</v>
      </c>
      <c r="E5" s="79">
        <v>0</v>
      </c>
      <c r="F5" s="79">
        <f>+D5*E5</f>
        <v>0</v>
      </c>
      <c r="G5" s="79">
        <f>+F5*0.05</f>
        <v>0</v>
      </c>
      <c r="H5" s="79">
        <f>+F5*0.1</f>
        <v>0</v>
      </c>
      <c r="I5" s="80">
        <f>+$L$6*F5+$L$5*G5+$L$7*H5</f>
        <v>0</v>
      </c>
      <c r="J5" s="1"/>
      <c r="K5" s="9" t="s">
        <v>8</v>
      </c>
      <c r="L5" s="28">
        <v>73.456000000000003</v>
      </c>
    </row>
    <row r="6" spans="1:12" ht="15.75" x14ac:dyDescent="0.25">
      <c r="A6" s="63" t="s">
        <v>117</v>
      </c>
      <c r="B6" s="79">
        <v>24</v>
      </c>
      <c r="C6" s="79">
        <v>0.2</v>
      </c>
      <c r="D6" s="79">
        <f t="shared" ref="D6:D18" si="0">+B6*C6</f>
        <v>4.8000000000000007</v>
      </c>
      <c r="E6" s="79">
        <v>0</v>
      </c>
      <c r="F6" s="79">
        <f t="shared" ref="F6:F18" si="1">+D6*E6</f>
        <v>0</v>
      </c>
      <c r="G6" s="79">
        <f t="shared" ref="G6:G18" si="2">+F6*0.05</f>
        <v>0</v>
      </c>
      <c r="H6" s="79">
        <f t="shared" ref="H6:H18" si="3">+F6*0.1</f>
        <v>0</v>
      </c>
      <c r="I6" s="80">
        <f>+$L$6*F6+$L$5*G6+$L$7*H6</f>
        <v>0</v>
      </c>
      <c r="J6" s="1"/>
      <c r="K6" s="9" t="s">
        <v>15</v>
      </c>
      <c r="L6" s="28">
        <v>54.512</v>
      </c>
    </row>
    <row r="7" spans="1:12" x14ac:dyDescent="0.25">
      <c r="A7" s="63" t="s">
        <v>118</v>
      </c>
      <c r="B7" s="79"/>
      <c r="C7" s="79"/>
      <c r="D7" s="79"/>
      <c r="E7" s="79"/>
      <c r="F7" s="79"/>
      <c r="G7" s="79"/>
      <c r="H7" s="79"/>
      <c r="I7" s="81"/>
      <c r="J7" s="1"/>
      <c r="K7" s="9" t="s">
        <v>10</v>
      </c>
      <c r="L7" s="28">
        <v>29.504000000000001</v>
      </c>
    </row>
    <row r="8" spans="1:12" x14ac:dyDescent="0.25">
      <c r="A8" s="64" t="s">
        <v>69</v>
      </c>
      <c r="B8" s="79">
        <v>1</v>
      </c>
      <c r="C8" s="79">
        <v>1</v>
      </c>
      <c r="D8" s="79">
        <f t="shared" si="0"/>
        <v>1</v>
      </c>
      <c r="E8" s="79">
        <v>0</v>
      </c>
      <c r="F8" s="79">
        <f t="shared" si="1"/>
        <v>0</v>
      </c>
      <c r="G8" s="79">
        <f t="shared" si="2"/>
        <v>0</v>
      </c>
      <c r="H8" s="79">
        <f t="shared" si="3"/>
        <v>0</v>
      </c>
      <c r="I8" s="80">
        <f>+$L$6*F8+$L$5*G8+$L$7*H8</f>
        <v>0</v>
      </c>
      <c r="J8" s="7"/>
      <c r="K8" s="7"/>
      <c r="L8" s="1"/>
    </row>
    <row r="9" spans="1:12" ht="19.5" customHeight="1" x14ac:dyDescent="0.25">
      <c r="A9" s="64" t="s">
        <v>70</v>
      </c>
      <c r="B9" s="79">
        <v>0.5</v>
      </c>
      <c r="C9" s="79">
        <v>1</v>
      </c>
      <c r="D9" s="79">
        <f t="shared" si="0"/>
        <v>0.5</v>
      </c>
      <c r="E9" s="79">
        <v>0</v>
      </c>
      <c r="F9" s="79">
        <f t="shared" si="1"/>
        <v>0</v>
      </c>
      <c r="G9" s="79">
        <f t="shared" si="2"/>
        <v>0</v>
      </c>
      <c r="H9" s="79">
        <f t="shared" si="3"/>
        <v>0</v>
      </c>
      <c r="I9" s="80">
        <f t="shared" ref="I9:I18" si="4">+$L$6*F9+$L$5*G9+$L$7*H9</f>
        <v>0</v>
      </c>
      <c r="J9" s="7"/>
      <c r="K9" s="7"/>
      <c r="L9" s="2"/>
    </row>
    <row r="10" spans="1:12" x14ac:dyDescent="0.25">
      <c r="A10" s="64" t="s">
        <v>71</v>
      </c>
      <c r="B10" s="79">
        <v>0.5</v>
      </c>
      <c r="C10" s="79">
        <v>1</v>
      </c>
      <c r="D10" s="79">
        <f t="shared" si="0"/>
        <v>0.5</v>
      </c>
      <c r="E10" s="79">
        <v>0</v>
      </c>
      <c r="F10" s="79">
        <f t="shared" si="1"/>
        <v>0</v>
      </c>
      <c r="G10" s="79">
        <f t="shared" si="2"/>
        <v>0</v>
      </c>
      <c r="H10" s="79">
        <f t="shared" si="3"/>
        <v>0</v>
      </c>
      <c r="I10" s="80">
        <f t="shared" si="4"/>
        <v>0</v>
      </c>
      <c r="J10" s="10"/>
      <c r="K10" s="10"/>
      <c r="L10" s="35"/>
    </row>
    <row r="11" spans="1:12" x14ac:dyDescent="0.25">
      <c r="A11" s="64" t="s">
        <v>72</v>
      </c>
      <c r="B11" s="79">
        <v>0.5</v>
      </c>
      <c r="C11" s="79">
        <v>1</v>
      </c>
      <c r="D11" s="79">
        <f t="shared" si="0"/>
        <v>0.5</v>
      </c>
      <c r="E11" s="79">
        <v>0</v>
      </c>
      <c r="F11" s="79">
        <f t="shared" si="1"/>
        <v>0</v>
      </c>
      <c r="G11" s="79">
        <f t="shared" si="2"/>
        <v>0</v>
      </c>
      <c r="H11" s="79">
        <f t="shared" si="3"/>
        <v>0</v>
      </c>
      <c r="I11" s="80">
        <f t="shared" si="4"/>
        <v>0</v>
      </c>
      <c r="J11" s="1"/>
      <c r="K11" s="1"/>
      <c r="L11" s="1"/>
    </row>
    <row r="12" spans="1:12" ht="15.75" x14ac:dyDescent="0.25">
      <c r="A12" s="64" t="s">
        <v>119</v>
      </c>
      <c r="B12" s="79">
        <v>0.5</v>
      </c>
      <c r="C12" s="79">
        <v>1</v>
      </c>
      <c r="D12" s="79">
        <f t="shared" si="0"/>
        <v>0.5</v>
      </c>
      <c r="E12" s="79">
        <v>0</v>
      </c>
      <c r="F12" s="79">
        <f t="shared" si="1"/>
        <v>0</v>
      </c>
      <c r="G12" s="79">
        <f t="shared" si="2"/>
        <v>0</v>
      </c>
      <c r="H12" s="79">
        <f t="shared" si="3"/>
        <v>0</v>
      </c>
      <c r="I12" s="80">
        <f t="shared" si="4"/>
        <v>0</v>
      </c>
      <c r="J12" s="1"/>
      <c r="K12" s="1"/>
      <c r="L12" s="1"/>
    </row>
    <row r="13" spans="1:12" ht="15" customHeight="1" x14ac:dyDescent="0.25">
      <c r="A13" s="64" t="s">
        <v>120</v>
      </c>
      <c r="B13" s="79">
        <v>24</v>
      </c>
      <c r="C13" s="79">
        <v>1</v>
      </c>
      <c r="D13" s="79">
        <f t="shared" si="0"/>
        <v>24</v>
      </c>
      <c r="E13" s="79">
        <v>0</v>
      </c>
      <c r="F13" s="79">
        <f t="shared" si="1"/>
        <v>0</v>
      </c>
      <c r="G13" s="79">
        <f t="shared" si="2"/>
        <v>0</v>
      </c>
      <c r="H13" s="79">
        <f t="shared" si="3"/>
        <v>0</v>
      </c>
      <c r="I13" s="80">
        <f t="shared" si="4"/>
        <v>0</v>
      </c>
      <c r="J13" s="1"/>
      <c r="K13" s="1"/>
      <c r="L13" s="1"/>
    </row>
    <row r="14" spans="1:12" ht="15.75" x14ac:dyDescent="0.25">
      <c r="A14" s="64" t="s">
        <v>75</v>
      </c>
      <c r="B14" s="79">
        <v>24</v>
      </c>
      <c r="C14" s="79">
        <v>1</v>
      </c>
      <c r="D14" s="79">
        <f t="shared" si="0"/>
        <v>24</v>
      </c>
      <c r="E14" s="79">
        <v>0</v>
      </c>
      <c r="F14" s="79">
        <f t="shared" si="1"/>
        <v>0</v>
      </c>
      <c r="G14" s="79">
        <f t="shared" si="2"/>
        <v>0</v>
      </c>
      <c r="H14" s="79">
        <f t="shared" si="3"/>
        <v>0</v>
      </c>
      <c r="I14" s="80">
        <f t="shared" si="4"/>
        <v>0</v>
      </c>
      <c r="J14" s="1"/>
      <c r="K14" s="1"/>
      <c r="L14" s="1"/>
    </row>
    <row r="15" spans="1:12" ht="18.75" customHeight="1" x14ac:dyDescent="0.25">
      <c r="A15" s="64" t="s">
        <v>121</v>
      </c>
      <c r="B15" s="79">
        <v>24</v>
      </c>
      <c r="C15" s="79">
        <v>1</v>
      </c>
      <c r="D15" s="79">
        <f t="shared" si="0"/>
        <v>24</v>
      </c>
      <c r="E15" s="79">
        <v>0</v>
      </c>
      <c r="F15" s="79">
        <f t="shared" si="1"/>
        <v>0</v>
      </c>
      <c r="G15" s="79">
        <f t="shared" si="2"/>
        <v>0</v>
      </c>
      <c r="H15" s="79">
        <f t="shared" si="3"/>
        <v>0</v>
      </c>
      <c r="I15" s="80">
        <f t="shared" si="4"/>
        <v>0</v>
      </c>
      <c r="J15" s="1"/>
      <c r="K15" s="1"/>
      <c r="L15" s="1"/>
    </row>
    <row r="16" spans="1:12" x14ac:dyDescent="0.25">
      <c r="A16" s="64" t="s">
        <v>77</v>
      </c>
      <c r="B16" s="79">
        <v>24</v>
      </c>
      <c r="C16" s="79">
        <v>1</v>
      </c>
      <c r="D16" s="79">
        <f t="shared" si="0"/>
        <v>24</v>
      </c>
      <c r="E16" s="79">
        <v>0</v>
      </c>
      <c r="F16" s="79">
        <f t="shared" si="1"/>
        <v>0</v>
      </c>
      <c r="G16" s="79">
        <f t="shared" si="2"/>
        <v>0</v>
      </c>
      <c r="H16" s="79">
        <f t="shared" si="3"/>
        <v>0</v>
      </c>
      <c r="I16" s="80">
        <f t="shared" si="4"/>
        <v>0</v>
      </c>
      <c r="J16" s="1"/>
      <c r="K16" s="1"/>
      <c r="L16" s="1"/>
    </row>
    <row r="17" spans="1:12" ht="15.75" x14ac:dyDescent="0.25">
      <c r="A17" s="64" t="s">
        <v>122</v>
      </c>
      <c r="B17" s="79">
        <v>4</v>
      </c>
      <c r="C17" s="79">
        <v>4</v>
      </c>
      <c r="D17" s="79">
        <f t="shared" si="0"/>
        <v>16</v>
      </c>
      <c r="E17" s="82">
        <v>25</v>
      </c>
      <c r="F17" s="82">
        <f t="shared" si="1"/>
        <v>400</v>
      </c>
      <c r="G17" s="82">
        <f t="shared" si="2"/>
        <v>20</v>
      </c>
      <c r="H17" s="82">
        <f t="shared" si="3"/>
        <v>40</v>
      </c>
      <c r="I17" s="80">
        <f t="shared" si="4"/>
        <v>24454.079999999998</v>
      </c>
      <c r="J17" s="1"/>
      <c r="K17" s="1"/>
      <c r="L17" s="1"/>
    </row>
    <row r="18" spans="1:12" ht="15.75" x14ac:dyDescent="0.25">
      <c r="A18" s="64" t="s">
        <v>123</v>
      </c>
      <c r="B18" s="79">
        <v>24</v>
      </c>
      <c r="C18" s="79">
        <v>1</v>
      </c>
      <c r="D18" s="79">
        <f t="shared" si="0"/>
        <v>24</v>
      </c>
      <c r="E18" s="82">
        <v>25</v>
      </c>
      <c r="F18" s="83">
        <f t="shared" si="1"/>
        <v>600</v>
      </c>
      <c r="G18" s="84">
        <f t="shared" si="2"/>
        <v>30</v>
      </c>
      <c r="H18" s="84">
        <f t="shared" si="3"/>
        <v>60</v>
      </c>
      <c r="I18" s="80">
        <f t="shared" si="4"/>
        <v>36681.120000000003</v>
      </c>
      <c r="J18" s="1"/>
      <c r="K18" s="1"/>
      <c r="L18" s="1"/>
    </row>
    <row r="19" spans="1:12" ht="15.75" x14ac:dyDescent="0.25">
      <c r="A19" s="73" t="s">
        <v>124</v>
      </c>
      <c r="B19" s="62"/>
      <c r="C19" s="62"/>
      <c r="D19" s="62"/>
      <c r="E19" s="85"/>
      <c r="F19" s="98">
        <f>+ROUND(SUM(F5:H18),0)</f>
        <v>1150</v>
      </c>
      <c r="G19" s="98"/>
      <c r="H19" s="98"/>
      <c r="I19" s="86">
        <f>ROUND(SUM(I5:I18),-2)</f>
        <v>61100</v>
      </c>
      <c r="J19" s="1"/>
      <c r="K19" s="1"/>
      <c r="L19" s="1"/>
    </row>
    <row r="20" spans="1:12" x14ac:dyDescent="0.25">
      <c r="J20" s="1"/>
      <c r="K20" s="1"/>
      <c r="L20" s="1"/>
    </row>
    <row r="21" spans="1:12" ht="14.45" customHeight="1" x14ac:dyDescent="0.25">
      <c r="A21" s="75" t="s">
        <v>13</v>
      </c>
      <c r="J21" s="1"/>
      <c r="K21" s="1"/>
      <c r="L21" s="1"/>
    </row>
    <row r="22" spans="1:12" ht="14.45" customHeight="1" x14ac:dyDescent="0.25">
      <c r="A22" s="76" t="s">
        <v>141</v>
      </c>
      <c r="B22" s="14"/>
      <c r="C22" s="14"/>
      <c r="D22" s="14"/>
      <c r="E22" s="14"/>
      <c r="F22" s="14"/>
      <c r="G22" s="14"/>
      <c r="H22" s="14"/>
      <c r="I22" s="14"/>
      <c r="J22" s="1"/>
      <c r="K22" s="1"/>
      <c r="L22" s="1"/>
    </row>
    <row r="23" spans="1:12" ht="58.9" customHeight="1" x14ac:dyDescent="0.25">
      <c r="A23" s="99" t="s">
        <v>139</v>
      </c>
      <c r="B23" s="100"/>
      <c r="C23" s="100"/>
      <c r="D23" s="100"/>
      <c r="E23" s="100"/>
      <c r="F23" s="100"/>
      <c r="G23" s="100"/>
      <c r="H23" s="100"/>
      <c r="I23" s="100"/>
      <c r="J23" s="2"/>
      <c r="K23" s="1"/>
      <c r="L23" s="1"/>
    </row>
    <row r="24" spans="1:12" ht="15.75" x14ac:dyDescent="0.25">
      <c r="A24" s="76" t="s">
        <v>125</v>
      </c>
      <c r="B24" s="14"/>
      <c r="C24" s="14"/>
      <c r="D24" s="14"/>
      <c r="E24" s="14"/>
      <c r="F24" s="14"/>
      <c r="G24" s="14"/>
      <c r="H24" s="14"/>
      <c r="I24" s="14"/>
      <c r="J24" s="1"/>
      <c r="K24" s="1"/>
      <c r="L24" s="1"/>
    </row>
    <row r="25" spans="1:12" ht="15.75" x14ac:dyDescent="0.25">
      <c r="A25" s="76" t="s">
        <v>126</v>
      </c>
      <c r="B25" s="14"/>
      <c r="C25" s="14"/>
      <c r="D25" s="14"/>
      <c r="E25" s="14"/>
      <c r="F25" s="14"/>
      <c r="G25" s="14"/>
      <c r="H25" s="14"/>
      <c r="I25" s="14"/>
      <c r="J25" s="1"/>
      <c r="K25" s="1"/>
      <c r="L25" s="1"/>
    </row>
    <row r="26" spans="1:12" ht="15.75" x14ac:dyDescent="0.25">
      <c r="A26" s="76" t="s">
        <v>127</v>
      </c>
      <c r="B26" s="14"/>
      <c r="C26" s="14"/>
      <c r="D26" s="14"/>
      <c r="E26" s="14"/>
      <c r="F26" s="14"/>
      <c r="G26" s="14"/>
      <c r="H26" s="14"/>
      <c r="I26" s="14"/>
      <c r="J26" s="1"/>
      <c r="K26" s="1"/>
      <c r="L26" s="1"/>
    </row>
    <row r="27" spans="1:12" ht="15.75" x14ac:dyDescent="0.25">
      <c r="A27" s="76" t="s">
        <v>128</v>
      </c>
      <c r="B27" s="14"/>
      <c r="C27" s="14"/>
      <c r="D27" s="14"/>
      <c r="E27" s="14"/>
      <c r="F27" s="14"/>
      <c r="G27" s="14"/>
      <c r="H27" s="14"/>
      <c r="I27" s="14"/>
      <c r="J27" s="1"/>
      <c r="K27" s="1"/>
      <c r="L27" s="1"/>
    </row>
    <row r="28" spans="1:12" ht="15.75" x14ac:dyDescent="0.25">
      <c r="A28" s="76" t="s">
        <v>129</v>
      </c>
      <c r="B28" s="14"/>
      <c r="C28" s="14"/>
      <c r="D28" s="14"/>
      <c r="E28" s="14"/>
      <c r="F28" s="14"/>
      <c r="G28" s="14"/>
      <c r="H28" s="14"/>
      <c r="I28" s="14"/>
      <c r="J28" s="1"/>
      <c r="K28" s="1"/>
      <c r="L28" s="1"/>
    </row>
    <row r="29" spans="1:12" ht="15.75" x14ac:dyDescent="0.25">
      <c r="A29" s="76" t="s">
        <v>130</v>
      </c>
      <c r="B29" s="14"/>
      <c r="C29" s="14"/>
      <c r="D29" s="14"/>
      <c r="E29" s="14"/>
      <c r="F29" s="14"/>
      <c r="G29" s="14"/>
      <c r="H29" s="14"/>
      <c r="I29" s="14"/>
      <c r="J29" s="1"/>
      <c r="K29" s="1"/>
      <c r="L29" s="1"/>
    </row>
    <row r="30" spans="1:12" ht="15.75" x14ac:dyDescent="0.25">
      <c r="A30" s="76" t="s">
        <v>131</v>
      </c>
      <c r="B30" s="14"/>
      <c r="C30" s="14"/>
      <c r="D30" s="14"/>
      <c r="E30" s="14"/>
      <c r="F30" s="14"/>
      <c r="G30" s="14"/>
      <c r="H30" s="14"/>
      <c r="I30" s="14"/>
      <c r="J30" s="1"/>
      <c r="K30" s="1"/>
      <c r="L30" s="1"/>
    </row>
    <row r="31" spans="1:12" ht="15.75" x14ac:dyDescent="0.25">
      <c r="A31" s="76" t="s">
        <v>132</v>
      </c>
      <c r="B31" s="14"/>
      <c r="C31" s="14"/>
      <c r="D31" s="14"/>
      <c r="E31" s="14"/>
      <c r="F31" s="14"/>
      <c r="G31" s="14"/>
      <c r="H31" s="14"/>
      <c r="I31" s="14"/>
      <c r="J31" s="1"/>
      <c r="K31" s="1"/>
      <c r="L31" s="1"/>
    </row>
    <row r="32" spans="1:12" x14ac:dyDescent="0.25">
      <c r="J32" s="1"/>
      <c r="K32" s="1"/>
      <c r="L32" s="1"/>
    </row>
    <row r="33" spans="10:12" x14ac:dyDescent="0.25">
      <c r="J33" s="1"/>
      <c r="K33" s="1"/>
      <c r="L33" s="1"/>
    </row>
  </sheetData>
  <mergeCells count="4">
    <mergeCell ref="K4:L4"/>
    <mergeCell ref="A23:I23"/>
    <mergeCell ref="A3:A4"/>
    <mergeCell ref="F19:H19"/>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J10"/>
  <sheetViews>
    <sheetView zoomScale="90" zoomScaleNormal="90" workbookViewId="0"/>
  </sheetViews>
  <sheetFormatPr defaultColWidth="22" defaultRowHeight="12.75" x14ac:dyDescent="0.2"/>
  <cols>
    <col min="1" max="1" width="22" style="14"/>
    <col min="2" max="2" width="17.5703125" style="14" customWidth="1"/>
    <col min="3" max="3" width="17.28515625" style="14" customWidth="1"/>
    <col min="4" max="4" width="22" style="14"/>
    <col min="5" max="5" width="19.85546875" style="14" customWidth="1"/>
    <col min="6" max="7" width="16.85546875" style="14" customWidth="1"/>
    <col min="8" max="8" width="6" style="14" customWidth="1"/>
    <col min="9" max="16384" width="22" style="14"/>
  </cols>
  <sheetData>
    <row r="1" spans="1:10" x14ac:dyDescent="0.2">
      <c r="A1" s="4"/>
      <c r="B1" s="5"/>
      <c r="C1" s="5"/>
    </row>
    <row r="2" spans="1:10" x14ac:dyDescent="0.2">
      <c r="A2" s="103" t="s">
        <v>16</v>
      </c>
      <c r="B2" s="103"/>
      <c r="C2" s="103"/>
      <c r="D2" s="103"/>
      <c r="E2" s="103"/>
      <c r="F2" s="103"/>
      <c r="G2" s="104"/>
      <c r="H2" s="22"/>
      <c r="I2" s="2"/>
    </row>
    <row r="3" spans="1:10" x14ac:dyDescent="0.2">
      <c r="A3" s="18" t="s">
        <v>17</v>
      </c>
      <c r="B3" s="18" t="s">
        <v>18</v>
      </c>
      <c r="C3" s="18" t="s">
        <v>19</v>
      </c>
      <c r="D3" s="18" t="s">
        <v>20</v>
      </c>
      <c r="E3" s="18" t="s">
        <v>21</v>
      </c>
      <c r="F3" s="18" t="s">
        <v>22</v>
      </c>
      <c r="G3" s="18" t="s">
        <v>23</v>
      </c>
      <c r="H3" s="22"/>
    </row>
    <row r="4" spans="1:10" ht="46.5" customHeight="1" x14ac:dyDescent="0.2">
      <c r="A4" s="18" t="s">
        <v>24</v>
      </c>
      <c r="B4" s="18" t="s">
        <v>25</v>
      </c>
      <c r="C4" s="18" t="s">
        <v>145</v>
      </c>
      <c r="D4" s="18" t="s">
        <v>26</v>
      </c>
      <c r="E4" s="18" t="s">
        <v>146</v>
      </c>
      <c r="F4" s="18" t="s">
        <v>147</v>
      </c>
      <c r="G4" s="18" t="s">
        <v>27</v>
      </c>
      <c r="H4" s="22"/>
      <c r="I4" s="1" t="s">
        <v>150</v>
      </c>
      <c r="J4" s="1">
        <v>575.4</v>
      </c>
    </row>
    <row r="5" spans="1:10" ht="36.75" customHeight="1" x14ac:dyDescent="0.2">
      <c r="A5" s="29" t="s">
        <v>133</v>
      </c>
      <c r="B5" s="30">
        <f>150000*(J5/J4)</f>
        <v>212721.58498435872</v>
      </c>
      <c r="C5" s="31">
        <v>0</v>
      </c>
      <c r="D5" s="19">
        <f>B5*C5</f>
        <v>0</v>
      </c>
      <c r="E5" s="30">
        <f>45000*(J5/J4)</f>
        <v>63816.475495307612</v>
      </c>
      <c r="F5" s="31">
        <v>25</v>
      </c>
      <c r="G5" s="19">
        <f>E5*F5</f>
        <v>1595411.8873826903</v>
      </c>
      <c r="H5" s="23"/>
      <c r="I5" s="1" t="s">
        <v>149</v>
      </c>
      <c r="J5" s="1">
        <v>816</v>
      </c>
    </row>
    <row r="6" spans="1:10" ht="46.5" customHeight="1" x14ac:dyDescent="0.2">
      <c r="A6" s="20" t="s">
        <v>143</v>
      </c>
      <c r="B6" s="16"/>
      <c r="C6" s="16"/>
      <c r="D6" s="21">
        <f>ROUND(SUM(D5:D5), -3)</f>
        <v>0</v>
      </c>
      <c r="E6" s="16"/>
      <c r="F6" s="16"/>
      <c r="G6" s="21">
        <f>ROUND(G5,-4)</f>
        <v>1600000</v>
      </c>
      <c r="I6" s="55">
        <f>D6+G6</f>
        <v>1600000</v>
      </c>
    </row>
    <row r="7" spans="1:10" x14ac:dyDescent="0.2">
      <c r="A7" s="53"/>
      <c r="B7" s="54"/>
      <c r="C7" s="54"/>
      <c r="D7" s="24"/>
      <c r="E7" s="54"/>
      <c r="F7" s="54"/>
      <c r="G7" s="24"/>
    </row>
    <row r="8" spans="1:10" x14ac:dyDescent="0.2">
      <c r="A8" s="105" t="s">
        <v>148</v>
      </c>
      <c r="B8" s="105"/>
      <c r="C8" s="105"/>
      <c r="D8" s="105"/>
      <c r="E8" s="105"/>
      <c r="F8" s="105"/>
      <c r="G8" s="105"/>
    </row>
    <row r="9" spans="1:10" x14ac:dyDescent="0.2">
      <c r="A9" s="102" t="s">
        <v>144</v>
      </c>
      <c r="B9" s="102"/>
      <c r="C9" s="102"/>
      <c r="D9" s="102"/>
      <c r="E9" s="102"/>
      <c r="F9" s="102"/>
      <c r="G9" s="102"/>
    </row>
    <row r="10" spans="1:10" x14ac:dyDescent="0.2">
      <c r="A10" s="33"/>
      <c r="B10" s="33"/>
      <c r="C10" s="33"/>
      <c r="D10" s="33"/>
      <c r="E10" s="33"/>
      <c r="F10" s="33"/>
      <c r="G10" s="33"/>
    </row>
  </sheetData>
  <mergeCells count="3">
    <mergeCell ref="A9:G9"/>
    <mergeCell ref="A2:G2"/>
    <mergeCell ref="A8:G8"/>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G16"/>
  <sheetViews>
    <sheetView zoomScaleNormal="100" workbookViewId="0">
      <selection activeCell="G2" sqref="G2"/>
    </sheetView>
  </sheetViews>
  <sheetFormatPr defaultRowHeight="15" x14ac:dyDescent="0.25"/>
  <cols>
    <col min="1" max="1" width="22.28515625" bestFit="1" customWidth="1"/>
    <col min="2" max="2" width="11.85546875" customWidth="1"/>
    <col min="3" max="3" width="12.7109375" customWidth="1"/>
    <col min="4" max="4" width="11.42578125" customWidth="1"/>
    <col min="5" max="5" width="14.7109375" customWidth="1"/>
  </cols>
  <sheetData>
    <row r="1" spans="1:7" s="14" customFormat="1" ht="15.75" x14ac:dyDescent="0.2">
      <c r="A1" s="106" t="s">
        <v>5</v>
      </c>
      <c r="B1" s="106"/>
      <c r="C1" s="106"/>
      <c r="D1" s="106"/>
      <c r="E1" s="106"/>
    </row>
    <row r="2" spans="1:7" s="14" customFormat="1" ht="12.75" x14ac:dyDescent="0.2">
      <c r="A2" s="15" t="s">
        <v>17</v>
      </c>
      <c r="B2" s="15" t="s">
        <v>18</v>
      </c>
      <c r="C2" s="15" t="s">
        <v>19</v>
      </c>
      <c r="D2" s="15" t="s">
        <v>20</v>
      </c>
      <c r="E2" s="15" t="s">
        <v>21</v>
      </c>
      <c r="G2" s="2"/>
    </row>
    <row r="3" spans="1:7" s="14" customFormat="1" ht="102" x14ac:dyDescent="0.2">
      <c r="A3" s="15" t="s">
        <v>28</v>
      </c>
      <c r="B3" s="15" t="s">
        <v>29</v>
      </c>
      <c r="C3" s="15" t="s">
        <v>30</v>
      </c>
      <c r="D3" s="15" t="s">
        <v>31</v>
      </c>
      <c r="E3" s="15" t="s">
        <v>32</v>
      </c>
    </row>
    <row r="4" spans="1:7" s="14" customFormat="1" ht="38.25" x14ac:dyDescent="0.2">
      <c r="A4" s="89" t="s">
        <v>69</v>
      </c>
      <c r="B4" s="90">
        <v>0</v>
      </c>
      <c r="C4" s="90">
        <v>1</v>
      </c>
      <c r="D4" s="90">
        <v>0</v>
      </c>
      <c r="E4" s="90">
        <f>(B4*C4)+D4</f>
        <v>0</v>
      </c>
    </row>
    <row r="5" spans="1:7" s="14" customFormat="1" ht="25.5" x14ac:dyDescent="0.2">
      <c r="A5" s="89" t="s">
        <v>70</v>
      </c>
      <c r="B5" s="90">
        <v>0</v>
      </c>
      <c r="C5" s="90">
        <v>1</v>
      </c>
      <c r="D5" s="90">
        <v>0</v>
      </c>
      <c r="E5" s="90">
        <f t="shared" ref="E5:E14" si="0">(B5*C5)+D5</f>
        <v>0</v>
      </c>
    </row>
    <row r="6" spans="1:7" s="14" customFormat="1" ht="25.5" x14ac:dyDescent="0.2">
      <c r="A6" s="89" t="s">
        <v>71</v>
      </c>
      <c r="B6" s="90">
        <v>0</v>
      </c>
      <c r="C6" s="90">
        <v>1</v>
      </c>
      <c r="D6" s="90">
        <v>0</v>
      </c>
      <c r="E6" s="90">
        <f t="shared" si="0"/>
        <v>0</v>
      </c>
    </row>
    <row r="7" spans="1:7" s="14" customFormat="1" ht="25.5" x14ac:dyDescent="0.2">
      <c r="A7" s="89" t="s">
        <v>72</v>
      </c>
      <c r="B7" s="90">
        <v>0</v>
      </c>
      <c r="C7" s="90">
        <v>1</v>
      </c>
      <c r="D7" s="90">
        <v>0</v>
      </c>
      <c r="E7" s="90">
        <f t="shared" si="0"/>
        <v>0</v>
      </c>
    </row>
    <row r="8" spans="1:7" s="14" customFormat="1" ht="12.75" x14ac:dyDescent="0.2">
      <c r="A8" s="89" t="s">
        <v>73</v>
      </c>
      <c r="B8" s="90">
        <v>0</v>
      </c>
      <c r="C8" s="90">
        <v>1</v>
      </c>
      <c r="D8" s="90">
        <v>0</v>
      </c>
      <c r="E8" s="90">
        <f t="shared" si="0"/>
        <v>0</v>
      </c>
      <c r="F8" s="2"/>
    </row>
    <row r="9" spans="1:7" s="14" customFormat="1" ht="25.5" x14ac:dyDescent="0.2">
      <c r="A9" s="89" t="s">
        <v>134</v>
      </c>
      <c r="B9" s="90">
        <v>0</v>
      </c>
      <c r="C9" s="90">
        <v>1</v>
      </c>
      <c r="D9" s="90">
        <v>0</v>
      </c>
      <c r="E9" s="90">
        <f t="shared" si="0"/>
        <v>0</v>
      </c>
    </row>
    <row r="10" spans="1:7" s="14" customFormat="1" ht="25.5" x14ac:dyDescent="0.2">
      <c r="A10" s="89" t="s">
        <v>135</v>
      </c>
      <c r="B10" s="90">
        <v>0</v>
      </c>
      <c r="C10" s="90">
        <v>1</v>
      </c>
      <c r="D10" s="90">
        <v>0</v>
      </c>
      <c r="E10" s="90">
        <f t="shared" si="0"/>
        <v>0</v>
      </c>
    </row>
    <row r="11" spans="1:7" s="14" customFormat="1" ht="12.75" x14ac:dyDescent="0.2">
      <c r="A11" s="89" t="s">
        <v>136</v>
      </c>
      <c r="B11" s="90">
        <v>0</v>
      </c>
      <c r="C11" s="90">
        <v>1</v>
      </c>
      <c r="D11" s="90">
        <v>0</v>
      </c>
      <c r="E11" s="90">
        <f t="shared" si="0"/>
        <v>0</v>
      </c>
    </row>
    <row r="12" spans="1:7" s="14" customFormat="1" ht="12.75" x14ac:dyDescent="0.2">
      <c r="A12" s="89" t="s">
        <v>77</v>
      </c>
      <c r="B12" s="90">
        <v>0</v>
      </c>
      <c r="C12" s="90">
        <v>1</v>
      </c>
      <c r="D12" s="90">
        <v>0</v>
      </c>
      <c r="E12" s="90">
        <f t="shared" si="0"/>
        <v>0</v>
      </c>
    </row>
    <row r="13" spans="1:7" s="14" customFormat="1" ht="12.75" x14ac:dyDescent="0.2">
      <c r="A13" s="89" t="s">
        <v>137</v>
      </c>
      <c r="B13" s="90">
        <v>25</v>
      </c>
      <c r="C13" s="90">
        <v>4</v>
      </c>
      <c r="D13" s="90">
        <v>0</v>
      </c>
      <c r="E13" s="90">
        <f t="shared" si="0"/>
        <v>100</v>
      </c>
    </row>
    <row r="14" spans="1:7" s="14" customFormat="1" ht="12.75" x14ac:dyDescent="0.2">
      <c r="A14" s="89" t="s">
        <v>138</v>
      </c>
      <c r="B14" s="90">
        <v>25</v>
      </c>
      <c r="C14" s="90">
        <v>1</v>
      </c>
      <c r="D14" s="90">
        <v>0</v>
      </c>
      <c r="E14" s="90">
        <f t="shared" si="0"/>
        <v>25</v>
      </c>
    </row>
    <row r="15" spans="1:7" s="14" customFormat="1" ht="12.75" x14ac:dyDescent="0.2">
      <c r="A15" s="89"/>
      <c r="B15" s="90"/>
      <c r="C15" s="90"/>
      <c r="D15" s="91" t="s">
        <v>33</v>
      </c>
      <c r="E15" s="90">
        <f>SUM(E4:E14)</f>
        <v>125</v>
      </c>
    </row>
    <row r="16" spans="1:7" s="14" customFormat="1" ht="12.75" x14ac:dyDescent="0.2">
      <c r="A16" s="87"/>
      <c r="B16" s="88"/>
      <c r="C16" s="88"/>
      <c r="D16" s="88"/>
      <c r="E16" s="88"/>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G9"/>
  <sheetViews>
    <sheetView zoomScale="90" zoomScaleNormal="90" workbookViewId="0">
      <selection activeCell="D11" sqref="D11"/>
    </sheetView>
  </sheetViews>
  <sheetFormatPr defaultColWidth="17.7109375" defaultRowHeight="31.9" customHeight="1" x14ac:dyDescent="0.25"/>
  <sheetData>
    <row r="1" spans="1:7" s="14" customFormat="1" ht="31.9" customHeight="1" x14ac:dyDescent="0.2">
      <c r="A1" s="106" t="s">
        <v>1</v>
      </c>
      <c r="B1" s="106"/>
      <c r="C1" s="106"/>
      <c r="D1" s="106"/>
      <c r="E1" s="106"/>
      <c r="F1" s="106"/>
    </row>
    <row r="2" spans="1:7" s="14" customFormat="1" ht="31.9" customHeight="1" x14ac:dyDescent="0.2">
      <c r="A2" s="25"/>
      <c r="B2" s="107" t="s">
        <v>34</v>
      </c>
      <c r="C2" s="107"/>
      <c r="D2" s="25" t="s">
        <v>35</v>
      </c>
      <c r="E2" s="107"/>
      <c r="F2" s="107"/>
      <c r="G2" s="2"/>
    </row>
    <row r="3" spans="1:7" s="14" customFormat="1" ht="31.9" customHeight="1" x14ac:dyDescent="0.2">
      <c r="A3" s="25"/>
      <c r="B3" s="26" t="s">
        <v>17</v>
      </c>
      <c r="C3" s="26" t="s">
        <v>18</v>
      </c>
      <c r="D3" s="26" t="s">
        <v>19</v>
      </c>
      <c r="E3" s="26" t="s">
        <v>20</v>
      </c>
      <c r="F3" s="26" t="s">
        <v>21</v>
      </c>
    </row>
    <row r="4" spans="1:7" s="14" customFormat="1" ht="70.900000000000006" customHeight="1" x14ac:dyDescent="0.2">
      <c r="A4" s="26" t="s">
        <v>36</v>
      </c>
      <c r="B4" s="25" t="s">
        <v>37</v>
      </c>
      <c r="C4" s="25" t="s">
        <v>38</v>
      </c>
      <c r="D4" s="25" t="s">
        <v>39</v>
      </c>
      <c r="E4" s="25" t="s">
        <v>40</v>
      </c>
      <c r="F4" s="25" t="s">
        <v>41</v>
      </c>
    </row>
    <row r="5" spans="1:7" s="14" customFormat="1" ht="31.9" customHeight="1" x14ac:dyDescent="0.2">
      <c r="A5" s="15">
        <v>1</v>
      </c>
      <c r="B5" s="16">
        <v>0</v>
      </c>
      <c r="C5" s="16">
        <v>25</v>
      </c>
      <c r="D5" s="16">
        <v>0</v>
      </c>
      <c r="E5" s="16">
        <v>0</v>
      </c>
      <c r="F5" s="16">
        <f>B5+C5+D5-E5</f>
        <v>25</v>
      </c>
    </row>
    <row r="6" spans="1:7" s="14" customFormat="1" ht="31.9" customHeight="1" x14ac:dyDescent="0.2">
      <c r="A6" s="15">
        <v>2</v>
      </c>
      <c r="B6" s="16">
        <v>0</v>
      </c>
      <c r="C6" s="16">
        <v>25</v>
      </c>
      <c r="D6" s="16">
        <v>0</v>
      </c>
      <c r="E6" s="16">
        <v>0</v>
      </c>
      <c r="F6" s="16">
        <f>B6+C6+D6-E6</f>
        <v>25</v>
      </c>
    </row>
    <row r="7" spans="1:7" s="14" customFormat="1" ht="31.9" customHeight="1" x14ac:dyDescent="0.2">
      <c r="A7" s="15">
        <v>3</v>
      </c>
      <c r="B7" s="16">
        <v>0</v>
      </c>
      <c r="C7" s="16">
        <v>25</v>
      </c>
      <c r="D7" s="16">
        <v>0</v>
      </c>
      <c r="E7" s="16">
        <v>0</v>
      </c>
      <c r="F7" s="16">
        <f>B7+C7+D7-E7</f>
        <v>25</v>
      </c>
    </row>
    <row r="8" spans="1:7" s="14" customFormat="1" ht="31.9" customHeight="1" x14ac:dyDescent="0.2">
      <c r="A8" s="15" t="s">
        <v>42</v>
      </c>
      <c r="B8" s="16">
        <f>AVERAGE(B5:B7)</f>
        <v>0</v>
      </c>
      <c r="C8" s="16">
        <f>AVERAGE(C5:C7)</f>
        <v>25</v>
      </c>
      <c r="D8" s="16">
        <v>0</v>
      </c>
      <c r="E8" s="16">
        <v>0</v>
      </c>
      <c r="F8" s="18">
        <f>AVERAGE(F5:F7)</f>
        <v>25</v>
      </c>
    </row>
    <row r="9" spans="1:7" s="14" customFormat="1" ht="20.45" customHeight="1" x14ac:dyDescent="0.2">
      <c r="A9" s="92" t="s">
        <v>142</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2024-10-23T21:19:22+00:00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2.xml><?xml version="1.0" encoding="utf-8"?>
<ds:datastoreItem xmlns:ds="http://schemas.openxmlformats.org/officeDocument/2006/customXml" ds:itemID="{1376E3ED-EBD0-4776-85E8-D966CABF93C2}"/>
</file>

<file path=customXml/itemProps3.xml><?xml version="1.0" encoding="utf-8"?>
<ds:datastoreItem xmlns:ds="http://schemas.openxmlformats.org/officeDocument/2006/customXml" ds:itemID="{1788708A-52BB-4D0F-B232-80F9E123F193}">
  <ds:schemaRefs>
    <ds:schemaRef ds:uri="http://purl.org/dc/dcmitype/"/>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1891fcec-84c2-4840-9468-b51a784ab0d1"/>
    <ds:schemaRef ds:uri="http://schemas.openxmlformats.org/package/2006/metadata/core-properties"/>
    <ds:schemaRef ds:uri="4d6aed1e-57d3-46e3-9aba-f706adbce63b"/>
    <ds:schemaRef ds:uri="http://purl.org/dc/elements/1.1/"/>
  </ds:schemaRefs>
</ds:datastoreItem>
</file>

<file path=customXml/itemProps4.xml><?xml version="1.0" encoding="utf-8"?>
<ds:datastoreItem xmlns:ds="http://schemas.openxmlformats.org/officeDocument/2006/customXml" ds:itemID="{DE094374-7F3B-4909-835A-9D432F19FC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2024-03-12T16:05:48Z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ies>
</file>