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B5914C07-0E00-438C-BD2F-DDDB4FD94F37}"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5" l="1"/>
  <c r="I31" i="1"/>
  <c r="F34" i="1"/>
  <c r="I36" i="1"/>
  <c r="I34" i="1"/>
  <c r="E29" i="1"/>
  <c r="E28" i="1"/>
  <c r="E24" i="1" l="1"/>
  <c r="B8" i="4"/>
  <c r="B6" i="3"/>
  <c r="B5" i="3"/>
  <c r="K6" i="3" l="1"/>
  <c r="L6" i="3"/>
  <c r="C8" i="4" l="1"/>
  <c r="C6" i="3"/>
  <c r="D6" i="3" s="1"/>
  <c r="C5" i="3"/>
  <c r="D5" i="3" s="1"/>
  <c r="D7" i="3" s="1"/>
  <c r="D20" i="1"/>
  <c r="L2" i="1" l="1"/>
  <c r="E9" i="1"/>
  <c r="G6" i="3" l="1"/>
  <c r="G5" i="3"/>
  <c r="F29" i="1"/>
  <c r="F28" i="1"/>
  <c r="D29" i="1"/>
  <c r="D28" i="1"/>
  <c r="I21" i="1"/>
  <c r="D15" i="1"/>
  <c r="D16" i="1"/>
  <c r="D17" i="1"/>
  <c r="D18" i="1"/>
  <c r="D19" i="1"/>
  <c r="D14" i="1"/>
  <c r="D12" i="1"/>
  <c r="D11" i="1"/>
  <c r="E23" i="1"/>
  <c r="L3" i="1"/>
  <c r="E19" i="1" l="1"/>
  <c r="F19" i="1" s="1"/>
  <c r="E20" i="1"/>
  <c r="E11" i="1"/>
  <c r="F11" i="1" s="1"/>
  <c r="E12" i="1"/>
  <c r="F12" i="1" s="1"/>
  <c r="H28" i="1"/>
  <c r="G28" i="1"/>
  <c r="I28" i="1" s="1"/>
  <c r="H29" i="1"/>
  <c r="G29" i="1"/>
  <c r="I29" i="1" s="1"/>
  <c r="E14" i="1"/>
  <c r="F14" i="1" s="1"/>
  <c r="E16" i="1"/>
  <c r="F16" i="1" s="1"/>
  <c r="E17" i="1"/>
  <c r="F17" i="1" s="1"/>
  <c r="E15" i="1"/>
  <c r="E18" i="1"/>
  <c r="F18" i="1" s="1"/>
  <c r="E11" i="2" l="1"/>
  <c r="F20" i="1"/>
  <c r="H18" i="1"/>
  <c r="G18" i="1"/>
  <c r="I18" i="1"/>
  <c r="F15" i="1"/>
  <c r="E6" i="2"/>
  <c r="G12" i="1"/>
  <c r="I12" i="1" s="1"/>
  <c r="H12" i="1"/>
  <c r="H17" i="1"/>
  <c r="G17" i="1"/>
  <c r="I17" i="1" s="1"/>
  <c r="H11" i="1"/>
  <c r="I11" i="1" s="1"/>
  <c r="G11" i="1"/>
  <c r="H16" i="1"/>
  <c r="G16" i="1"/>
  <c r="I16" i="1" s="1"/>
  <c r="G14" i="1"/>
  <c r="I14" i="1" s="1"/>
  <c r="H14" i="1"/>
  <c r="H19" i="1"/>
  <c r="G19" i="1"/>
  <c r="I19" i="1" s="1"/>
  <c r="B11" i="5"/>
  <c r="E11" i="5" s="1"/>
  <c r="B10" i="5"/>
  <c r="E10" i="5" s="1"/>
  <c r="B9" i="5"/>
  <c r="E9" i="5" s="1"/>
  <c r="B8" i="5"/>
  <c r="E8" i="5" s="1"/>
  <c r="B7" i="5"/>
  <c r="E7" i="5" s="1"/>
  <c r="B6" i="5"/>
  <c r="E6" i="5" s="1"/>
  <c r="B5" i="5"/>
  <c r="E5" i="5" s="1"/>
  <c r="B4" i="5"/>
  <c r="E4" i="5" s="1"/>
  <c r="E7" i="2"/>
  <c r="E8" i="2"/>
  <c r="E9" i="2"/>
  <c r="E10" i="2"/>
  <c r="E12" i="2"/>
  <c r="E14" i="2"/>
  <c r="D14" i="2"/>
  <c r="D13" i="2"/>
  <c r="D12" i="2"/>
  <c r="D11" i="2"/>
  <c r="D10" i="2"/>
  <c r="D9" i="2"/>
  <c r="D8" i="2"/>
  <c r="D7" i="2"/>
  <c r="D6" i="2"/>
  <c r="E31" i="1"/>
  <c r="D31" i="1"/>
  <c r="D24" i="1"/>
  <c r="B13" i="5"/>
  <c r="E13" i="5" s="1"/>
  <c r="D23" i="1"/>
  <c r="E22" i="1"/>
  <c r="D22" i="1"/>
  <c r="D21" i="1"/>
  <c r="F21" i="1" s="1"/>
  <c r="D9" i="1"/>
  <c r="F5" i="4"/>
  <c r="C6" i="4" s="1"/>
  <c r="F6" i="4" s="1"/>
  <c r="C7" i="4" s="1"/>
  <c r="H15" i="1" l="1"/>
  <c r="G15" i="1"/>
  <c r="I15" i="1"/>
  <c r="H20" i="1"/>
  <c r="G20" i="1"/>
  <c r="I20" i="1" s="1"/>
  <c r="F11" i="2"/>
  <c r="F24" i="1"/>
  <c r="G24" i="1" s="1"/>
  <c r="F23" i="1"/>
  <c r="F10" i="2"/>
  <c r="F8" i="2"/>
  <c r="E13" i="2"/>
  <c r="F13" i="2" s="1"/>
  <c r="B12" i="5"/>
  <c r="E12" i="5" s="1"/>
  <c r="B14" i="5"/>
  <c r="E14" i="5" s="1"/>
  <c r="F7" i="4"/>
  <c r="F8" i="4"/>
  <c r="B3" i="6" s="1"/>
  <c r="F12" i="2"/>
  <c r="F9" i="2"/>
  <c r="F6" i="2"/>
  <c r="F7" i="2"/>
  <c r="F14" i="2"/>
  <c r="F22" i="1"/>
  <c r="F31" i="1"/>
  <c r="F9" i="1"/>
  <c r="G21" i="1"/>
  <c r="H21" i="1"/>
  <c r="H23" i="1"/>
  <c r="G23" i="1"/>
  <c r="G11" i="2" l="1"/>
  <c r="I6" i="2"/>
  <c r="H24" i="1"/>
  <c r="H7" i="2"/>
  <c r="G13" i="2"/>
  <c r="F15" i="2" s="1"/>
  <c r="G9" i="2"/>
  <c r="G8" i="2"/>
  <c r="I8" i="2" s="1"/>
  <c r="G12" i="2"/>
  <c r="H10" i="2"/>
  <c r="H14" i="2"/>
  <c r="G14" i="2"/>
  <c r="H6" i="2"/>
  <c r="H8" i="2"/>
  <c r="H11" i="2"/>
  <c r="I11" i="2" s="1"/>
  <c r="H9" i="1"/>
  <c r="H22" i="1"/>
  <c r="G31" i="1"/>
  <c r="I23" i="1"/>
  <c r="I24" i="1"/>
  <c r="G6" i="2"/>
  <c r="G22" i="1"/>
  <c r="I22" i="1" s="1"/>
  <c r="I25" i="1" s="1"/>
  <c r="G10" i="2"/>
  <c r="G7" i="2"/>
  <c r="I7" i="2" s="1"/>
  <c r="H12" i="2"/>
  <c r="H13" i="2"/>
  <c r="H9" i="2"/>
  <c r="H31" i="1"/>
  <c r="F33" i="1" s="1"/>
  <c r="G9" i="1"/>
  <c r="I33" i="1" l="1"/>
  <c r="I13" i="2"/>
  <c r="F25" i="1"/>
  <c r="I10" i="2"/>
  <c r="I9" i="2"/>
  <c r="I12" i="2"/>
  <c r="I14" i="2"/>
  <c r="I9" i="1"/>
  <c r="E17" i="5" l="1"/>
  <c r="L34" i="1"/>
  <c r="B2" i="6" s="1"/>
  <c r="B4" i="6"/>
  <c r="I15" i="2"/>
  <c r="G7" i="3" l="1"/>
  <c r="I35" i="1" l="1"/>
  <c r="I7" i="3"/>
  <c r="B6" i="6"/>
  <c r="B5" i="6" l="1"/>
</calcChain>
</file>

<file path=xl/sharedStrings.xml><?xml version="1.0" encoding="utf-8"?>
<sst xmlns="http://schemas.openxmlformats.org/spreadsheetml/2006/main" count="185" uniqueCount="159">
  <si>
    <t>ICR Summary Information</t>
  </si>
  <si>
    <t>Number of Respondents</t>
  </si>
  <si>
    <t>Total Estimated Burden Hours</t>
  </si>
  <si>
    <t>Total Estimated Costs</t>
  </si>
  <si>
    <t>Annualized Capital O&amp;M</t>
  </si>
  <si>
    <t>Total Annual Responses</t>
  </si>
  <si>
    <t>Form Number</t>
  </si>
  <si>
    <t>Semiannual summary report</t>
  </si>
  <si>
    <t>Subtotal for Reporting Requirements</t>
  </si>
  <si>
    <t>Assumptions:</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</si>
  <si>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</si>
  <si>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</si>
  <si>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</si>
  <si>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</si>
  <si>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</si>
  <si>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</si>
  <si>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</si>
  <si>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</si>
  <si>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</si>
  <si>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</si>
  <si>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</si>
  <si>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</si>
  <si>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</si>
  <si>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</si>
  <si>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</si>
  <si>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Performance test reports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</si>
  <si>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</si>
  <si>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</si>
  <si>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</si>
  <si>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</si>
  <si>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</si>
  <si>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</si>
  <si>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</si>
  <si>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</si>
  <si>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</si>
  <si>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Not Applicable</t>
  </si>
  <si>
    <t>Table 1: Annual Respondent Burden and Cost – NESHAP for Polyether Polyols Production (40 CFR Part 63, Subpart PPP) (Renewal)</t>
  </si>
  <si>
    <t>Source Type</t>
  </si>
  <si>
    <t>No.</t>
  </si>
  <si>
    <t>Existing</t>
  </si>
  <si>
    <t>New</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</si>
  <si>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</si>
  <si>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</si>
  <si>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</si>
  <si>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</si>
  <si>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</si>
  <si>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</si>
  <si>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</si>
  <si>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</si>
  <si>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</si>
  <si>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</si>
  <si>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</si>
  <si>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</si>
  <si>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</si>
  <si>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</si>
  <si>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</si>
  <si>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</si>
  <si>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t>
    </r>
    <r>
      <rPr>
        <b/>
        <vertAlign val="superscript"/>
        <sz val="10"/>
        <rFont val="Times New Roman"/>
        <family val="1"/>
      </rPr>
      <t>b</t>
    </r>
  </si>
  <si>
    <t>1.  Applications</t>
  </si>
  <si>
    <t>N/A</t>
  </si>
  <si>
    <t>2.  Surveys and studies</t>
  </si>
  <si>
    <t>3.  Reporting requirements</t>
  </si>
  <si>
    <t>A.  Familiarization with Regulatory Requirements</t>
  </si>
  <si>
    <t>B.  Required activities</t>
  </si>
  <si>
    <t>C.  Write reports</t>
  </si>
  <si>
    <t>i.  Notification of applicability</t>
  </si>
  <si>
    <t>ii.  Notification of construction/reconstruction</t>
  </si>
  <si>
    <t>iii.  Notification of actual startup</t>
  </si>
  <si>
    <t>v.  Performance test notification</t>
  </si>
  <si>
    <t>vi.  Compliance status notification</t>
  </si>
  <si>
    <t>viii.  Malfunction report</t>
  </si>
  <si>
    <t>ix.  Semiannual summary report</t>
  </si>
  <si>
    <t>xi.  PRD reporting in semiannual report</t>
  </si>
  <si>
    <t>4.  Recordkeeping requirements</t>
  </si>
  <si>
    <t>B.  Develop record system</t>
  </si>
  <si>
    <t>C.  Time to train personnel</t>
  </si>
  <si>
    <t>D.  Continuously monitor parameters</t>
  </si>
  <si>
    <t>See 3C</t>
  </si>
  <si>
    <t>E.  LDAR program</t>
  </si>
  <si>
    <t>F.  Startup, shutdown, malfunction plan</t>
  </si>
  <si>
    <t>Subtotal for Recordkeeping Requirements</t>
  </si>
  <si>
    <t>Table 2: Average Annual Burden and Cost – NESHAP for Polyether Polyols Production (40 CFR Part 63, Subpart PPP) (Renewal)</t>
  </si>
  <si>
    <t>EPA
person-hours
per occurrence</t>
  </si>
  <si>
    <t>EPA
person-hours
per respondent
per year (AxB)</t>
  </si>
  <si>
    <t>Technical hours
per year
(CxD)</t>
  </si>
  <si>
    <t>Management
hours per year
(Ex0.05)</t>
  </si>
  <si>
    <r>
      <t>Annual cost</t>
    </r>
    <r>
      <rPr>
        <b/>
        <vertAlign val="superscript"/>
        <sz val="10"/>
        <rFont val="Times New Roman"/>
        <family val="1"/>
      </rPr>
      <t>b</t>
    </r>
  </si>
  <si>
    <t>Review notification of construction/reconstruction</t>
  </si>
  <si>
    <t>Review notification of actual startup</t>
  </si>
  <si>
    <t>Review notification of performance test</t>
  </si>
  <si>
    <t>Review performance test results</t>
  </si>
  <si>
    <t>Malfunction report</t>
  </si>
  <si>
    <t>Review notification of physical/operational change</t>
  </si>
  <si>
    <t>(A)
Information Collection Activity</t>
  </si>
  <si>
    <t xml:space="preserve">(B)
Number of Respondents  </t>
  </si>
  <si>
    <t>(C)
Number of Responses</t>
  </si>
  <si>
    <t>(D)
Number of Existing Respondents That Keep Records But Do Not Submit Reports</t>
  </si>
  <si>
    <t>(E)
Total Annual Responses
E=(BxC)+D</t>
  </si>
  <si>
    <t>Notification of applicability</t>
  </si>
  <si>
    <t>Notification of construction/reconstruction</t>
  </si>
  <si>
    <t>Notification of actual startup</t>
  </si>
  <si>
    <t>Initial notification</t>
  </si>
  <si>
    <t>Performance test notification</t>
  </si>
  <si>
    <t>Compliance status notification</t>
  </si>
  <si>
    <t>Startup, shutdown, malfunction reports</t>
  </si>
  <si>
    <t>Notification of physical/operational change</t>
  </si>
  <si>
    <r>
      <t>PRD reporting in semiannual report</t>
    </r>
    <r>
      <rPr>
        <vertAlign val="superscript"/>
        <sz val="10"/>
        <rFont val="Times New Roman"/>
        <family val="1"/>
      </rPr>
      <t>1</t>
    </r>
  </si>
  <si>
    <r>
      <rPr>
        <vertAlign val="superscript"/>
        <sz val="10"/>
        <color theme="1"/>
        <rFont val="Times New Roman"/>
        <family val="1"/>
      </rPr>
      <t>1</t>
    </r>
    <r>
      <rPr>
        <sz val="10"/>
        <color theme="1"/>
        <rFont val="Times New Roman"/>
        <family val="1"/>
      </rPr>
      <t xml:space="preserve"> Annual occurrences of PRD reporting are not counted as separate responses because they are required to be submitted with the semiannual reports.</t>
    </r>
  </si>
  <si>
    <t>hrs/response:</t>
  </si>
  <si>
    <r>
      <rPr>
        <vertAlign val="superscript"/>
        <sz val="12"/>
        <color theme="1"/>
        <rFont val="Times New Roman"/>
        <family val="1"/>
      </rPr>
      <t>b</t>
    </r>
    <r>
      <rPr>
        <sz val="12"/>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</si>
  <si>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a </t>
    </r>
    <r>
      <rPr>
        <sz val="10"/>
        <color rgb="FF000000"/>
        <rFont val="Times New Roman"/>
        <family val="1"/>
      </rPr>
      <t xml:space="preserve">  New respondents include sources with modified, constructed, and reconstructed affected facilities. Only one new respondent is expected in the next three years affecting this renewal.</t>
    </r>
  </si>
  <si>
    <r>
      <t>x.  Notification of physical/operational change</t>
    </r>
    <r>
      <rPr>
        <vertAlign val="superscript"/>
        <sz val="10"/>
        <rFont val="Times New Roman"/>
        <family val="1"/>
      </rPr>
      <t>f</t>
    </r>
  </si>
  <si>
    <r>
      <t xml:space="preserve">TOTAL ANNUAL BURDEN AND COST (Rounded) </t>
    </r>
    <r>
      <rPr>
        <b/>
        <vertAlign val="superscript"/>
        <sz val="10"/>
        <rFont val="Times New Roman"/>
        <family val="1"/>
      </rPr>
      <t>g</t>
    </r>
  </si>
  <si>
    <r>
      <t xml:space="preserve">Capital and O&amp;M Costs (See Section 6(b)(iii)) </t>
    </r>
    <r>
      <rPr>
        <b/>
        <vertAlign val="superscript"/>
        <sz val="10"/>
        <rFont val="Times New Roman"/>
        <family val="1"/>
      </rPr>
      <t>g</t>
    </r>
  </si>
  <si>
    <r>
      <t xml:space="preserve">TOTAL COST </t>
    </r>
    <r>
      <rPr>
        <b/>
        <vertAlign val="superscript"/>
        <sz val="10"/>
        <rFont val="Times New Roman"/>
        <family val="1"/>
      </rPr>
      <t>g</t>
    </r>
  </si>
  <si>
    <r>
      <rPr>
        <vertAlign val="superscript"/>
        <sz val="12"/>
        <color theme="1"/>
        <rFont val="Times New Roman"/>
        <family val="1"/>
      </rPr>
      <t>g</t>
    </r>
    <r>
      <rPr>
        <sz val="12"/>
        <color theme="1"/>
        <rFont val="Times New Roman"/>
        <family val="1"/>
      </rPr>
      <t xml:space="preserve"> Totals are rounded to three significant figures. Figures may not add exactly due to rounding. </t>
    </r>
  </si>
  <si>
    <r>
      <rPr>
        <vertAlign val="superscript"/>
        <sz val="12"/>
        <color theme="1"/>
        <rFont val="Times New Roman"/>
        <family val="1"/>
      </rPr>
      <t>c</t>
    </r>
    <r>
      <rPr>
        <sz val="12"/>
        <color theme="1"/>
        <rFont val="Times New Roman"/>
        <family val="1"/>
      </rPr>
      <t xml:space="preserve"> We have assumed that it will take 480 hours to complete the initial performance test for process vents.</t>
    </r>
  </si>
  <si>
    <r>
      <rPr>
        <vertAlign val="superscript"/>
        <sz val="12"/>
        <color theme="1"/>
        <rFont val="Times New Roman"/>
        <family val="1"/>
      </rPr>
      <t>d</t>
    </r>
    <r>
      <rPr>
        <sz val="12"/>
        <color theme="1"/>
        <rFont val="Times New Roman"/>
        <family val="1"/>
      </rPr>
      <t xml:space="preserve"> We have assumed that it will take 160 hours to complete the initial performance test for wastewater.</t>
    </r>
  </si>
  <si>
    <r>
      <t xml:space="preserve">i.  Initial performance test: process vents </t>
    </r>
    <r>
      <rPr>
        <vertAlign val="superscript"/>
        <sz val="10"/>
        <rFont val="Times New Roman"/>
        <family val="1"/>
      </rPr>
      <t>c</t>
    </r>
  </si>
  <si>
    <r>
      <t xml:space="preserve">ii.  Initial performance test: wastewater </t>
    </r>
    <r>
      <rPr>
        <vertAlign val="superscript"/>
        <sz val="10"/>
        <rFont val="Times New Roman"/>
        <family val="1"/>
      </rPr>
      <t>d</t>
    </r>
  </si>
  <si>
    <r>
      <t xml:space="preserve">iv.  Initial notification </t>
    </r>
    <r>
      <rPr>
        <vertAlign val="superscript"/>
        <sz val="10"/>
        <rFont val="Times New Roman"/>
        <family val="1"/>
      </rPr>
      <t>e</t>
    </r>
  </si>
  <si>
    <t>Labor Rates</t>
  </si>
  <si>
    <t>Management</t>
  </si>
  <si>
    <t>Technical</t>
  </si>
  <si>
    <t>Clerical</t>
  </si>
  <si>
    <t>See 3A</t>
  </si>
  <si>
    <r>
      <rPr>
        <vertAlign val="superscript"/>
        <sz val="11"/>
        <rFont val="Times New Roman"/>
        <family val="1"/>
      </rPr>
      <t xml:space="preserve">b </t>
    </r>
    <r>
      <rPr>
        <sz val="11"/>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</si>
  <si>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 xml:space="preserve">Technical </t>
  </si>
  <si>
    <r>
      <rPr>
        <vertAlign val="superscript"/>
        <sz val="10"/>
        <color theme="1"/>
        <rFont val="Times New Roman"/>
        <family val="1"/>
      </rPr>
      <t>d</t>
    </r>
    <r>
      <rPr>
        <sz val="10"/>
        <color theme="1"/>
        <rFont val="Times New Roman"/>
        <family val="1"/>
      </rPr>
      <t xml:space="preserve">  We have assumed that it will take ten hours once per year to review notification of compliance status.</t>
    </r>
  </si>
  <si>
    <r>
      <t xml:space="preserve">Review initial notification report </t>
    </r>
    <r>
      <rPr>
        <vertAlign val="superscript"/>
        <sz val="10"/>
        <rFont val="Times New Roman"/>
        <family val="1"/>
      </rPr>
      <t>c</t>
    </r>
  </si>
  <si>
    <r>
      <t xml:space="preserve">Review notification of compliance status </t>
    </r>
    <r>
      <rPr>
        <vertAlign val="superscript"/>
        <sz val="10"/>
        <rFont val="Times New Roman"/>
        <family val="1"/>
      </rPr>
      <t>d</t>
    </r>
  </si>
  <si>
    <t xml:space="preserve">Review semiannual summary reports </t>
  </si>
  <si>
    <r>
      <t xml:space="preserve">TOTAL ANNUAL BURDEN AND COST (ROUNDED) </t>
    </r>
    <r>
      <rPr>
        <b/>
        <vertAlign val="superscript"/>
        <sz val="10"/>
        <rFont val="Times New Roman"/>
        <family val="1"/>
      </rPr>
      <t>e</t>
    </r>
  </si>
  <si>
    <r>
      <rPr>
        <vertAlign val="superscript"/>
        <sz val="10"/>
        <color theme="1"/>
        <rFont val="Times New Roman"/>
        <family val="1"/>
      </rPr>
      <t>e</t>
    </r>
    <r>
      <rPr>
        <sz val="10"/>
        <color theme="1"/>
        <rFont val="Times New Roman"/>
        <family val="1"/>
      </rPr>
      <t xml:space="preserve">  Totals are rounded to three significant figures. Figures may not add exactly due to rounding. </t>
    </r>
  </si>
  <si>
    <r>
      <t>c</t>
    </r>
    <r>
      <rPr>
        <sz val="10"/>
        <color theme="1"/>
        <rFont val="Times New Roman"/>
        <family val="1"/>
      </rPr>
      <t xml:space="preserve">  We have assumed that eight respondents will each take 2 hours once per year to review physical/operational changes.</t>
    </r>
  </si>
  <si>
    <r>
      <rPr>
        <vertAlign val="superscript"/>
        <sz val="10"/>
        <color rgb="FF000000"/>
        <rFont val="Times New Roman"/>
        <family val="1"/>
      </rPr>
      <t>b</t>
    </r>
    <r>
      <rPr>
        <sz val="12"/>
        <color rgb="FF000000"/>
        <rFont val="Times New Roman"/>
        <family val="1"/>
      </rPr>
      <t xml:space="preserve"> </t>
    </r>
    <r>
      <rPr>
        <sz val="10"/>
        <color rgb="FF000000"/>
        <rFont val="Times New Roman"/>
        <family val="1"/>
      </rPr>
      <t>Annual O&amp;M costs are estimated to be negligible and are therefore assumed to b</t>
    </r>
    <r>
      <rPr>
        <sz val="10"/>
        <color theme="1"/>
        <rFont val="Times New Roman"/>
        <family val="1"/>
      </rPr>
      <t>e zero.</t>
    </r>
  </si>
  <si>
    <r>
      <t>Process vent monitoring equipment</t>
    </r>
    <r>
      <rPr>
        <vertAlign val="superscript"/>
        <sz val="10"/>
        <color rgb="FF000000"/>
        <rFont val="Times New Roman"/>
        <family val="1"/>
      </rPr>
      <t>b,c</t>
    </r>
  </si>
  <si>
    <r>
      <t>PRD electronic indicators</t>
    </r>
    <r>
      <rPr>
        <vertAlign val="superscript"/>
        <sz val="10"/>
        <color rgb="FF000000"/>
        <rFont val="Times New Roman"/>
        <family val="1"/>
      </rPr>
      <t>b,d</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</si>
  <si>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e</t>
    </r>
  </si>
  <si>
    <r>
      <rPr>
        <vertAlign val="superscript"/>
        <sz val="12"/>
        <color theme="1"/>
        <rFont val="Times New Roman"/>
        <family val="1"/>
      </rPr>
      <t>e</t>
    </r>
    <r>
      <rPr>
        <sz val="12"/>
        <color theme="1"/>
        <rFont val="Times New Roman"/>
        <family val="1"/>
      </rPr>
      <t xml:space="preserve"> We have assumed that it will take 14 hours to complete the initial notification.</t>
    </r>
  </si>
  <si>
    <t>hr/response</t>
  </si>
  <si>
    <t>Hours per Response</t>
  </si>
  <si>
    <t>vii.  Performance test report</t>
  </si>
  <si>
    <t>Total (rounded)</t>
  </si>
  <si>
    <r>
      <rPr>
        <vertAlign val="superscript"/>
        <sz val="10"/>
        <rFont val="Times New Roman"/>
        <family val="1"/>
      </rPr>
      <t>a</t>
    </r>
    <r>
      <rPr>
        <sz val="10"/>
        <rFont val="Times New Roman"/>
        <family val="1"/>
      </rPr>
      <t xml:space="preserve">  EPA estimates there are 24 existing sources with one new source (or an average of 0.33 sources per year), expected to become subject to the NESHAP over the three-year ICR period, for an overall total average of 25 sources per year.</t>
    </r>
  </si>
  <si>
    <r>
      <rPr>
        <vertAlign val="superscript"/>
        <sz val="12"/>
        <rFont val="Times New Roman"/>
        <family val="1"/>
      </rPr>
      <t>a</t>
    </r>
    <r>
      <rPr>
        <sz val="12"/>
        <rFont val="Times New Roman"/>
        <family val="1"/>
      </rPr>
      <t xml:space="preserve">  EPA estimates there are 24 existing sources with one new source (or an average of 0.33 sources per year), expected to become subject to the NESHAP over the three-year ICR period, for an overall total average of 25 sources per year.</t>
    </r>
  </si>
  <si>
    <t>Term (years)</t>
  </si>
  <si>
    <t>Interest Rate (%)</t>
  </si>
  <si>
    <t>CRF</t>
  </si>
  <si>
    <t>https://fred.stlouisfed.org/series/DPRIME on 2/2/2024</t>
  </si>
  <si>
    <t>2022 CEPCI</t>
  </si>
  <si>
    <t>2014 CEPCI</t>
  </si>
  <si>
    <t>2008 CEPCI</t>
  </si>
  <si>
    <t>Process vent monitoring</t>
  </si>
  <si>
    <t>PRD</t>
  </si>
  <si>
    <r>
      <rPr>
        <vertAlign val="superscript"/>
        <sz val="10"/>
        <color theme="1"/>
        <rFont val="Times New Roman"/>
        <family val="1"/>
      </rPr>
      <t>c</t>
    </r>
    <r>
      <rPr>
        <sz val="10"/>
        <color theme="1"/>
        <rFont val="Times New Roman"/>
        <family val="1"/>
      </rPr>
      <t xml:space="preserve"> We assume existing facilities have already paid off the process vent monitoring equipment. The capital costs for process vent monitoring equipment were estimated to be $69,233 per respondent. We adjusted 2008 $ to 2022 $ using the CEPCI Index. The total capital cost was annualized over five years using a capital recovery factor (CRF) of 0.25377. The resulting cost per respondent per year is $3,377 as shown above.</t>
    </r>
  </si>
  <si>
    <r>
      <rPr>
        <vertAlign val="superscript"/>
        <sz val="10"/>
        <color theme="1"/>
        <rFont val="Times New Roman"/>
        <family val="1"/>
      </rPr>
      <t>d</t>
    </r>
    <r>
      <rPr>
        <sz val="10"/>
        <color theme="1"/>
        <rFont val="Times New Roman"/>
        <family val="1"/>
      </rPr>
      <t xml:space="preserve"> Existing sources were required to install PRD monitoring equipment within three years of the final amendment date (March 27, 2014). We assume that all existing facilities have already installed PRD monitoring equipment. The capital costs for PRD were estimated to be $69,233 per respondent. We adjusted 2014 $ to 2022 $ using the CEPCI Index. The total capital cost was annualized over 10 years using a CRF of 0.15241. The resulting cost per respondent per year is $14,946 as shown above.</t>
    </r>
  </si>
  <si>
    <r>
      <rPr>
        <vertAlign val="superscript"/>
        <sz val="12"/>
        <rFont val="Times New Roman"/>
        <family val="1"/>
      </rPr>
      <t xml:space="preserve">f </t>
    </r>
    <r>
      <rPr>
        <sz val="12"/>
        <rFont val="Times New Roman"/>
        <family val="1"/>
      </rPr>
      <t xml:space="preserve"> EPA assumes 10% of existing sources will submit notifications of physical/operational change.</t>
    </r>
  </si>
  <si>
    <r>
      <rPr>
        <vertAlign val="superscript"/>
        <sz val="10"/>
        <color theme="1"/>
        <rFont val="Times New Roman"/>
        <family val="1"/>
      </rPr>
      <t>e</t>
    </r>
    <r>
      <rPr>
        <sz val="10"/>
        <color theme="1"/>
        <rFont val="Times New Roman"/>
        <family val="1"/>
      </rPr>
      <t xml:space="preserve"> Totals are rounded to three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</si>
</sst>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 numFmtId="168" formatCode="#,##0.0"/>
    <numFmt numFmtId="169" formatCode="0.00000"/>
  </numFmts>
  <fonts count="40"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1"/>
      <color theme="1"/>
      <name val="Calibri"/>
      <family val="2"/>
      <scheme val="minor"/>
    </font>
    <font>
      <b/>
      <sz val="12"/>
      <name val="Times New Roman"/>
      <family val="1"/>
    </font>
    <font>
      <sz val="10"/>
      <color theme="1"/>
      <name val="Arial"/>
      <family val="2"/>
    </font>
    <font>
      <sz val="9"/>
      <color theme="1"/>
      <name val="Times New Roman"/>
      <family val="1"/>
    </font>
    <font>
      <sz val="9"/>
      <name val="Times New Roman"/>
      <family val="1"/>
    </font>
    <font>
      <i/>
      <sz val="10"/>
      <color theme="1"/>
      <name val="Arial"/>
      <family val="2"/>
    </font>
    <font>
      <sz val="12"/>
      <color theme="1"/>
      <name val="Times New Roman"/>
      <family val="1"/>
    </font>
    <font>
      <vertAlign val="superscript"/>
      <sz val="12"/>
      <color theme="1"/>
      <name val="Times New Roman"/>
      <family val="1"/>
    </font>
    <font>
      <sz val="12"/>
      <name val="Times New Roman"/>
      <family val="1"/>
    </font>
    <font>
      <vertAlign val="superscript"/>
      <sz val="12"/>
      <name val="Times New Roman"/>
      <family val="1"/>
    </font>
    <font>
      <sz val="11"/>
      <name val="Times New Roman"/>
      <family val="1"/>
    </font>
    <font>
      <vertAlign val="superscript"/>
      <sz val="11"/>
      <name val="Times New Roman"/>
      <family val="1"/>
    </font>
    <font>
      <b/>
      <i/>
      <sz val="10"/>
      <color rgb="FF7030A0"/>
      <name val="Times New Roman"/>
      <family val="1"/>
    </font>
    <font>
      <sz val="10"/>
      <color rgb="FF7030A0"/>
      <name val="Times New Roman"/>
      <family val="1"/>
    </font>
    <font>
      <sz val="12"/>
      <color rgb="FF000000"/>
      <name val="Times New Roman"/>
      <family val="1"/>
    </font>
    <font>
      <sz val="10"/>
      <name val="Arial"/>
      <family val="2"/>
    </font>
    <font>
      <b/>
      <sz val="10"/>
      <name val="Arial"/>
      <family val="2"/>
    </font>
    <font>
      <b/>
      <sz val="10"/>
      <color indexed="8"/>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9" fillId="0" borderId="0"/>
    <xf numFmtId="44" fontId="22" fillId="0" borderId="0" applyFont="0" applyFill="0" applyBorder="0" applyAlignment="0" applyProtection="0"/>
    <xf numFmtId="0" fontId="24" fillId="0" borderId="0"/>
    <xf numFmtId="0" fontId="37" fillId="0" borderId="0"/>
  </cellStyleXfs>
  <cellXfs count="159">
    <xf numFmtId="0" fontId="0" fillId="0" borderId="0" xfId="0"/>
    <xf numFmtId="0" fontId="1" fillId="0" borderId="0" xfId="0" applyFont="1"/>
    <xf numFmtId="0" fontId="7" fillId="0" borderId="0" xfId="0" applyFont="1"/>
    <xf numFmtId="164" fontId="8" fillId="0" borderId="0" xfId="1" applyFont="1" applyAlignment="1">
      <alignment horizontal="center" vertical="center" wrapText="1"/>
    </xf>
    <xf numFmtId="165" fontId="8" fillId="0" borderId="0" xfId="1" applyNumberFormat="1" applyFont="1" applyAlignment="1">
      <alignment horizontal="right" wrapText="1"/>
    </xf>
    <xf numFmtId="0" fontId="8" fillId="0" borderId="0" xfId="0" applyFont="1"/>
    <xf numFmtId="0" fontId="20" fillId="0" borderId="0" xfId="0" applyFont="1"/>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9" fillId="0" borderId="0" xfId="0" applyFont="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20" fillId="0" borderId="0" xfId="0" applyFont="1" applyAlignment="1">
      <alignment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indent="1"/>
    </xf>
    <xf numFmtId="0" fontId="2" fillId="0" borderId="0" xfId="0" applyFont="1" applyAlignment="1">
      <alignment vertical="center" wrapText="1"/>
    </xf>
    <xf numFmtId="0" fontId="1" fillId="0" borderId="0" xfId="0" applyFont="1" applyAlignment="1">
      <alignment horizontal="center" vertical="center" wrapText="1"/>
    </xf>
    <xf numFmtId="6" fontId="20" fillId="0" borderId="0" xfId="0" applyNumberFormat="1" applyFont="1"/>
    <xf numFmtId="1" fontId="8" fillId="0" borderId="1"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0" fontId="10" fillId="0" borderId="1" xfId="0" applyFont="1" applyBorder="1" applyAlignment="1">
      <alignment horizontal="center" wrapText="1"/>
    </xf>
    <xf numFmtId="0" fontId="8" fillId="0" borderId="0" xfId="0" applyFont="1" applyAlignment="1">
      <alignment wrapText="1"/>
    </xf>
    <xf numFmtId="0" fontId="23" fillId="0" borderId="0" xfId="0" applyFont="1"/>
    <xf numFmtId="4" fontId="8" fillId="0" borderId="0" xfId="0" applyNumberFormat="1" applyFont="1"/>
    <xf numFmtId="0" fontId="8" fillId="0" borderId="0" xfId="0" applyFont="1" applyAlignment="1">
      <alignment horizontal="right" vertical="top"/>
    </xf>
    <xf numFmtId="165" fontId="8" fillId="0" borderId="0" xfId="0" applyNumberFormat="1" applyFont="1" applyAlignment="1">
      <alignment vertical="top"/>
    </xf>
    <xf numFmtId="0" fontId="10" fillId="0" borderId="1" xfId="0" applyFont="1" applyBorder="1" applyAlignment="1">
      <alignment horizontal="center"/>
    </xf>
    <xf numFmtId="4" fontId="10" fillId="0" borderId="1" xfId="0" applyNumberFormat="1" applyFont="1" applyBorder="1" applyAlignment="1">
      <alignment horizontal="center"/>
    </xf>
    <xf numFmtId="4" fontId="10" fillId="0" borderId="1" xfId="0" applyNumberFormat="1" applyFont="1" applyBorder="1" applyAlignment="1">
      <alignment horizontal="center" wrapText="1"/>
    </xf>
    <xf numFmtId="0" fontId="8" fillId="0" borderId="1" xfId="0" applyFont="1" applyBorder="1" applyAlignment="1">
      <alignment vertical="top" wrapText="1"/>
    </xf>
    <xf numFmtId="4" fontId="8" fillId="0" borderId="1" xfId="0" applyNumberFormat="1" applyFont="1" applyBorder="1" applyAlignment="1">
      <alignment horizontal="right" vertical="center" wrapText="1"/>
    </xf>
    <xf numFmtId="3" fontId="8"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165" fontId="8" fillId="0" borderId="1" xfId="2" applyNumberFormat="1" applyFont="1" applyFill="1" applyBorder="1" applyAlignment="1">
      <alignment horizontal="right" vertical="center" wrapText="1"/>
    </xf>
    <xf numFmtId="0" fontId="8" fillId="0" borderId="1" xfId="0" applyFont="1" applyBorder="1" applyAlignment="1">
      <alignment horizontal="left" vertical="top" wrapText="1" indent="3"/>
    </xf>
    <xf numFmtId="0" fontId="8" fillId="0" borderId="4" xfId="0" applyFont="1" applyBorder="1" applyAlignment="1">
      <alignment horizontal="center" vertical="center" wrapText="1"/>
    </xf>
    <xf numFmtId="3" fontId="8" fillId="0" borderId="1" xfId="0" applyNumberFormat="1" applyFont="1" applyBorder="1" applyAlignment="1">
      <alignment horizontal="right" vertical="center" wrapText="1"/>
    </xf>
    <xf numFmtId="4" fontId="8" fillId="0" borderId="1" xfId="0" applyNumberFormat="1" applyFont="1" applyBorder="1" applyAlignment="1">
      <alignment horizontal="center" vertical="center" wrapText="1"/>
    </xf>
    <xf numFmtId="0" fontId="5" fillId="0" borderId="1" xfId="0" applyFont="1" applyBorder="1"/>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166" fontId="10" fillId="0" borderId="1" xfId="2" applyNumberFormat="1" applyFont="1" applyFill="1" applyBorder="1" applyAlignment="1">
      <alignment horizontal="right" vertical="center" wrapText="1"/>
    </xf>
    <xf numFmtId="0" fontId="10" fillId="0" borderId="1" xfId="0" applyFont="1" applyBorder="1" applyAlignment="1">
      <alignment vertical="top"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vertical="top" wrapText="1"/>
    </xf>
    <xf numFmtId="3" fontId="10" fillId="0" borderId="0" xfId="0" applyNumberFormat="1" applyFont="1" applyAlignment="1">
      <alignment horizontal="center" vertical="top" wrapText="1"/>
    </xf>
    <xf numFmtId="3" fontId="10" fillId="0" borderId="0" xfId="0" applyNumberFormat="1" applyFont="1" applyAlignment="1">
      <alignment horizontal="right" vertical="top" wrapText="1"/>
    </xf>
    <xf numFmtId="0" fontId="8" fillId="0" borderId="0" xfId="0" quotePrefix="1" applyFont="1"/>
    <xf numFmtId="0" fontId="10" fillId="0" borderId="0" xfId="0" applyFont="1"/>
    <xf numFmtId="0" fontId="8" fillId="0" borderId="0" xfId="0" applyFont="1" applyAlignment="1">
      <alignment vertical="top" wrapText="1"/>
    </xf>
    <xf numFmtId="4" fontId="10" fillId="0" borderId="0" xfId="0" applyNumberFormat="1" applyFont="1" applyAlignment="1">
      <alignment horizontal="center"/>
    </xf>
    <xf numFmtId="0" fontId="12" fillId="0" borderId="0" xfId="0" applyFont="1"/>
    <xf numFmtId="4" fontId="10" fillId="0" borderId="0" xfId="0" applyNumberFormat="1" applyFont="1" applyAlignment="1">
      <alignment horizontal="center" wrapText="1"/>
    </xf>
    <xf numFmtId="4" fontId="8" fillId="0" borderId="0" xfId="0" applyNumberFormat="1" applyFont="1" applyAlignment="1">
      <alignment horizontal="right" vertical="center" wrapText="1"/>
    </xf>
    <xf numFmtId="0" fontId="15" fillId="0" borderId="0" xfId="0" applyFont="1"/>
    <xf numFmtId="165" fontId="8" fillId="0" borderId="0" xfId="2" applyNumberFormat="1" applyFont="1" applyFill="1" applyBorder="1" applyAlignment="1">
      <alignment horizontal="right" vertical="center" wrapText="1"/>
    </xf>
    <xf numFmtId="41" fontId="15" fillId="0" borderId="0" xfId="0" applyNumberFormat="1" applyFont="1"/>
    <xf numFmtId="3" fontId="7" fillId="0" borderId="0" xfId="0" applyNumberFormat="1" applyFont="1"/>
    <xf numFmtId="3" fontId="8" fillId="0" borderId="0" xfId="0" applyNumberFormat="1" applyFont="1" applyAlignment="1">
      <alignment horizontal="right" vertical="center" wrapText="1"/>
    </xf>
    <xf numFmtId="166" fontId="8" fillId="0" borderId="0" xfId="2" applyNumberFormat="1" applyFont="1" applyFill="1" applyBorder="1" applyAlignment="1">
      <alignment horizontal="right" vertical="center" wrapText="1"/>
    </xf>
    <xf numFmtId="166" fontId="10" fillId="0" borderId="0" xfId="2" applyNumberFormat="1" applyFont="1" applyFill="1" applyBorder="1" applyAlignment="1">
      <alignment horizontal="right" vertical="center" wrapText="1"/>
    </xf>
    <xf numFmtId="2" fontId="8" fillId="0" borderId="0" xfId="0" applyNumberFormat="1" applyFont="1" applyAlignment="1">
      <alignment vertical="top" wrapText="1"/>
    </xf>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right" wrapText="1"/>
    </xf>
    <xf numFmtId="3" fontId="1" fillId="0" borderId="0" xfId="0" applyNumberFormat="1" applyFont="1" applyAlignment="1">
      <alignment horizontal="center" wrapText="1"/>
    </xf>
    <xf numFmtId="166" fontId="1" fillId="0" borderId="0" xfId="0" applyNumberFormat="1" applyFont="1" applyAlignment="1">
      <alignment horizontal="right" wrapText="1"/>
    </xf>
    <xf numFmtId="1" fontId="1" fillId="0" borderId="0" xfId="0" applyNumberFormat="1" applyFont="1" applyAlignment="1">
      <alignment horizontal="center" wrapText="1"/>
    </xf>
    <xf numFmtId="167" fontId="1" fillId="0" borderId="0" xfId="0" applyNumberFormat="1" applyFont="1" applyAlignment="1">
      <alignment horizontal="center" wrapText="1"/>
    </xf>
    <xf numFmtId="6" fontId="5" fillId="0" borderId="0" xfId="0" applyNumberFormat="1" applyFont="1" applyAlignment="1">
      <alignment horizontal="right" wrapText="1"/>
    </xf>
    <xf numFmtId="0" fontId="6" fillId="0" borderId="0" xfId="0" applyFont="1" applyAlignment="1">
      <alignment vertical="top" wrapText="1"/>
    </xf>
    <xf numFmtId="3" fontId="5" fillId="0" borderId="0" xfId="0" applyNumberFormat="1" applyFont="1" applyAlignment="1">
      <alignment wrapText="1"/>
    </xf>
    <xf numFmtId="0" fontId="2" fillId="0" borderId="0" xfId="0" applyFont="1" applyAlignment="1">
      <alignment wrapText="1"/>
    </xf>
    <xf numFmtId="0" fontId="12" fillId="0" borderId="0" xfId="0" applyFont="1" applyAlignment="1">
      <alignment vertical="top" wrapText="1"/>
    </xf>
    <xf numFmtId="0" fontId="12" fillId="0" borderId="0" xfId="0" applyFont="1" applyAlignment="1">
      <alignment vertical="top"/>
    </xf>
    <xf numFmtId="0" fontId="10" fillId="2" borderId="1" xfId="0" applyFont="1" applyFill="1" applyBorder="1"/>
    <xf numFmtId="0" fontId="8" fillId="0" borderId="1" xfId="0" applyFont="1" applyBorder="1"/>
    <xf numFmtId="0" fontId="16" fillId="0" borderId="0" xfId="0" applyFont="1" applyAlignment="1">
      <alignment vertical="top" wrapText="1"/>
    </xf>
    <xf numFmtId="0" fontId="10" fillId="0" borderId="6" xfId="0" applyFont="1" applyBorder="1" applyAlignment="1">
      <alignment wrapText="1"/>
    </xf>
    <xf numFmtId="0" fontId="10" fillId="0" borderId="7" xfId="0" applyFont="1" applyBorder="1" applyAlignment="1">
      <alignment wrapText="1"/>
    </xf>
    <xf numFmtId="165" fontId="8" fillId="0" borderId="0" xfId="0" applyNumberFormat="1" applyFont="1" applyAlignment="1">
      <alignment horizontal="right" vertical="top"/>
    </xf>
    <xf numFmtId="0" fontId="10" fillId="0" borderId="1" xfId="0" applyFont="1" applyBorder="1" applyAlignment="1">
      <alignment horizontal="center" vertical="center"/>
    </xf>
    <xf numFmtId="0" fontId="8" fillId="0" borderId="1" xfId="0" applyFont="1" applyBorder="1" applyAlignment="1">
      <alignment horizontal="left" vertical="top" wrapText="1"/>
    </xf>
    <xf numFmtId="166" fontId="8" fillId="0" borderId="1" xfId="0" applyNumberFormat="1" applyFont="1" applyBorder="1" applyAlignment="1">
      <alignment horizontal="righ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166" fontId="10" fillId="0" borderId="1" xfId="0" applyNumberFormat="1" applyFont="1" applyBorder="1" applyAlignment="1">
      <alignment horizontal="right" vertical="center" wrapText="1"/>
    </xf>
    <xf numFmtId="0" fontId="24" fillId="0" borderId="0" xfId="3"/>
    <xf numFmtId="0" fontId="25" fillId="0" borderId="1" xfId="3" applyFont="1" applyBorder="1" applyAlignment="1">
      <alignment horizontal="center" vertical="top" wrapText="1"/>
    </xf>
    <xf numFmtId="0" fontId="26" fillId="0" borderId="1" xfId="3" applyFont="1" applyBorder="1" applyAlignment="1">
      <alignment horizontal="center" vertical="top" wrapText="1"/>
    </xf>
    <xf numFmtId="3" fontId="26" fillId="0" borderId="1" xfId="3" applyNumberFormat="1" applyFont="1" applyBorder="1" applyAlignment="1">
      <alignment horizontal="center" vertical="center" wrapText="1"/>
    </xf>
    <xf numFmtId="0" fontId="26" fillId="0" borderId="1" xfId="3" applyFont="1" applyBorder="1" applyAlignment="1">
      <alignment horizontal="center" vertical="center" wrapText="1"/>
    </xf>
    <xf numFmtId="0" fontId="26" fillId="0" borderId="1" xfId="3" applyFont="1" applyBorder="1" applyAlignment="1">
      <alignment vertical="top" wrapText="1"/>
    </xf>
    <xf numFmtId="0" fontId="6" fillId="0" borderId="0" xfId="3" applyFont="1" applyAlignment="1">
      <alignment horizontal="right"/>
    </xf>
    <xf numFmtId="1" fontId="27" fillId="0" borderId="0" xfId="3" applyNumberFormat="1" applyFont="1"/>
    <xf numFmtId="0" fontId="28" fillId="0" borderId="0" xfId="0" applyFont="1" applyAlignment="1">
      <alignment vertical="center" wrapText="1"/>
    </xf>
    <xf numFmtId="0" fontId="28" fillId="0" borderId="0" xfId="0" applyFont="1"/>
    <xf numFmtId="0" fontId="34" fillId="0" borderId="0" xfId="0" applyFont="1" applyAlignment="1">
      <alignment horizontal="left"/>
    </xf>
    <xf numFmtId="0" fontId="35" fillId="0" borderId="0" xfId="0" applyFont="1"/>
    <xf numFmtId="4" fontId="8" fillId="0" borderId="1" xfId="0" applyNumberFormat="1" applyFont="1" applyBorder="1"/>
    <xf numFmtId="0" fontId="28" fillId="0" borderId="0" xfId="0" applyFont="1" applyAlignment="1">
      <alignment vertical="center"/>
    </xf>
    <xf numFmtId="0" fontId="12" fillId="0" borderId="1" xfId="0" applyFont="1" applyBorder="1"/>
    <xf numFmtId="165" fontId="8" fillId="0" borderId="1" xfId="0" applyNumberFormat="1" applyFont="1" applyBorder="1"/>
    <xf numFmtId="0" fontId="12" fillId="0" borderId="1" xfId="0" applyFont="1" applyBorder="1" applyAlignment="1">
      <alignment vertical="center" wrapText="1"/>
    </xf>
    <xf numFmtId="6" fontId="12" fillId="0" borderId="1" xfId="0" applyNumberFormat="1" applyFont="1" applyBorder="1" applyAlignment="1">
      <alignment horizontal="center" vertical="center" wrapText="1"/>
    </xf>
    <xf numFmtId="4" fontId="26" fillId="0" borderId="1" xfId="3" applyNumberFormat="1" applyFont="1" applyBorder="1" applyAlignment="1">
      <alignment horizontal="center" vertical="center" wrapText="1"/>
    </xf>
    <xf numFmtId="2" fontId="26" fillId="0" borderId="1" xfId="3" applyNumberFormat="1" applyFont="1" applyBorder="1" applyAlignment="1">
      <alignment horizontal="center" vertical="center" wrapText="1"/>
    </xf>
    <xf numFmtId="1" fontId="26" fillId="0" borderId="1" xfId="3" applyNumberFormat="1" applyFont="1" applyBorder="1" applyAlignment="1">
      <alignment horizontal="center" vertical="top" wrapText="1"/>
    </xf>
    <xf numFmtId="2" fontId="1"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8" fontId="20" fillId="0" borderId="0" xfId="0" applyNumberFormat="1" applyFont="1"/>
    <xf numFmtId="0" fontId="37" fillId="0" borderId="1" xfId="4" applyBorder="1"/>
    <xf numFmtId="10" fontId="37" fillId="0" borderId="1" xfId="4" applyNumberFormat="1" applyBorder="1"/>
    <xf numFmtId="0" fontId="38" fillId="0" borderId="1" xfId="4" applyFont="1" applyBorder="1"/>
    <xf numFmtId="169" fontId="39" fillId="0" borderId="1" xfId="4" quotePrefix="1" applyNumberFormat="1" applyFont="1" applyBorder="1" applyAlignment="1">
      <alignment vertical="top" wrapText="1"/>
    </xf>
    <xf numFmtId="0" fontId="0" fillId="0" borderId="0" xfId="0" quotePrefix="1"/>
    <xf numFmtId="0" fontId="0" fillId="0" borderId="1" xfId="0" applyBorder="1" applyAlignment="1">
      <alignment horizontal="center"/>
    </xf>
    <xf numFmtId="0" fontId="20" fillId="0" borderId="1" xfId="0" applyFont="1" applyBorder="1" applyAlignment="1">
      <alignment horizontal="center"/>
    </xf>
    <xf numFmtId="3" fontId="8" fillId="0" borderId="1" xfId="0" applyNumberFormat="1" applyFont="1" applyBorder="1"/>
    <xf numFmtId="1" fontId="26" fillId="0" borderId="1" xfId="3" applyNumberFormat="1" applyFont="1" applyBorder="1" applyAlignment="1">
      <alignment horizontal="center" vertical="center" wrapText="1"/>
    </xf>
    <xf numFmtId="0" fontId="0" fillId="0" borderId="0" xfId="0" applyAlignment="1">
      <alignment horizontal="center"/>
    </xf>
    <xf numFmtId="0" fontId="30" fillId="0" borderId="0" xfId="0" applyFont="1" applyAlignment="1">
      <alignment vertical="top" wrapText="1"/>
    </xf>
    <xf numFmtId="0" fontId="28" fillId="0" borderId="0" xfId="0" applyFont="1"/>
    <xf numFmtId="0" fontId="12" fillId="0" borderId="2" xfId="0" applyFont="1" applyBorder="1" applyAlignment="1">
      <alignment horizontal="center"/>
    </xf>
    <xf numFmtId="0" fontId="12" fillId="0" borderId="4" xfId="0" applyFont="1" applyBorder="1" applyAlignment="1">
      <alignment horizontal="center"/>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0" fontId="28" fillId="0" borderId="0" xfId="0" applyFont="1" applyAlignment="1">
      <alignment vertical="center" wrapText="1"/>
    </xf>
    <xf numFmtId="0" fontId="10" fillId="0" borderId="0" xfId="0" applyFont="1"/>
    <xf numFmtId="0" fontId="30" fillId="0" borderId="0" xfId="0" applyFont="1" applyAlignment="1">
      <alignment horizontal="left" vertical="top" wrapText="1"/>
    </xf>
    <xf numFmtId="0" fontId="12" fillId="0" borderId="1" xfId="0" applyFont="1" applyBorder="1" applyAlignment="1">
      <alignment horizontal="center"/>
    </xf>
    <xf numFmtId="0" fontId="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xf>
    <xf numFmtId="0" fontId="10" fillId="0" borderId="1" xfId="0" applyFont="1" applyBorder="1" applyAlignment="1">
      <alignment horizontal="left" wrapText="1"/>
    </xf>
    <xf numFmtId="3" fontId="10"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32" fillId="0" borderId="0" xfId="0" applyFont="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wrapText="1"/>
    </xf>
    <xf numFmtId="0" fontId="36" fillId="0" borderId="0" xfId="0" applyFont="1" applyAlignment="1">
      <alignment horizontal="left" vertical="center"/>
    </xf>
    <xf numFmtId="0" fontId="11" fillId="0" borderId="1" xfId="3" applyFont="1" applyBorder="1" applyAlignment="1">
      <alignment horizontal="center" vertical="top" wrapText="1"/>
    </xf>
    <xf numFmtId="0" fontId="1" fillId="0" borderId="5" xfId="3" applyFont="1" applyBorder="1" applyAlignment="1">
      <alignment horizontal="left" wrapText="1"/>
    </xf>
    <xf numFmtId="0" fontId="11" fillId="0" borderId="1" xfId="0" applyFont="1" applyBorder="1" applyAlignment="1">
      <alignment horizontal="center" vertical="center" wrapText="1"/>
    </xf>
    <xf numFmtId="0" fontId="13" fillId="0" borderId="1" xfId="0" applyFont="1" applyBorder="1" applyAlignment="1">
      <alignment vertical="center" wrapText="1"/>
    </xf>
  </cellXfs>
  <cellStyles count="5">
    <cellStyle name="Currency" xfId="2" builtinId="4"/>
    <cellStyle name="Normal" xfId="0" builtinId="0"/>
    <cellStyle name="Normal 2" xfId="3" xr:uid="{475F88DF-E437-4808-925F-60DA2EF8E5F6}"/>
    <cellStyle name="Normal_ICR Cost Inputs" xfId="4" xr:uid="{2444DDE3-055F-46FA-9DE5-02D8EE20749F}"/>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sqref="A1:B1"/>
    </sheetView>
  </sheetViews>
  <sheetFormatPr defaultRowHeight="14.5" x14ac:dyDescent="0.35"/>
  <cols>
    <col min="1" max="1" width="27.81640625" bestFit="1" customWidth="1"/>
    <col min="2" max="2" width="14.26953125" bestFit="1" customWidth="1"/>
  </cols>
  <sheetData>
    <row r="1" spans="1:2" x14ac:dyDescent="0.35">
      <c r="A1" s="132" t="s">
        <v>0</v>
      </c>
      <c r="B1" s="132"/>
    </row>
    <row r="2" spans="1:2" x14ac:dyDescent="0.35">
      <c r="A2" t="s">
        <v>141</v>
      </c>
      <c r="B2" s="25">
        <f>'Table 1'!L34</f>
        <v>79</v>
      </c>
    </row>
    <row r="3" spans="1:2" x14ac:dyDescent="0.35">
      <c r="A3" t="s">
        <v>1</v>
      </c>
      <c r="B3">
        <f>Respondents!F8</f>
        <v>25</v>
      </c>
    </row>
    <row r="4" spans="1:2" x14ac:dyDescent="0.35">
      <c r="A4" t="s">
        <v>2</v>
      </c>
      <c r="B4" s="26">
        <f>'Table 1'!F34</f>
        <v>4350</v>
      </c>
    </row>
    <row r="5" spans="1:2" x14ac:dyDescent="0.35">
      <c r="A5" t="s">
        <v>3</v>
      </c>
      <c r="B5" s="27">
        <f>'Table 1'!I36</f>
        <v>554000</v>
      </c>
    </row>
    <row r="6" spans="1:2" x14ac:dyDescent="0.35">
      <c r="A6" t="s">
        <v>4</v>
      </c>
      <c r="B6" s="27">
        <f>'Capital O&amp;M'!D7+'Capital O&amp;M'!G7</f>
        <v>6110</v>
      </c>
    </row>
    <row r="7" spans="1:2" x14ac:dyDescent="0.35">
      <c r="A7" t="s">
        <v>6</v>
      </c>
      <c r="B7" t="s">
        <v>35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4"/>
  <sheetViews>
    <sheetView zoomScale="87" zoomScaleNormal="87" workbookViewId="0">
      <selection activeCell="A2" sqref="A2"/>
    </sheetView>
  </sheetViews>
  <sheetFormatPr defaultRowHeight="14.5" x14ac:dyDescent="0.35"/>
  <cols>
    <col min="1" max="1" width="44.453125" style="1" customWidth="1"/>
    <col min="2" max="2" width="12.7265625" style="1" customWidth="1"/>
    <col min="3" max="3" width="12.54296875" style="1" customWidth="1"/>
    <col min="4" max="4" width="13.453125" style="1" customWidth="1"/>
    <col min="5" max="5" width="11.1796875" style="1" customWidth="1"/>
    <col min="6" max="6" width="10.26953125" style="1" customWidth="1"/>
    <col min="7" max="7" width="11.81640625" style="1" customWidth="1"/>
    <col min="8" max="8" width="12.1796875" style="1" customWidth="1"/>
    <col min="9" max="9" width="12.7265625" style="1" bestFit="1" customWidth="1"/>
    <col min="10" max="10" width="1" style="5" customWidth="1"/>
    <col min="11" max="11" width="12.26953125" style="5" customWidth="1"/>
    <col min="12" max="12" width="10.7265625" style="5" bestFit="1" customWidth="1"/>
    <col min="14" max="14" width="12.1796875" customWidth="1"/>
    <col min="21" max="21" width="11.7265625" customWidth="1"/>
  </cols>
  <sheetData>
    <row r="1" spans="1:21" ht="15.5" x14ac:dyDescent="0.35">
      <c r="A1" s="30" t="s">
        <v>36</v>
      </c>
      <c r="B1" s="5"/>
      <c r="C1" s="5"/>
      <c r="D1" s="5"/>
      <c r="E1" s="5"/>
      <c r="F1" s="5"/>
      <c r="G1" s="5"/>
      <c r="H1" s="5"/>
      <c r="I1" s="31"/>
      <c r="K1" s="85" t="s">
        <v>37</v>
      </c>
      <c r="L1" s="85" t="s">
        <v>38</v>
      </c>
      <c r="N1" s="64"/>
    </row>
    <row r="2" spans="1:21" s="1" customFormat="1" ht="15" x14ac:dyDescent="0.3">
      <c r="A2" s="30"/>
      <c r="B2" s="5"/>
      <c r="C2" s="5"/>
      <c r="D2" s="5"/>
      <c r="E2" s="5"/>
      <c r="F2" s="5"/>
      <c r="G2" s="5"/>
      <c r="H2" s="5"/>
      <c r="I2" s="31"/>
      <c r="J2" s="5"/>
      <c r="K2" s="86" t="s">
        <v>39</v>
      </c>
      <c r="L2" s="130">
        <f>Respondents!C8</f>
        <v>25</v>
      </c>
    </row>
    <row r="3" spans="1:21" s="1" customFormat="1" ht="13" x14ac:dyDescent="0.3">
      <c r="A3" s="5"/>
      <c r="B3" s="5"/>
      <c r="C3" s="5"/>
      <c r="D3" s="5"/>
      <c r="E3" s="32"/>
      <c r="F3" s="33"/>
      <c r="G3" s="33"/>
      <c r="H3" s="33"/>
      <c r="I3" s="31"/>
      <c r="J3" s="5"/>
      <c r="K3" s="86" t="s">
        <v>40</v>
      </c>
      <c r="L3" s="110">
        <f>Respondents!B8</f>
        <v>0.33333333333333331</v>
      </c>
      <c r="N3" s="72"/>
      <c r="O3" s="72"/>
      <c r="P3" s="72"/>
      <c r="Q3" s="72"/>
      <c r="R3" s="72"/>
      <c r="S3" s="72"/>
      <c r="T3" s="72"/>
      <c r="U3" s="72"/>
    </row>
    <row r="4" spans="1:21" s="1" customFormat="1" ht="13" x14ac:dyDescent="0.3">
      <c r="A4" s="88" t="s">
        <v>41</v>
      </c>
      <c r="B4" s="34" t="s">
        <v>42</v>
      </c>
      <c r="C4" s="34" t="s">
        <v>43</v>
      </c>
      <c r="D4" s="34" t="s">
        <v>44</v>
      </c>
      <c r="E4" s="34" t="s">
        <v>45</v>
      </c>
      <c r="F4" s="34" t="s">
        <v>46</v>
      </c>
      <c r="G4" s="34" t="s">
        <v>47</v>
      </c>
      <c r="H4" s="34" t="s">
        <v>48</v>
      </c>
      <c r="I4" s="35" t="s">
        <v>49</v>
      </c>
      <c r="J4" s="5"/>
      <c r="K4" s="5"/>
      <c r="L4" s="5"/>
      <c r="O4" s="73"/>
      <c r="P4" s="73"/>
      <c r="Q4" s="73"/>
      <c r="R4" s="73"/>
      <c r="S4" s="73"/>
      <c r="T4" s="73"/>
      <c r="U4" s="74"/>
    </row>
    <row r="5" spans="1:21" s="1" customFormat="1" ht="39.5" x14ac:dyDescent="0.35">
      <c r="A5" s="89"/>
      <c r="B5" s="28" t="s">
        <v>50</v>
      </c>
      <c r="C5" s="28" t="s">
        <v>51</v>
      </c>
      <c r="D5" s="28" t="s">
        <v>52</v>
      </c>
      <c r="E5" s="28" t="s">
        <v>53</v>
      </c>
      <c r="F5" s="28" t="s">
        <v>54</v>
      </c>
      <c r="G5" s="28" t="s">
        <v>55</v>
      </c>
      <c r="H5" s="28" t="s">
        <v>56</v>
      </c>
      <c r="I5" s="36" t="s">
        <v>57</v>
      </c>
      <c r="J5" s="29"/>
      <c r="K5" s="108"/>
      <c r="L5" s="29"/>
      <c r="N5" s="73"/>
      <c r="O5" s="73"/>
      <c r="P5" s="73"/>
      <c r="Q5" s="73"/>
      <c r="R5" s="75"/>
      <c r="S5" s="73"/>
      <c r="T5" s="73"/>
      <c r="U5" s="76"/>
    </row>
    <row r="6" spans="1:21" s="1" customFormat="1" ht="13" x14ac:dyDescent="0.3">
      <c r="A6" s="37" t="s">
        <v>58</v>
      </c>
      <c r="B6" s="19" t="s">
        <v>59</v>
      </c>
      <c r="C6" s="19"/>
      <c r="D6" s="19"/>
      <c r="E6" s="19"/>
      <c r="F6" s="19"/>
      <c r="G6" s="19"/>
      <c r="H6" s="19"/>
      <c r="I6" s="38"/>
      <c r="J6" s="5"/>
      <c r="K6" s="135" t="s">
        <v>121</v>
      </c>
      <c r="L6" s="136"/>
      <c r="N6" s="73"/>
      <c r="O6" s="73"/>
      <c r="P6" s="73"/>
      <c r="Q6" s="73"/>
      <c r="R6" s="73"/>
      <c r="S6" s="73"/>
      <c r="T6" s="73"/>
      <c r="U6" s="76"/>
    </row>
    <row r="7" spans="1:21" s="1" customFormat="1" ht="13" x14ac:dyDescent="0.3">
      <c r="A7" s="37" t="s">
        <v>60</v>
      </c>
      <c r="B7" s="19" t="s">
        <v>59</v>
      </c>
      <c r="C7" s="19"/>
      <c r="D7" s="19"/>
      <c r="E7" s="19"/>
      <c r="F7" s="19"/>
      <c r="G7" s="19"/>
      <c r="H7" s="19"/>
      <c r="I7" s="38"/>
      <c r="J7" s="5"/>
      <c r="K7" s="112" t="s">
        <v>122</v>
      </c>
      <c r="L7" s="113">
        <v>163.16999999999999</v>
      </c>
      <c r="N7" s="73"/>
      <c r="O7" s="73"/>
      <c r="P7" s="73"/>
      <c r="Q7" s="73"/>
      <c r="R7" s="73"/>
      <c r="S7" s="73"/>
      <c r="T7" s="73"/>
      <c r="U7" s="76"/>
    </row>
    <row r="8" spans="1:21" s="1" customFormat="1" ht="13" x14ac:dyDescent="0.3">
      <c r="A8" s="37" t="s">
        <v>61</v>
      </c>
      <c r="B8" s="19"/>
      <c r="C8" s="19"/>
      <c r="D8" s="19"/>
      <c r="E8" s="19"/>
      <c r="F8" s="19"/>
      <c r="G8" s="19"/>
      <c r="H8" s="19"/>
      <c r="I8" s="38"/>
      <c r="J8" s="5"/>
      <c r="K8" s="112" t="s">
        <v>123</v>
      </c>
      <c r="L8" s="113">
        <v>130.28</v>
      </c>
      <c r="N8" s="73"/>
      <c r="O8" s="73"/>
      <c r="P8" s="73"/>
      <c r="Q8" s="77"/>
      <c r="R8" s="77"/>
      <c r="S8" s="77"/>
      <c r="T8" s="77"/>
      <c r="U8" s="76"/>
    </row>
    <row r="9" spans="1:21" s="1" customFormat="1" ht="13" x14ac:dyDescent="0.3">
      <c r="A9" s="20" t="s">
        <v>62</v>
      </c>
      <c r="B9" s="19">
        <v>1</v>
      </c>
      <c r="C9" s="19">
        <v>1</v>
      </c>
      <c r="D9" s="39">
        <f t="shared" ref="D9" si="0">B9*C9</f>
        <v>1</v>
      </c>
      <c r="E9" s="39">
        <f>Respondents!F8</f>
        <v>25</v>
      </c>
      <c r="F9" s="39">
        <f>D9*E9</f>
        <v>25</v>
      </c>
      <c r="G9" s="40">
        <f t="shared" ref="G9:G19" si="1">F9*0.05</f>
        <v>1.25</v>
      </c>
      <c r="H9" s="40">
        <f t="shared" ref="H9:H19" si="2">F9*0.1</f>
        <v>2.5</v>
      </c>
      <c r="I9" s="41">
        <f>F9*$L$8+G9*$L$7+H9*$L$9</f>
        <v>3625.2375000000002</v>
      </c>
      <c r="J9" s="5"/>
      <c r="K9" s="112" t="s">
        <v>124</v>
      </c>
      <c r="L9" s="113">
        <v>65.709999999999994</v>
      </c>
      <c r="N9" s="73"/>
      <c r="O9" s="73"/>
      <c r="P9" s="73"/>
      <c r="Q9" s="77"/>
      <c r="R9" s="77"/>
      <c r="S9" s="77"/>
      <c r="T9" s="77"/>
      <c r="U9" s="76"/>
    </row>
    <row r="10" spans="1:21" s="1" customFormat="1" ht="13" x14ac:dyDescent="0.3">
      <c r="A10" s="20" t="s">
        <v>63</v>
      </c>
      <c r="B10" s="19"/>
      <c r="C10" s="19"/>
      <c r="D10" s="19"/>
      <c r="E10" s="19"/>
      <c r="F10" s="19"/>
      <c r="G10" s="19"/>
      <c r="H10" s="19"/>
      <c r="I10" s="38"/>
      <c r="J10" s="5"/>
      <c r="K10" s="109"/>
      <c r="L10" s="5"/>
      <c r="N10" s="73"/>
      <c r="O10" s="73"/>
      <c r="P10" s="73"/>
      <c r="Q10" s="77"/>
      <c r="R10" s="77"/>
      <c r="S10" s="77"/>
      <c r="T10" s="77"/>
      <c r="U10" s="76"/>
    </row>
    <row r="11" spans="1:21" s="1" customFormat="1" ht="15.5" x14ac:dyDescent="0.3">
      <c r="A11" s="42" t="s">
        <v>118</v>
      </c>
      <c r="B11" s="19">
        <v>480</v>
      </c>
      <c r="C11" s="43">
        <v>1</v>
      </c>
      <c r="D11" s="39">
        <f>B11*C11</f>
        <v>480</v>
      </c>
      <c r="E11" s="45">
        <f>L3</f>
        <v>0.33333333333333331</v>
      </c>
      <c r="F11" s="39">
        <f>D11*E11</f>
        <v>160</v>
      </c>
      <c r="G11" s="40">
        <f t="shared" si="1"/>
        <v>8</v>
      </c>
      <c r="H11" s="40">
        <f t="shared" si="2"/>
        <v>16</v>
      </c>
      <c r="I11" s="41">
        <f>F11*$L$8+G11*$L$7+H11*$L$9</f>
        <v>23201.52</v>
      </c>
      <c r="J11" s="5"/>
      <c r="K11" s="109"/>
      <c r="L11" s="5"/>
      <c r="N11" s="73"/>
      <c r="O11" s="73"/>
      <c r="P11" s="73"/>
      <c r="Q11" s="77"/>
      <c r="R11" s="77"/>
      <c r="S11" s="78"/>
      <c r="T11" s="78"/>
      <c r="U11" s="76"/>
    </row>
    <row r="12" spans="1:21" s="1" customFormat="1" ht="15.5" x14ac:dyDescent="0.3">
      <c r="A12" s="42" t="s">
        <v>119</v>
      </c>
      <c r="B12" s="19">
        <v>160</v>
      </c>
      <c r="C12" s="43">
        <v>1</v>
      </c>
      <c r="D12" s="39">
        <f>B12*C12</f>
        <v>160</v>
      </c>
      <c r="E12" s="45">
        <f>L3</f>
        <v>0.33333333333333331</v>
      </c>
      <c r="F12" s="39">
        <f>D12*E12</f>
        <v>53.333333333333329</v>
      </c>
      <c r="G12" s="40">
        <f t="shared" si="1"/>
        <v>2.6666666666666665</v>
      </c>
      <c r="H12" s="40">
        <f t="shared" si="2"/>
        <v>5.333333333333333</v>
      </c>
      <c r="I12" s="41">
        <f>F12*$L$8+G12*$L$7+H12*$L$9</f>
        <v>7733.8399999999992</v>
      </c>
      <c r="J12" s="5"/>
      <c r="K12" s="109"/>
      <c r="L12" s="5"/>
      <c r="N12" s="73"/>
      <c r="O12" s="73"/>
      <c r="P12" s="73"/>
      <c r="Q12" s="77"/>
      <c r="R12" s="77"/>
      <c r="S12" s="78"/>
      <c r="T12" s="78"/>
      <c r="U12" s="76"/>
    </row>
    <row r="13" spans="1:21" s="1" customFormat="1" ht="13" x14ac:dyDescent="0.3">
      <c r="A13" s="20" t="s">
        <v>64</v>
      </c>
      <c r="B13" s="19"/>
      <c r="C13" s="19"/>
      <c r="D13" s="39"/>
      <c r="E13" s="39"/>
      <c r="F13" s="39"/>
      <c r="G13" s="39"/>
      <c r="H13" s="39"/>
      <c r="I13" s="44"/>
      <c r="J13" s="5"/>
      <c r="K13" s="109"/>
      <c r="L13" s="5"/>
      <c r="N13" s="73"/>
      <c r="O13" s="73"/>
      <c r="P13" s="73"/>
      <c r="Q13" s="73"/>
      <c r="R13" s="73"/>
      <c r="S13" s="73"/>
      <c r="T13" s="73"/>
      <c r="U13" s="76"/>
    </row>
    <row r="14" spans="1:21" s="1" customFormat="1" ht="18" customHeight="1" x14ac:dyDescent="0.3">
      <c r="A14" s="42" t="s">
        <v>65</v>
      </c>
      <c r="B14" s="19">
        <v>2</v>
      </c>
      <c r="C14" s="43">
        <v>1</v>
      </c>
      <c r="D14" s="39">
        <f>B14*C14</f>
        <v>2</v>
      </c>
      <c r="E14" s="45">
        <f>L3</f>
        <v>0.33333333333333331</v>
      </c>
      <c r="F14" s="39">
        <f>D14*E14</f>
        <v>0.66666666666666663</v>
      </c>
      <c r="G14" s="40">
        <f t="shared" si="1"/>
        <v>3.3333333333333333E-2</v>
      </c>
      <c r="H14" s="40">
        <f t="shared" si="2"/>
        <v>6.6666666666666666E-2</v>
      </c>
      <c r="I14" s="41">
        <f>F14*$L$8+G14*$L$7+H14*$L$9</f>
        <v>96.672999999999988</v>
      </c>
      <c r="J14" s="5"/>
      <c r="K14" s="109"/>
      <c r="L14" s="5"/>
      <c r="N14" s="73"/>
      <c r="O14" s="73"/>
      <c r="P14" s="73"/>
      <c r="Q14" s="73"/>
      <c r="R14" s="73"/>
      <c r="S14" s="73"/>
      <c r="T14" s="73"/>
      <c r="U14" s="76"/>
    </row>
    <row r="15" spans="1:21" s="1" customFormat="1" ht="13" x14ac:dyDescent="0.3">
      <c r="A15" s="42" t="s">
        <v>66</v>
      </c>
      <c r="B15" s="19">
        <v>2</v>
      </c>
      <c r="C15" s="43">
        <v>1</v>
      </c>
      <c r="D15" s="39">
        <f t="shared" ref="D15:D20" si="3">B15*C15</f>
        <v>2</v>
      </c>
      <c r="E15" s="45">
        <f>L3</f>
        <v>0.33333333333333331</v>
      </c>
      <c r="F15" s="39">
        <f t="shared" ref="F15:F19" si="4">D15*E15</f>
        <v>0.66666666666666663</v>
      </c>
      <c r="G15" s="40">
        <f t="shared" si="1"/>
        <v>3.3333333333333333E-2</v>
      </c>
      <c r="H15" s="40">
        <f t="shared" si="2"/>
        <v>6.6666666666666666E-2</v>
      </c>
      <c r="I15" s="41">
        <f>F15*$L$8+G15*$L$7+H15*$L$9</f>
        <v>96.672999999999988</v>
      </c>
      <c r="J15" s="5"/>
      <c r="K15" s="109"/>
      <c r="L15" s="5"/>
      <c r="N15" s="73"/>
      <c r="O15" s="73"/>
      <c r="P15" s="73"/>
      <c r="Q15" s="73"/>
      <c r="R15" s="73"/>
      <c r="S15" s="73"/>
      <c r="T15" s="73"/>
      <c r="U15" s="76"/>
    </row>
    <row r="16" spans="1:21" s="1" customFormat="1" ht="13" x14ac:dyDescent="0.3">
      <c r="A16" s="42" t="s">
        <v>67</v>
      </c>
      <c r="B16" s="19">
        <v>2</v>
      </c>
      <c r="C16" s="43">
        <v>1</v>
      </c>
      <c r="D16" s="39">
        <f t="shared" si="3"/>
        <v>2</v>
      </c>
      <c r="E16" s="45">
        <f>L3</f>
        <v>0.33333333333333331</v>
      </c>
      <c r="F16" s="39">
        <f t="shared" si="4"/>
        <v>0.66666666666666663</v>
      </c>
      <c r="G16" s="40">
        <f t="shared" si="1"/>
        <v>3.3333333333333333E-2</v>
      </c>
      <c r="H16" s="40">
        <f t="shared" si="2"/>
        <v>6.6666666666666666E-2</v>
      </c>
      <c r="I16" s="41">
        <f t="shared" ref="I16:I24" si="5">F16*$L$8+G16*$L$7+H16*$L$9</f>
        <v>96.672999999999988</v>
      </c>
      <c r="J16" s="5"/>
      <c r="K16" s="109"/>
      <c r="L16" s="5"/>
      <c r="N16" s="73"/>
      <c r="O16" s="73"/>
      <c r="P16" s="73"/>
      <c r="Q16" s="73"/>
      <c r="R16" s="73"/>
      <c r="S16" s="73"/>
      <c r="T16" s="73"/>
      <c r="U16" s="76"/>
    </row>
    <row r="17" spans="1:21" s="1" customFormat="1" ht="15.5" x14ac:dyDescent="0.3">
      <c r="A17" s="42" t="s">
        <v>120</v>
      </c>
      <c r="B17" s="19">
        <v>14</v>
      </c>
      <c r="C17" s="43">
        <v>1</v>
      </c>
      <c r="D17" s="39">
        <f t="shared" si="3"/>
        <v>14</v>
      </c>
      <c r="E17" s="45">
        <f>L3</f>
        <v>0.33333333333333331</v>
      </c>
      <c r="F17" s="39">
        <f t="shared" si="4"/>
        <v>4.6666666666666661</v>
      </c>
      <c r="G17" s="40">
        <f t="shared" si="1"/>
        <v>0.23333333333333331</v>
      </c>
      <c r="H17" s="40">
        <f t="shared" si="2"/>
        <v>0.46666666666666662</v>
      </c>
      <c r="I17" s="41">
        <f t="shared" si="5"/>
        <v>676.7109999999999</v>
      </c>
      <c r="J17" s="5"/>
      <c r="K17" s="109"/>
      <c r="L17" s="5"/>
      <c r="N17" s="73"/>
      <c r="O17" s="73"/>
      <c r="P17" s="73"/>
      <c r="Q17" s="73"/>
      <c r="R17" s="73"/>
      <c r="S17" s="73"/>
      <c r="T17" s="73"/>
      <c r="U17" s="76"/>
    </row>
    <row r="18" spans="1:21" s="1" customFormat="1" ht="19.5" customHeight="1" x14ac:dyDescent="0.3">
      <c r="A18" s="42" t="s">
        <v>68</v>
      </c>
      <c r="B18" s="19">
        <v>2</v>
      </c>
      <c r="C18" s="43">
        <v>1</v>
      </c>
      <c r="D18" s="39">
        <f t="shared" si="3"/>
        <v>2</v>
      </c>
      <c r="E18" s="45">
        <f>L3</f>
        <v>0.33333333333333331</v>
      </c>
      <c r="F18" s="39">
        <f t="shared" si="4"/>
        <v>0.66666666666666663</v>
      </c>
      <c r="G18" s="40">
        <f t="shared" si="1"/>
        <v>3.3333333333333333E-2</v>
      </c>
      <c r="H18" s="40">
        <f t="shared" si="2"/>
        <v>6.6666666666666666E-2</v>
      </c>
      <c r="I18" s="41">
        <f t="shared" si="5"/>
        <v>96.672999999999988</v>
      </c>
      <c r="J18" s="5"/>
      <c r="K18" s="109"/>
      <c r="L18" s="5"/>
      <c r="N18" s="73"/>
      <c r="O18" s="73"/>
      <c r="P18" s="73"/>
      <c r="Q18" s="73"/>
      <c r="R18" s="73"/>
      <c r="S18" s="73"/>
      <c r="T18" s="73"/>
      <c r="U18" s="76"/>
    </row>
    <row r="19" spans="1:21" s="1" customFormat="1" ht="16.5" customHeight="1" x14ac:dyDescent="0.3">
      <c r="A19" s="42" t="s">
        <v>69</v>
      </c>
      <c r="B19" s="19">
        <v>2</v>
      </c>
      <c r="C19" s="43">
        <v>1</v>
      </c>
      <c r="D19" s="39">
        <f t="shared" si="3"/>
        <v>2</v>
      </c>
      <c r="E19" s="45">
        <f>L3</f>
        <v>0.33333333333333331</v>
      </c>
      <c r="F19" s="39">
        <f t="shared" si="4"/>
        <v>0.66666666666666663</v>
      </c>
      <c r="G19" s="40">
        <f t="shared" si="1"/>
        <v>3.3333333333333333E-2</v>
      </c>
      <c r="H19" s="40">
        <f t="shared" si="2"/>
        <v>6.6666666666666666E-2</v>
      </c>
      <c r="I19" s="41">
        <f t="shared" si="5"/>
        <v>96.672999999999988</v>
      </c>
      <c r="J19" s="5"/>
      <c r="K19" s="109"/>
      <c r="L19" s="5"/>
      <c r="N19" s="73"/>
      <c r="O19" s="73"/>
      <c r="P19" s="73"/>
      <c r="Q19" s="73"/>
      <c r="R19" s="73"/>
      <c r="S19" s="73"/>
      <c r="T19" s="73"/>
      <c r="U19" s="76"/>
    </row>
    <row r="20" spans="1:21" s="1" customFormat="1" ht="13" x14ac:dyDescent="0.3">
      <c r="A20" s="42" t="s">
        <v>142</v>
      </c>
      <c r="B20" s="19">
        <v>80</v>
      </c>
      <c r="C20" s="43">
        <v>1</v>
      </c>
      <c r="D20" s="39">
        <f t="shared" si="3"/>
        <v>80</v>
      </c>
      <c r="E20" s="45">
        <f>L3</f>
        <v>0.33333333333333331</v>
      </c>
      <c r="F20" s="39">
        <f>D20*E20</f>
        <v>26.666666666666664</v>
      </c>
      <c r="G20" s="40">
        <f>F20*0.05</f>
        <v>1.3333333333333333</v>
      </c>
      <c r="H20" s="40">
        <f>F20*0.1</f>
        <v>2.6666666666666665</v>
      </c>
      <c r="I20" s="41">
        <f>F20*$L$8+G20*$L$7+H20*$L$9</f>
        <v>3866.9199999999996</v>
      </c>
      <c r="J20" s="5"/>
      <c r="K20" s="109"/>
      <c r="L20" s="5"/>
      <c r="N20" s="73"/>
      <c r="O20" s="73"/>
      <c r="P20" s="73"/>
      <c r="Q20" s="73"/>
      <c r="R20" s="73"/>
      <c r="S20" s="73"/>
      <c r="T20" s="73"/>
      <c r="U20" s="76"/>
    </row>
    <row r="21" spans="1:21" s="1" customFormat="1" ht="13" x14ac:dyDescent="0.3">
      <c r="A21" s="42" t="s">
        <v>70</v>
      </c>
      <c r="B21" s="19">
        <v>2</v>
      </c>
      <c r="C21" s="43">
        <v>1</v>
      </c>
      <c r="D21" s="39">
        <f t="shared" ref="D21:D24" si="6">B21*C21</f>
        <v>2</v>
      </c>
      <c r="E21" s="39">
        <v>0</v>
      </c>
      <c r="F21" s="39">
        <f>D21*E21</f>
        <v>0</v>
      </c>
      <c r="G21" s="39">
        <f t="shared" ref="G21:G24" si="7">F21*0.05</f>
        <v>0</v>
      </c>
      <c r="H21" s="39">
        <f t="shared" ref="H21:H24" si="8">F21*0.1</f>
        <v>0</v>
      </c>
      <c r="I21" s="41">
        <f t="shared" si="5"/>
        <v>0</v>
      </c>
      <c r="J21" s="5"/>
      <c r="K21" s="109"/>
      <c r="L21" s="5"/>
      <c r="N21" s="73"/>
      <c r="O21" s="73"/>
      <c r="P21" s="73"/>
      <c r="Q21" s="73"/>
      <c r="R21" s="75"/>
      <c r="S21" s="73"/>
      <c r="T21" s="73"/>
      <c r="U21" s="76"/>
    </row>
    <row r="22" spans="1:21" s="1" customFormat="1" ht="13.5" x14ac:dyDescent="0.35">
      <c r="A22" s="42" t="s">
        <v>71</v>
      </c>
      <c r="B22" s="19">
        <v>20</v>
      </c>
      <c r="C22" s="43">
        <v>2</v>
      </c>
      <c r="D22" s="39">
        <f t="shared" si="6"/>
        <v>40</v>
      </c>
      <c r="E22" s="39">
        <f>L2</f>
        <v>25</v>
      </c>
      <c r="F22" s="39">
        <f>D22*E22</f>
        <v>1000</v>
      </c>
      <c r="G22" s="39">
        <f t="shared" si="7"/>
        <v>50</v>
      </c>
      <c r="H22" s="39">
        <f t="shared" si="8"/>
        <v>100</v>
      </c>
      <c r="I22" s="41">
        <f t="shared" si="5"/>
        <v>145009.5</v>
      </c>
      <c r="J22" s="5"/>
      <c r="K22" s="109"/>
      <c r="L22" s="5"/>
      <c r="N22" s="80"/>
      <c r="O22" s="80"/>
      <c r="P22" s="80"/>
      <c r="Q22" s="80"/>
      <c r="R22" s="81"/>
      <c r="S22" s="81"/>
      <c r="T22" s="81"/>
      <c r="U22" s="79"/>
    </row>
    <row r="23" spans="1:21" s="1" customFormat="1" ht="15.5" x14ac:dyDescent="0.3">
      <c r="A23" s="42" t="s">
        <v>111</v>
      </c>
      <c r="B23" s="19">
        <v>2</v>
      </c>
      <c r="C23" s="43">
        <v>1</v>
      </c>
      <c r="D23" s="39">
        <f t="shared" si="6"/>
        <v>2</v>
      </c>
      <c r="E23" s="45">
        <f>L2*0.1</f>
        <v>2.5</v>
      </c>
      <c r="F23" s="39">
        <f t="shared" ref="F23:F24" si="9">D23*E23</f>
        <v>5</v>
      </c>
      <c r="G23" s="40">
        <f t="shared" si="7"/>
        <v>0.25</v>
      </c>
      <c r="H23" s="40">
        <f t="shared" si="8"/>
        <v>0.5</v>
      </c>
      <c r="I23" s="41">
        <f t="shared" si="5"/>
        <v>725.04750000000001</v>
      </c>
      <c r="J23" s="5"/>
      <c r="K23" s="109"/>
      <c r="L23" s="5"/>
      <c r="N23" s="73"/>
      <c r="O23" s="73"/>
      <c r="P23" s="73"/>
      <c r="Q23" s="73"/>
      <c r="R23" s="73"/>
      <c r="S23" s="73"/>
      <c r="T23" s="73"/>
      <c r="U23" s="74"/>
    </row>
    <row r="24" spans="1:21" s="1" customFormat="1" ht="13" x14ac:dyDescent="0.3">
      <c r="A24" s="42" t="s">
        <v>72</v>
      </c>
      <c r="B24" s="19">
        <v>5.5</v>
      </c>
      <c r="C24" s="43">
        <v>2</v>
      </c>
      <c r="D24" s="39">
        <f t="shared" si="6"/>
        <v>11</v>
      </c>
      <c r="E24" s="39">
        <f>L2</f>
        <v>25</v>
      </c>
      <c r="F24" s="39">
        <f t="shared" si="9"/>
        <v>275</v>
      </c>
      <c r="G24" s="45">
        <f t="shared" si="7"/>
        <v>13.75</v>
      </c>
      <c r="H24" s="40">
        <f t="shared" si="8"/>
        <v>27.5</v>
      </c>
      <c r="I24" s="41">
        <f t="shared" si="5"/>
        <v>39877.612500000003</v>
      </c>
      <c r="J24" s="5"/>
      <c r="K24" s="109"/>
      <c r="L24" s="5"/>
      <c r="N24" s="73"/>
      <c r="O24" s="73"/>
      <c r="P24" s="73"/>
      <c r="Q24" s="73"/>
      <c r="R24" s="73"/>
      <c r="S24" s="73"/>
      <c r="T24" s="73"/>
      <c r="U24" s="76"/>
    </row>
    <row r="25" spans="1:21" s="1" customFormat="1" ht="13.5" x14ac:dyDescent="0.35">
      <c r="A25" s="46" t="s">
        <v>8</v>
      </c>
      <c r="B25" s="47"/>
      <c r="C25" s="47"/>
      <c r="D25" s="48"/>
      <c r="E25" s="48"/>
      <c r="F25" s="137">
        <f>ROUND(SUM(F9:H24), 0)</f>
        <v>1786</v>
      </c>
      <c r="G25" s="138"/>
      <c r="H25" s="139"/>
      <c r="I25" s="49">
        <f>SUM(I9:I24)</f>
        <v>225199.75349999999</v>
      </c>
      <c r="J25" s="5"/>
      <c r="K25" s="109"/>
      <c r="L25" s="5"/>
      <c r="N25" s="73"/>
      <c r="O25" s="73"/>
      <c r="P25" s="73"/>
      <c r="Q25" s="73"/>
      <c r="R25" s="73"/>
      <c r="S25" s="73"/>
      <c r="T25" s="73"/>
      <c r="U25" s="76"/>
    </row>
    <row r="26" spans="1:21" s="1" customFormat="1" ht="13" x14ac:dyDescent="0.3">
      <c r="A26" s="37" t="s">
        <v>73</v>
      </c>
      <c r="B26" s="19"/>
      <c r="C26" s="19"/>
      <c r="D26" s="19"/>
      <c r="E26" s="19"/>
      <c r="F26" s="19"/>
      <c r="G26" s="19"/>
      <c r="H26" s="19"/>
      <c r="I26" s="41"/>
      <c r="J26" s="5"/>
      <c r="K26" s="109"/>
      <c r="L26" s="5"/>
      <c r="N26" s="73"/>
      <c r="O26" s="73"/>
      <c r="P26" s="73"/>
      <c r="Q26" s="73"/>
      <c r="R26" s="75"/>
      <c r="S26" s="73"/>
      <c r="T26" s="73"/>
      <c r="U26" s="76"/>
    </row>
    <row r="27" spans="1:21" s="1" customFormat="1" ht="18" customHeight="1" x14ac:dyDescent="0.3">
      <c r="A27" s="20" t="s">
        <v>62</v>
      </c>
      <c r="B27" s="19" t="s">
        <v>125</v>
      </c>
      <c r="C27" s="43"/>
      <c r="D27" s="39"/>
      <c r="E27" s="39"/>
      <c r="F27" s="39"/>
      <c r="G27" s="40"/>
      <c r="H27" s="40"/>
      <c r="I27" s="41"/>
      <c r="J27" s="5"/>
      <c r="K27" s="109"/>
      <c r="L27" s="5"/>
      <c r="N27" s="73"/>
      <c r="O27" s="73"/>
      <c r="P27" s="73"/>
      <c r="Q27" s="73"/>
      <c r="R27" s="73"/>
      <c r="S27" s="73"/>
      <c r="T27" s="73"/>
      <c r="U27" s="76"/>
    </row>
    <row r="28" spans="1:21" s="1" customFormat="1" ht="13" x14ac:dyDescent="0.3">
      <c r="A28" s="20" t="s">
        <v>74</v>
      </c>
      <c r="B28" s="19">
        <v>40</v>
      </c>
      <c r="C28" s="19">
        <v>1</v>
      </c>
      <c r="D28" s="39">
        <f t="shared" ref="D28:D29" si="10">B28*C28</f>
        <v>40</v>
      </c>
      <c r="E28" s="45">
        <f>L3</f>
        <v>0.33333333333333331</v>
      </c>
      <c r="F28" s="39">
        <f t="shared" ref="F28:F29" si="11">D28*E28</f>
        <v>13.333333333333332</v>
      </c>
      <c r="G28" s="40">
        <f t="shared" ref="G28:G29" si="12">F28*0.05</f>
        <v>0.66666666666666663</v>
      </c>
      <c r="H28" s="40">
        <f t="shared" ref="H28:H29" si="13">F28*0.1</f>
        <v>1.3333333333333333</v>
      </c>
      <c r="I28" s="41">
        <f t="shared" ref="I28:I29" si="14">F28*$L$8+G28*$L$7+H28*$L$9</f>
        <v>1933.4599999999998</v>
      </c>
      <c r="J28" s="5"/>
      <c r="K28" s="109"/>
      <c r="L28" s="5"/>
      <c r="N28" s="73"/>
      <c r="O28" s="73"/>
      <c r="P28" s="73"/>
      <c r="Q28" s="73"/>
      <c r="R28" s="73"/>
      <c r="S28" s="73"/>
      <c r="T28" s="73"/>
      <c r="U28" s="76"/>
    </row>
    <row r="29" spans="1:21" s="1" customFormat="1" ht="13" x14ac:dyDescent="0.3">
      <c r="A29" s="20" t="s">
        <v>75</v>
      </c>
      <c r="B29" s="19">
        <v>40</v>
      </c>
      <c r="C29" s="19">
        <v>1</v>
      </c>
      <c r="D29" s="39">
        <f t="shared" si="10"/>
        <v>40</v>
      </c>
      <c r="E29" s="45">
        <f>L3</f>
        <v>0.33333333333333331</v>
      </c>
      <c r="F29" s="39">
        <f t="shared" si="11"/>
        <v>13.333333333333332</v>
      </c>
      <c r="G29" s="45">
        <f t="shared" si="12"/>
        <v>0.66666666666666663</v>
      </c>
      <c r="H29" s="40">
        <f t="shared" si="13"/>
        <v>1.3333333333333333</v>
      </c>
      <c r="I29" s="41">
        <f t="shared" si="14"/>
        <v>1933.4599999999998</v>
      </c>
      <c r="J29" s="5"/>
      <c r="K29" s="109"/>
      <c r="L29" s="5"/>
      <c r="N29" s="73"/>
      <c r="O29" s="73"/>
      <c r="P29" s="73"/>
      <c r="Q29" s="73"/>
      <c r="R29" s="73"/>
      <c r="S29" s="73"/>
      <c r="T29" s="73"/>
      <c r="U29" s="76"/>
    </row>
    <row r="30" spans="1:21" s="1" customFormat="1" ht="13" x14ac:dyDescent="0.3">
      <c r="A30" s="20" t="s">
        <v>76</v>
      </c>
      <c r="B30" s="19" t="s">
        <v>77</v>
      </c>
      <c r="C30" s="19"/>
      <c r="D30" s="39"/>
      <c r="E30" s="39"/>
      <c r="F30" s="39"/>
      <c r="G30" s="39"/>
      <c r="H30" s="39"/>
      <c r="I30" s="41"/>
      <c r="J30" s="5"/>
      <c r="K30" s="109"/>
      <c r="L30" s="5"/>
      <c r="N30" s="73"/>
      <c r="O30" s="73"/>
      <c r="P30" s="73"/>
      <c r="Q30" s="73"/>
      <c r="R30" s="73"/>
      <c r="S30" s="73"/>
      <c r="T30" s="73"/>
      <c r="U30" s="76"/>
    </row>
    <row r="31" spans="1:21" s="1" customFormat="1" ht="13" x14ac:dyDescent="0.3">
      <c r="A31" s="20" t="s">
        <v>78</v>
      </c>
      <c r="B31" s="19">
        <v>88</v>
      </c>
      <c r="C31" s="43">
        <v>1</v>
      </c>
      <c r="D31" s="39">
        <f>B31*C31</f>
        <v>88</v>
      </c>
      <c r="E31" s="39">
        <f>L2</f>
        <v>25</v>
      </c>
      <c r="F31" s="39">
        <f t="shared" ref="F31" si="15">D31*E31</f>
        <v>2200</v>
      </c>
      <c r="G31" s="40">
        <f t="shared" ref="G31" si="16">F31*0.05</f>
        <v>110</v>
      </c>
      <c r="H31" s="40">
        <f t="shared" ref="H31" si="17">F31*0.1</f>
        <v>220</v>
      </c>
      <c r="I31" s="41">
        <f>F31*$L$8+G31*$L$7+H31*$L$9</f>
        <v>319020.90000000002</v>
      </c>
      <c r="J31" s="5"/>
      <c r="K31" s="109"/>
      <c r="L31" s="5"/>
      <c r="N31" s="73"/>
      <c r="O31" s="73"/>
      <c r="P31" s="73"/>
      <c r="Q31" s="73"/>
      <c r="R31" s="73"/>
      <c r="S31" s="73"/>
      <c r="T31" s="73"/>
      <c r="U31" s="76"/>
    </row>
    <row r="32" spans="1:21" s="1" customFormat="1" ht="13" x14ac:dyDescent="0.3">
      <c r="A32" s="20" t="s">
        <v>79</v>
      </c>
      <c r="B32" s="19" t="s">
        <v>59</v>
      </c>
      <c r="C32" s="19"/>
      <c r="D32" s="39"/>
      <c r="E32" s="39"/>
      <c r="F32" s="39"/>
      <c r="G32" s="40"/>
      <c r="H32" s="40"/>
      <c r="I32" s="41"/>
      <c r="J32" s="5"/>
      <c r="K32" s="109"/>
      <c r="L32" s="5"/>
      <c r="N32" s="73"/>
      <c r="O32" s="73"/>
      <c r="P32" s="73"/>
      <c r="Q32" s="73"/>
      <c r="R32" s="73"/>
      <c r="S32" s="73"/>
      <c r="T32" s="73"/>
      <c r="U32" s="76"/>
    </row>
    <row r="33" spans="1:21" s="1" customFormat="1" ht="19.5" customHeight="1" x14ac:dyDescent="0.35">
      <c r="A33" s="46" t="s">
        <v>80</v>
      </c>
      <c r="B33" s="47"/>
      <c r="C33" s="47"/>
      <c r="D33" s="48"/>
      <c r="E33" s="48"/>
      <c r="F33" s="137">
        <f>ROUNDDOWN(SUM(F27:H32), 0)</f>
        <v>2560</v>
      </c>
      <c r="G33" s="138"/>
      <c r="H33" s="139"/>
      <c r="I33" s="49">
        <f>SUM(I27:I32)</f>
        <v>322887.82</v>
      </c>
      <c r="J33" s="5"/>
      <c r="K33" s="109"/>
      <c r="L33" s="5"/>
      <c r="N33" s="73"/>
      <c r="O33" s="73"/>
      <c r="P33" s="73"/>
      <c r="Q33" s="73"/>
      <c r="R33" s="73"/>
      <c r="S33" s="73"/>
      <c r="T33" s="73"/>
      <c r="U33" s="76"/>
    </row>
    <row r="34" spans="1:21" s="1" customFormat="1" ht="31.5" customHeight="1" x14ac:dyDescent="0.3">
      <c r="A34" s="50" t="s">
        <v>112</v>
      </c>
      <c r="B34" s="47"/>
      <c r="C34" s="51"/>
      <c r="D34" s="51"/>
      <c r="E34" s="51"/>
      <c r="F34" s="137">
        <f>ROUND(F25+F33,-1)</f>
        <v>4350</v>
      </c>
      <c r="G34" s="138"/>
      <c r="H34" s="139"/>
      <c r="I34" s="49">
        <f>ROUND(I25+I33,-3)</f>
        <v>548000</v>
      </c>
      <c r="J34" s="5"/>
      <c r="K34" s="5" t="s">
        <v>140</v>
      </c>
      <c r="L34" s="5">
        <f>ROUND(F34/Responses!E15,0)</f>
        <v>79</v>
      </c>
      <c r="N34" s="73"/>
      <c r="O34" s="73"/>
      <c r="P34" s="73"/>
      <c r="Q34" s="73"/>
      <c r="R34" s="75"/>
      <c r="S34" s="73"/>
      <c r="T34" s="73"/>
      <c r="U34" s="76"/>
    </row>
    <row r="35" spans="1:21" s="1" customFormat="1" ht="15" x14ac:dyDescent="0.3">
      <c r="A35" s="50" t="s">
        <v>113</v>
      </c>
      <c r="B35" s="47"/>
      <c r="C35" s="51"/>
      <c r="D35" s="51"/>
      <c r="E35" s="51"/>
      <c r="F35" s="52"/>
      <c r="G35" s="52"/>
      <c r="H35" s="52"/>
      <c r="I35" s="49">
        <f>'Capital O&amp;M'!D7+'Capital O&amp;M'!G7</f>
        <v>6110</v>
      </c>
      <c r="J35" s="57"/>
      <c r="K35" s="5"/>
      <c r="L35" s="5"/>
      <c r="N35" s="73"/>
      <c r="O35" s="73"/>
      <c r="P35" s="73"/>
      <c r="Q35" s="73"/>
      <c r="R35" s="73"/>
      <c r="S35" s="73"/>
      <c r="T35" s="73"/>
      <c r="U35" s="76"/>
    </row>
    <row r="36" spans="1:21" s="1" customFormat="1" ht="18.75" customHeight="1" x14ac:dyDescent="0.3">
      <c r="A36" s="50" t="s">
        <v>114</v>
      </c>
      <c r="B36" s="47"/>
      <c r="C36" s="51"/>
      <c r="D36" s="51"/>
      <c r="E36" s="51"/>
      <c r="F36" s="137"/>
      <c r="G36" s="138"/>
      <c r="H36" s="139"/>
      <c r="I36" s="49">
        <f>ROUND(I34+I35,-3)</f>
        <v>554000</v>
      </c>
      <c r="J36" s="57"/>
      <c r="K36" s="5"/>
      <c r="L36" s="5"/>
      <c r="N36" s="73"/>
      <c r="O36" s="73"/>
      <c r="P36" s="73"/>
      <c r="Q36" s="73"/>
      <c r="R36" s="73"/>
      <c r="S36" s="73"/>
      <c r="T36" s="73"/>
      <c r="U36" s="76"/>
    </row>
    <row r="37" spans="1:21" s="1" customFormat="1" ht="13" x14ac:dyDescent="0.3">
      <c r="A37" s="53"/>
      <c r="B37" s="54"/>
      <c r="C37" s="55"/>
      <c r="D37" s="55"/>
      <c r="E37" s="56"/>
      <c r="F37" s="57"/>
      <c r="G37" s="5"/>
      <c r="H37" s="5"/>
      <c r="I37" s="5"/>
      <c r="J37" s="57"/>
      <c r="K37" s="5"/>
      <c r="L37" s="5"/>
      <c r="N37" s="73"/>
      <c r="O37" s="73"/>
      <c r="P37" s="73"/>
      <c r="Q37" s="73"/>
      <c r="R37" s="73"/>
      <c r="S37" s="73"/>
      <c r="T37" s="73"/>
      <c r="U37" s="76"/>
    </row>
    <row r="38" spans="1:21" s="1" customFormat="1" ht="13" x14ac:dyDescent="0.3">
      <c r="A38" s="141" t="s">
        <v>9</v>
      </c>
      <c r="B38" s="141"/>
      <c r="C38" s="141"/>
      <c r="D38" s="141"/>
      <c r="E38" s="141"/>
      <c r="F38" s="141"/>
      <c r="G38" s="141"/>
      <c r="H38" s="141"/>
      <c r="I38" s="141"/>
      <c r="J38" s="5"/>
      <c r="K38" s="5"/>
      <c r="L38" s="5"/>
      <c r="N38" s="73"/>
      <c r="O38" s="73"/>
      <c r="P38" s="73"/>
      <c r="Q38" s="73"/>
      <c r="R38" s="73"/>
      <c r="S38" s="73"/>
      <c r="T38" s="73"/>
      <c r="U38" s="76"/>
    </row>
    <row r="39" spans="1:21" s="1" customFormat="1" ht="38.5" customHeight="1" x14ac:dyDescent="0.3">
      <c r="A39" s="142" t="s">
        <v>145</v>
      </c>
      <c r="B39" s="142"/>
      <c r="C39" s="142"/>
      <c r="D39" s="142"/>
      <c r="E39" s="142"/>
      <c r="F39" s="142"/>
      <c r="G39" s="142"/>
      <c r="H39" s="142"/>
      <c r="I39" s="142"/>
      <c r="J39" s="5"/>
      <c r="K39" s="5"/>
      <c r="L39" s="5"/>
      <c r="N39" s="73"/>
      <c r="O39" s="73"/>
      <c r="P39" s="73"/>
      <c r="Q39" s="73"/>
      <c r="R39" s="73"/>
      <c r="S39" s="73"/>
      <c r="T39" s="73"/>
      <c r="U39" s="76"/>
    </row>
    <row r="40" spans="1:21" s="1" customFormat="1" ht="88.15" customHeight="1" x14ac:dyDescent="0.3">
      <c r="A40" s="140" t="s">
        <v>109</v>
      </c>
      <c r="B40" s="140"/>
      <c r="C40" s="140"/>
      <c r="D40" s="140"/>
      <c r="E40" s="140"/>
      <c r="F40" s="140"/>
      <c r="G40" s="140"/>
      <c r="H40" s="140"/>
      <c r="I40" s="140"/>
      <c r="J40" s="5"/>
      <c r="K40" s="5"/>
      <c r="L40" s="5"/>
      <c r="N40" s="73"/>
      <c r="O40" s="73"/>
      <c r="P40" s="73"/>
      <c r="Q40" s="73"/>
      <c r="R40" s="75"/>
      <c r="S40" s="73"/>
      <c r="T40" s="73"/>
      <c r="U40" s="76"/>
    </row>
    <row r="41" spans="1:21" s="1" customFormat="1" ht="18.5" x14ac:dyDescent="0.3">
      <c r="A41" s="111" t="s">
        <v>116</v>
      </c>
      <c r="B41" s="106"/>
      <c r="C41" s="106"/>
      <c r="D41" s="106"/>
      <c r="E41" s="106"/>
      <c r="F41" s="106"/>
      <c r="G41" s="106"/>
      <c r="H41" s="106"/>
      <c r="I41" s="106"/>
      <c r="J41" s="5"/>
      <c r="K41" s="5"/>
      <c r="L41" s="5"/>
      <c r="N41" s="73"/>
      <c r="O41" s="73"/>
      <c r="P41" s="73"/>
      <c r="Q41" s="73"/>
      <c r="R41" s="75"/>
      <c r="S41" s="73"/>
      <c r="T41" s="73"/>
      <c r="U41" s="76"/>
    </row>
    <row r="42" spans="1:21" s="1" customFormat="1" ht="18.5" x14ac:dyDescent="0.35">
      <c r="A42" s="107" t="s">
        <v>117</v>
      </c>
      <c r="B42" s="106"/>
      <c r="C42" s="106"/>
      <c r="D42" s="106"/>
      <c r="E42" s="106"/>
      <c r="F42" s="106"/>
      <c r="G42" s="106"/>
      <c r="H42" s="106"/>
      <c r="I42" s="106"/>
      <c r="J42" s="5"/>
      <c r="K42" s="5"/>
      <c r="L42" s="5"/>
      <c r="N42" s="73"/>
      <c r="O42" s="73"/>
      <c r="P42" s="73"/>
      <c r="Q42" s="73"/>
      <c r="R42" s="75"/>
      <c r="S42" s="73"/>
      <c r="T42" s="73"/>
      <c r="U42" s="76"/>
    </row>
    <row r="43" spans="1:21" s="1" customFormat="1" ht="18.5" x14ac:dyDescent="0.3">
      <c r="A43" s="111" t="s">
        <v>139</v>
      </c>
      <c r="B43" s="106"/>
      <c r="C43" s="106"/>
      <c r="D43" s="106"/>
      <c r="E43" s="106"/>
      <c r="F43" s="106"/>
      <c r="G43" s="106"/>
      <c r="H43" s="106"/>
      <c r="I43" s="106"/>
      <c r="J43" s="5"/>
      <c r="K43" s="5"/>
      <c r="L43" s="5"/>
      <c r="N43" s="73"/>
      <c r="O43" s="73"/>
      <c r="P43" s="73"/>
      <c r="Q43" s="73"/>
      <c r="R43" s="75"/>
      <c r="S43" s="73"/>
      <c r="T43" s="73"/>
      <c r="U43" s="76"/>
    </row>
    <row r="44" spans="1:21" s="1" customFormat="1" ht="20.5" customHeight="1" x14ac:dyDescent="0.3">
      <c r="A44" s="133" t="s">
        <v>157</v>
      </c>
      <c r="B44" s="133"/>
      <c r="C44" s="133"/>
      <c r="D44" s="133"/>
      <c r="E44" s="133"/>
      <c r="F44" s="133"/>
      <c r="G44" s="133"/>
      <c r="H44" s="133"/>
      <c r="I44" s="133"/>
      <c r="J44" s="5"/>
      <c r="K44" s="5"/>
      <c r="L44" s="5"/>
      <c r="N44" s="73"/>
      <c r="O44" s="73"/>
      <c r="P44" s="73"/>
      <c r="Q44" s="73"/>
      <c r="R44" s="73"/>
      <c r="S44" s="73"/>
      <c r="T44" s="73"/>
      <c r="U44" s="76"/>
    </row>
    <row r="45" spans="1:21" s="1" customFormat="1" ht="19.899999999999999" customHeight="1" x14ac:dyDescent="0.35">
      <c r="A45" s="134" t="s">
        <v>115</v>
      </c>
      <c r="B45" s="134"/>
      <c r="C45" s="134"/>
      <c r="D45" s="134"/>
      <c r="E45" s="134"/>
      <c r="F45" s="134"/>
      <c r="G45" s="134"/>
      <c r="H45" s="134"/>
      <c r="I45" s="134"/>
      <c r="J45" s="5"/>
      <c r="K45" s="5"/>
      <c r="L45" s="5"/>
      <c r="N45" s="73"/>
      <c r="O45" s="73"/>
      <c r="P45" s="73"/>
      <c r="Q45" s="73"/>
      <c r="R45" s="73"/>
      <c r="S45" s="73"/>
      <c r="T45" s="73"/>
      <c r="U45" s="76"/>
    </row>
    <row r="46" spans="1:21" s="1" customFormat="1" ht="13.5" customHeight="1" x14ac:dyDescent="0.35">
      <c r="J46" s="5"/>
      <c r="K46" s="5"/>
      <c r="L46" s="5"/>
      <c r="N46" s="80"/>
      <c r="O46" s="80"/>
      <c r="P46" s="80"/>
      <c r="Q46" s="80"/>
      <c r="R46" s="81"/>
      <c r="S46" s="81"/>
      <c r="T46" s="81"/>
      <c r="U46" s="79"/>
    </row>
    <row r="47" spans="1:21" s="1" customFormat="1" ht="13.5" customHeight="1" x14ac:dyDescent="0.35">
      <c r="J47" s="5"/>
      <c r="K47" s="5"/>
      <c r="L47" s="5"/>
      <c r="N47" s="82"/>
      <c r="O47" s="82"/>
      <c r="P47" s="82"/>
      <c r="Q47" s="82"/>
      <c r="R47" s="81"/>
      <c r="S47" s="81"/>
      <c r="T47" s="81"/>
      <c r="U47" s="79"/>
    </row>
    <row r="48" spans="1:21" s="1" customFormat="1" ht="13.5" x14ac:dyDescent="0.35">
      <c r="J48" s="5"/>
      <c r="K48" s="5"/>
      <c r="L48" s="5"/>
      <c r="N48" s="82"/>
      <c r="O48" s="82"/>
      <c r="P48" s="82"/>
      <c r="Q48" s="82"/>
      <c r="R48" s="82"/>
      <c r="S48" s="82"/>
      <c r="T48" s="82"/>
      <c r="U48" s="79"/>
    </row>
    <row r="49" spans="1:21" s="1" customFormat="1" ht="13.5" x14ac:dyDescent="0.35">
      <c r="J49" s="5"/>
      <c r="K49" s="5"/>
      <c r="L49" s="5"/>
      <c r="N49" s="82"/>
      <c r="O49" s="82"/>
      <c r="P49" s="82"/>
      <c r="Q49" s="82"/>
      <c r="R49" s="82"/>
      <c r="S49" s="82"/>
      <c r="T49" s="82"/>
      <c r="U49" s="79"/>
    </row>
    <row r="50" spans="1:21" s="1" customFormat="1" ht="13" x14ac:dyDescent="0.3">
      <c r="A50" s="59"/>
      <c r="B50" s="59"/>
      <c r="C50" s="59"/>
      <c r="D50" s="59"/>
      <c r="E50" s="59"/>
      <c r="F50" s="59"/>
      <c r="G50" s="59"/>
      <c r="H50" s="59"/>
      <c r="J50" s="5"/>
      <c r="K50" s="5"/>
      <c r="L50" s="5"/>
      <c r="N50" s="83"/>
      <c r="O50" s="83"/>
      <c r="P50" s="83"/>
      <c r="Q50" s="83"/>
      <c r="R50" s="83"/>
      <c r="S50" s="83"/>
      <c r="T50" s="83"/>
      <c r="U50" s="83"/>
    </row>
    <row r="51" spans="1:21" s="1" customFormat="1" ht="15.5" x14ac:dyDescent="0.3">
      <c r="A51" s="87"/>
      <c r="B51" s="87"/>
      <c r="C51" s="87"/>
      <c r="D51" s="87"/>
      <c r="E51" s="87"/>
      <c r="F51" s="87"/>
      <c r="G51" s="87"/>
      <c r="H51" s="87"/>
      <c r="J51" s="5"/>
      <c r="K51" s="5"/>
      <c r="L51" s="5"/>
      <c r="N51" s="83"/>
      <c r="O51" s="83"/>
      <c r="P51" s="83"/>
      <c r="Q51" s="83"/>
      <c r="R51" s="83"/>
      <c r="S51" s="83"/>
      <c r="T51" s="83"/>
      <c r="U51" s="83"/>
    </row>
    <row r="52" spans="1:21" s="1" customFormat="1" ht="13" x14ac:dyDescent="0.3">
      <c r="A52" s="29"/>
      <c r="B52" s="29"/>
      <c r="C52" s="29"/>
      <c r="D52" s="29"/>
      <c r="E52" s="29"/>
      <c r="F52" s="29"/>
      <c r="G52" s="29"/>
      <c r="H52" s="29"/>
      <c r="J52" s="5"/>
      <c r="K52" s="5"/>
      <c r="L52" s="5"/>
      <c r="N52" s="83"/>
      <c r="O52" s="83"/>
      <c r="P52" s="83"/>
      <c r="Q52" s="83"/>
      <c r="R52" s="83"/>
      <c r="S52" s="83"/>
      <c r="T52" s="83"/>
      <c r="U52" s="83"/>
    </row>
    <row r="53" spans="1:21" s="1" customFormat="1" ht="13" x14ac:dyDescent="0.3">
      <c r="A53" s="29"/>
      <c r="B53" s="29"/>
      <c r="C53" s="29"/>
      <c r="D53" s="29"/>
      <c r="E53" s="29"/>
      <c r="F53" s="29"/>
      <c r="G53" s="29"/>
      <c r="H53" s="29"/>
      <c r="J53" s="5"/>
      <c r="K53" s="5"/>
      <c r="L53" s="5"/>
      <c r="N53" s="83"/>
      <c r="O53" s="83"/>
      <c r="P53" s="83"/>
      <c r="Q53" s="83"/>
      <c r="R53" s="83"/>
      <c r="S53" s="83"/>
      <c r="T53" s="83"/>
      <c r="U53" s="83"/>
    </row>
    <row r="54" spans="1:21" s="1" customFormat="1" ht="13" x14ac:dyDescent="0.3">
      <c r="A54" s="29"/>
      <c r="B54" s="29"/>
      <c r="C54" s="29"/>
      <c r="D54" s="29"/>
      <c r="E54" s="29"/>
      <c r="F54" s="29"/>
      <c r="G54" s="29"/>
      <c r="H54" s="29"/>
      <c r="J54" s="5"/>
      <c r="K54" s="5"/>
      <c r="L54" s="5"/>
      <c r="N54" s="83"/>
      <c r="O54" s="83"/>
      <c r="P54" s="83"/>
      <c r="Q54" s="83"/>
      <c r="R54" s="83"/>
      <c r="S54" s="83"/>
      <c r="T54" s="83"/>
      <c r="U54" s="83"/>
    </row>
    <row r="55" spans="1:21" s="1" customFormat="1" ht="13" x14ac:dyDescent="0.3">
      <c r="A55" s="29"/>
      <c r="B55" s="29"/>
      <c r="C55" s="29"/>
      <c r="D55" s="29"/>
      <c r="E55" s="29"/>
      <c r="F55" s="29"/>
      <c r="G55" s="29"/>
      <c r="H55" s="29"/>
      <c r="J55" s="5"/>
      <c r="K55" s="5"/>
      <c r="L55" s="5"/>
      <c r="N55" s="83"/>
      <c r="O55" s="83"/>
      <c r="P55" s="83"/>
      <c r="Q55" s="83"/>
      <c r="R55" s="83"/>
      <c r="S55" s="83"/>
      <c r="T55" s="83"/>
      <c r="U55" s="83"/>
    </row>
    <row r="56" spans="1:21" s="1" customFormat="1" ht="13" x14ac:dyDescent="0.3">
      <c r="A56" s="29"/>
      <c r="B56" s="29"/>
      <c r="C56" s="29"/>
      <c r="D56" s="29"/>
      <c r="E56" s="29"/>
      <c r="F56" s="29"/>
      <c r="G56" s="29"/>
      <c r="H56" s="29"/>
      <c r="J56" s="5"/>
      <c r="K56" s="5"/>
      <c r="L56" s="5"/>
      <c r="N56" s="84"/>
      <c r="O56" s="84"/>
      <c r="P56" s="84"/>
      <c r="Q56" s="84"/>
      <c r="R56" s="84"/>
      <c r="S56" s="84"/>
      <c r="T56" s="84"/>
      <c r="U56" s="84"/>
    </row>
    <row r="57" spans="1:21" s="1" customFormat="1" ht="13" x14ac:dyDescent="0.3">
      <c r="A57" s="29"/>
      <c r="B57" s="29"/>
      <c r="C57" s="29"/>
      <c r="D57" s="29"/>
      <c r="E57" s="29"/>
      <c r="F57" s="29"/>
      <c r="G57" s="29"/>
      <c r="H57" s="29"/>
      <c r="J57" s="5"/>
      <c r="K57" s="5"/>
      <c r="L57" s="5"/>
      <c r="N57" s="83"/>
      <c r="O57" s="83"/>
      <c r="P57" s="83"/>
      <c r="Q57" s="83"/>
      <c r="R57" s="83"/>
      <c r="S57" s="83"/>
      <c r="T57" s="83"/>
      <c r="U57" s="83"/>
    </row>
    <row r="58" spans="1:21" s="1" customFormat="1" ht="13" x14ac:dyDescent="0.3">
      <c r="A58" s="29"/>
      <c r="B58" s="29"/>
      <c r="C58" s="29"/>
      <c r="D58" s="29"/>
      <c r="E58" s="29"/>
      <c r="F58" s="29"/>
      <c r="G58" s="29"/>
      <c r="H58" s="29"/>
      <c r="J58" s="5"/>
      <c r="K58" s="5"/>
      <c r="L58" s="5"/>
      <c r="N58" s="83"/>
      <c r="O58" s="83"/>
      <c r="P58" s="83"/>
      <c r="Q58" s="83"/>
      <c r="R58" s="83"/>
      <c r="S58" s="83"/>
      <c r="T58" s="83"/>
      <c r="U58" s="83"/>
    </row>
    <row r="59" spans="1:21" s="1" customFormat="1" ht="13" x14ac:dyDescent="0.3">
      <c r="J59" s="5"/>
      <c r="K59" s="5"/>
      <c r="L59" s="5"/>
      <c r="N59" s="83"/>
      <c r="O59" s="83"/>
      <c r="P59" s="83"/>
      <c r="Q59" s="83"/>
      <c r="R59" s="83"/>
      <c r="S59" s="83"/>
      <c r="T59" s="83"/>
      <c r="U59" s="83"/>
    </row>
    <row r="73" ht="15.75" customHeight="1" x14ac:dyDescent="0.35"/>
    <row r="74" ht="15" customHeight="1" x14ac:dyDescent="0.35"/>
  </sheetData>
  <sortState xmlns:xlrd2="http://schemas.microsoft.com/office/spreadsheetml/2017/richdata2" ref="A64:C79">
    <sortCondition ref="C64:C79"/>
  </sortState>
  <mergeCells count="10">
    <mergeCell ref="A44:I44"/>
    <mergeCell ref="A45:I45"/>
    <mergeCell ref="K6:L6"/>
    <mergeCell ref="F36:H36"/>
    <mergeCell ref="F33:H33"/>
    <mergeCell ref="F34:H34"/>
    <mergeCell ref="A40:I40"/>
    <mergeCell ref="A38:I38"/>
    <mergeCell ref="A39:I39"/>
    <mergeCell ref="F25:H25"/>
  </mergeCells>
  <phoneticPr fontId="21"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M43"/>
  <sheetViews>
    <sheetView workbookViewId="0">
      <selection activeCell="A2" sqref="A2"/>
    </sheetView>
  </sheetViews>
  <sheetFormatPr defaultColWidth="3.7265625" defaultRowHeight="14.5" x14ac:dyDescent="0.35"/>
  <cols>
    <col min="1" max="1" width="37.7265625" customWidth="1"/>
    <col min="2" max="2" width="12.81640625" bestFit="1" customWidth="1"/>
    <col min="3" max="4" width="12.54296875" bestFit="1" customWidth="1"/>
    <col min="5" max="5" width="11.7265625" customWidth="1"/>
    <col min="6" max="6" width="13.81640625" bestFit="1" customWidth="1"/>
    <col min="7" max="8" width="12.453125" bestFit="1" customWidth="1"/>
    <col min="9" max="9" width="10.26953125" bestFit="1" customWidth="1"/>
    <col min="10" max="10" width="2.7265625" style="1" customWidth="1"/>
    <col min="12" max="12" width="10.7265625" bestFit="1" customWidth="1"/>
    <col min="13" max="13" width="6.453125" bestFit="1" customWidth="1"/>
  </cols>
  <sheetData>
    <row r="1" spans="1:13" ht="15.5" x14ac:dyDescent="0.35">
      <c r="A1" s="30" t="s">
        <v>81</v>
      </c>
      <c r="J1" s="31"/>
    </row>
    <row r="2" spans="1:13" ht="15.5" x14ac:dyDescent="0.35">
      <c r="A2" s="30"/>
      <c r="J2" s="31"/>
    </row>
    <row r="3" spans="1:13" x14ac:dyDescent="0.35">
      <c r="E3" s="32"/>
      <c r="F3" s="90"/>
      <c r="G3" s="90"/>
      <c r="H3" s="90"/>
      <c r="J3" s="31"/>
      <c r="K3" s="1"/>
      <c r="L3" s="1"/>
    </row>
    <row r="4" spans="1:13" x14ac:dyDescent="0.35">
      <c r="A4" s="147" t="s">
        <v>41</v>
      </c>
      <c r="B4" s="91" t="s">
        <v>42</v>
      </c>
      <c r="C4" s="91" t="s">
        <v>43</v>
      </c>
      <c r="D4" s="91" t="s">
        <v>44</v>
      </c>
      <c r="E4" s="91" t="s">
        <v>45</v>
      </c>
      <c r="F4" s="91" t="s">
        <v>46</v>
      </c>
      <c r="G4" s="91" t="s">
        <v>47</v>
      </c>
      <c r="H4" s="91" t="s">
        <v>48</v>
      </c>
      <c r="I4" s="91" t="s">
        <v>49</v>
      </c>
      <c r="J4" s="60"/>
      <c r="K4" s="61"/>
      <c r="L4" s="61"/>
    </row>
    <row r="5" spans="1:13" ht="52.5" x14ac:dyDescent="0.35">
      <c r="A5" s="147"/>
      <c r="B5" s="28" t="s">
        <v>82</v>
      </c>
      <c r="C5" s="28" t="s">
        <v>51</v>
      </c>
      <c r="D5" s="28" t="s">
        <v>83</v>
      </c>
      <c r="E5" s="28" t="s">
        <v>53</v>
      </c>
      <c r="F5" s="28" t="s">
        <v>84</v>
      </c>
      <c r="G5" s="28" t="s">
        <v>85</v>
      </c>
      <c r="H5" s="28" t="s">
        <v>56</v>
      </c>
      <c r="I5" s="28" t="s">
        <v>86</v>
      </c>
      <c r="J5" s="62"/>
      <c r="K5" s="61"/>
      <c r="L5" s="143" t="s">
        <v>121</v>
      </c>
      <c r="M5" s="143"/>
    </row>
    <row r="6" spans="1:13" x14ac:dyDescent="0.35">
      <c r="A6" s="92" t="s">
        <v>87</v>
      </c>
      <c r="B6" s="19">
        <v>2</v>
      </c>
      <c r="C6" s="19">
        <v>1</v>
      </c>
      <c r="D6" s="24">
        <f t="shared" ref="D6:D14" si="0">B6*C6</f>
        <v>2</v>
      </c>
      <c r="E6" s="45">
        <f>'Table 1'!E15</f>
        <v>0.33333333333333331</v>
      </c>
      <c r="F6" s="39">
        <f t="shared" ref="F6:F14" si="1">D6*E6</f>
        <v>0.66666666666666663</v>
      </c>
      <c r="G6" s="45">
        <f t="shared" ref="G6:G14" si="2">F6*0.05</f>
        <v>3.3333333333333333E-2</v>
      </c>
      <c r="H6" s="45">
        <f t="shared" ref="H6:H14" si="3">F6*0.1</f>
        <v>6.6666666666666666E-2</v>
      </c>
      <c r="I6" s="93">
        <f>F6*$M$7+G6*$M$6+H6*$M$8</f>
        <v>40.756799999999998</v>
      </c>
      <c r="J6" s="109"/>
      <c r="K6" s="61"/>
      <c r="L6" s="112" t="s">
        <v>122</v>
      </c>
      <c r="M6" s="113">
        <v>73.456000000000003</v>
      </c>
    </row>
    <row r="7" spans="1:13" x14ac:dyDescent="0.35">
      <c r="A7" s="92" t="s">
        <v>88</v>
      </c>
      <c r="B7" s="19">
        <v>2</v>
      </c>
      <c r="C7" s="19">
        <v>1</v>
      </c>
      <c r="D7" s="24">
        <f t="shared" si="0"/>
        <v>2</v>
      </c>
      <c r="E7" s="45">
        <f>'Table 1'!E16</f>
        <v>0.33333333333333331</v>
      </c>
      <c r="F7" s="39">
        <f t="shared" si="1"/>
        <v>0.66666666666666663</v>
      </c>
      <c r="G7" s="45">
        <f t="shared" si="2"/>
        <v>3.3333333333333333E-2</v>
      </c>
      <c r="H7" s="45">
        <f t="shared" si="3"/>
        <v>6.6666666666666666E-2</v>
      </c>
      <c r="I7" s="93">
        <f>F7*$M$7+G7*$M$6+H7*$M$8</f>
        <v>40.756799999999998</v>
      </c>
      <c r="J7" s="109"/>
      <c r="K7" s="61"/>
      <c r="L7" s="112" t="s">
        <v>127</v>
      </c>
      <c r="M7" s="113">
        <v>54.512</v>
      </c>
    </row>
    <row r="8" spans="1:13" ht="15.5" x14ac:dyDescent="0.35">
      <c r="A8" s="92" t="s">
        <v>129</v>
      </c>
      <c r="B8" s="19">
        <v>8</v>
      </c>
      <c r="C8" s="19">
        <v>1</v>
      </c>
      <c r="D8" s="24">
        <f t="shared" si="0"/>
        <v>8</v>
      </c>
      <c r="E8" s="45">
        <f>'Table 1'!E17</f>
        <v>0.33333333333333331</v>
      </c>
      <c r="F8" s="39">
        <f t="shared" si="1"/>
        <v>2.6666666666666665</v>
      </c>
      <c r="G8" s="45">
        <f t="shared" si="2"/>
        <v>0.13333333333333333</v>
      </c>
      <c r="H8" s="45">
        <f t="shared" si="3"/>
        <v>0.26666666666666666</v>
      </c>
      <c r="I8" s="93">
        <f t="shared" ref="I8:I14" si="4">F8*$M$7+G8*$M$6+H8*$M$8</f>
        <v>163.02719999999999</v>
      </c>
      <c r="J8" s="109"/>
      <c r="K8" s="64"/>
      <c r="L8" s="112" t="s">
        <v>124</v>
      </c>
      <c r="M8" s="113">
        <v>29.504000000000001</v>
      </c>
    </row>
    <row r="9" spans="1:13" ht="19.5" customHeight="1" x14ac:dyDescent="0.35">
      <c r="A9" s="92" t="s">
        <v>89</v>
      </c>
      <c r="B9" s="19">
        <v>4</v>
      </c>
      <c r="C9" s="19">
        <v>1</v>
      </c>
      <c r="D9" s="24">
        <f t="shared" si="0"/>
        <v>4</v>
      </c>
      <c r="E9" s="45">
        <f>'Table 1'!E18</f>
        <v>0.33333333333333331</v>
      </c>
      <c r="F9" s="39">
        <f t="shared" si="1"/>
        <v>1.3333333333333333</v>
      </c>
      <c r="G9" s="45">
        <f t="shared" si="2"/>
        <v>6.6666666666666666E-2</v>
      </c>
      <c r="H9" s="45">
        <f t="shared" si="3"/>
        <v>0.13333333333333333</v>
      </c>
      <c r="I9" s="93">
        <f t="shared" si="4"/>
        <v>81.513599999999997</v>
      </c>
      <c r="J9" s="109"/>
      <c r="K9" s="64"/>
      <c r="L9" s="2"/>
    </row>
    <row r="10" spans="1:13" ht="15.5" x14ac:dyDescent="0.35">
      <c r="A10" s="92" t="s">
        <v>130</v>
      </c>
      <c r="B10" s="19">
        <v>10</v>
      </c>
      <c r="C10" s="19">
        <v>1</v>
      </c>
      <c r="D10" s="24">
        <f t="shared" si="0"/>
        <v>10</v>
      </c>
      <c r="E10" s="45">
        <f>'Table 1'!E19</f>
        <v>0.33333333333333331</v>
      </c>
      <c r="F10" s="39">
        <f t="shared" si="1"/>
        <v>3.333333333333333</v>
      </c>
      <c r="G10" s="45">
        <f t="shared" si="2"/>
        <v>0.16666666666666666</v>
      </c>
      <c r="H10" s="45">
        <f t="shared" si="3"/>
        <v>0.33333333333333331</v>
      </c>
      <c r="I10" s="93">
        <f t="shared" si="4"/>
        <v>203.78399999999999</v>
      </c>
      <c r="J10" s="109"/>
      <c r="K10" s="66"/>
      <c r="L10" s="67"/>
    </row>
    <row r="11" spans="1:13" x14ac:dyDescent="0.35">
      <c r="A11" s="92" t="s">
        <v>90</v>
      </c>
      <c r="B11" s="19">
        <v>10</v>
      </c>
      <c r="C11" s="19">
        <v>1</v>
      </c>
      <c r="D11" s="24">
        <f t="shared" si="0"/>
        <v>10</v>
      </c>
      <c r="E11" s="45">
        <f>'Table 1'!E20</f>
        <v>0.33333333333333331</v>
      </c>
      <c r="F11" s="39">
        <f t="shared" si="1"/>
        <v>3.333333333333333</v>
      </c>
      <c r="G11" s="45">
        <f t="shared" si="2"/>
        <v>0.16666666666666666</v>
      </c>
      <c r="H11" s="45">
        <f t="shared" si="3"/>
        <v>0.33333333333333331</v>
      </c>
      <c r="I11" s="93">
        <f>F11*$M$7+G11*$M$6+H11*$M$8</f>
        <v>203.78399999999999</v>
      </c>
      <c r="J11" s="109"/>
      <c r="K11" s="1"/>
      <c r="L11" s="1"/>
    </row>
    <row r="12" spans="1:13" x14ac:dyDescent="0.35">
      <c r="A12" s="92" t="s">
        <v>91</v>
      </c>
      <c r="B12" s="19">
        <v>2</v>
      </c>
      <c r="C12" s="19">
        <v>1</v>
      </c>
      <c r="D12" s="24">
        <f t="shared" si="0"/>
        <v>2</v>
      </c>
      <c r="E12" s="39">
        <f>'Table 1'!E21</f>
        <v>0</v>
      </c>
      <c r="F12" s="39">
        <f t="shared" si="1"/>
        <v>0</v>
      </c>
      <c r="G12" s="39">
        <f t="shared" si="2"/>
        <v>0</v>
      </c>
      <c r="H12" s="39">
        <f t="shared" si="3"/>
        <v>0</v>
      </c>
      <c r="I12" s="93">
        <f t="shared" si="4"/>
        <v>0</v>
      </c>
      <c r="J12" s="109"/>
      <c r="K12" s="1"/>
      <c r="L12" s="1"/>
    </row>
    <row r="13" spans="1:13" ht="15" customHeight="1" x14ac:dyDescent="0.35">
      <c r="A13" s="92" t="s">
        <v>131</v>
      </c>
      <c r="B13" s="19">
        <v>2</v>
      </c>
      <c r="C13" s="19">
        <v>2</v>
      </c>
      <c r="D13" s="24">
        <f t="shared" si="0"/>
        <v>4</v>
      </c>
      <c r="E13" s="39">
        <f>'Table 1'!E22</f>
        <v>25</v>
      </c>
      <c r="F13" s="39">
        <f t="shared" si="1"/>
        <v>100</v>
      </c>
      <c r="G13" s="45">
        <f t="shared" si="2"/>
        <v>5</v>
      </c>
      <c r="H13" s="45">
        <f t="shared" si="3"/>
        <v>10</v>
      </c>
      <c r="I13" s="93">
        <f t="shared" si="4"/>
        <v>6113.5199999999995</v>
      </c>
      <c r="J13" s="68"/>
      <c r="K13" s="1"/>
      <c r="L13" s="1"/>
    </row>
    <row r="14" spans="1:13" ht="26" x14ac:dyDescent="0.35">
      <c r="A14" s="92" t="s">
        <v>92</v>
      </c>
      <c r="B14" s="19">
        <v>2</v>
      </c>
      <c r="C14" s="19">
        <v>1</v>
      </c>
      <c r="D14" s="24">
        <f t="shared" si="0"/>
        <v>2</v>
      </c>
      <c r="E14" s="45">
        <f>'Table 1'!E23</f>
        <v>2.5</v>
      </c>
      <c r="F14" s="39">
        <f t="shared" si="1"/>
        <v>5</v>
      </c>
      <c r="G14" s="45">
        <f t="shared" si="2"/>
        <v>0.25</v>
      </c>
      <c r="H14" s="45">
        <f t="shared" si="3"/>
        <v>0.5</v>
      </c>
      <c r="I14" s="93">
        <f t="shared" si="4"/>
        <v>305.67599999999999</v>
      </c>
      <c r="J14" s="63"/>
      <c r="K14" s="1"/>
      <c r="L14" s="1"/>
    </row>
    <row r="15" spans="1:13" ht="27" customHeight="1" x14ac:dyDescent="0.35">
      <c r="A15" s="94" t="s">
        <v>132</v>
      </c>
      <c r="B15" s="94"/>
      <c r="C15" s="95"/>
      <c r="D15" s="95"/>
      <c r="E15" s="96"/>
      <c r="F15" s="148">
        <f>SUM(F6:H14)</f>
        <v>134.55000000000001</v>
      </c>
      <c r="G15" s="148"/>
      <c r="H15" s="148"/>
      <c r="I15" s="97">
        <f>ROUND(SUM(I6:I14),-1)</f>
        <v>7150</v>
      </c>
      <c r="J15" s="63"/>
      <c r="K15" s="1"/>
      <c r="L15" s="1"/>
    </row>
    <row r="16" spans="1:13" x14ac:dyDescent="0.35">
      <c r="A16" s="58" t="s">
        <v>9</v>
      </c>
      <c r="B16" s="5"/>
      <c r="C16" s="5"/>
      <c r="D16" s="5"/>
      <c r="E16" s="5"/>
      <c r="F16" s="5"/>
      <c r="G16" s="5"/>
      <c r="H16" s="5"/>
      <c r="I16" s="5"/>
      <c r="J16" s="63"/>
      <c r="K16" s="1"/>
      <c r="L16" s="1"/>
    </row>
    <row r="17" spans="1:12" ht="33.75" customHeight="1" x14ac:dyDescent="0.35">
      <c r="A17" s="149" t="s">
        <v>144</v>
      </c>
      <c r="B17" s="149"/>
      <c r="C17" s="149"/>
      <c r="D17" s="149"/>
      <c r="E17" s="149"/>
      <c r="F17" s="149"/>
      <c r="G17" s="149"/>
      <c r="H17" s="149"/>
      <c r="I17" s="149"/>
      <c r="J17" s="63"/>
      <c r="K17" s="1"/>
      <c r="L17" s="1"/>
    </row>
    <row r="18" spans="1:12" ht="65.5" customHeight="1" x14ac:dyDescent="0.35">
      <c r="A18" s="150" t="s">
        <v>126</v>
      </c>
      <c r="B18" s="150"/>
      <c r="C18" s="150"/>
      <c r="D18" s="150"/>
      <c r="E18" s="150"/>
      <c r="F18" s="150"/>
      <c r="G18" s="150"/>
      <c r="H18" s="150"/>
      <c r="I18" s="150"/>
      <c r="J18" s="63"/>
      <c r="K18" s="1"/>
      <c r="L18" s="1"/>
    </row>
    <row r="19" spans="1:12" ht="15.5" x14ac:dyDescent="0.35">
      <c r="A19" s="144" t="s">
        <v>134</v>
      </c>
      <c r="B19" s="144"/>
      <c r="C19" s="144"/>
      <c r="D19" s="144"/>
      <c r="E19" s="144"/>
      <c r="F19" s="144"/>
      <c r="G19" s="144"/>
      <c r="H19" s="144"/>
      <c r="I19" s="144"/>
      <c r="J19" s="63"/>
      <c r="K19" s="1"/>
      <c r="L19" s="1"/>
    </row>
    <row r="20" spans="1:12" ht="15.5" x14ac:dyDescent="0.35">
      <c r="A20" s="145" t="s">
        <v>128</v>
      </c>
      <c r="B20" s="145"/>
      <c r="C20" s="145"/>
      <c r="D20" s="145"/>
      <c r="E20" s="145"/>
      <c r="F20" s="145"/>
      <c r="G20" s="145"/>
      <c r="H20" s="145"/>
      <c r="I20" s="145"/>
      <c r="J20" s="63"/>
      <c r="K20" s="1"/>
      <c r="L20" s="1"/>
    </row>
    <row r="21" spans="1:12" ht="16" x14ac:dyDescent="0.35">
      <c r="A21" s="146" t="s">
        <v>133</v>
      </c>
      <c r="B21" s="146"/>
      <c r="C21" s="146"/>
      <c r="D21" s="146"/>
      <c r="E21" s="146"/>
      <c r="F21" s="146"/>
      <c r="G21" s="146"/>
      <c r="H21" s="146"/>
      <c r="I21" s="146"/>
      <c r="J21" s="63"/>
      <c r="K21" s="1"/>
      <c r="L21" s="1"/>
    </row>
    <row r="22" spans="1:12" x14ac:dyDescent="0.35">
      <c r="A22" s="1"/>
      <c r="J22" s="63"/>
      <c r="K22" s="1"/>
      <c r="L22" s="1"/>
    </row>
    <row r="23" spans="1:12" x14ac:dyDescent="0.35">
      <c r="J23" s="69"/>
      <c r="K23" s="1"/>
      <c r="L23" s="1"/>
    </row>
    <row r="24" spans="1:12" x14ac:dyDescent="0.35">
      <c r="J24" s="65"/>
      <c r="K24" s="1"/>
      <c r="L24" s="1"/>
    </row>
    <row r="25" spans="1:12" ht="14.5" customHeight="1" x14ac:dyDescent="0.35">
      <c r="J25" s="65"/>
      <c r="K25" s="1"/>
      <c r="L25" s="1"/>
    </row>
    <row r="26" spans="1:12" x14ac:dyDescent="0.35">
      <c r="J26" s="65"/>
      <c r="K26" s="1"/>
      <c r="L26" s="1"/>
    </row>
    <row r="27" spans="1:12" x14ac:dyDescent="0.35">
      <c r="J27" s="70"/>
      <c r="K27" s="1"/>
      <c r="L27" s="1"/>
    </row>
    <row r="28" spans="1:12" x14ac:dyDescent="0.35">
      <c r="J28" s="65"/>
      <c r="K28" s="1"/>
      <c r="L28" s="1"/>
    </row>
    <row r="29" spans="1:12" x14ac:dyDescent="0.35">
      <c r="J29" s="65"/>
      <c r="K29" s="1"/>
      <c r="L29" s="1"/>
    </row>
    <row r="30" spans="1:12" x14ac:dyDescent="0.35">
      <c r="J30" s="65"/>
      <c r="K30" s="1"/>
      <c r="L30" s="1"/>
    </row>
    <row r="31" spans="1:12" x14ac:dyDescent="0.35">
      <c r="J31" s="65"/>
      <c r="K31" s="1"/>
      <c r="L31" s="1"/>
    </row>
    <row r="32" spans="1:12" x14ac:dyDescent="0.35">
      <c r="J32" s="65"/>
      <c r="K32" s="1"/>
      <c r="L32" s="1"/>
    </row>
    <row r="33" spans="10:12" x14ac:dyDescent="0.35">
      <c r="J33" s="65"/>
      <c r="K33" s="1"/>
      <c r="L33" s="1"/>
    </row>
    <row r="34" spans="10:12" x14ac:dyDescent="0.35">
      <c r="J34" s="65"/>
      <c r="K34" s="1"/>
      <c r="L34" s="1"/>
    </row>
    <row r="35" spans="10:12" x14ac:dyDescent="0.35">
      <c r="J35" s="70"/>
      <c r="K35" s="1"/>
      <c r="L35" s="1"/>
    </row>
    <row r="36" spans="10:12" x14ac:dyDescent="0.35">
      <c r="J36" s="70"/>
    </row>
    <row r="37" spans="10:12" x14ac:dyDescent="0.35">
      <c r="J37" s="70"/>
    </row>
    <row r="38" spans="10:12" x14ac:dyDescent="0.35">
      <c r="J38" s="70"/>
    </row>
    <row r="39" spans="10:12" x14ac:dyDescent="0.35">
      <c r="J39" s="5"/>
    </row>
    <row r="40" spans="10:12" x14ac:dyDescent="0.35">
      <c r="J40" s="5"/>
    </row>
    <row r="41" spans="10:12" x14ac:dyDescent="0.35">
      <c r="J41" s="59"/>
    </row>
    <row r="42" spans="10:12" x14ac:dyDescent="0.35">
      <c r="J42" s="71"/>
    </row>
    <row r="43" spans="10:12" x14ac:dyDescent="0.35">
      <c r="J43" s="59"/>
    </row>
  </sheetData>
  <mergeCells count="8">
    <mergeCell ref="L5:M5"/>
    <mergeCell ref="A19:I19"/>
    <mergeCell ref="A20:I20"/>
    <mergeCell ref="A21:I21"/>
    <mergeCell ref="A4:A5"/>
    <mergeCell ref="F15:H15"/>
    <mergeCell ref="A17:I17"/>
    <mergeCell ref="A18:I1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P13"/>
  <sheetViews>
    <sheetView zoomScale="90" zoomScaleNormal="90" workbookViewId="0"/>
  </sheetViews>
  <sheetFormatPr defaultColWidth="22" defaultRowHeight="13" x14ac:dyDescent="0.3"/>
  <cols>
    <col min="1" max="1" width="22" style="6"/>
    <col min="2" max="2" width="17.54296875" style="6" customWidth="1"/>
    <col min="3" max="3" width="17.26953125" style="6" customWidth="1"/>
    <col min="4" max="4" width="22" style="6"/>
    <col min="5" max="5" width="19.81640625" style="6" customWidth="1"/>
    <col min="6" max="7" width="16.81640625" style="6" customWidth="1"/>
    <col min="8" max="8" width="6" style="6" customWidth="1"/>
    <col min="9" max="16384" width="22" style="6"/>
  </cols>
  <sheetData>
    <row r="1" spans="1:16" x14ac:dyDescent="0.3">
      <c r="A1" s="3"/>
      <c r="B1" s="4"/>
      <c r="C1" s="4"/>
    </row>
    <row r="2" spans="1:16" x14ac:dyDescent="0.3">
      <c r="A2" s="151" t="s">
        <v>10</v>
      </c>
      <c r="B2" s="151"/>
      <c r="C2" s="151"/>
      <c r="D2" s="151"/>
      <c r="E2" s="151"/>
      <c r="F2" s="151"/>
      <c r="G2" s="152"/>
      <c r="H2" s="13"/>
    </row>
    <row r="3" spans="1:16" x14ac:dyDescent="0.3">
      <c r="A3" s="10" t="s">
        <v>11</v>
      </c>
      <c r="B3" s="10" t="s">
        <v>12</v>
      </c>
      <c r="C3" s="10" t="s">
        <v>13</v>
      </c>
      <c r="D3" s="10" t="s">
        <v>14</v>
      </c>
      <c r="E3" s="10" t="s">
        <v>15</v>
      </c>
      <c r="F3" s="10" t="s">
        <v>16</v>
      </c>
      <c r="G3" s="10" t="s">
        <v>17</v>
      </c>
      <c r="H3" s="13"/>
      <c r="K3" s="129" t="s">
        <v>154</v>
      </c>
      <c r="L3" s="129" t="s">
        <v>153</v>
      </c>
    </row>
    <row r="4" spans="1:16" ht="46.5" customHeight="1" x14ac:dyDescent="0.3">
      <c r="A4" s="10" t="s">
        <v>18</v>
      </c>
      <c r="B4" s="10" t="s">
        <v>19</v>
      </c>
      <c r="C4" s="10" t="s">
        <v>20</v>
      </c>
      <c r="D4" s="10" t="s">
        <v>21</v>
      </c>
      <c r="E4" s="10" t="s">
        <v>22</v>
      </c>
      <c r="F4" s="10" t="s">
        <v>23</v>
      </c>
      <c r="G4" s="10" t="s">
        <v>24</v>
      </c>
      <c r="H4" s="13"/>
      <c r="J4" s="123" t="s">
        <v>146</v>
      </c>
      <c r="K4" s="123">
        <v>10</v>
      </c>
      <c r="L4" s="123">
        <v>5</v>
      </c>
      <c r="N4" s="129" t="s">
        <v>152</v>
      </c>
      <c r="O4" s="129" t="s">
        <v>151</v>
      </c>
      <c r="P4" s="129" t="s">
        <v>150</v>
      </c>
    </row>
    <row r="5" spans="1:16" ht="36.75" customHeight="1" x14ac:dyDescent="0.35">
      <c r="A5" s="114" t="s">
        <v>136</v>
      </c>
      <c r="B5" s="115">
        <f>9385*(P5/N5)*L6</f>
        <v>3377.4395730036345</v>
      </c>
      <c r="C5" s="120">
        <f>Respondents!B8</f>
        <v>0.33333333333333331</v>
      </c>
      <c r="D5" s="115">
        <f>B5*C5</f>
        <v>1125.8131910012114</v>
      </c>
      <c r="E5" s="115">
        <v>0</v>
      </c>
      <c r="F5" s="7">
        <v>24</v>
      </c>
      <c r="G5" s="115">
        <f>E5*F5</f>
        <v>0</v>
      </c>
      <c r="H5" s="14"/>
      <c r="J5" s="123" t="s">
        <v>147</v>
      </c>
      <c r="K5" s="124">
        <v>8.5000000000000006E-2</v>
      </c>
      <c r="L5" s="124">
        <v>8.5000000000000006E-2</v>
      </c>
      <c r="M5" s="127" t="s">
        <v>149</v>
      </c>
      <c r="N5" s="128">
        <v>575.4</v>
      </c>
      <c r="O5" s="129">
        <v>576.1</v>
      </c>
      <c r="P5" s="128">
        <v>816</v>
      </c>
    </row>
    <row r="6" spans="1:16" ht="36.75" customHeight="1" x14ac:dyDescent="0.3">
      <c r="A6" s="114" t="s">
        <v>137</v>
      </c>
      <c r="B6" s="115">
        <f>69233*(P5/O5)*K6</f>
        <v>14945.565701457253</v>
      </c>
      <c r="C6" s="120">
        <f>Respondents!B8</f>
        <v>0.33333333333333331</v>
      </c>
      <c r="D6" s="115">
        <f>B6*C6</f>
        <v>4981.8552338190839</v>
      </c>
      <c r="E6" s="115">
        <v>0</v>
      </c>
      <c r="F6" s="7">
        <v>24</v>
      </c>
      <c r="G6" s="115">
        <f>E6*F6</f>
        <v>0</v>
      </c>
      <c r="H6" s="16"/>
      <c r="J6" s="125" t="s">
        <v>148</v>
      </c>
      <c r="K6" s="126">
        <f>(K5*(1+K5)^K4)/((1+K5)^K4-1)</f>
        <v>0.15240770510891899</v>
      </c>
      <c r="L6" s="126">
        <f>(L5*(1+L5)^L4)/((1+L5)^L4-1)</f>
        <v>0.25376575186549916</v>
      </c>
    </row>
    <row r="7" spans="1:16" ht="46.5" customHeight="1" x14ac:dyDescent="0.3">
      <c r="A7" s="11" t="s">
        <v>138</v>
      </c>
      <c r="B7" s="8"/>
      <c r="C7" s="8"/>
      <c r="D7" s="12">
        <f>ROUND(SUM(D5:D6), -1)</f>
        <v>6110</v>
      </c>
      <c r="E7" s="8"/>
      <c r="F7" s="8"/>
      <c r="G7" s="12">
        <f>ROUND(SUM(G5:G6), -3)</f>
        <v>0</v>
      </c>
      <c r="I7" s="23">
        <f>D7+G7</f>
        <v>6110</v>
      </c>
    </row>
    <row r="8" spans="1:16" ht="11.25" customHeight="1" x14ac:dyDescent="0.3">
      <c r="A8" s="21"/>
      <c r="B8" s="22"/>
      <c r="C8" s="22"/>
      <c r="D8" s="15"/>
      <c r="E8" s="22"/>
      <c r="F8" s="22"/>
      <c r="G8" s="15"/>
    </row>
    <row r="9" spans="1:16" ht="32.25" customHeight="1" x14ac:dyDescent="0.3">
      <c r="A9" s="149" t="s">
        <v>144</v>
      </c>
      <c r="B9" s="149"/>
      <c r="C9" s="149"/>
      <c r="D9" s="149"/>
      <c r="E9" s="149"/>
      <c r="F9" s="149"/>
      <c r="G9" s="149"/>
      <c r="H9" s="59"/>
      <c r="I9" s="59"/>
    </row>
    <row r="10" spans="1:16" ht="15.5" x14ac:dyDescent="0.3">
      <c r="A10" s="154" t="s">
        <v>135</v>
      </c>
      <c r="B10" s="154"/>
      <c r="C10" s="154"/>
      <c r="D10" s="154"/>
      <c r="E10" s="154"/>
      <c r="F10" s="154"/>
      <c r="G10" s="154"/>
    </row>
    <row r="11" spans="1:16" ht="37.5" customHeight="1" x14ac:dyDescent="0.3">
      <c r="A11" s="153" t="s">
        <v>155</v>
      </c>
      <c r="B11" s="153"/>
      <c r="C11" s="153"/>
      <c r="D11" s="153"/>
      <c r="E11" s="153"/>
      <c r="F11" s="153"/>
      <c r="G11" s="153"/>
    </row>
    <row r="12" spans="1:16" ht="44.25" customHeight="1" x14ac:dyDescent="0.3">
      <c r="A12" s="153" t="s">
        <v>156</v>
      </c>
      <c r="B12" s="153"/>
      <c r="C12" s="153"/>
      <c r="D12" s="153"/>
      <c r="E12" s="153"/>
      <c r="F12" s="153"/>
      <c r="G12" s="153"/>
      <c r="J12" s="122"/>
    </row>
    <row r="13" spans="1:16" ht="15.5" x14ac:dyDescent="0.3">
      <c r="A13" s="146" t="s">
        <v>158</v>
      </c>
      <c r="B13" s="146"/>
      <c r="C13" s="146"/>
      <c r="D13" s="146"/>
      <c r="E13" s="146"/>
      <c r="F13" s="146"/>
      <c r="G13" s="146"/>
    </row>
  </sheetData>
  <mergeCells count="6">
    <mergeCell ref="A13:G13"/>
    <mergeCell ref="A2:G2"/>
    <mergeCell ref="A12:G12"/>
    <mergeCell ref="A11:G11"/>
    <mergeCell ref="A9:G9"/>
    <mergeCell ref="A10:G10"/>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7"/>
  <sheetViews>
    <sheetView zoomScaleNormal="100" workbookViewId="0"/>
  </sheetViews>
  <sheetFormatPr defaultRowHeight="14.5" x14ac:dyDescent="0.35"/>
  <cols>
    <col min="1" max="1" width="32.1796875" style="98" customWidth="1"/>
    <col min="2" max="3" width="10" style="98" customWidth="1"/>
    <col min="4" max="4" width="16" style="98" customWidth="1"/>
    <col min="5" max="5" width="10.54296875" style="98" customWidth="1"/>
  </cols>
  <sheetData>
    <row r="1" spans="1:6" s="6" customFormat="1" ht="15.65" customHeight="1" x14ac:dyDescent="0.3">
      <c r="A1" s="98"/>
      <c r="B1" s="98"/>
      <c r="C1" s="98"/>
      <c r="D1" s="98"/>
      <c r="E1" s="98"/>
    </row>
    <row r="2" spans="1:6" s="6" customFormat="1" ht="15" x14ac:dyDescent="0.3">
      <c r="A2" s="155" t="s">
        <v>5</v>
      </c>
      <c r="B2" s="155"/>
      <c r="C2" s="155"/>
      <c r="D2" s="155"/>
      <c r="E2" s="155"/>
    </row>
    <row r="3" spans="1:6" s="6" customFormat="1" ht="57.5" x14ac:dyDescent="0.3">
      <c r="A3" s="99" t="s">
        <v>93</v>
      </c>
      <c r="B3" s="100" t="s">
        <v>94</v>
      </c>
      <c r="C3" s="100" t="s">
        <v>95</v>
      </c>
      <c r="D3" s="99" t="s">
        <v>96</v>
      </c>
      <c r="E3" s="99" t="s">
        <v>97</v>
      </c>
    </row>
    <row r="4" spans="1:6" s="6" customFormat="1" ht="17.25" customHeight="1" x14ac:dyDescent="0.3">
      <c r="A4" s="92" t="s">
        <v>98</v>
      </c>
      <c r="B4" s="116">
        <f>'Table 1'!L3</f>
        <v>0.33333333333333331</v>
      </c>
      <c r="C4" s="101">
        <v>1</v>
      </c>
      <c r="D4" s="102">
        <v>0</v>
      </c>
      <c r="E4" s="117">
        <f>B4*C4+D4</f>
        <v>0.33333333333333331</v>
      </c>
    </row>
    <row r="5" spans="1:6" s="6" customFormat="1" ht="13" x14ac:dyDescent="0.3">
      <c r="A5" s="92" t="s">
        <v>99</v>
      </c>
      <c r="B5" s="116">
        <f>'Table 1'!L3</f>
        <v>0.33333333333333331</v>
      </c>
      <c r="C5" s="101">
        <v>1</v>
      </c>
      <c r="D5" s="102">
        <v>0</v>
      </c>
      <c r="E5" s="117">
        <f t="shared" ref="E5:E14" si="0">B5*C5+D5</f>
        <v>0.33333333333333331</v>
      </c>
    </row>
    <row r="6" spans="1:6" s="6" customFormat="1" ht="13" x14ac:dyDescent="0.3">
      <c r="A6" s="92" t="s">
        <v>100</v>
      </c>
      <c r="B6" s="116">
        <f>'Table 1'!L3</f>
        <v>0.33333333333333331</v>
      </c>
      <c r="C6" s="101">
        <v>1</v>
      </c>
      <c r="D6" s="102">
        <v>0</v>
      </c>
      <c r="E6" s="117">
        <f t="shared" si="0"/>
        <v>0.33333333333333331</v>
      </c>
    </row>
    <row r="7" spans="1:6" s="6" customFormat="1" ht="13" x14ac:dyDescent="0.3">
      <c r="A7" s="92" t="s">
        <v>101</v>
      </c>
      <c r="B7" s="116">
        <f>'Table 1'!L3</f>
        <v>0.33333333333333331</v>
      </c>
      <c r="C7" s="101">
        <v>1</v>
      </c>
      <c r="D7" s="102">
        <v>0</v>
      </c>
      <c r="E7" s="117">
        <f t="shared" si="0"/>
        <v>0.33333333333333331</v>
      </c>
    </row>
    <row r="8" spans="1:6" s="6" customFormat="1" ht="13" x14ac:dyDescent="0.3">
      <c r="A8" s="92" t="s">
        <v>102</v>
      </c>
      <c r="B8" s="116">
        <f>'Table 1'!L3</f>
        <v>0.33333333333333331</v>
      </c>
      <c r="C8" s="101">
        <v>1</v>
      </c>
      <c r="D8" s="102">
        <v>0</v>
      </c>
      <c r="E8" s="117">
        <f t="shared" si="0"/>
        <v>0.33333333333333331</v>
      </c>
      <c r="F8" s="2"/>
    </row>
    <row r="9" spans="1:6" s="6" customFormat="1" ht="28.5" customHeight="1" x14ac:dyDescent="0.3">
      <c r="A9" s="92" t="s">
        <v>103</v>
      </c>
      <c r="B9" s="116">
        <f>'Table 1'!L3</f>
        <v>0.33333333333333331</v>
      </c>
      <c r="C9" s="101">
        <v>1</v>
      </c>
      <c r="D9" s="102">
        <v>0</v>
      </c>
      <c r="E9" s="117">
        <f t="shared" si="0"/>
        <v>0.33333333333333331</v>
      </c>
    </row>
    <row r="10" spans="1:6" s="6" customFormat="1" ht="28.5" customHeight="1" x14ac:dyDescent="0.3">
      <c r="A10" s="92" t="s">
        <v>25</v>
      </c>
      <c r="B10" s="116">
        <f>'Table 1'!L3</f>
        <v>0.33333333333333331</v>
      </c>
      <c r="C10" s="101">
        <v>1</v>
      </c>
      <c r="D10" s="102">
        <v>0</v>
      </c>
      <c r="E10" s="117">
        <f t="shared" si="0"/>
        <v>0.33333333333333331</v>
      </c>
    </row>
    <row r="11" spans="1:6" s="6" customFormat="1" ht="28.5" customHeight="1" x14ac:dyDescent="0.3">
      <c r="A11" s="92" t="s">
        <v>104</v>
      </c>
      <c r="B11" s="116">
        <f>'Table 1'!L3</f>
        <v>0.33333333333333331</v>
      </c>
      <c r="C11" s="101">
        <v>1</v>
      </c>
      <c r="D11" s="102">
        <v>0</v>
      </c>
      <c r="E11" s="117">
        <f t="shared" si="0"/>
        <v>0.33333333333333331</v>
      </c>
    </row>
    <row r="12" spans="1:6" s="6" customFormat="1" ht="29.25" customHeight="1" x14ac:dyDescent="0.3">
      <c r="A12" s="92" t="s">
        <v>7</v>
      </c>
      <c r="B12" s="131">
        <f>'Table 1'!E22</f>
        <v>25</v>
      </c>
      <c r="C12" s="101">
        <v>2</v>
      </c>
      <c r="D12" s="102">
        <v>0</v>
      </c>
      <c r="E12" s="131">
        <f t="shared" si="0"/>
        <v>50</v>
      </c>
    </row>
    <row r="13" spans="1:6" s="6" customFormat="1" ht="26" x14ac:dyDescent="0.3">
      <c r="A13" s="92" t="s">
        <v>105</v>
      </c>
      <c r="B13" s="117">
        <f>'Table 1'!E23</f>
        <v>2.5</v>
      </c>
      <c r="C13" s="101">
        <v>1</v>
      </c>
      <c r="D13" s="102">
        <v>0</v>
      </c>
      <c r="E13" s="117">
        <f t="shared" si="0"/>
        <v>2.5</v>
      </c>
    </row>
    <row r="14" spans="1:6" s="6" customFormat="1" ht="15.5" x14ac:dyDescent="0.3">
      <c r="A14" s="92" t="s">
        <v>106</v>
      </c>
      <c r="B14" s="131">
        <f>'Table 1'!E24</f>
        <v>25</v>
      </c>
      <c r="C14" s="101">
        <v>0</v>
      </c>
      <c r="D14" s="102">
        <v>0</v>
      </c>
      <c r="E14" s="102">
        <f t="shared" si="0"/>
        <v>0</v>
      </c>
    </row>
    <row r="15" spans="1:6" s="6" customFormat="1" ht="18" customHeight="1" x14ac:dyDescent="0.3">
      <c r="A15" s="103"/>
      <c r="B15" s="103"/>
      <c r="C15" s="103"/>
      <c r="D15" s="100" t="s">
        <v>143</v>
      </c>
      <c r="E15" s="118">
        <f>ROUND(SUM(E4:E13),0)</f>
        <v>55</v>
      </c>
    </row>
    <row r="16" spans="1:6" s="6" customFormat="1" ht="35.5" customHeight="1" x14ac:dyDescent="0.3">
      <c r="A16" s="156" t="s">
        <v>107</v>
      </c>
      <c r="B16" s="156"/>
      <c r="C16" s="156"/>
      <c r="D16" s="156"/>
      <c r="E16" s="156"/>
    </row>
    <row r="17" spans="1:5" s="6" customFormat="1" ht="34.5" customHeight="1" x14ac:dyDescent="0.3">
      <c r="A17" s="98"/>
      <c r="B17" s="98"/>
      <c r="C17" s="98"/>
      <c r="D17" s="104" t="s">
        <v>108</v>
      </c>
      <c r="E17" s="105">
        <f>'Table 1'!F34/Responses!E15</f>
        <v>79.090909090909093</v>
      </c>
    </row>
  </sheetData>
  <mergeCells count="2">
    <mergeCell ref="A2:E2"/>
    <mergeCell ref="A16:E16"/>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N4" sqref="N4"/>
    </sheetView>
  </sheetViews>
  <sheetFormatPr defaultColWidth="17.7265625" defaultRowHeight="31.9" customHeight="1" x14ac:dyDescent="0.35"/>
  <sheetData>
    <row r="1" spans="1:6" s="6" customFormat="1" ht="31.9" customHeight="1" x14ac:dyDescent="0.3">
      <c r="A1" s="157" t="s">
        <v>1</v>
      </c>
      <c r="B1" s="157"/>
      <c r="C1" s="157"/>
      <c r="D1" s="157"/>
      <c r="E1" s="157"/>
      <c r="F1" s="157"/>
    </row>
    <row r="2" spans="1:6" s="6" customFormat="1" ht="31.9" customHeight="1" x14ac:dyDescent="0.3">
      <c r="A2" s="17"/>
      <c r="B2" s="158" t="s">
        <v>26</v>
      </c>
      <c r="C2" s="158"/>
      <c r="D2" s="17" t="s">
        <v>27</v>
      </c>
      <c r="E2" s="158"/>
      <c r="F2" s="158"/>
    </row>
    <row r="3" spans="1:6" s="6" customFormat="1" ht="31.9" customHeight="1" x14ac:dyDescent="0.3">
      <c r="A3" s="17"/>
      <c r="B3" s="18" t="s">
        <v>11</v>
      </c>
      <c r="C3" s="18" t="s">
        <v>12</v>
      </c>
      <c r="D3" s="18" t="s">
        <v>13</v>
      </c>
      <c r="E3" s="18" t="s">
        <v>14</v>
      </c>
      <c r="F3" s="18" t="s">
        <v>15</v>
      </c>
    </row>
    <row r="4" spans="1:6" s="6" customFormat="1" ht="70.900000000000006" customHeight="1" x14ac:dyDescent="0.3">
      <c r="A4" s="18" t="s">
        <v>28</v>
      </c>
      <c r="B4" s="17" t="s">
        <v>29</v>
      </c>
      <c r="C4" s="17" t="s">
        <v>30</v>
      </c>
      <c r="D4" s="17" t="s">
        <v>31</v>
      </c>
      <c r="E4" s="17" t="s">
        <v>32</v>
      </c>
      <c r="F4" s="17" t="s">
        <v>33</v>
      </c>
    </row>
    <row r="5" spans="1:6" s="6" customFormat="1" ht="31.9" customHeight="1" x14ac:dyDescent="0.3">
      <c r="A5" s="7">
        <v>1</v>
      </c>
      <c r="B5" s="8">
        <v>1</v>
      </c>
      <c r="C5" s="8">
        <v>24</v>
      </c>
      <c r="D5" s="8">
        <v>0</v>
      </c>
      <c r="E5" s="8">
        <v>0</v>
      </c>
      <c r="F5" s="8">
        <f>B5+C5+D5-E5</f>
        <v>25</v>
      </c>
    </row>
    <row r="6" spans="1:6" s="6" customFormat="1" ht="31.9" customHeight="1" x14ac:dyDescent="0.3">
      <c r="A6" s="7">
        <v>2</v>
      </c>
      <c r="B6" s="8">
        <v>0</v>
      </c>
      <c r="C6" s="8">
        <f>F5</f>
        <v>25</v>
      </c>
      <c r="D6" s="8">
        <v>0</v>
      </c>
      <c r="E6" s="8">
        <v>0</v>
      </c>
      <c r="F6" s="8">
        <f>B6+C6+D6-E6</f>
        <v>25</v>
      </c>
    </row>
    <row r="7" spans="1:6" s="6" customFormat="1" ht="31.9" customHeight="1" x14ac:dyDescent="0.3">
      <c r="A7" s="7">
        <v>3</v>
      </c>
      <c r="B7" s="8">
        <v>0</v>
      </c>
      <c r="C7" s="8">
        <f>F6</f>
        <v>25</v>
      </c>
      <c r="D7" s="8">
        <v>0</v>
      </c>
      <c r="E7" s="8">
        <v>0</v>
      </c>
      <c r="F7" s="8">
        <f>B7+C7+D7-E7</f>
        <v>25</v>
      </c>
    </row>
    <row r="8" spans="1:6" s="6" customFormat="1" ht="31.9" customHeight="1" x14ac:dyDescent="0.3">
      <c r="A8" s="7" t="s">
        <v>34</v>
      </c>
      <c r="B8" s="119">
        <f>AVERAGE(B5:B7)</f>
        <v>0.33333333333333331</v>
      </c>
      <c r="C8" s="121">
        <f>ROUND(AVERAGE(C5:C7),0)</f>
        <v>25</v>
      </c>
      <c r="D8" s="8">
        <v>0</v>
      </c>
      <c r="E8" s="8">
        <v>0</v>
      </c>
      <c r="F8" s="10">
        <f>AVERAGE(F5:F7)</f>
        <v>25</v>
      </c>
    </row>
    <row r="9" spans="1:6" s="6" customFormat="1" ht="20.5" customHeight="1" x14ac:dyDescent="0.3">
      <c r="A9" s="9" t="s">
        <v>110</v>
      </c>
    </row>
  </sheetData>
  <mergeCells count="3">
    <mergeCell ref="A1:F1"/>
    <mergeCell ref="B2:C2"/>
    <mergeCell ref="E2:F2"/>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2024-10-25T18:28:26+00:00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FE1997-6B43-40B7-859B-1AC2CACDAC8E}">
  <ds:schemaRefs>
    <ds:schemaRef ds:uri="Microsoft.SharePoint.Taxonomy.ContentTypeSync"/>
  </ds:schemaRefs>
</ds:datastoreItem>
</file>

<file path=customXml/itemProps2.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 ds:uri="http://schemas.microsoft.com/sharepoint/v3/fields"/>
    <ds:schemaRef ds:uri="http://schemas.microsoft.com/sharepoint/v3"/>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F9D1EADB-C8A5-455A-8F12-E656238FC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2025-02-07T17:40:46Z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