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Tracy\ICRs - SPPD\FY2024\1686.13 Secondary Lead Smelter Industry NESHAP\Drafts\Send to EPA\"/>
    </mc:Choice>
  </mc:AlternateContent>
  <xr:revisionPtr revIDLastSave="0" documentId="13_ncr:1_{55CF458C-FCEB-485F-A6CB-555B6A3EC6CF}"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5" l="1"/>
  <c r="F16" i="2"/>
  <c r="I16" i="2"/>
  <c r="D15" i="2"/>
  <c r="E6" i="2"/>
  <c r="G11" i="3"/>
  <c r="I45" i="1" l="1"/>
  <c r="F45" i="1"/>
  <c r="G45" i="1" s="1"/>
  <c r="E7" i="2"/>
  <c r="H45" i="1" l="1"/>
  <c r="E12" i="1"/>
  <c r="E11" i="1"/>
  <c r="E14" i="1"/>
  <c r="E35" i="1" s="1"/>
  <c r="D6" i="3"/>
  <c r="D7" i="3"/>
  <c r="D8" i="3"/>
  <c r="D9" i="3"/>
  <c r="D10" i="3"/>
  <c r="D5" i="3"/>
  <c r="D11" i="3" s="1"/>
  <c r="G6" i="3"/>
  <c r="G7" i="3"/>
  <c r="G8" i="3"/>
  <c r="G9" i="3"/>
  <c r="G10" i="3"/>
  <c r="G5" i="3"/>
  <c r="E5" i="5"/>
  <c r="E6" i="5"/>
  <c r="E7" i="5"/>
  <c r="E8" i="5"/>
  <c r="E4" i="5"/>
  <c r="F8" i="4"/>
  <c r="E8" i="4"/>
  <c r="D8" i="4"/>
  <c r="B8" i="4"/>
  <c r="C8" i="4"/>
  <c r="B7" i="4"/>
  <c r="F7" i="4" s="1"/>
  <c r="F6" i="4"/>
  <c r="B6" i="4"/>
  <c r="F5" i="4"/>
  <c r="F15" i="2"/>
  <c r="D14" i="2"/>
  <c r="F14" i="2" s="1"/>
  <c r="D13" i="2"/>
  <c r="F13" i="2" s="1"/>
  <c r="D12" i="2"/>
  <c r="F12" i="2" s="1"/>
  <c r="D11" i="2"/>
  <c r="F11" i="2" s="1"/>
  <c r="H11" i="2" s="1"/>
  <c r="D7" i="2"/>
  <c r="D6" i="2"/>
  <c r="D45" i="1"/>
  <c r="G44" i="1"/>
  <c r="F44" i="1"/>
  <c r="H44" i="1" s="1"/>
  <c r="D44" i="1"/>
  <c r="D43" i="1"/>
  <c r="F43" i="1" s="1"/>
  <c r="D42" i="1"/>
  <c r="F42" i="1" s="1"/>
  <c r="F41" i="1"/>
  <c r="G41" i="1" s="1"/>
  <c r="D41" i="1"/>
  <c r="F40" i="1"/>
  <c r="G40" i="1" s="1"/>
  <c r="D40" i="1"/>
  <c r="D39" i="1"/>
  <c r="F39" i="1" s="1"/>
  <c r="D38" i="1"/>
  <c r="F38" i="1" s="1"/>
  <c r="F37" i="1"/>
  <c r="G37" i="1" s="1"/>
  <c r="D37" i="1"/>
  <c r="G36" i="1"/>
  <c r="F36" i="1"/>
  <c r="D36" i="1"/>
  <c r="D35" i="1"/>
  <c r="D34" i="1"/>
  <c r="F34" i="1" s="1"/>
  <c r="F33" i="1"/>
  <c r="G33" i="1" s="1"/>
  <c r="D33" i="1"/>
  <c r="F32" i="1"/>
  <c r="G32" i="1" s="1"/>
  <c r="D32" i="1"/>
  <c r="D25" i="1"/>
  <c r="D23" i="1"/>
  <c r="F23" i="1" s="1"/>
  <c r="H18" i="1"/>
  <c r="F18" i="1"/>
  <c r="G18" i="1" s="1"/>
  <c r="I18" i="1" s="1"/>
  <c r="D18" i="1"/>
  <c r="F17" i="1"/>
  <c r="D17" i="1"/>
  <c r="D16" i="1"/>
  <c r="F16" i="1" s="1"/>
  <c r="D15" i="1"/>
  <c r="F15" i="1" s="1"/>
  <c r="D14" i="1"/>
  <c r="F13" i="1"/>
  <c r="D13" i="1"/>
  <c r="D12" i="1"/>
  <c r="D11" i="1"/>
  <c r="D10" i="1"/>
  <c r="F10" i="1" s="1"/>
  <c r="F9" i="1"/>
  <c r="D9" i="1"/>
  <c r="E25" i="1"/>
  <c r="F25" i="1" s="1"/>
  <c r="D7" i="1"/>
  <c r="F7" i="1" s="1"/>
  <c r="F7" i="2" l="1"/>
  <c r="H7" i="2" s="1"/>
  <c r="F6" i="2"/>
  <c r="H6" i="2" s="1"/>
  <c r="F12" i="1"/>
  <c r="G12" i="1" s="1"/>
  <c r="I12" i="1" s="1"/>
  <c r="C24" i="1"/>
  <c r="D24" i="1" s="1"/>
  <c r="F11" i="1"/>
  <c r="H11" i="1" s="1"/>
  <c r="C22" i="1"/>
  <c r="D22" i="1" s="1"/>
  <c r="F22" i="1" s="1"/>
  <c r="H22" i="1" s="1"/>
  <c r="F35" i="1"/>
  <c r="F14" i="1"/>
  <c r="I11" i="3"/>
  <c r="H37" i="1"/>
  <c r="H41" i="1"/>
  <c r="I41" i="1" s="1"/>
  <c r="I37" i="1"/>
  <c r="I44" i="1"/>
  <c r="H33" i="1"/>
  <c r="I33" i="1" s="1"/>
  <c r="I7" i="1"/>
  <c r="H12" i="2"/>
  <c r="G12" i="2"/>
  <c r="H14" i="2"/>
  <c r="G14" i="2"/>
  <c r="G13" i="2"/>
  <c r="H13" i="2"/>
  <c r="I13" i="2" s="1"/>
  <c r="G7" i="2"/>
  <c r="H15" i="2"/>
  <c r="G15" i="2"/>
  <c r="G11" i="2"/>
  <c r="I11" i="2" s="1"/>
  <c r="H35" i="1"/>
  <c r="G35" i="1"/>
  <c r="H43" i="1"/>
  <c r="G43" i="1"/>
  <c r="I43" i="1" s="1"/>
  <c r="H38" i="1"/>
  <c r="G38" i="1"/>
  <c r="I38" i="1" s="1"/>
  <c r="H12" i="1"/>
  <c r="H23" i="1"/>
  <c r="G23" i="1"/>
  <c r="H15" i="1"/>
  <c r="G15" i="1"/>
  <c r="I15" i="1"/>
  <c r="H7" i="1"/>
  <c r="G7" i="1"/>
  <c r="H16" i="1"/>
  <c r="G16" i="1"/>
  <c r="I16" i="1" s="1"/>
  <c r="G25" i="1"/>
  <c r="H25" i="1"/>
  <c r="H9" i="1"/>
  <c r="G9" i="1"/>
  <c r="I9" i="1" s="1"/>
  <c r="H13" i="1"/>
  <c r="I13" i="1" s="1"/>
  <c r="G13" i="1"/>
  <c r="G17" i="1"/>
  <c r="H17" i="1"/>
  <c r="I17" i="1" s="1"/>
  <c r="H34" i="1"/>
  <c r="G34" i="1"/>
  <c r="I34" i="1" s="1"/>
  <c r="H42" i="1"/>
  <c r="G42" i="1"/>
  <c r="I42" i="1" s="1"/>
  <c r="G39" i="1"/>
  <c r="I39" i="1" s="1"/>
  <c r="H39" i="1"/>
  <c r="G10" i="1"/>
  <c r="H10" i="1"/>
  <c r="H14" i="1"/>
  <c r="G14" i="1"/>
  <c r="I14" i="1" s="1"/>
  <c r="H36" i="1"/>
  <c r="I36" i="1" s="1"/>
  <c r="E24" i="1"/>
  <c r="F24" i="1" s="1"/>
  <c r="H32" i="1"/>
  <c r="I32" i="1" s="1"/>
  <c r="H40" i="1"/>
  <c r="I40" i="1" s="1"/>
  <c r="I49" i="1" l="1"/>
  <c r="B6" i="6"/>
  <c r="I15" i="2"/>
  <c r="G6" i="2"/>
  <c r="I6" i="2" s="1"/>
  <c r="I14" i="2"/>
  <c r="I12" i="2"/>
  <c r="I11" i="1"/>
  <c r="G11" i="1"/>
  <c r="G22" i="1"/>
  <c r="I35" i="1"/>
  <c r="I7" i="2"/>
  <c r="I23" i="1"/>
  <c r="I10" i="1"/>
  <c r="I22" i="1"/>
  <c r="I25" i="1"/>
  <c r="H24" i="1"/>
  <c r="G24" i="1"/>
  <c r="I24" i="1" s="1"/>
  <c r="I47" i="1"/>
  <c r="F47" i="1"/>
  <c r="F26" i="1"/>
  <c r="F48" i="1" l="1"/>
  <c r="I26" i="1"/>
  <c r="I48" i="1" s="1"/>
  <c r="I50" i="1" s="1"/>
  <c r="B5" i="6" s="1"/>
  <c r="K41" i="1" l="1"/>
  <c r="B4" i="6"/>
  <c r="B3" i="6"/>
  <c r="B2" i="6" l="1"/>
</calcChain>
</file>

<file path=xl/sharedStrings.xml><?xml version="1.0" encoding="utf-8"?>
<sst xmlns="http://schemas.openxmlformats.org/spreadsheetml/2006/main" count="183" uniqueCount="149">
  <si>
    <t>ICR Summary Information</t>
  </si>
  <si>
    <t>Number of Respondents</t>
  </si>
  <si>
    <t>Total Estimated Burden Hours</t>
  </si>
  <si>
    <t>Total Estimated Costs</t>
  </si>
  <si>
    <t>Annualized Capital O&amp;M</t>
  </si>
  <si>
    <t>Total Annual Responses</t>
  </si>
  <si>
    <t>Form Number</t>
  </si>
  <si>
    <t>Labor Rates</t>
  </si>
  <si>
    <t>Management</t>
  </si>
  <si>
    <t>Technical</t>
  </si>
  <si>
    <t>Clerical</t>
  </si>
  <si>
    <t>hr/response</t>
  </si>
  <si>
    <t>Assumptions:</t>
  </si>
  <si>
    <t>Burden item</t>
  </si>
  <si>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</si>
  <si>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</si>
  <si>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</si>
  <si>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</si>
  <si>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</si>
  <si>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</si>
  <si>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</si>
  <si>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</si>
  <si>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</si>
  <si>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</si>
  <si>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</si>
  <si>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</si>
  <si>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Annual O&amp;M Costs for One Respondent</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</si>
  <si>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</si>
  <si>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</si>
  <si>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</si>
  <si>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</si>
  <si>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</si>
  <si>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</si>
  <si>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Semiannual report</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</si>
  <si>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</si>
  <si>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</si>
  <si>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</si>
  <si>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</si>
  <si>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</si>
  <si>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</si>
  <si>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</si>
  <si>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</si>
  <si>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</si>
  <si>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</si>
  <si>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</si>
  <si>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Not Applicable</t>
  </si>
  <si>
    <t>Table 1: Annual Respondent Burden and Cost – NESHAP for the Secondary Lead Smelter Industry (40 CFR Part 63, Subpart X) (Renewal)</t>
  </si>
  <si>
    <t>(A)
Person-hours per occurrence</t>
  </si>
  <si>
    <t>(B)
Annual occurrences per respondent</t>
  </si>
  <si>
    <t>(C)
Person-hours per respondent per year
(A x B)</t>
  </si>
  <si>
    <r>
      <t xml:space="preserve">(D)
Respondents per year </t>
    </r>
    <r>
      <rPr>
        <b/>
        <vertAlign val="superscript"/>
        <sz val="10"/>
        <color theme="1"/>
        <rFont val="Times New Roman"/>
        <family val="1"/>
      </rPr>
      <t>a</t>
    </r>
  </si>
  <si>
    <t>(E)
Technical hours per year 
(C x D)</t>
  </si>
  <si>
    <t>(F)
Management hours per year
(E x 0.05)</t>
  </si>
  <si>
    <t>(G)
Clerical hours per year
(E x 0.10)</t>
  </si>
  <si>
    <r>
      <t xml:space="preserve">(H)
Annual cost ($) </t>
    </r>
    <r>
      <rPr>
        <b/>
        <vertAlign val="superscript"/>
        <sz val="10"/>
        <color theme="1"/>
        <rFont val="Times New Roman"/>
        <family val="1"/>
      </rPr>
      <t>b</t>
    </r>
  </si>
  <si>
    <t>1.  Applications</t>
  </si>
  <si>
    <t>N/A</t>
  </si>
  <si>
    <t>2.  Surveys and studies</t>
  </si>
  <si>
    <t xml:space="preserve"> N/A</t>
  </si>
  <si>
    <t>3.  Reporting requirements</t>
  </si>
  <si>
    <r>
      <t xml:space="preserve">A.  Familiarization with the regulatory requirements </t>
    </r>
    <r>
      <rPr>
        <vertAlign val="superscript"/>
        <sz val="10"/>
        <color theme="1"/>
        <rFont val="Times New Roman"/>
        <family val="1"/>
      </rPr>
      <t>a</t>
    </r>
  </si>
  <si>
    <r>
      <t>B.  Required activities</t>
    </r>
    <r>
      <rPr>
        <vertAlign val="superscript"/>
        <sz val="10"/>
        <color theme="1"/>
        <rFont val="Times New Roman"/>
        <family val="1"/>
      </rPr>
      <t>c</t>
    </r>
  </si>
  <si>
    <t>Annual performance test</t>
  </si>
  <si>
    <t>THC testing</t>
  </si>
  <si>
    <t>Dioxin/furan testing</t>
  </si>
  <si>
    <t>Lead testing</t>
  </si>
  <si>
    <t>Continuous particulate monitor</t>
  </si>
  <si>
    <t>Differential pressure monitor</t>
  </si>
  <si>
    <t>Inspect capture hoods</t>
  </si>
  <si>
    <t>Inspect and repair enclosures</t>
  </si>
  <si>
    <t>Inspect battery storage areas</t>
  </si>
  <si>
    <r>
      <t xml:space="preserve">Revise SOP manual </t>
    </r>
    <r>
      <rPr>
        <vertAlign val="superscript"/>
        <sz val="10"/>
        <color theme="1"/>
        <rFont val="Times New Roman"/>
        <family val="1"/>
      </rPr>
      <t>d</t>
    </r>
  </si>
  <si>
    <t>C.  Create information</t>
  </si>
  <si>
    <t>See 3B</t>
  </si>
  <si>
    <t>D.  Gather information</t>
  </si>
  <si>
    <t>See 3E</t>
  </si>
  <si>
    <t>E.  Report preparation</t>
  </si>
  <si>
    <r>
      <t xml:space="preserve">Notification of performance test </t>
    </r>
    <r>
      <rPr>
        <vertAlign val="superscript"/>
        <sz val="10"/>
        <color theme="1"/>
        <rFont val="Times New Roman"/>
        <family val="1"/>
      </rPr>
      <t>e</t>
    </r>
  </si>
  <si>
    <t>Semiannual compliance report</t>
  </si>
  <si>
    <r>
      <t xml:space="preserve">Annual (performance test) report </t>
    </r>
    <r>
      <rPr>
        <vertAlign val="superscript"/>
        <sz val="10"/>
        <color theme="1"/>
        <rFont val="Times New Roman"/>
        <family val="1"/>
      </rPr>
      <t>e</t>
    </r>
  </si>
  <si>
    <r>
      <t xml:space="preserve">Differential pressure monitoring report </t>
    </r>
    <r>
      <rPr>
        <vertAlign val="superscript"/>
        <sz val="10"/>
        <color theme="1"/>
        <rFont val="Times New Roman"/>
        <family val="1"/>
      </rPr>
      <t>f</t>
    </r>
  </si>
  <si>
    <t>Reporting Subtotal</t>
  </si>
  <si>
    <t>1.  Recordkeeping requirements</t>
  </si>
  <si>
    <t>A.  Familiarization with the regulatory requirements</t>
  </si>
  <si>
    <t>See 3A</t>
  </si>
  <si>
    <t>B.  Implement activities</t>
  </si>
  <si>
    <t>C.  Develop record system</t>
  </si>
  <si>
    <t>D.  Record information</t>
  </si>
  <si>
    <t>Fugitives</t>
  </si>
  <si>
    <t>Flow weighted averages for lead</t>
  </si>
  <si>
    <t>Differential pressure monitors</t>
  </si>
  <si>
    <t>Power outages</t>
  </si>
  <si>
    <t>Facility enclosure inspections</t>
  </si>
  <si>
    <t>Startup and shutdown periods</t>
  </si>
  <si>
    <t>Malfunctions</t>
  </si>
  <si>
    <t>Actions taken during malfunctions</t>
  </si>
  <si>
    <t>Bag Leak Detection System</t>
  </si>
  <si>
    <t>Furnace inspections</t>
  </si>
  <si>
    <t>Plastic battery casing material recovery</t>
  </si>
  <si>
    <t>Monitoring parameters, performance tests, and periodic inspections</t>
  </si>
  <si>
    <t>E.  Personnel training</t>
  </si>
  <si>
    <t>F.  Time for audits</t>
  </si>
  <si>
    <t>Recordkeeping Subtotal</t>
  </si>
  <si>
    <r>
      <t xml:space="preserve">Total Labor Burden and Costs (rounded) </t>
    </r>
    <r>
      <rPr>
        <b/>
        <vertAlign val="superscript"/>
        <sz val="10"/>
        <color theme="1"/>
        <rFont val="Times New Roman"/>
        <family val="1"/>
      </rPr>
      <t>g</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</si>
  <si>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</si>
  <si>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</si>
  <si>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r>
      <rPr>
        <vertAlign val="superscript"/>
        <sz val="10"/>
        <rFont val="Times New Roman"/>
        <family val="1"/>
      </rPr>
      <t>f</t>
    </r>
    <r>
      <rPr>
        <sz val="10"/>
        <rFont val="Times New Roman"/>
        <family val="1"/>
      </rPr>
      <t xml:space="preserve">   EPA assumes that one report will be submitted for all differential pressure monitors at the facility. </t>
    </r>
  </si>
  <si>
    <r>
      <rPr>
        <vertAlign val="superscript"/>
        <sz val="10"/>
        <rFont val="Times New Roman"/>
        <family val="1"/>
      </rPr>
      <t>g</t>
    </r>
    <r>
      <rPr>
        <sz val="10"/>
        <rFont val="Times New Roman"/>
        <family val="1"/>
      </rPr>
      <t xml:space="preserve">  Totals have been rounded to 3 significant figures. Figures may not add exactly due to rounding.</t>
    </r>
  </si>
  <si>
    <t>Table 2: Average Annual EPA Burden and Cost – NESHAP for the Secondary Lead Smelter Industry (40 CFR Part 63, Subpart X) (Renewal)</t>
  </si>
  <si>
    <t>(A)
EPA person-hours per occurrence</t>
  </si>
  <si>
    <t>(C)
EPA person-hours per respondent per year
(A x B)</t>
  </si>
  <si>
    <t>(E)
Technical hours per year
(C x D)</t>
  </si>
  <si>
    <t>2.  Required activities</t>
  </si>
  <si>
    <r>
      <t xml:space="preserve">A.  Observe stack tests </t>
    </r>
    <r>
      <rPr>
        <vertAlign val="superscript"/>
        <sz val="10"/>
        <color theme="1"/>
        <rFont val="Times New Roman"/>
        <family val="1"/>
      </rPr>
      <t>c</t>
    </r>
  </si>
  <si>
    <r>
      <t xml:space="preserve">B.  Excess emissions - enforcement activities </t>
    </r>
    <r>
      <rPr>
        <vertAlign val="superscript"/>
        <sz val="10"/>
        <color theme="1"/>
        <rFont val="Times New Roman"/>
        <family val="1"/>
      </rPr>
      <t>d</t>
    </r>
  </si>
  <si>
    <t>E.  Report reviews</t>
  </si>
  <si>
    <t xml:space="preserve">      Notification of performance test</t>
  </si>
  <si>
    <t>Annual report</t>
  </si>
  <si>
    <t>Differential pressure monitoring report</t>
  </si>
  <si>
    <r>
      <t xml:space="preserve">F.  Prepare annual summary report </t>
    </r>
    <r>
      <rPr>
        <vertAlign val="superscript"/>
        <sz val="10"/>
        <color theme="1"/>
        <rFont val="Times New Roman"/>
        <family val="1"/>
      </rPr>
      <t>e</t>
    </r>
  </si>
  <si>
    <r>
      <t xml:space="preserve">TOTAL (rounded) </t>
    </r>
    <r>
      <rPr>
        <b/>
        <vertAlign val="superscript"/>
        <sz val="10"/>
        <color theme="1"/>
        <rFont val="Times New Roman"/>
        <family val="1"/>
      </rPr>
      <t>f</t>
    </r>
  </si>
  <si>
    <r>
      <t xml:space="preserve">f   </t>
    </r>
    <r>
      <rPr>
        <sz val="10"/>
        <rFont val="Times New Roman"/>
        <family val="1"/>
      </rPr>
      <t>Totals have been rounded to 3 significant figures. Figures may not add exactly due to rounding.</t>
    </r>
  </si>
  <si>
    <t>Notification of Performance Test</t>
  </si>
  <si>
    <t>Annual (performance test) report</t>
  </si>
  <si>
    <t>Revised Standard Operating Procedures Manual</t>
  </si>
  <si>
    <t>HEPA filter monitor</t>
  </si>
  <si>
    <r>
      <rPr>
        <vertAlign val="superscript"/>
        <sz val="10"/>
        <rFont val="Times New Roman"/>
        <family val="1"/>
      </rPr>
      <t>c</t>
    </r>
    <r>
      <rPr>
        <sz val="10"/>
        <rFont val="Times New Roman"/>
        <family val="1"/>
      </rPr>
      <t xml:space="preserve">  EPA has assumed that all facilities will have CPMs.</t>
    </r>
  </si>
  <si>
    <r>
      <rPr>
        <vertAlign val="superscript"/>
        <sz val="10"/>
        <rFont val="Times New Roman"/>
        <family val="1"/>
      </rPr>
      <t>d</t>
    </r>
    <r>
      <rPr>
        <sz val="10"/>
        <rFont val="Times New Roman"/>
        <family val="1"/>
      </rPr>
      <t xml:space="preserve">  EPA has assumed that each facility will have two differential pressure monitors.</t>
    </r>
  </si>
  <si>
    <r>
      <rPr>
        <vertAlign val="superscript"/>
        <sz val="10"/>
        <rFont val="Times New Roman"/>
        <family val="1"/>
      </rPr>
      <t xml:space="preserve">e </t>
    </r>
    <r>
      <rPr>
        <sz val="10"/>
        <rFont val="Times New Roman"/>
        <family val="1"/>
      </rPr>
      <t xml:space="preserve"> Totals have been rounded to 3 significant figures. Figures may not add exactly due to rounding.</t>
    </r>
  </si>
  <si>
    <r>
      <rPr>
        <vertAlign val="superscript"/>
        <sz val="10"/>
        <rFont val="Times New Roman"/>
        <family val="1"/>
      </rPr>
      <t>a</t>
    </r>
    <r>
      <rPr>
        <sz val="10"/>
        <rFont val="Times New Roman"/>
        <family val="1"/>
      </rPr>
      <t xml:space="preserve">  EPA estimates an average of 11 existing facilities and no new or modified facilities per year will be subject to the NESHAP over the next 3 years. In addition to the 11 active facilities there is one inactive facility that has been idled since 2013. We assume that each source subject to the standard will have to familiarize with the regulatory requirements each year.  Since there are no new or modified/reconstructed facilities expected the notifications for startup, intention to construct/reconstruct, notification of applicability and notification of initial compliance will not occur during this three-year ICR period.</t>
    </r>
  </si>
  <si>
    <r>
      <t>a</t>
    </r>
    <r>
      <rPr>
        <sz val="10"/>
        <color theme="1"/>
        <rFont val="Times New Roman"/>
        <family val="1"/>
      </rPr>
      <t xml:space="preserve">  EPA estimates an average of 11 existing facilities and no new facilities per year will be subject to the NESHAP over the next 3 years. </t>
    </r>
  </si>
  <si>
    <r>
      <t xml:space="preserve">c   </t>
    </r>
    <r>
      <rPr>
        <sz val="10"/>
        <rFont val="Times New Roman"/>
        <family val="1"/>
      </rPr>
      <t>Testing frequency was assumed as follows, based on rule requirements and experience with the affected source actual testing schedule. THC testing is conducted annually. Dioxin/Furan tests are required every 6 years, and this ICR assumes 2 of the 11 sources conduct dioxin/furan tests each year. Lead testing is required annually but many sources requests extensions for this test and the tests occur every two years.  This ICR assumes 6 of the 11 sources conduct lead tests each year. The ICR estimates that all sources have continuous particulate monitors and that two differential pressure monitors exist per source. Since all sources have continuous particulate monitors, the visible emission observation requirement in the rule is not accounted for in the burden estimate. In addition, each facility must conduct monthly inspections of capture hoods and enclosures, and weekly inspections of battery storage areas that are not in enclosures.</t>
    </r>
  </si>
  <si>
    <r>
      <t>c</t>
    </r>
    <r>
      <rPr>
        <sz val="10"/>
        <rFont val="Times New Roman"/>
        <family val="1"/>
      </rPr>
      <t xml:space="preserve">  EPA assumes Agency personnel will attend 20% of facility stack tests (0.2 x 20 tests on average across the 11 facilities = 4, after rounding).</t>
    </r>
  </si>
  <si>
    <r>
      <rPr>
        <vertAlign val="superscript"/>
        <sz val="10"/>
        <color theme="1"/>
        <rFont val="Times New Roman"/>
        <family val="1"/>
      </rP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</si>
  <si>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 xml:space="preserve">b </t>
    </r>
    <r>
      <rPr>
        <sz val="10"/>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</si>
  <si>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r>
      <t>d</t>
    </r>
    <r>
      <rPr>
        <sz val="10"/>
        <rFont val="Times New Roman"/>
        <family val="1"/>
      </rPr>
      <t xml:space="preserve">  EPA assumes 10% of facilities will have excess emissions (0.1 x 11 = 1, after rounding).</t>
    </r>
  </si>
  <si>
    <r>
      <rPr>
        <vertAlign val="superscript"/>
        <sz val="10"/>
        <rFont val="Times New Roman"/>
        <family val="1"/>
      </rPr>
      <t>e</t>
    </r>
    <r>
      <rPr>
        <sz val="10"/>
        <rFont val="Times New Roman"/>
        <family val="1"/>
      </rPr>
      <t xml:space="preserve">  Performance test data and performance evaluation data must be developed using EPA’s Electronic Reporting Tool (ERT) and submitted through the EPA’s Compliance and Emissions Data Reporting Interface (CEDRI). EPA assumes one notification and one test report for each test conducted will be submitted. There are 20 tests for the 12 sources, 20/11 = 1.82, or 2 responses per respondent for each of these activities.</t>
    </r>
  </si>
  <si>
    <r>
      <rPr>
        <vertAlign val="superscript"/>
        <sz val="10"/>
        <rFont val="Times New Roman"/>
        <family val="1"/>
      </rPr>
      <t xml:space="preserve">a </t>
    </r>
    <r>
      <rPr>
        <sz val="10"/>
        <rFont val="Times New Roman"/>
        <family val="1"/>
      </rPr>
      <t xml:space="preserve"> Dioxin/Furan testing occurs every 6 years, or 11 facilities/6 years = 2 facilities per year after rounding. </t>
    </r>
  </si>
  <si>
    <r>
      <rPr>
        <vertAlign val="superscript"/>
        <sz val="10"/>
        <rFont val="Times New Roman"/>
        <family val="1"/>
      </rPr>
      <t>b</t>
    </r>
    <r>
      <rPr>
        <sz val="10"/>
        <rFont val="Times New Roman"/>
        <family val="1"/>
      </rPr>
      <t xml:space="preserve">  Lead testing is required annually, but there are provisions by which facilities can apply for an extension. This ICR assumes all facilities will apply for an extension to test once every 24 months. 11 facilities/2 years = approximately 6 facilities per year conducting lead testing.</t>
    </r>
  </si>
  <si>
    <r>
      <t xml:space="preserve">Dioxin/furan testing </t>
    </r>
    <r>
      <rPr>
        <vertAlign val="superscript"/>
        <sz val="10"/>
        <color theme="1"/>
        <rFont val="Times New Roman"/>
        <family val="1"/>
      </rPr>
      <t>a</t>
    </r>
  </si>
  <si>
    <r>
      <t xml:space="preserve">Lead testing </t>
    </r>
    <r>
      <rPr>
        <vertAlign val="superscript"/>
        <sz val="10"/>
        <color theme="1"/>
        <rFont val="Times New Roman"/>
        <family val="1"/>
      </rPr>
      <t>b</t>
    </r>
  </si>
  <si>
    <r>
      <t>Continuous particulate monitor</t>
    </r>
    <r>
      <rPr>
        <vertAlign val="superscript"/>
        <sz val="10"/>
        <rFont val="Times New Roman"/>
        <family val="1"/>
      </rPr>
      <t xml:space="preserve"> c</t>
    </r>
  </si>
  <si>
    <r>
      <t xml:space="preserve">Differential pressure monitor </t>
    </r>
    <r>
      <rPr>
        <vertAlign val="superscript"/>
        <sz val="10"/>
        <rFont val="Times New Roman"/>
        <family val="1"/>
      </rPr>
      <t>d</t>
    </r>
  </si>
  <si>
    <r>
      <t xml:space="preserve">Total </t>
    </r>
    <r>
      <rPr>
        <b/>
        <vertAlign val="superscript"/>
        <sz val="10"/>
        <color theme="1"/>
        <rFont val="Times New Roman"/>
        <family val="1"/>
      </rPr>
      <t>e</t>
    </r>
  </si>
  <si>
    <t>Number of New  Respondents</t>
  </si>
  <si>
    <t>Number of Respondents with O&amp;M</t>
  </si>
  <si>
    <r>
      <t>d</t>
    </r>
    <r>
      <rPr>
        <sz val="10"/>
        <color theme="1"/>
        <rFont val="Times New Roman"/>
        <family val="1"/>
      </rPr>
      <t xml:space="preserve">  EPA assumes one facility will make one major adjustment per year.  In each instance, the SOP must be revised.</t>
    </r>
  </si>
  <si>
    <r>
      <t>e</t>
    </r>
    <r>
      <rPr>
        <sz val="10"/>
        <rFont val="Times New Roman"/>
        <family val="1"/>
      </rPr>
      <t xml:space="preserve">  EPA assumes state and EPA personnel will require 4 technical hours per respondent when preparing the annual summary report (11 x 4 = 44).</t>
    </r>
  </si>
  <si>
    <t>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</si>
</sst>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44" formatCode="_(&quot;$&quot;* #,##0.00_);_(&quot;$&quot;* \(#,##0.00\);_(&quot;$&quot;* &quot;-&quot;??_);_(@_)"/>
    <numFmt numFmtId="164" formatCode="General_)"/>
    <numFmt numFmtId="165" formatCode="&quot;$&quot;#,##0.00"/>
    <numFmt numFmtId="166" formatCode="&quot;$&quot;#,##0"/>
    <numFmt numFmtId="167" formatCode="0.0"/>
  </numFmts>
  <fonts count="30"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1"/>
      <color theme="1"/>
      <name val="Calibri"/>
      <family val="2"/>
      <scheme val="minor"/>
    </font>
    <font>
      <b/>
      <sz val="12"/>
      <name val="Times New Roman"/>
      <family val="1"/>
    </font>
    <font>
      <sz val="11"/>
      <color theme="1"/>
      <name val="Times New Roman"/>
      <family val="1"/>
    </font>
    <font>
      <sz val="10"/>
      <color theme="1"/>
      <name val="Arial"/>
      <family val="2"/>
    </font>
    <font>
      <sz val="10"/>
      <color rgb="FF7030A0"/>
      <name val="Calibri"/>
      <family val="2"/>
      <scheme val="minor"/>
    </font>
    <font>
      <sz val="10"/>
      <color rgb="FF7030A0"/>
      <name val="Times New Roman"/>
      <family val="1"/>
    </font>
    <font>
      <sz val="11"/>
      <color rgb="FF7030A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164" fontId="10" fillId="0" borderId="0"/>
    <xf numFmtId="44" fontId="23" fillId="0" borderId="0" applyFont="0" applyFill="0" applyBorder="0" applyAlignment="0" applyProtection="0"/>
    <xf numFmtId="0" fontId="26" fillId="0" borderId="0"/>
  </cellStyleXfs>
  <cellXfs count="113">
    <xf numFmtId="0" fontId="0" fillId="0" borderId="0" xfId="0"/>
    <xf numFmtId="0" fontId="2" fillId="0" borderId="0" xfId="0" applyFont="1"/>
    <xf numFmtId="0" fontId="8" fillId="0" borderId="0" xfId="0" applyFont="1"/>
    <xf numFmtId="164" fontId="11"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8" fillId="0" borderId="0" xfId="0" applyFont="1" applyAlignment="1">
      <alignment wrapText="1"/>
    </xf>
    <xf numFmtId="0" fontId="16" fillId="0" borderId="0" xfId="0" applyFont="1"/>
    <xf numFmtId="0" fontId="16" fillId="0" borderId="5" xfId="0" applyFont="1" applyBorder="1"/>
    <xf numFmtId="0" fontId="13" fillId="0" borderId="1" xfId="0" applyFont="1" applyBorder="1"/>
    <xf numFmtId="41" fontId="16" fillId="0" borderId="0" xfId="0" applyNumberFormat="1" applyFont="1"/>
    <xf numFmtId="0" fontId="16" fillId="0" borderId="5" xfId="0" applyFont="1" applyBorder="1" applyAlignment="1">
      <alignment horizontal="center"/>
    </xf>
    <xf numFmtId="41" fontId="16" fillId="0" borderId="5" xfId="0" applyNumberFormat="1" applyFont="1" applyBorder="1"/>
    <xf numFmtId="164" fontId="11" fillId="0" borderId="0" xfId="1" applyFont="1" applyAlignment="1">
      <alignment wrapText="1"/>
    </xf>
    <xf numFmtId="0" fontId="20" fillId="0" borderId="0" xfId="0" applyFont="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9"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20" fillId="0" borderId="0" xfId="0" applyFont="1" applyAlignment="1">
      <alignment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left" vertical="center" wrapText="1"/>
    </xf>
    <xf numFmtId="0" fontId="9" fillId="0" borderId="1" xfId="0" applyFont="1" applyBorder="1" applyAlignment="1">
      <alignment wrapText="1"/>
    </xf>
    <xf numFmtId="0" fontId="2" fillId="0" borderId="1" xfId="0" applyFont="1" applyBorder="1" applyAlignment="1">
      <alignment horizontal="left" vertical="center" wrapText="1"/>
    </xf>
    <xf numFmtId="0" fontId="9" fillId="0" borderId="1" xfId="0" applyFont="1" applyBorder="1" applyAlignment="1">
      <alignmen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right" vertical="center" wrapText="1"/>
    </xf>
    <xf numFmtId="1" fontId="2" fillId="0" borderId="1" xfId="0" applyNumberFormat="1" applyFont="1" applyBorder="1" applyAlignment="1">
      <alignment horizontal="center" vertical="center" wrapText="1"/>
    </xf>
    <xf numFmtId="41" fontId="9" fillId="0" borderId="0" xfId="0" applyNumberFormat="1" applyFont="1"/>
    <xf numFmtId="3" fontId="8" fillId="0" borderId="0" xfId="0" applyNumberFormat="1" applyFont="1"/>
    <xf numFmtId="0" fontId="18"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13" fillId="0" borderId="0" xfId="0" applyFont="1" applyAlignment="1">
      <alignment vertical="top"/>
    </xf>
    <xf numFmtId="3" fontId="2" fillId="0" borderId="1" xfId="0" applyNumberFormat="1" applyFont="1" applyBorder="1" applyAlignment="1">
      <alignment horizontal="center" vertical="center" wrapText="1"/>
    </xf>
    <xf numFmtId="164" fontId="8" fillId="0" borderId="0" xfId="1" applyFont="1" applyAlignment="1">
      <alignment vertical="center"/>
    </xf>
    <xf numFmtId="164" fontId="8" fillId="0" borderId="0" xfId="1" applyFont="1"/>
    <xf numFmtId="1" fontId="3"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0" fillId="0" borderId="0" xfId="0" applyNumberFormat="1" applyFont="1"/>
    <xf numFmtId="164" fontId="8" fillId="0" borderId="0" xfId="1" applyFont="1" applyAlignment="1">
      <alignment horizontal="left" vertical="center"/>
    </xf>
    <xf numFmtId="41" fontId="0" fillId="0" borderId="0" xfId="0" applyNumberFormat="1"/>
    <xf numFmtId="3" fontId="0" fillId="0" borderId="0" xfId="0" applyNumberFormat="1"/>
    <xf numFmtId="6" fontId="0" fillId="0" borderId="0" xfId="0" applyNumberFormat="1"/>
    <xf numFmtId="0" fontId="25" fillId="0" borderId="0" xfId="0" applyFont="1"/>
    <xf numFmtId="165"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4"/>
    </xf>
    <xf numFmtId="3" fontId="2"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wrapText="1"/>
    </xf>
    <xf numFmtId="166" fontId="6" fillId="0" borderId="1" xfId="0" applyNumberFormat="1" applyFont="1" applyBorder="1" applyAlignment="1">
      <alignment horizontal="right" vertical="center" wrapText="1"/>
    </xf>
    <xf numFmtId="166" fontId="2" fillId="0" borderId="1" xfId="0" applyNumberFormat="1" applyFont="1" applyBorder="1" applyAlignment="1">
      <alignment horizontal="right" vertical="center" wrapText="1"/>
    </xf>
    <xf numFmtId="166" fontId="3" fillId="0" borderId="1" xfId="0" applyNumberFormat="1" applyFont="1" applyBorder="1" applyAlignment="1">
      <alignment horizontal="right" vertical="center" wrapText="1"/>
    </xf>
    <xf numFmtId="0" fontId="2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left" vertical="center" wrapText="1" indent="3"/>
    </xf>
    <xf numFmtId="166" fontId="3" fillId="0" borderId="1" xfId="2" applyNumberFormat="1" applyFont="1" applyBorder="1" applyAlignment="1">
      <alignment horizontal="right" vertical="center" wrapText="1"/>
    </xf>
    <xf numFmtId="0" fontId="1" fillId="0" borderId="0" xfId="0" applyFont="1" applyAlignment="1">
      <alignment vertical="center"/>
    </xf>
    <xf numFmtId="0" fontId="9" fillId="0" borderId="1" xfId="3" applyFont="1" applyBorder="1" applyAlignment="1">
      <alignment horizontal="center" vertical="center" wrapText="1"/>
    </xf>
    <xf numFmtId="3" fontId="9" fillId="0" borderId="1" xfId="3"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27" fillId="0" borderId="0" xfId="0" applyFont="1"/>
    <xf numFmtId="0" fontId="28" fillId="0" borderId="0" xfId="0" applyFont="1"/>
    <xf numFmtId="0" fontId="29" fillId="0" borderId="0" xfId="0" applyFont="1"/>
    <xf numFmtId="1" fontId="2" fillId="0" borderId="0" xfId="0" applyNumberFormat="1" applyFont="1" applyAlignment="1">
      <alignment horizontal="center" vertical="center"/>
    </xf>
    <xf numFmtId="166" fontId="2"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0" fillId="0" borderId="0" xfId="0" applyAlignment="1">
      <alignment horizontal="center"/>
    </xf>
    <xf numFmtId="0" fontId="13" fillId="0" borderId="1" xfId="0" applyFont="1" applyBorder="1" applyAlignment="1">
      <alignment horizontal="center"/>
    </xf>
    <xf numFmtId="0" fontId="17" fillId="0" borderId="0" xfId="0" applyFont="1" applyAlignment="1">
      <alignment horizontal="left" vertical="center" wrapText="1"/>
    </xf>
    <xf numFmtId="0" fontId="2" fillId="0" borderId="0" xfId="0" applyFont="1" applyAlignment="1">
      <alignmen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24" fillId="0" borderId="0" xfId="0" applyFont="1" applyAlignment="1">
      <alignment horizontal="left" vertical="top"/>
    </xf>
    <xf numFmtId="3" fontId="6" fillId="0" borderId="1" xfId="0" applyNumberFormat="1" applyFont="1" applyBorder="1" applyAlignment="1">
      <alignment horizontal="center" vertical="center" wrapText="1"/>
    </xf>
    <xf numFmtId="0" fontId="3" fillId="0" borderId="1" xfId="0" applyFont="1" applyBorder="1" applyAlignment="1">
      <alignment vertical="center" wrapText="1"/>
    </xf>
    <xf numFmtId="3" fontId="3" fillId="0" borderId="1" xfId="0" applyNumberFormat="1" applyFont="1" applyBorder="1" applyAlignment="1">
      <alignment horizontal="center" vertical="center" wrapText="1"/>
    </xf>
    <xf numFmtId="0" fontId="17" fillId="0" borderId="0" xfId="0" applyFont="1" applyAlignment="1">
      <alignment vertical="top"/>
    </xf>
    <xf numFmtId="0" fontId="9" fillId="0" borderId="0" xfId="0" applyFont="1" applyAlignment="1">
      <alignment wrapText="1"/>
    </xf>
    <xf numFmtId="0" fontId="5" fillId="0" borderId="0" xfId="0" applyFont="1" applyAlignment="1">
      <alignment vertical="top" wrapText="1"/>
    </xf>
    <xf numFmtId="0" fontId="9" fillId="0" borderId="0" xfId="0" applyFont="1" applyAlignment="1">
      <alignment horizontal="left" wrapText="1"/>
    </xf>
    <xf numFmtId="0" fontId="9" fillId="0" borderId="6" xfId="0" applyFont="1" applyBorder="1" applyAlignment="1">
      <alignment horizontal="left" vertical="top"/>
    </xf>
    <xf numFmtId="0" fontId="3"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cellXfs>
  <cellStyles count="4">
    <cellStyle name="Currency" xfId="2" builtinId="4"/>
    <cellStyle name="Normal" xfId="0" builtinId="0"/>
    <cellStyle name="Normal 2" xfId="3" xr:uid="{0A81BE4C-C3BE-49D5-AE57-1E3201ECD92E}"/>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A10" sqref="A10"/>
    </sheetView>
  </sheetViews>
  <sheetFormatPr defaultRowHeight="15" x14ac:dyDescent="0.25"/>
  <cols>
    <col min="1" max="1" width="27.85546875" bestFit="1" customWidth="1"/>
    <col min="2" max="2" width="14.28515625" bestFit="1" customWidth="1"/>
  </cols>
  <sheetData>
    <row r="1" spans="1:2" x14ac:dyDescent="0.25">
      <c r="A1" s="87" t="s">
        <v>0</v>
      </c>
      <c r="B1" s="87"/>
    </row>
    <row r="2" spans="1:2" x14ac:dyDescent="0.25">
      <c r="A2" t="s">
        <v>148</v>
      </c>
      <c r="B2" s="60">
        <f>'Table 1'!K41</f>
        <v>255.12820512820514</v>
      </c>
    </row>
    <row r="3" spans="1:2" x14ac:dyDescent="0.25">
      <c r="A3" t="s">
        <v>1</v>
      </c>
      <c r="B3">
        <f>Respondents!F8</f>
        <v>11</v>
      </c>
    </row>
    <row r="4" spans="1:2" x14ac:dyDescent="0.25">
      <c r="A4" t="s">
        <v>2</v>
      </c>
      <c r="B4" s="61">
        <f>'Table 1'!F48</f>
        <v>19900</v>
      </c>
    </row>
    <row r="5" spans="1:2" x14ac:dyDescent="0.25">
      <c r="A5" t="s">
        <v>3</v>
      </c>
      <c r="B5" s="62">
        <f>'Table 1'!I50</f>
        <v>2750000</v>
      </c>
    </row>
    <row r="6" spans="1:2" x14ac:dyDescent="0.25">
      <c r="A6" t="s">
        <v>4</v>
      </c>
      <c r="B6" s="62">
        <f>'Capital O&amp;M'!I11</f>
        <v>238000</v>
      </c>
    </row>
    <row r="7" spans="1:2" x14ac:dyDescent="0.25">
      <c r="A7" t="s">
        <v>6</v>
      </c>
      <c r="B7" t="s">
        <v>45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1"/>
  <sheetViews>
    <sheetView zoomScale="87" zoomScaleNormal="87" workbookViewId="0">
      <selection activeCell="A2" sqref="A2"/>
    </sheetView>
  </sheetViews>
  <sheetFormatPr defaultRowHeight="15" x14ac:dyDescent="0.25"/>
  <cols>
    <col min="1" max="1" width="44.28515625" style="63" customWidth="1"/>
    <col min="2" max="2" width="12.7109375" style="63" customWidth="1"/>
    <col min="3" max="4" width="17.28515625" style="63" customWidth="1"/>
    <col min="5" max="5" width="14.7109375" style="63" customWidth="1"/>
    <col min="6" max="6" width="15.7109375" style="63" customWidth="1"/>
    <col min="7" max="7" width="14.7109375" style="63" customWidth="1"/>
    <col min="8" max="8" width="13.7109375" style="63" customWidth="1"/>
    <col min="9" max="9" width="15" style="63"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101" t="s">
        <v>46</v>
      </c>
      <c r="B1" s="101"/>
      <c r="C1" s="101"/>
      <c r="D1" s="101"/>
      <c r="E1" s="101"/>
      <c r="F1" s="101"/>
      <c r="G1" s="101"/>
      <c r="H1" s="101"/>
      <c r="I1" s="101"/>
      <c r="J1" s="1"/>
      <c r="K1" s="1"/>
      <c r="L1" s="1"/>
      <c r="M1" s="38"/>
      <c r="N1" s="7"/>
    </row>
    <row r="2" spans="1:21" s="1" customFormat="1" x14ac:dyDescent="0.25">
      <c r="A2" s="63"/>
      <c r="B2" s="63"/>
      <c r="C2" s="63"/>
      <c r="D2" s="63"/>
      <c r="E2" s="63"/>
      <c r="F2" s="63"/>
      <c r="G2" s="63"/>
      <c r="H2" s="63"/>
      <c r="I2" s="63"/>
      <c r="J2" s="2"/>
    </row>
    <row r="3" spans="1:21" s="1" customFormat="1" ht="51" x14ac:dyDescent="0.2">
      <c r="A3" s="20" t="s">
        <v>13</v>
      </c>
      <c r="B3" s="19" t="s">
        <v>47</v>
      </c>
      <c r="C3" s="19" t="s">
        <v>48</v>
      </c>
      <c r="D3" s="19" t="s">
        <v>49</v>
      </c>
      <c r="E3" s="19" t="s">
        <v>50</v>
      </c>
      <c r="F3" s="19" t="s">
        <v>51</v>
      </c>
      <c r="G3" s="19" t="s">
        <v>52</v>
      </c>
      <c r="H3" s="19" t="s">
        <v>53</v>
      </c>
      <c r="I3" s="19" t="s">
        <v>54</v>
      </c>
      <c r="J3" s="2"/>
      <c r="M3" s="39"/>
      <c r="N3" s="39"/>
      <c r="O3" s="39"/>
      <c r="P3" s="39"/>
      <c r="Q3" s="39"/>
      <c r="R3" s="39"/>
      <c r="S3" s="39"/>
      <c r="T3" s="39"/>
      <c r="U3" s="39"/>
    </row>
    <row r="4" spans="1:21" s="1" customFormat="1" ht="12.75" x14ac:dyDescent="0.2">
      <c r="A4" s="18" t="s">
        <v>55</v>
      </c>
      <c r="B4" s="16" t="s">
        <v>56</v>
      </c>
      <c r="C4" s="16"/>
      <c r="D4" s="16"/>
      <c r="E4" s="16"/>
      <c r="F4" s="16"/>
      <c r="G4" s="16"/>
      <c r="H4" s="16"/>
      <c r="I4" s="34"/>
      <c r="J4" s="2"/>
      <c r="K4" s="88" t="s">
        <v>7</v>
      </c>
      <c r="L4" s="88"/>
      <c r="O4" s="41"/>
      <c r="P4" s="41"/>
      <c r="Q4" s="41"/>
      <c r="R4" s="41"/>
      <c r="S4" s="41"/>
      <c r="T4" s="41"/>
      <c r="U4" s="42"/>
    </row>
    <row r="5" spans="1:21" s="1" customFormat="1" ht="12.75" x14ac:dyDescent="0.2">
      <c r="A5" s="18" t="s">
        <v>57</v>
      </c>
      <c r="B5" s="16" t="s">
        <v>58</v>
      </c>
      <c r="C5" s="16"/>
      <c r="D5" s="16"/>
      <c r="E5" s="16"/>
      <c r="F5" s="16"/>
      <c r="G5" s="16"/>
      <c r="H5" s="16"/>
      <c r="I5" s="34"/>
      <c r="J5" s="6"/>
      <c r="K5" s="9" t="s">
        <v>8</v>
      </c>
      <c r="L5" s="28">
        <v>163.16999999999999</v>
      </c>
      <c r="M5" s="40"/>
      <c r="N5" s="41"/>
      <c r="O5" s="41"/>
      <c r="P5" s="41"/>
      <c r="Q5" s="41"/>
      <c r="R5" s="43"/>
      <c r="S5" s="41"/>
      <c r="T5" s="41"/>
      <c r="U5" s="44"/>
    </row>
    <row r="6" spans="1:21" s="1" customFormat="1" ht="12.75" x14ac:dyDescent="0.2">
      <c r="A6" s="18" t="s">
        <v>59</v>
      </c>
      <c r="B6" s="16"/>
      <c r="C6" s="16"/>
      <c r="D6" s="16"/>
      <c r="E6" s="16"/>
      <c r="F6" s="16"/>
      <c r="G6" s="16"/>
      <c r="H6" s="16"/>
      <c r="I6" s="34"/>
      <c r="J6" s="2"/>
      <c r="K6" s="9" t="s">
        <v>9</v>
      </c>
      <c r="L6" s="28">
        <v>130.28</v>
      </c>
      <c r="M6" s="40"/>
      <c r="N6" s="41"/>
      <c r="O6" s="41"/>
      <c r="P6" s="41"/>
      <c r="Q6" s="41"/>
      <c r="R6" s="41"/>
      <c r="S6" s="41"/>
      <c r="T6" s="41"/>
      <c r="U6" s="44"/>
    </row>
    <row r="7" spans="1:21" s="1" customFormat="1" ht="15.75" x14ac:dyDescent="0.2">
      <c r="A7" s="33" t="s">
        <v>60</v>
      </c>
      <c r="B7" s="16">
        <v>1</v>
      </c>
      <c r="C7" s="16">
        <v>1</v>
      </c>
      <c r="D7" s="16">
        <f>B7*C7</f>
        <v>1</v>
      </c>
      <c r="E7" s="16">
        <v>11</v>
      </c>
      <c r="F7" s="16">
        <f>D7*E7</f>
        <v>11</v>
      </c>
      <c r="G7" s="16">
        <f>+F7*0.05</f>
        <v>0.55000000000000004</v>
      </c>
      <c r="H7" s="16">
        <f>+F7*0.1</f>
        <v>1.1000000000000001</v>
      </c>
      <c r="I7" s="64">
        <f>F7*$L$6+$L$5*G7+H7*$L$7</f>
        <v>1595.1044999999999</v>
      </c>
      <c r="J7" s="2"/>
      <c r="K7" s="9" t="s">
        <v>10</v>
      </c>
      <c r="L7" s="28">
        <v>65.709999999999994</v>
      </c>
      <c r="M7" s="40"/>
      <c r="N7" s="41"/>
      <c r="O7" s="41"/>
      <c r="P7" s="41"/>
      <c r="Q7" s="41"/>
      <c r="R7" s="41"/>
      <c r="S7" s="41"/>
      <c r="T7" s="41"/>
      <c r="U7" s="44"/>
    </row>
    <row r="8" spans="1:21" s="1" customFormat="1" ht="15.75" x14ac:dyDescent="0.2">
      <c r="A8" s="33" t="s">
        <v>61</v>
      </c>
      <c r="B8" s="16"/>
      <c r="C8" s="16"/>
      <c r="D8" s="16"/>
      <c r="E8" s="16"/>
      <c r="F8" s="16"/>
      <c r="G8" s="16"/>
      <c r="H8" s="16"/>
      <c r="I8" s="64"/>
      <c r="J8" s="2"/>
      <c r="K8" s="54"/>
      <c r="L8" s="13"/>
      <c r="M8" s="40"/>
      <c r="N8" s="41"/>
      <c r="O8" s="41"/>
      <c r="P8" s="41"/>
      <c r="Q8" s="45"/>
      <c r="R8" s="45"/>
      <c r="S8" s="45"/>
      <c r="T8" s="45"/>
      <c r="U8" s="44"/>
    </row>
    <row r="9" spans="1:21" s="1" customFormat="1" ht="12.75" x14ac:dyDescent="0.2">
      <c r="A9" s="65" t="s">
        <v>62</v>
      </c>
      <c r="B9" s="16">
        <v>330</v>
      </c>
      <c r="C9" s="16">
        <v>1</v>
      </c>
      <c r="D9" s="16">
        <f t="shared" ref="D9:D18" si="0">B9*C9</f>
        <v>330</v>
      </c>
      <c r="E9" s="16">
        <v>11</v>
      </c>
      <c r="F9" s="52">
        <f>+D9*E9</f>
        <v>3630</v>
      </c>
      <c r="G9" s="16">
        <f>+F9*0.05</f>
        <v>181.5</v>
      </c>
      <c r="H9" s="16">
        <f>+F9*0.1</f>
        <v>363</v>
      </c>
      <c r="I9" s="64">
        <f t="shared" ref="I9:I18" si="1">F9*$L$6+$L$5*G9+H9*$L$7</f>
        <v>526384.48499999999</v>
      </c>
      <c r="J9" s="2"/>
      <c r="K9" s="59"/>
      <c r="L9" s="3"/>
      <c r="M9" s="40"/>
      <c r="N9" s="41"/>
      <c r="O9" s="41"/>
      <c r="P9" s="41"/>
      <c r="Q9" s="45"/>
      <c r="R9" s="45"/>
      <c r="S9" s="45"/>
      <c r="T9" s="45"/>
      <c r="U9" s="44"/>
    </row>
    <row r="10" spans="1:21" s="1" customFormat="1" ht="12.75" x14ac:dyDescent="0.2">
      <c r="A10" s="65" t="s">
        <v>63</v>
      </c>
      <c r="B10" s="16">
        <v>10</v>
      </c>
      <c r="C10" s="16">
        <v>1</v>
      </c>
      <c r="D10" s="16">
        <f t="shared" si="0"/>
        <v>10</v>
      </c>
      <c r="E10" s="66">
        <v>11</v>
      </c>
      <c r="F10" s="52">
        <f t="shared" ref="F10:F18" si="2">+D10*E10</f>
        <v>110</v>
      </c>
      <c r="G10" s="16">
        <f t="shared" ref="G10:G18" si="3">+F10*0.05</f>
        <v>5.5</v>
      </c>
      <c r="H10" s="16">
        <f t="shared" ref="H10:H18" si="4">+F10*0.1</f>
        <v>11</v>
      </c>
      <c r="I10" s="64">
        <f t="shared" si="1"/>
        <v>15951.044999999998</v>
      </c>
      <c r="J10" s="2"/>
      <c r="K10" s="3"/>
      <c r="L10" s="3"/>
      <c r="M10" s="40"/>
      <c r="N10" s="41"/>
      <c r="O10" s="41"/>
      <c r="P10" s="41"/>
      <c r="Q10" s="45"/>
      <c r="R10" s="45"/>
      <c r="S10" s="45"/>
      <c r="T10" s="45"/>
      <c r="U10" s="44"/>
    </row>
    <row r="11" spans="1:21" s="1" customFormat="1" ht="12.75" x14ac:dyDescent="0.2">
      <c r="A11" s="65" t="s">
        <v>64</v>
      </c>
      <c r="B11" s="16">
        <v>10</v>
      </c>
      <c r="C11" s="16">
        <v>1</v>
      </c>
      <c r="D11" s="16">
        <f t="shared" si="0"/>
        <v>10</v>
      </c>
      <c r="E11" s="66">
        <f>'Capital O&amp;M'!F6</f>
        <v>2</v>
      </c>
      <c r="F11" s="52">
        <f t="shared" si="2"/>
        <v>20</v>
      </c>
      <c r="G11" s="16">
        <f t="shared" si="3"/>
        <v>1</v>
      </c>
      <c r="H11" s="16">
        <f t="shared" si="4"/>
        <v>2</v>
      </c>
      <c r="I11" s="64">
        <f t="shared" si="1"/>
        <v>2900.19</v>
      </c>
      <c r="J11" s="2"/>
      <c r="K11" s="4"/>
      <c r="L11" s="5"/>
      <c r="M11" s="40"/>
      <c r="N11" s="41"/>
      <c r="O11" s="41"/>
      <c r="P11" s="41"/>
      <c r="Q11" s="45"/>
      <c r="R11" s="45"/>
      <c r="S11" s="46"/>
      <c r="T11" s="46"/>
      <c r="U11" s="44"/>
    </row>
    <row r="12" spans="1:21" s="1" customFormat="1" ht="12.75" x14ac:dyDescent="0.2">
      <c r="A12" s="65" t="s">
        <v>65</v>
      </c>
      <c r="B12" s="16">
        <v>10</v>
      </c>
      <c r="C12" s="16">
        <v>0.5</v>
      </c>
      <c r="D12" s="16">
        <f t="shared" si="0"/>
        <v>5</v>
      </c>
      <c r="E12" s="66">
        <f>'Capital O&amp;M'!F7</f>
        <v>6</v>
      </c>
      <c r="F12" s="52">
        <f t="shared" si="2"/>
        <v>30</v>
      </c>
      <c r="G12" s="16">
        <f t="shared" si="3"/>
        <v>1.5</v>
      </c>
      <c r="H12" s="16">
        <f t="shared" si="4"/>
        <v>3</v>
      </c>
      <c r="I12" s="64">
        <f t="shared" si="1"/>
        <v>4350.2849999999999</v>
      </c>
      <c r="J12" s="2"/>
      <c r="K12" s="4"/>
      <c r="L12" s="5"/>
      <c r="M12" s="40"/>
      <c r="N12" s="41"/>
      <c r="O12" s="41"/>
      <c r="P12" s="41"/>
      <c r="Q12" s="45"/>
      <c r="R12" s="45"/>
      <c r="S12" s="46"/>
      <c r="T12" s="46"/>
      <c r="U12" s="44"/>
    </row>
    <row r="13" spans="1:21" s="1" customFormat="1" ht="12.75" x14ac:dyDescent="0.2">
      <c r="A13" s="65" t="s">
        <v>66</v>
      </c>
      <c r="B13" s="16">
        <v>1</v>
      </c>
      <c r="C13" s="16">
        <v>52</v>
      </c>
      <c r="D13" s="16">
        <f t="shared" si="0"/>
        <v>52</v>
      </c>
      <c r="E13" s="66">
        <v>11</v>
      </c>
      <c r="F13" s="52">
        <f t="shared" si="2"/>
        <v>572</v>
      </c>
      <c r="G13" s="16">
        <f t="shared" si="3"/>
        <v>28.6</v>
      </c>
      <c r="H13" s="16">
        <f t="shared" si="4"/>
        <v>57.2</v>
      </c>
      <c r="I13" s="64">
        <f t="shared" si="1"/>
        <v>82945.433999999994</v>
      </c>
      <c r="J13" s="2"/>
      <c r="K13" s="4"/>
      <c r="L13" s="5"/>
      <c r="M13" s="40"/>
      <c r="N13" s="41"/>
      <c r="O13" s="41"/>
      <c r="P13" s="41"/>
      <c r="Q13" s="41"/>
      <c r="R13" s="41"/>
      <c r="S13" s="41"/>
      <c r="T13" s="41"/>
      <c r="U13" s="44"/>
    </row>
    <row r="14" spans="1:21" s="1" customFormat="1" ht="18" customHeight="1" x14ac:dyDescent="0.2">
      <c r="A14" s="65" t="s">
        <v>67</v>
      </c>
      <c r="B14" s="16">
        <v>2</v>
      </c>
      <c r="C14" s="16">
        <v>1</v>
      </c>
      <c r="D14" s="16">
        <f t="shared" si="0"/>
        <v>2</v>
      </c>
      <c r="E14" s="66">
        <f>'Capital O&amp;M'!F9</f>
        <v>22</v>
      </c>
      <c r="F14" s="52">
        <f t="shared" si="2"/>
        <v>44</v>
      </c>
      <c r="G14" s="16">
        <f t="shared" si="3"/>
        <v>2.2000000000000002</v>
      </c>
      <c r="H14" s="16">
        <f t="shared" si="4"/>
        <v>4.4000000000000004</v>
      </c>
      <c r="I14" s="64">
        <f t="shared" si="1"/>
        <v>6380.4179999999997</v>
      </c>
      <c r="J14" s="6"/>
      <c r="K14" s="53"/>
      <c r="L14" s="5"/>
      <c r="M14" s="40"/>
      <c r="N14" s="41"/>
      <c r="O14" s="41"/>
      <c r="P14" s="41"/>
      <c r="Q14" s="41"/>
      <c r="R14" s="41"/>
      <c r="S14" s="41"/>
      <c r="T14" s="41"/>
      <c r="U14" s="44"/>
    </row>
    <row r="15" spans="1:21" s="1" customFormat="1" ht="12.75" x14ac:dyDescent="0.2">
      <c r="A15" s="65" t="s">
        <v>68</v>
      </c>
      <c r="B15" s="16">
        <v>8</v>
      </c>
      <c r="C15" s="16">
        <v>12</v>
      </c>
      <c r="D15" s="16">
        <f t="shared" si="0"/>
        <v>96</v>
      </c>
      <c r="E15" s="16">
        <v>11</v>
      </c>
      <c r="F15" s="52">
        <f t="shared" si="2"/>
        <v>1056</v>
      </c>
      <c r="G15" s="16">
        <f t="shared" si="3"/>
        <v>52.800000000000004</v>
      </c>
      <c r="H15" s="16">
        <f t="shared" si="4"/>
        <v>105.60000000000001</v>
      </c>
      <c r="I15" s="64">
        <f t="shared" si="1"/>
        <v>153130.03199999998</v>
      </c>
      <c r="J15" s="2"/>
      <c r="K15" s="53"/>
      <c r="M15" s="40"/>
      <c r="N15" s="41"/>
      <c r="O15" s="41"/>
      <c r="P15" s="41"/>
      <c r="Q15" s="41"/>
      <c r="R15" s="41"/>
      <c r="S15" s="41"/>
      <c r="T15" s="41"/>
      <c r="U15" s="44"/>
    </row>
    <row r="16" spans="1:21" s="1" customFormat="1" ht="27.75" customHeight="1" x14ac:dyDescent="0.2">
      <c r="A16" s="65" t="s">
        <v>69</v>
      </c>
      <c r="B16" s="16">
        <v>20</v>
      </c>
      <c r="C16" s="16">
        <v>12</v>
      </c>
      <c r="D16" s="16">
        <f t="shared" si="0"/>
        <v>240</v>
      </c>
      <c r="E16" s="16">
        <v>11</v>
      </c>
      <c r="F16" s="52">
        <f t="shared" si="2"/>
        <v>2640</v>
      </c>
      <c r="G16" s="16">
        <f t="shared" si="3"/>
        <v>132</v>
      </c>
      <c r="H16" s="16">
        <f t="shared" si="4"/>
        <v>264</v>
      </c>
      <c r="I16" s="64">
        <f t="shared" si="1"/>
        <v>382825.08</v>
      </c>
      <c r="J16" s="2"/>
      <c r="K16" s="53"/>
      <c r="M16" s="40"/>
      <c r="N16" s="41"/>
      <c r="O16" s="41"/>
      <c r="P16" s="41"/>
      <c r="Q16" s="41"/>
      <c r="R16" s="41"/>
      <c r="S16" s="41"/>
      <c r="T16" s="41"/>
      <c r="U16" s="44"/>
    </row>
    <row r="17" spans="1:21" s="1" customFormat="1" ht="12.75" x14ac:dyDescent="0.2">
      <c r="A17" s="65" t="s">
        <v>70</v>
      </c>
      <c r="B17" s="16">
        <v>8</v>
      </c>
      <c r="C17" s="16">
        <v>52</v>
      </c>
      <c r="D17" s="52">
        <f t="shared" si="0"/>
        <v>416</v>
      </c>
      <c r="E17" s="16">
        <v>11</v>
      </c>
      <c r="F17" s="52">
        <f t="shared" si="2"/>
        <v>4576</v>
      </c>
      <c r="G17" s="16">
        <f t="shared" si="3"/>
        <v>228.8</v>
      </c>
      <c r="H17" s="16">
        <f t="shared" si="4"/>
        <v>457.6</v>
      </c>
      <c r="I17" s="64">
        <f t="shared" si="1"/>
        <v>663563.47199999995</v>
      </c>
      <c r="J17" s="2"/>
      <c r="K17" s="53"/>
      <c r="M17" s="40"/>
      <c r="N17" s="41"/>
      <c r="O17" s="41"/>
      <c r="P17" s="41"/>
      <c r="Q17" s="41"/>
      <c r="R17" s="41"/>
      <c r="S17" s="41"/>
      <c r="T17" s="41"/>
      <c r="U17" s="44"/>
    </row>
    <row r="18" spans="1:21" s="1" customFormat="1" ht="19.5" customHeight="1" x14ac:dyDescent="0.2">
      <c r="A18" s="65" t="s">
        <v>71</v>
      </c>
      <c r="B18" s="16">
        <v>20</v>
      </c>
      <c r="C18" s="16">
        <v>1</v>
      </c>
      <c r="D18" s="16">
        <f t="shared" si="0"/>
        <v>20</v>
      </c>
      <c r="E18" s="16">
        <v>1</v>
      </c>
      <c r="F18" s="52">
        <f t="shared" si="2"/>
        <v>20</v>
      </c>
      <c r="G18" s="16">
        <f t="shared" si="3"/>
        <v>1</v>
      </c>
      <c r="H18" s="16">
        <f t="shared" si="4"/>
        <v>2</v>
      </c>
      <c r="I18" s="64">
        <f t="shared" si="1"/>
        <v>2900.19</v>
      </c>
      <c r="J18" s="2"/>
      <c r="K18" s="53"/>
      <c r="M18" s="40"/>
      <c r="N18" s="41"/>
      <c r="O18" s="41"/>
      <c r="P18" s="41"/>
      <c r="Q18" s="41"/>
      <c r="R18" s="41"/>
      <c r="S18" s="41"/>
      <c r="T18" s="41"/>
      <c r="U18" s="44"/>
    </row>
    <row r="19" spans="1:21" s="1" customFormat="1" ht="16.5" customHeight="1" x14ac:dyDescent="0.2">
      <c r="A19" s="33" t="s">
        <v>72</v>
      </c>
      <c r="B19" s="16" t="s">
        <v>73</v>
      </c>
      <c r="C19" s="16"/>
      <c r="D19" s="16"/>
      <c r="E19" s="16"/>
      <c r="F19" s="16"/>
      <c r="G19" s="16"/>
      <c r="H19" s="16"/>
      <c r="I19" s="64"/>
      <c r="J19" s="2"/>
      <c r="K19" s="2"/>
      <c r="M19" s="40"/>
      <c r="N19" s="41"/>
      <c r="O19" s="41"/>
      <c r="P19" s="41"/>
      <c r="Q19" s="41"/>
      <c r="R19" s="41"/>
      <c r="S19" s="41"/>
      <c r="T19" s="41"/>
      <c r="U19" s="44"/>
    </row>
    <row r="20" spans="1:21" s="1" customFormat="1" ht="12.75" x14ac:dyDescent="0.2">
      <c r="A20" s="33" t="s">
        <v>74</v>
      </c>
      <c r="B20" s="16" t="s">
        <v>75</v>
      </c>
      <c r="C20" s="16"/>
      <c r="D20" s="16"/>
      <c r="E20" s="16"/>
      <c r="F20" s="16"/>
      <c r="G20" s="16"/>
      <c r="H20" s="16"/>
      <c r="I20" s="64"/>
      <c r="J20" s="2"/>
      <c r="M20" s="40"/>
      <c r="N20" s="41"/>
      <c r="O20" s="41"/>
      <c r="P20" s="41"/>
      <c r="Q20" s="41"/>
      <c r="R20" s="41"/>
      <c r="S20" s="41"/>
      <c r="T20" s="41"/>
      <c r="U20" s="44"/>
    </row>
    <row r="21" spans="1:21" s="1" customFormat="1" ht="12.75" x14ac:dyDescent="0.2">
      <c r="A21" s="33" t="s">
        <v>76</v>
      </c>
      <c r="B21" s="16"/>
      <c r="C21" s="16"/>
      <c r="D21" s="16"/>
      <c r="E21" s="16"/>
      <c r="F21" s="16"/>
      <c r="G21" s="16"/>
      <c r="H21" s="16"/>
      <c r="I21" s="64"/>
      <c r="J21" s="2"/>
      <c r="M21" s="40"/>
      <c r="N21" s="41"/>
      <c r="O21" s="41"/>
      <c r="P21" s="41"/>
      <c r="Q21" s="41"/>
      <c r="R21" s="43"/>
      <c r="S21" s="41"/>
      <c r="T21" s="41"/>
      <c r="U21" s="44"/>
    </row>
    <row r="22" spans="1:21" s="1" customFormat="1" ht="15.75" x14ac:dyDescent="0.25">
      <c r="A22" s="65" t="s">
        <v>77</v>
      </c>
      <c r="B22" s="16">
        <v>2</v>
      </c>
      <c r="C22" s="16">
        <f>ROUND((E10+E11+E12)/12,0)</f>
        <v>2</v>
      </c>
      <c r="D22" s="16">
        <f>B22*C22</f>
        <v>4</v>
      </c>
      <c r="E22" s="16">
        <v>11</v>
      </c>
      <c r="F22" s="52">
        <f>+D22*E22</f>
        <v>44</v>
      </c>
      <c r="G22" s="16">
        <f>+F22*0.05</f>
        <v>2.2000000000000002</v>
      </c>
      <c r="H22" s="16">
        <f>+F22*0.1</f>
        <v>4.4000000000000004</v>
      </c>
      <c r="I22" s="64">
        <f>F22*$L$6+$L$5*G22+H22*$L$7</f>
        <v>6380.4179999999997</v>
      </c>
      <c r="J22" s="2"/>
      <c r="K22" s="2"/>
      <c r="M22" s="47"/>
      <c r="N22" s="47"/>
      <c r="O22" s="47"/>
      <c r="P22" s="47"/>
      <c r="Q22" s="47"/>
      <c r="R22" s="48"/>
      <c r="S22" s="48"/>
      <c r="T22" s="48"/>
      <c r="U22" s="49"/>
    </row>
    <row r="23" spans="1:21" s="1" customFormat="1" ht="12.75" x14ac:dyDescent="0.2">
      <c r="A23" s="65" t="s">
        <v>78</v>
      </c>
      <c r="B23" s="16">
        <v>16</v>
      </c>
      <c r="C23" s="16">
        <v>2</v>
      </c>
      <c r="D23" s="16">
        <f>B23*C23</f>
        <v>32</v>
      </c>
      <c r="E23" s="16">
        <v>11</v>
      </c>
      <c r="F23" s="52">
        <f t="shared" ref="F23:F25" si="5">+D23*E23</f>
        <v>352</v>
      </c>
      <c r="G23" s="16">
        <f t="shared" ref="G23:G25" si="6">+F23*0.05</f>
        <v>17.600000000000001</v>
      </c>
      <c r="H23" s="16">
        <f t="shared" ref="H23:H25" si="7">+F23*0.1</f>
        <v>35.200000000000003</v>
      </c>
      <c r="I23" s="64">
        <f>F23*$L$6+$L$5*G23+H23*$L$7</f>
        <v>51043.343999999997</v>
      </c>
      <c r="J23" s="2"/>
      <c r="K23" s="2"/>
      <c r="M23" s="40"/>
      <c r="N23" s="41"/>
      <c r="O23" s="41"/>
      <c r="P23" s="41"/>
      <c r="Q23" s="41"/>
      <c r="R23" s="41"/>
      <c r="S23" s="41"/>
      <c r="T23" s="41"/>
      <c r="U23" s="42"/>
    </row>
    <row r="24" spans="1:21" s="1" customFormat="1" ht="15.75" x14ac:dyDescent="0.2">
      <c r="A24" s="65" t="s">
        <v>79</v>
      </c>
      <c r="B24" s="16">
        <v>10</v>
      </c>
      <c r="C24" s="16">
        <f>ROUND((E10+E11+E12)/12,0)</f>
        <v>2</v>
      </c>
      <c r="D24" s="16">
        <f>B24*C24</f>
        <v>20</v>
      </c>
      <c r="E24" s="52">
        <f>E9</f>
        <v>11</v>
      </c>
      <c r="F24" s="52">
        <f>+D24*E24</f>
        <v>220</v>
      </c>
      <c r="G24" s="16">
        <f t="shared" si="6"/>
        <v>11</v>
      </c>
      <c r="H24" s="16">
        <f t="shared" si="7"/>
        <v>22</v>
      </c>
      <c r="I24" s="64">
        <f>F24*$L$6+$L$5*G24+H24*$L$7</f>
        <v>31902.089999999997</v>
      </c>
      <c r="J24" s="2"/>
      <c r="K24" s="2"/>
      <c r="M24" s="40"/>
      <c r="N24" s="41"/>
      <c r="O24" s="41"/>
      <c r="P24" s="41"/>
      <c r="Q24" s="41"/>
      <c r="R24" s="41"/>
      <c r="S24" s="41"/>
      <c r="T24" s="41"/>
      <c r="U24" s="44"/>
    </row>
    <row r="25" spans="1:21" s="1" customFormat="1" ht="15.75" x14ac:dyDescent="0.2">
      <c r="A25" s="65" t="s">
        <v>80</v>
      </c>
      <c r="B25" s="16">
        <v>10</v>
      </c>
      <c r="C25" s="16">
        <v>1</v>
      </c>
      <c r="D25" s="16">
        <f>B25*C25</f>
        <v>10</v>
      </c>
      <c r="E25" s="16">
        <f>E7</f>
        <v>11</v>
      </c>
      <c r="F25" s="52">
        <f t="shared" si="5"/>
        <v>110</v>
      </c>
      <c r="G25" s="16">
        <f t="shared" si="6"/>
        <v>5.5</v>
      </c>
      <c r="H25" s="16">
        <f t="shared" si="7"/>
        <v>11</v>
      </c>
      <c r="I25" s="64">
        <f>F25*$L$6+$L$5*G25+H25*$L$7</f>
        <v>15951.044999999998</v>
      </c>
      <c r="J25" s="2"/>
      <c r="M25" s="40"/>
      <c r="N25" s="41"/>
      <c r="O25" s="41"/>
      <c r="P25" s="41"/>
      <c r="Q25" s="41"/>
      <c r="R25" s="41"/>
      <c r="S25" s="41"/>
      <c r="T25" s="41"/>
      <c r="U25" s="44"/>
    </row>
    <row r="26" spans="1:21" s="1" customFormat="1" ht="13.5" x14ac:dyDescent="0.2">
      <c r="A26" s="67" t="s">
        <v>81</v>
      </c>
      <c r="B26" s="68"/>
      <c r="C26" s="68"/>
      <c r="D26" s="68"/>
      <c r="E26" s="68"/>
      <c r="F26" s="102">
        <f>SUM(F7:H25)</f>
        <v>15450.250000000002</v>
      </c>
      <c r="G26" s="102"/>
      <c r="H26" s="102"/>
      <c r="I26" s="69">
        <f>SUM(I7:I25)</f>
        <v>1948202.6325000001</v>
      </c>
      <c r="J26" s="2"/>
      <c r="K26" s="2"/>
      <c r="M26" s="40"/>
      <c r="N26" s="41"/>
      <c r="O26" s="41"/>
      <c r="P26" s="41"/>
      <c r="Q26" s="41"/>
      <c r="R26" s="43"/>
      <c r="S26" s="41"/>
      <c r="T26" s="41"/>
      <c r="U26" s="44"/>
    </row>
    <row r="27" spans="1:21" s="1" customFormat="1" ht="18" customHeight="1" x14ac:dyDescent="0.2">
      <c r="A27" s="18" t="s">
        <v>82</v>
      </c>
      <c r="B27" s="16"/>
      <c r="C27" s="16"/>
      <c r="D27" s="16"/>
      <c r="E27" s="16"/>
      <c r="F27" s="16"/>
      <c r="G27" s="16"/>
      <c r="H27" s="16"/>
      <c r="I27" s="64"/>
      <c r="J27" s="2"/>
      <c r="K27" s="2"/>
      <c r="M27" s="40"/>
      <c r="N27" s="41"/>
      <c r="O27" s="41"/>
      <c r="P27" s="41"/>
      <c r="Q27" s="41"/>
      <c r="R27" s="41"/>
      <c r="S27" s="41"/>
      <c r="T27" s="41"/>
      <c r="U27" s="44"/>
    </row>
    <row r="28" spans="1:21" s="1" customFormat="1" ht="12.75" x14ac:dyDescent="0.2">
      <c r="A28" s="33" t="s">
        <v>83</v>
      </c>
      <c r="B28" s="16" t="s">
        <v>84</v>
      </c>
      <c r="C28" s="16"/>
      <c r="D28" s="16"/>
      <c r="E28" s="16"/>
      <c r="F28" s="16"/>
      <c r="G28" s="16"/>
      <c r="H28" s="16"/>
      <c r="I28" s="64"/>
      <c r="J28" s="2"/>
      <c r="K28" s="2"/>
      <c r="M28" s="40"/>
      <c r="N28" s="41"/>
      <c r="O28" s="41"/>
      <c r="P28" s="41"/>
      <c r="Q28" s="41"/>
      <c r="R28" s="41"/>
      <c r="S28" s="41"/>
      <c r="T28" s="41"/>
      <c r="U28" s="44"/>
    </row>
    <row r="29" spans="1:21" s="1" customFormat="1" ht="12.75" x14ac:dyDescent="0.2">
      <c r="A29" s="33" t="s">
        <v>85</v>
      </c>
      <c r="B29" s="16" t="s">
        <v>56</v>
      </c>
      <c r="C29" s="16"/>
      <c r="D29" s="16"/>
      <c r="E29" s="16"/>
      <c r="F29" s="16"/>
      <c r="G29" s="16"/>
      <c r="H29" s="16"/>
      <c r="I29" s="64"/>
      <c r="J29" s="2"/>
      <c r="K29" s="2"/>
      <c r="M29" s="40"/>
      <c r="N29" s="41"/>
      <c r="O29" s="41"/>
      <c r="P29" s="41"/>
      <c r="Q29" s="41"/>
      <c r="R29" s="41"/>
      <c r="S29" s="41"/>
      <c r="T29" s="41"/>
      <c r="U29" s="44"/>
    </row>
    <row r="30" spans="1:21" s="1" customFormat="1" ht="12.75" x14ac:dyDescent="0.2">
      <c r="A30" s="33" t="s">
        <v>86</v>
      </c>
      <c r="B30" s="16" t="s">
        <v>56</v>
      </c>
      <c r="C30" s="16"/>
      <c r="D30" s="16"/>
      <c r="E30" s="16"/>
      <c r="F30" s="16"/>
      <c r="G30" s="16"/>
      <c r="H30" s="16"/>
      <c r="I30" s="64"/>
      <c r="J30" s="2"/>
      <c r="K30" s="2"/>
      <c r="M30" s="40"/>
      <c r="N30" s="41"/>
      <c r="O30" s="41"/>
      <c r="P30" s="41"/>
      <c r="Q30" s="41"/>
      <c r="R30" s="41"/>
      <c r="S30" s="41"/>
      <c r="T30" s="41"/>
      <c r="U30" s="44"/>
    </row>
    <row r="31" spans="1:21" s="1" customFormat="1" ht="12.75" x14ac:dyDescent="0.2">
      <c r="A31" s="33" t="s">
        <v>87</v>
      </c>
      <c r="B31" s="16"/>
      <c r="C31" s="16"/>
      <c r="D31" s="16"/>
      <c r="E31" s="16"/>
      <c r="F31" s="16"/>
      <c r="G31" s="16"/>
      <c r="H31" s="16"/>
      <c r="I31" s="64"/>
      <c r="J31" s="2"/>
      <c r="K31" s="2"/>
      <c r="M31" s="40"/>
      <c r="N31" s="41"/>
      <c r="O31" s="41"/>
      <c r="P31" s="41"/>
      <c r="Q31" s="41"/>
      <c r="R31" s="41"/>
      <c r="S31" s="41"/>
      <c r="T31" s="41"/>
      <c r="U31" s="44"/>
    </row>
    <row r="32" spans="1:21" s="1" customFormat="1" ht="12.75" x14ac:dyDescent="0.2">
      <c r="A32" s="65" t="s">
        <v>88</v>
      </c>
      <c r="B32" s="16">
        <v>1</v>
      </c>
      <c r="C32" s="16">
        <v>12</v>
      </c>
      <c r="D32" s="16">
        <f t="shared" ref="D32:D45" si="8">B32*C32</f>
        <v>12</v>
      </c>
      <c r="E32" s="16">
        <v>11</v>
      </c>
      <c r="F32" s="52">
        <f t="shared" ref="F32:F44" si="9">+D32*E32</f>
        <v>132</v>
      </c>
      <c r="G32" s="16">
        <f t="shared" ref="G32:G44" si="10">+F32*0.05</f>
        <v>6.6000000000000005</v>
      </c>
      <c r="H32" s="16">
        <f t="shared" ref="H32:H44" si="11">+F32*0.1</f>
        <v>13.200000000000001</v>
      </c>
      <c r="I32" s="64">
        <f t="shared" ref="I32:I45" si="12">F32*$L$6+$L$5*G32+H32*$L$7</f>
        <v>19141.253999999997</v>
      </c>
      <c r="J32" s="2"/>
      <c r="K32" s="2"/>
      <c r="M32" s="40"/>
      <c r="N32" s="41"/>
      <c r="O32" s="41"/>
      <c r="P32" s="41"/>
      <c r="Q32" s="41"/>
      <c r="R32" s="41"/>
      <c r="S32" s="41"/>
      <c r="T32" s="41"/>
      <c r="U32" s="44"/>
    </row>
    <row r="33" spans="1:21" s="1" customFormat="1" ht="19.5" customHeight="1" x14ac:dyDescent="0.2">
      <c r="A33" s="65" t="s">
        <v>89</v>
      </c>
      <c r="B33" s="16">
        <v>1</v>
      </c>
      <c r="C33" s="16">
        <v>1</v>
      </c>
      <c r="D33" s="16">
        <f t="shared" si="8"/>
        <v>1</v>
      </c>
      <c r="E33" s="16">
        <v>11</v>
      </c>
      <c r="F33" s="52">
        <f t="shared" si="9"/>
        <v>11</v>
      </c>
      <c r="G33" s="16">
        <f t="shared" si="10"/>
        <v>0.55000000000000004</v>
      </c>
      <c r="H33" s="16">
        <f t="shared" si="11"/>
        <v>1.1000000000000001</v>
      </c>
      <c r="I33" s="64">
        <f t="shared" si="12"/>
        <v>1595.1044999999999</v>
      </c>
      <c r="J33" s="2"/>
      <c r="K33" s="2"/>
      <c r="M33" s="40"/>
      <c r="N33" s="41"/>
      <c r="O33" s="41"/>
      <c r="P33" s="41"/>
      <c r="Q33" s="41"/>
      <c r="R33" s="41"/>
      <c r="S33" s="41"/>
      <c r="T33" s="41"/>
      <c r="U33" s="44"/>
    </row>
    <row r="34" spans="1:21" s="1" customFormat="1" ht="31.5" customHeight="1" x14ac:dyDescent="0.2">
      <c r="A34" s="65" t="s">
        <v>66</v>
      </c>
      <c r="B34" s="16">
        <v>1</v>
      </c>
      <c r="C34" s="16">
        <v>52</v>
      </c>
      <c r="D34" s="16">
        <f t="shared" si="8"/>
        <v>52</v>
      </c>
      <c r="E34" s="16">
        <v>11</v>
      </c>
      <c r="F34" s="52">
        <f>+D34*E34</f>
        <v>572</v>
      </c>
      <c r="G34" s="16">
        <f>+F34*0.05</f>
        <v>28.6</v>
      </c>
      <c r="H34" s="16">
        <f>+F34*0.1</f>
        <v>57.2</v>
      </c>
      <c r="I34" s="64">
        <f t="shared" si="12"/>
        <v>82945.433999999994</v>
      </c>
      <c r="J34" s="2"/>
      <c r="K34" s="2"/>
      <c r="M34" s="40"/>
      <c r="N34" s="41"/>
      <c r="O34" s="41"/>
      <c r="P34" s="41"/>
      <c r="Q34" s="41"/>
      <c r="R34" s="43"/>
      <c r="S34" s="41"/>
      <c r="T34" s="41"/>
      <c r="U34" s="44"/>
    </row>
    <row r="35" spans="1:21" s="1" customFormat="1" ht="12.75" x14ac:dyDescent="0.2">
      <c r="A35" s="65" t="s">
        <v>90</v>
      </c>
      <c r="B35" s="16">
        <v>1</v>
      </c>
      <c r="C35" s="16">
        <v>12</v>
      </c>
      <c r="D35" s="16">
        <f t="shared" si="8"/>
        <v>12</v>
      </c>
      <c r="E35" s="52">
        <f>E14</f>
        <v>22</v>
      </c>
      <c r="F35" s="52">
        <f>+D35*E35</f>
        <v>264</v>
      </c>
      <c r="G35" s="16">
        <f t="shared" si="10"/>
        <v>13.200000000000001</v>
      </c>
      <c r="H35" s="16">
        <f t="shared" si="11"/>
        <v>26.400000000000002</v>
      </c>
      <c r="I35" s="64">
        <f t="shared" si="12"/>
        <v>38282.507999999994</v>
      </c>
      <c r="J35" s="2"/>
      <c r="K35" s="2"/>
      <c r="M35" s="40"/>
      <c r="N35" s="41"/>
      <c r="O35" s="41"/>
      <c r="P35" s="41"/>
      <c r="Q35" s="41"/>
      <c r="R35" s="41"/>
      <c r="S35" s="41"/>
      <c r="T35" s="41"/>
      <c r="U35" s="44"/>
    </row>
    <row r="36" spans="1:21" s="1" customFormat="1" ht="18.75" customHeight="1" x14ac:dyDescent="0.2">
      <c r="A36" s="65" t="s">
        <v>91</v>
      </c>
      <c r="B36" s="16">
        <v>1</v>
      </c>
      <c r="C36" s="16">
        <v>12</v>
      </c>
      <c r="D36" s="16">
        <f t="shared" si="8"/>
        <v>12</v>
      </c>
      <c r="E36" s="16">
        <v>11</v>
      </c>
      <c r="F36" s="52">
        <f t="shared" si="9"/>
        <v>132</v>
      </c>
      <c r="G36" s="16">
        <f t="shared" si="10"/>
        <v>6.6000000000000005</v>
      </c>
      <c r="H36" s="16">
        <f t="shared" si="11"/>
        <v>13.200000000000001</v>
      </c>
      <c r="I36" s="64">
        <f t="shared" si="12"/>
        <v>19141.253999999997</v>
      </c>
      <c r="J36" s="2"/>
      <c r="K36" s="2"/>
      <c r="M36" s="40"/>
      <c r="N36" s="41"/>
      <c r="O36" s="41"/>
      <c r="P36" s="41"/>
      <c r="Q36" s="41"/>
      <c r="R36" s="41"/>
      <c r="S36" s="41"/>
      <c r="T36" s="41"/>
      <c r="U36" s="44"/>
    </row>
    <row r="37" spans="1:21" s="1" customFormat="1" ht="12.75" x14ac:dyDescent="0.2">
      <c r="A37" s="65" t="s">
        <v>92</v>
      </c>
      <c r="B37" s="16">
        <v>1</v>
      </c>
      <c r="C37" s="16">
        <v>12</v>
      </c>
      <c r="D37" s="16">
        <f t="shared" si="8"/>
        <v>12</v>
      </c>
      <c r="E37" s="16">
        <v>11</v>
      </c>
      <c r="F37" s="52">
        <f t="shared" si="9"/>
        <v>132</v>
      </c>
      <c r="G37" s="16">
        <f t="shared" si="10"/>
        <v>6.6000000000000005</v>
      </c>
      <c r="H37" s="16">
        <f t="shared" si="11"/>
        <v>13.200000000000001</v>
      </c>
      <c r="I37" s="64">
        <f t="shared" si="12"/>
        <v>19141.253999999997</v>
      </c>
      <c r="J37" s="2"/>
      <c r="K37" s="2"/>
      <c r="M37" s="40"/>
      <c r="N37" s="41"/>
      <c r="O37" s="41"/>
      <c r="P37" s="41"/>
      <c r="Q37" s="41"/>
      <c r="R37" s="41"/>
      <c r="S37" s="41"/>
      <c r="T37" s="41"/>
      <c r="U37" s="44"/>
    </row>
    <row r="38" spans="1:21" s="1" customFormat="1" ht="12.75" x14ac:dyDescent="0.2">
      <c r="A38" s="65" t="s">
        <v>93</v>
      </c>
      <c r="B38" s="16">
        <v>1</v>
      </c>
      <c r="C38" s="16">
        <v>12</v>
      </c>
      <c r="D38" s="16">
        <f t="shared" si="8"/>
        <v>12</v>
      </c>
      <c r="E38" s="16">
        <v>11</v>
      </c>
      <c r="F38" s="52">
        <f t="shared" si="9"/>
        <v>132</v>
      </c>
      <c r="G38" s="16">
        <f t="shared" si="10"/>
        <v>6.6000000000000005</v>
      </c>
      <c r="H38" s="16">
        <f t="shared" si="11"/>
        <v>13.200000000000001</v>
      </c>
      <c r="I38" s="64">
        <f t="shared" si="12"/>
        <v>19141.253999999997</v>
      </c>
      <c r="J38" s="11"/>
      <c r="K38" s="2"/>
      <c r="M38" s="40"/>
      <c r="N38" s="41"/>
      <c r="O38" s="41"/>
      <c r="P38" s="41"/>
      <c r="Q38" s="41"/>
      <c r="R38" s="41"/>
      <c r="S38" s="41"/>
      <c r="T38" s="41"/>
      <c r="U38" s="44"/>
    </row>
    <row r="39" spans="1:21" s="1" customFormat="1" ht="12.75" x14ac:dyDescent="0.2">
      <c r="A39" s="65" t="s">
        <v>94</v>
      </c>
      <c r="B39" s="16">
        <v>2</v>
      </c>
      <c r="C39" s="16">
        <v>6</v>
      </c>
      <c r="D39" s="16">
        <f t="shared" si="8"/>
        <v>12</v>
      </c>
      <c r="E39" s="16">
        <v>11</v>
      </c>
      <c r="F39" s="52">
        <f t="shared" si="9"/>
        <v>132</v>
      </c>
      <c r="G39" s="16">
        <f t="shared" si="10"/>
        <v>6.6000000000000005</v>
      </c>
      <c r="H39" s="16">
        <f t="shared" si="11"/>
        <v>13.200000000000001</v>
      </c>
      <c r="I39" s="64">
        <f t="shared" si="12"/>
        <v>19141.253999999997</v>
      </c>
      <c r="J39" s="8"/>
      <c r="K39" s="7"/>
      <c r="L39" s="2"/>
      <c r="M39" s="40"/>
      <c r="N39" s="41"/>
      <c r="O39" s="41"/>
      <c r="P39" s="41"/>
      <c r="Q39" s="41"/>
      <c r="R39" s="41"/>
      <c r="S39" s="41"/>
      <c r="T39" s="41"/>
      <c r="U39" s="44"/>
    </row>
    <row r="40" spans="1:21" s="1" customFormat="1" ht="12.75" x14ac:dyDescent="0.2">
      <c r="A40" s="65" t="s">
        <v>95</v>
      </c>
      <c r="B40" s="16">
        <v>1</v>
      </c>
      <c r="C40" s="16">
        <v>6</v>
      </c>
      <c r="D40" s="16">
        <f t="shared" si="8"/>
        <v>6</v>
      </c>
      <c r="E40" s="16">
        <v>11</v>
      </c>
      <c r="F40" s="52">
        <f t="shared" si="9"/>
        <v>66</v>
      </c>
      <c r="G40" s="16">
        <f t="shared" si="10"/>
        <v>3.3000000000000003</v>
      </c>
      <c r="H40" s="16">
        <f t="shared" si="11"/>
        <v>6.6000000000000005</v>
      </c>
      <c r="I40" s="64">
        <f t="shared" si="12"/>
        <v>9570.6269999999986</v>
      </c>
      <c r="J40" s="12"/>
      <c r="L40" s="2"/>
      <c r="M40" s="40"/>
      <c r="N40" s="41"/>
      <c r="O40" s="41"/>
      <c r="P40" s="41"/>
      <c r="Q40" s="41"/>
      <c r="R40" s="43"/>
      <c r="S40" s="41"/>
      <c r="T40" s="41"/>
      <c r="U40" s="44"/>
    </row>
    <row r="41" spans="1:21" s="1" customFormat="1" ht="12.75" x14ac:dyDescent="0.2">
      <c r="A41" s="65" t="s">
        <v>96</v>
      </c>
      <c r="B41" s="16">
        <v>1</v>
      </c>
      <c r="C41" s="16">
        <v>12</v>
      </c>
      <c r="D41" s="16">
        <f t="shared" si="8"/>
        <v>12</v>
      </c>
      <c r="E41" s="16">
        <v>11</v>
      </c>
      <c r="F41" s="52">
        <f t="shared" si="9"/>
        <v>132</v>
      </c>
      <c r="G41" s="16">
        <f t="shared" si="10"/>
        <v>6.6000000000000005</v>
      </c>
      <c r="H41" s="16">
        <f t="shared" si="11"/>
        <v>13.200000000000001</v>
      </c>
      <c r="I41" s="64">
        <f t="shared" si="12"/>
        <v>19141.253999999997</v>
      </c>
      <c r="J41" s="12"/>
      <c r="K41" s="36">
        <f>F48/Responses!E9</f>
        <v>255.12820512820514</v>
      </c>
      <c r="L41" s="36" t="s">
        <v>11</v>
      </c>
      <c r="M41" s="40"/>
      <c r="N41" s="41"/>
      <c r="O41" s="41"/>
      <c r="P41" s="41"/>
      <c r="Q41" s="41"/>
      <c r="R41" s="41"/>
      <c r="S41" s="41"/>
      <c r="T41" s="41"/>
      <c r="U41" s="44"/>
    </row>
    <row r="42" spans="1:21" s="1" customFormat="1" ht="13.5" customHeight="1" x14ac:dyDescent="0.2">
      <c r="A42" s="65" t="s">
        <v>97</v>
      </c>
      <c r="B42" s="16">
        <v>1</v>
      </c>
      <c r="C42" s="16">
        <v>12</v>
      </c>
      <c r="D42" s="16">
        <f t="shared" si="8"/>
        <v>12</v>
      </c>
      <c r="E42" s="16">
        <v>11</v>
      </c>
      <c r="F42" s="52">
        <f t="shared" si="9"/>
        <v>132</v>
      </c>
      <c r="G42" s="16">
        <f t="shared" si="10"/>
        <v>6.6000000000000005</v>
      </c>
      <c r="H42" s="16">
        <f t="shared" si="11"/>
        <v>13.200000000000001</v>
      </c>
      <c r="I42" s="64">
        <f t="shared" si="12"/>
        <v>19141.253999999997</v>
      </c>
      <c r="J42" s="12"/>
      <c r="K42" s="10"/>
      <c r="L42" s="2"/>
      <c r="M42" s="40"/>
      <c r="N42" s="41"/>
      <c r="O42" s="41"/>
      <c r="P42" s="41"/>
      <c r="Q42" s="41"/>
      <c r="R42" s="41"/>
      <c r="S42" s="41"/>
      <c r="T42" s="41"/>
      <c r="U42" s="44"/>
    </row>
    <row r="43" spans="1:21" s="1" customFormat="1" ht="13.5" customHeight="1" x14ac:dyDescent="0.25">
      <c r="A43" s="65" t="s">
        <v>98</v>
      </c>
      <c r="B43" s="16">
        <v>1</v>
      </c>
      <c r="C43" s="16">
        <v>6</v>
      </c>
      <c r="D43" s="16">
        <f t="shared" si="8"/>
        <v>6</v>
      </c>
      <c r="E43" s="16">
        <v>11</v>
      </c>
      <c r="F43" s="52">
        <f t="shared" si="9"/>
        <v>66</v>
      </c>
      <c r="G43" s="16">
        <f t="shared" si="10"/>
        <v>3.3000000000000003</v>
      </c>
      <c r="H43" s="16">
        <f t="shared" si="11"/>
        <v>6.6000000000000005</v>
      </c>
      <c r="I43" s="64">
        <f t="shared" si="12"/>
        <v>9570.6269999999986</v>
      </c>
      <c r="J43" s="2"/>
      <c r="M43" s="47"/>
      <c r="N43" s="47"/>
      <c r="O43" s="47"/>
      <c r="P43" s="47"/>
      <c r="Q43" s="47"/>
      <c r="R43" s="48"/>
      <c r="S43" s="48"/>
      <c r="T43" s="48"/>
      <c r="U43" s="49"/>
    </row>
    <row r="44" spans="1:21" s="1" customFormat="1" ht="28.5" customHeight="1" x14ac:dyDescent="0.25">
      <c r="A44" s="65" t="s">
        <v>99</v>
      </c>
      <c r="B44" s="16">
        <v>3.5</v>
      </c>
      <c r="C44" s="16">
        <v>52</v>
      </c>
      <c r="D44" s="16">
        <f t="shared" si="8"/>
        <v>182</v>
      </c>
      <c r="E44" s="16">
        <v>11</v>
      </c>
      <c r="F44" s="52">
        <f t="shared" si="9"/>
        <v>2002</v>
      </c>
      <c r="G44" s="16">
        <f t="shared" si="10"/>
        <v>100.10000000000001</v>
      </c>
      <c r="H44" s="16">
        <f t="shared" si="11"/>
        <v>200.20000000000002</v>
      </c>
      <c r="I44" s="64">
        <f t="shared" si="12"/>
        <v>290309.01899999997</v>
      </c>
      <c r="J44" s="2"/>
      <c r="M44" s="50"/>
      <c r="N44" s="50"/>
      <c r="O44" s="50"/>
      <c r="P44" s="50"/>
      <c r="Q44" s="50"/>
      <c r="R44" s="48"/>
      <c r="S44" s="48"/>
      <c r="T44" s="48"/>
      <c r="U44" s="49"/>
    </row>
    <row r="45" spans="1:21" s="1" customFormat="1" ht="13.5" x14ac:dyDescent="0.25">
      <c r="A45" s="33" t="s">
        <v>100</v>
      </c>
      <c r="B45" s="16">
        <v>8</v>
      </c>
      <c r="C45" s="16">
        <v>1</v>
      </c>
      <c r="D45" s="16">
        <f t="shared" si="8"/>
        <v>8</v>
      </c>
      <c r="E45" s="16">
        <v>0</v>
      </c>
      <c r="F45" s="52">
        <f t="shared" ref="F45" si="13">+D45*E45</f>
        <v>0</v>
      </c>
      <c r="G45" s="16">
        <f t="shared" ref="G45" si="14">+F45*0.05</f>
        <v>0</v>
      </c>
      <c r="H45" s="16">
        <f t="shared" ref="H45" si="15">+F45*0.1</f>
        <v>0</v>
      </c>
      <c r="I45" s="70">
        <f t="shared" si="12"/>
        <v>0</v>
      </c>
      <c r="J45" s="2"/>
      <c r="M45" s="50"/>
      <c r="N45" s="50"/>
      <c r="O45" s="50"/>
      <c r="P45" s="50"/>
      <c r="Q45" s="50"/>
      <c r="R45" s="50"/>
      <c r="S45" s="50"/>
      <c r="T45" s="50"/>
      <c r="U45" s="49"/>
    </row>
    <row r="46" spans="1:21" s="1" customFormat="1" ht="13.5" x14ac:dyDescent="0.25">
      <c r="A46" s="33" t="s">
        <v>101</v>
      </c>
      <c r="B46" s="16" t="s">
        <v>56</v>
      </c>
      <c r="C46" s="16"/>
      <c r="D46" s="16"/>
      <c r="E46" s="16"/>
      <c r="F46" s="16"/>
      <c r="G46" s="16"/>
      <c r="H46" s="16"/>
      <c r="I46" s="64"/>
      <c r="J46" s="2"/>
      <c r="M46" s="50"/>
      <c r="N46" s="50"/>
      <c r="O46" s="50"/>
      <c r="P46" s="50"/>
      <c r="Q46" s="50"/>
      <c r="R46" s="50"/>
      <c r="S46" s="50"/>
      <c r="T46" s="50"/>
      <c r="U46" s="49"/>
    </row>
    <row r="47" spans="1:21" s="1" customFormat="1" ht="13.5" x14ac:dyDescent="0.2">
      <c r="A47" s="67" t="s">
        <v>102</v>
      </c>
      <c r="B47" s="68"/>
      <c r="C47" s="68"/>
      <c r="D47" s="68"/>
      <c r="E47" s="68"/>
      <c r="F47" s="102">
        <f>SUM(F28:H45)</f>
        <v>4490.75</v>
      </c>
      <c r="G47" s="102"/>
      <c r="H47" s="102"/>
      <c r="I47" s="69">
        <f>SUM(I32:I46)</f>
        <v>566262.09749999992</v>
      </c>
      <c r="J47" s="2"/>
      <c r="M47" s="27"/>
      <c r="N47" s="27"/>
      <c r="O47" s="27"/>
      <c r="P47" s="27"/>
      <c r="Q47" s="27"/>
      <c r="R47" s="27"/>
      <c r="S47" s="27"/>
      <c r="T47" s="27"/>
      <c r="U47" s="27"/>
    </row>
    <row r="48" spans="1:21" s="1" customFormat="1" ht="12.75" x14ac:dyDescent="0.2">
      <c r="A48" s="103" t="s">
        <v>103</v>
      </c>
      <c r="B48" s="103"/>
      <c r="C48" s="103"/>
      <c r="D48" s="103"/>
      <c r="E48" s="103"/>
      <c r="F48" s="104">
        <f>ROUND(+F26+F47,-2)</f>
        <v>19900</v>
      </c>
      <c r="G48" s="104"/>
      <c r="H48" s="104"/>
      <c r="I48" s="71">
        <f>ROUND(+I26+I47,-4)</f>
        <v>2510000</v>
      </c>
      <c r="J48" s="2"/>
      <c r="M48" s="27"/>
      <c r="N48" s="27"/>
      <c r="O48" s="27"/>
      <c r="P48" s="27"/>
      <c r="Q48" s="27"/>
      <c r="R48" s="27"/>
      <c r="S48" s="27"/>
      <c r="T48" s="27"/>
      <c r="U48" s="27"/>
    </row>
    <row r="49" spans="1:21" s="1" customFormat="1" ht="12.75" x14ac:dyDescent="0.2">
      <c r="A49" s="93" t="s">
        <v>104</v>
      </c>
      <c r="B49" s="94"/>
      <c r="C49" s="94"/>
      <c r="D49" s="94"/>
      <c r="E49" s="95"/>
      <c r="F49" s="96"/>
      <c r="G49" s="96"/>
      <c r="H49" s="96"/>
      <c r="I49" s="71">
        <f>'Capital O&amp;M'!I11</f>
        <v>238000</v>
      </c>
      <c r="J49" s="6"/>
      <c r="M49" s="27"/>
      <c r="N49" s="27"/>
      <c r="O49" s="27"/>
      <c r="P49" s="27"/>
      <c r="Q49" s="27"/>
      <c r="R49" s="27"/>
      <c r="S49" s="27"/>
      <c r="T49" s="27"/>
      <c r="U49" s="27"/>
    </row>
    <row r="50" spans="1:21" s="1" customFormat="1" ht="12.75" x14ac:dyDescent="0.2">
      <c r="A50" s="93" t="s">
        <v>105</v>
      </c>
      <c r="B50" s="94"/>
      <c r="C50" s="94"/>
      <c r="D50" s="94"/>
      <c r="E50" s="95"/>
      <c r="F50" s="97"/>
      <c r="G50" s="97"/>
      <c r="H50" s="97"/>
      <c r="I50" s="71">
        <f>ROUND(+I48+I49,-4)</f>
        <v>2750000</v>
      </c>
      <c r="J50" s="2"/>
      <c r="M50" s="27"/>
      <c r="N50" s="27"/>
      <c r="O50" s="27"/>
      <c r="P50" s="27"/>
      <c r="Q50" s="27"/>
      <c r="R50" s="27"/>
      <c r="S50" s="27"/>
      <c r="T50" s="27"/>
      <c r="U50" s="27"/>
    </row>
    <row r="51" spans="1:21" s="1" customFormat="1" ht="20.25" customHeight="1" x14ac:dyDescent="0.25">
      <c r="A51" s="72"/>
      <c r="B51" s="63"/>
      <c r="C51" s="63"/>
      <c r="D51" s="63"/>
      <c r="E51" s="63"/>
      <c r="F51" s="63"/>
      <c r="G51" s="63"/>
      <c r="H51" s="63"/>
      <c r="I51" s="63"/>
      <c r="M51" s="27"/>
      <c r="N51" s="27"/>
      <c r="O51" s="27"/>
      <c r="P51" s="27"/>
      <c r="Q51" s="27"/>
      <c r="R51" s="27"/>
      <c r="S51" s="27"/>
      <c r="T51" s="27"/>
      <c r="U51" s="27"/>
    </row>
    <row r="52" spans="1:21" s="1" customFormat="1" ht="29.25" customHeight="1" x14ac:dyDescent="0.25">
      <c r="A52" s="73" t="s">
        <v>12</v>
      </c>
      <c r="B52" s="63"/>
      <c r="C52" s="63"/>
      <c r="D52" s="63"/>
      <c r="E52" s="63"/>
      <c r="F52" s="63"/>
      <c r="G52" s="63"/>
      <c r="H52" s="63"/>
      <c r="I52" s="63"/>
      <c r="M52" s="27"/>
      <c r="N52" s="27"/>
      <c r="O52" s="27"/>
      <c r="P52" s="27"/>
      <c r="Q52" s="27"/>
      <c r="R52" s="27"/>
      <c r="S52" s="27"/>
      <c r="T52" s="27"/>
      <c r="U52" s="27"/>
    </row>
    <row r="53" spans="1:21" s="1" customFormat="1" ht="47.45" customHeight="1" x14ac:dyDescent="0.2">
      <c r="A53" s="91" t="s">
        <v>129</v>
      </c>
      <c r="B53" s="92"/>
      <c r="C53" s="92"/>
      <c r="D53" s="92"/>
      <c r="E53" s="92"/>
      <c r="F53" s="92"/>
      <c r="G53" s="92"/>
      <c r="H53" s="92"/>
      <c r="I53" s="92"/>
      <c r="M53" s="51"/>
      <c r="N53" s="51"/>
      <c r="O53" s="51"/>
      <c r="P53" s="51"/>
      <c r="Q53" s="51"/>
      <c r="R53" s="51"/>
      <c r="S53" s="51"/>
      <c r="T53" s="51"/>
      <c r="U53" s="51"/>
    </row>
    <row r="54" spans="1:21" s="1" customFormat="1" ht="65.45" customHeight="1" x14ac:dyDescent="0.2">
      <c r="A54" s="90" t="s">
        <v>133</v>
      </c>
      <c r="B54" s="90"/>
      <c r="C54" s="90"/>
      <c r="D54" s="90"/>
      <c r="E54" s="90"/>
      <c r="F54" s="90"/>
      <c r="G54" s="90"/>
      <c r="H54" s="90"/>
      <c r="I54" s="90"/>
      <c r="M54" s="27"/>
      <c r="N54" s="27"/>
      <c r="O54" s="27"/>
      <c r="P54" s="27"/>
      <c r="Q54" s="27"/>
      <c r="R54" s="27"/>
      <c r="S54" s="27"/>
      <c r="T54" s="27"/>
      <c r="U54" s="27"/>
    </row>
    <row r="55" spans="1:21" s="1" customFormat="1" ht="71.45" customHeight="1" x14ac:dyDescent="0.2">
      <c r="A55" s="89" t="s">
        <v>131</v>
      </c>
      <c r="B55" s="89"/>
      <c r="C55" s="89"/>
      <c r="D55" s="89"/>
      <c r="E55" s="89"/>
      <c r="F55" s="89"/>
      <c r="G55" s="89"/>
      <c r="H55" s="89"/>
      <c r="I55" s="89"/>
      <c r="J55" s="82"/>
      <c r="K55" s="82"/>
      <c r="L55" s="82"/>
      <c r="M55" s="81"/>
      <c r="N55" s="27"/>
      <c r="O55" s="27"/>
      <c r="P55" s="27"/>
      <c r="Q55" s="27"/>
      <c r="R55" s="27"/>
      <c r="S55" s="27"/>
      <c r="T55" s="27"/>
      <c r="U55" s="27"/>
    </row>
    <row r="56" spans="1:21" s="1" customFormat="1" ht="15.75" x14ac:dyDescent="0.2">
      <c r="A56" s="98" t="s">
        <v>146</v>
      </c>
      <c r="B56" s="98"/>
      <c r="C56" s="98"/>
      <c r="D56" s="98"/>
      <c r="E56" s="98"/>
      <c r="F56" s="98"/>
      <c r="G56" s="98"/>
      <c r="H56" s="98"/>
      <c r="I56" s="98"/>
      <c r="J56" s="82"/>
      <c r="K56" s="82"/>
      <c r="L56" s="82"/>
      <c r="N56" s="27"/>
      <c r="O56" s="27"/>
      <c r="P56" s="27"/>
      <c r="Q56" s="27"/>
      <c r="R56" s="27"/>
      <c r="S56" s="27"/>
      <c r="T56" s="27"/>
      <c r="U56" s="27"/>
    </row>
    <row r="57" spans="1:21" ht="46.5" customHeight="1" x14ac:dyDescent="0.25">
      <c r="A57" s="99" t="s">
        <v>136</v>
      </c>
      <c r="B57" s="99"/>
      <c r="C57" s="99"/>
      <c r="D57" s="99"/>
      <c r="E57" s="99"/>
      <c r="F57" s="99"/>
      <c r="G57" s="99"/>
      <c r="H57" s="99"/>
      <c r="I57" s="99"/>
      <c r="J57" s="83"/>
      <c r="K57" s="83"/>
      <c r="L57" s="83"/>
      <c r="M57" s="81"/>
    </row>
    <row r="58" spans="1:21" ht="15.75" x14ac:dyDescent="0.25">
      <c r="A58" s="100" t="s">
        <v>106</v>
      </c>
      <c r="B58" s="100"/>
      <c r="C58" s="100"/>
      <c r="D58" s="100"/>
      <c r="E58" s="100"/>
      <c r="F58" s="100"/>
      <c r="G58" s="100"/>
      <c r="H58" s="100"/>
      <c r="I58" s="100"/>
    </row>
    <row r="59" spans="1:21" ht="15.75" x14ac:dyDescent="0.25">
      <c r="A59" s="100" t="s">
        <v>107</v>
      </c>
      <c r="B59" s="100"/>
      <c r="C59" s="100"/>
      <c r="D59" s="100"/>
      <c r="E59" s="100"/>
      <c r="F59" s="100"/>
      <c r="G59" s="100"/>
      <c r="H59" s="100"/>
      <c r="I59" s="100"/>
    </row>
    <row r="70" ht="15.75" customHeight="1" x14ac:dyDescent="0.25"/>
    <row r="71" ht="15" customHeight="1" x14ac:dyDescent="0.25"/>
  </sheetData>
  <sortState xmlns:xlrd2="http://schemas.microsoft.com/office/spreadsheetml/2017/richdata2" ref="A61:C76">
    <sortCondition ref="C61:C76"/>
  </sortState>
  <mergeCells count="17">
    <mergeCell ref="A56:I56"/>
    <mergeCell ref="A57:I57"/>
    <mergeCell ref="A58:I58"/>
    <mergeCell ref="A59:I59"/>
    <mergeCell ref="A1:I1"/>
    <mergeCell ref="F26:H26"/>
    <mergeCell ref="F47:H47"/>
    <mergeCell ref="A48:E48"/>
    <mergeCell ref="F48:H48"/>
    <mergeCell ref="K4:L4"/>
    <mergeCell ref="A55:I55"/>
    <mergeCell ref="A54:I54"/>
    <mergeCell ref="A53:I53"/>
    <mergeCell ref="A49:E49"/>
    <mergeCell ref="F49:H49"/>
    <mergeCell ref="A50:E50"/>
    <mergeCell ref="F50:H50"/>
  </mergeCells>
  <phoneticPr fontId="21"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3"/>
  <sheetViews>
    <sheetView workbookViewId="0">
      <selection activeCell="A2" sqref="A2"/>
    </sheetView>
  </sheetViews>
  <sheetFormatPr defaultRowHeight="15" x14ac:dyDescent="0.25"/>
  <cols>
    <col min="1" max="1" width="33" style="63" customWidth="1"/>
    <col min="2" max="2" width="17.42578125" style="63" customWidth="1"/>
    <col min="3" max="3" width="16" style="63" customWidth="1"/>
    <col min="4" max="4" width="14.28515625" style="63" customWidth="1"/>
    <col min="5" max="5" width="13.7109375" style="63" customWidth="1"/>
    <col min="6" max="6" width="15" style="63" customWidth="1"/>
    <col min="7" max="7" width="13.7109375" style="63" customWidth="1"/>
    <col min="8" max="8" width="14.7109375" style="63" customWidth="1"/>
    <col min="9" max="9" width="11.28515625" style="63" customWidth="1"/>
    <col min="10" max="10" width="8.140625" customWidth="1"/>
    <col min="11" max="11" width="11.85546875" customWidth="1"/>
  </cols>
  <sheetData>
    <row r="1" spans="1:12" ht="15.75" x14ac:dyDescent="0.25">
      <c r="A1" s="101" t="s">
        <v>108</v>
      </c>
      <c r="B1" s="101"/>
      <c r="C1" s="101"/>
      <c r="D1" s="101"/>
      <c r="E1" s="101"/>
      <c r="F1" s="101"/>
      <c r="G1" s="101"/>
      <c r="H1" s="101"/>
      <c r="I1" s="101"/>
    </row>
    <row r="3" spans="1:12" ht="76.5" x14ac:dyDescent="0.25">
      <c r="A3" s="20" t="s">
        <v>13</v>
      </c>
      <c r="B3" s="19" t="s">
        <v>109</v>
      </c>
      <c r="C3" s="19" t="s">
        <v>48</v>
      </c>
      <c r="D3" s="19" t="s">
        <v>110</v>
      </c>
      <c r="E3" s="19" t="s">
        <v>50</v>
      </c>
      <c r="F3" s="19" t="s">
        <v>111</v>
      </c>
      <c r="G3" s="19" t="s">
        <v>52</v>
      </c>
      <c r="H3" s="19" t="s">
        <v>53</v>
      </c>
      <c r="I3" s="19" t="s">
        <v>54</v>
      </c>
      <c r="J3" s="1"/>
      <c r="K3" s="1"/>
      <c r="L3" s="1"/>
    </row>
    <row r="4" spans="1:12" x14ac:dyDescent="0.25">
      <c r="A4" s="18" t="s">
        <v>55</v>
      </c>
      <c r="B4" s="16" t="s">
        <v>56</v>
      </c>
      <c r="C4" s="16"/>
      <c r="D4" s="16"/>
      <c r="E4" s="16"/>
      <c r="F4" s="16"/>
      <c r="G4" s="16"/>
      <c r="H4" s="16"/>
      <c r="I4" s="34"/>
      <c r="J4" s="1"/>
      <c r="K4" s="88" t="s">
        <v>7</v>
      </c>
      <c r="L4" s="88"/>
    </row>
    <row r="5" spans="1:12" x14ac:dyDescent="0.25">
      <c r="A5" s="18" t="s">
        <v>112</v>
      </c>
      <c r="B5" s="16"/>
      <c r="C5" s="16"/>
      <c r="D5" s="16"/>
      <c r="E5" s="16"/>
      <c r="F5" s="16"/>
      <c r="G5" s="16"/>
      <c r="H5" s="16"/>
      <c r="I5" s="34"/>
      <c r="J5" s="1"/>
      <c r="K5" s="9" t="s">
        <v>8</v>
      </c>
      <c r="L5" s="28">
        <v>70.56</v>
      </c>
    </row>
    <row r="6" spans="1:12" ht="15.75" x14ac:dyDescent="0.25">
      <c r="A6" s="33" t="s">
        <v>113</v>
      </c>
      <c r="B6" s="16">
        <v>48</v>
      </c>
      <c r="C6" s="16">
        <v>1</v>
      </c>
      <c r="D6" s="16">
        <f>B6*C6</f>
        <v>48</v>
      </c>
      <c r="E6" s="16">
        <f>ROUND(SUM('Table 1'!E10,'Table 1'!E11,'Table 1'!E12)*0.2,0)</f>
        <v>4</v>
      </c>
      <c r="F6" s="35">
        <f>+D6*E6</f>
        <v>192</v>
      </c>
      <c r="G6" s="16">
        <f>+F6*0.05</f>
        <v>9.6000000000000014</v>
      </c>
      <c r="H6" s="16">
        <f>+F6*0.1</f>
        <v>19.200000000000003</v>
      </c>
      <c r="I6" s="64">
        <f>F6*$L$6+G6*$L$5+H6*$L$7</f>
        <v>11276.544</v>
      </c>
      <c r="J6" s="1"/>
      <c r="K6" s="9" t="s">
        <v>14</v>
      </c>
      <c r="L6" s="28">
        <v>52.37</v>
      </c>
    </row>
    <row r="7" spans="1:12" ht="28.5" x14ac:dyDescent="0.25">
      <c r="A7" s="33" t="s">
        <v>114</v>
      </c>
      <c r="B7" s="16">
        <v>24</v>
      </c>
      <c r="C7" s="16">
        <v>1</v>
      </c>
      <c r="D7" s="16">
        <f>B7*C7</f>
        <v>24</v>
      </c>
      <c r="E7" s="84">
        <f>Respondents!F8*0.1</f>
        <v>1.1000000000000001</v>
      </c>
      <c r="F7" s="16">
        <f>+D7*E6</f>
        <v>96</v>
      </c>
      <c r="G7" s="16">
        <f>+F7*0.05</f>
        <v>4.8000000000000007</v>
      </c>
      <c r="H7" s="16">
        <f>+F7*0.1</f>
        <v>9.6000000000000014</v>
      </c>
      <c r="I7" s="64">
        <f>F7*$L$6+G7*$L$5+H7*$L$7</f>
        <v>5638.2719999999999</v>
      </c>
      <c r="J7" s="1"/>
      <c r="K7" s="9" t="s">
        <v>10</v>
      </c>
      <c r="L7" s="28">
        <v>28.34</v>
      </c>
    </row>
    <row r="8" spans="1:12" x14ac:dyDescent="0.25">
      <c r="A8" s="33" t="s">
        <v>72</v>
      </c>
      <c r="B8" s="16" t="s">
        <v>56</v>
      </c>
      <c r="C8" s="16"/>
      <c r="D8" s="16"/>
      <c r="E8" s="16"/>
      <c r="F8" s="16"/>
      <c r="G8" s="16"/>
      <c r="H8" s="16"/>
      <c r="I8" s="64"/>
      <c r="J8" s="7"/>
      <c r="K8" s="7"/>
      <c r="L8" s="1"/>
    </row>
    <row r="9" spans="1:12" ht="19.5" customHeight="1" x14ac:dyDescent="0.25">
      <c r="A9" s="33" t="s">
        <v>74</v>
      </c>
      <c r="B9" s="16" t="s">
        <v>56</v>
      </c>
      <c r="C9" s="16"/>
      <c r="D9" s="16"/>
      <c r="E9" s="16"/>
      <c r="F9" s="16"/>
      <c r="G9" s="16"/>
      <c r="H9" s="16"/>
      <c r="I9" s="64"/>
      <c r="J9" s="7"/>
      <c r="K9" s="7"/>
      <c r="L9" s="2"/>
    </row>
    <row r="10" spans="1:12" x14ac:dyDescent="0.25">
      <c r="A10" s="33" t="s">
        <v>115</v>
      </c>
      <c r="B10" s="16"/>
      <c r="C10" s="16"/>
      <c r="D10" s="16"/>
      <c r="E10" s="16"/>
      <c r="F10" s="16"/>
      <c r="G10" s="16"/>
      <c r="H10" s="16"/>
      <c r="I10" s="64"/>
      <c r="J10" s="10"/>
      <c r="K10" s="10"/>
      <c r="L10" s="37"/>
    </row>
    <row r="11" spans="1:12" x14ac:dyDescent="0.25">
      <c r="A11" s="33" t="s">
        <v>116</v>
      </c>
      <c r="B11" s="16">
        <v>3</v>
      </c>
      <c r="C11" s="16">
        <v>2</v>
      </c>
      <c r="D11" s="16">
        <f t="shared" ref="D11:D14" si="0">B11*C11</f>
        <v>6</v>
      </c>
      <c r="E11" s="16">
        <v>11</v>
      </c>
      <c r="F11" s="35">
        <f t="shared" ref="F11:F15" si="1">+D11*E11</f>
        <v>66</v>
      </c>
      <c r="G11" s="16">
        <f>+F11*0.05</f>
        <v>3.3000000000000003</v>
      </c>
      <c r="H11" s="16">
        <f>+F11*0.1</f>
        <v>6.6000000000000005</v>
      </c>
      <c r="I11" s="64">
        <f>F11*$L$6+G11*$L$5+H11*$L$7</f>
        <v>3876.3119999999994</v>
      </c>
      <c r="J11" s="1"/>
      <c r="K11" s="1"/>
      <c r="L11" s="1"/>
    </row>
    <row r="12" spans="1:12" x14ac:dyDescent="0.25">
      <c r="A12" s="74" t="s">
        <v>33</v>
      </c>
      <c r="B12" s="16">
        <v>10</v>
      </c>
      <c r="C12" s="16">
        <v>2</v>
      </c>
      <c r="D12" s="16">
        <f t="shared" si="0"/>
        <v>20</v>
      </c>
      <c r="E12" s="16">
        <v>11</v>
      </c>
      <c r="F12" s="16">
        <f t="shared" si="1"/>
        <v>220</v>
      </c>
      <c r="G12" s="35">
        <f>+F12*0.05</f>
        <v>11</v>
      </c>
      <c r="H12" s="16">
        <f>+F12*0.1</f>
        <v>22</v>
      </c>
      <c r="I12" s="64">
        <f>F12*$L$6+G12*$L$5+H12*$L$7</f>
        <v>12921.039999999999</v>
      </c>
      <c r="J12" s="1"/>
      <c r="K12" s="1"/>
      <c r="L12" s="1"/>
    </row>
    <row r="13" spans="1:12" ht="15" customHeight="1" x14ac:dyDescent="0.25">
      <c r="A13" s="74" t="s">
        <v>117</v>
      </c>
      <c r="B13" s="16">
        <v>10</v>
      </c>
      <c r="C13" s="16">
        <v>2</v>
      </c>
      <c r="D13" s="16">
        <f t="shared" si="0"/>
        <v>20</v>
      </c>
      <c r="E13" s="16">
        <v>11</v>
      </c>
      <c r="F13" s="16">
        <f t="shared" si="1"/>
        <v>220</v>
      </c>
      <c r="G13" s="16">
        <f>+F13*0.05</f>
        <v>11</v>
      </c>
      <c r="H13" s="16">
        <f>+F13*0.1</f>
        <v>22</v>
      </c>
      <c r="I13" s="64">
        <f>F13*$L$6+G13*$L$5+H13*$L$7</f>
        <v>12921.039999999999</v>
      </c>
      <c r="J13" s="1"/>
      <c r="K13" s="1"/>
      <c r="L13" s="1"/>
    </row>
    <row r="14" spans="1:12" ht="9.75" customHeight="1" x14ac:dyDescent="0.25">
      <c r="A14" s="74" t="s">
        <v>118</v>
      </c>
      <c r="B14" s="16">
        <v>3</v>
      </c>
      <c r="C14" s="16">
        <v>1</v>
      </c>
      <c r="D14" s="16">
        <f t="shared" si="0"/>
        <v>3</v>
      </c>
      <c r="E14" s="16">
        <v>11</v>
      </c>
      <c r="F14" s="16">
        <f t="shared" si="1"/>
        <v>33</v>
      </c>
      <c r="G14" s="16">
        <f>+F14*0.05</f>
        <v>1.6500000000000001</v>
      </c>
      <c r="H14" s="16">
        <f>+F14*0.1</f>
        <v>3.3000000000000003</v>
      </c>
      <c r="I14" s="64">
        <f>F14*$L$6+G14*$L$5+H14*$L$7</f>
        <v>1938.1559999999997</v>
      </c>
      <c r="J14" s="1"/>
      <c r="K14" s="1"/>
      <c r="L14" s="1"/>
    </row>
    <row r="15" spans="1:12" ht="18.75" customHeight="1" x14ac:dyDescent="0.25">
      <c r="A15" s="33" t="s">
        <v>119</v>
      </c>
      <c r="B15" s="16">
        <v>4</v>
      </c>
      <c r="C15" s="16">
        <v>11</v>
      </c>
      <c r="D15" s="16">
        <f>B15*C15</f>
        <v>44</v>
      </c>
      <c r="E15" s="35">
        <v>1</v>
      </c>
      <c r="F15" s="16">
        <f t="shared" si="1"/>
        <v>44</v>
      </c>
      <c r="G15" s="16">
        <f>+F15*0.05</f>
        <v>2.2000000000000002</v>
      </c>
      <c r="H15" s="16">
        <f>+F15*0.1</f>
        <v>4.4000000000000004</v>
      </c>
      <c r="I15" s="64">
        <f>F15*$L$6+G15*$L$5+H15*$L$7</f>
        <v>2584.2079999999996</v>
      </c>
      <c r="J15" s="1"/>
      <c r="K15" s="1"/>
      <c r="L15" s="1"/>
    </row>
    <row r="16" spans="1:12" x14ac:dyDescent="0.25">
      <c r="A16" s="103" t="s">
        <v>120</v>
      </c>
      <c r="B16" s="103"/>
      <c r="C16" s="103"/>
      <c r="D16" s="103"/>
      <c r="E16" s="103"/>
      <c r="F16" s="104">
        <f>ROUND(SUM(F6:H15),-1)</f>
        <v>1000</v>
      </c>
      <c r="G16" s="104"/>
      <c r="H16" s="104"/>
      <c r="I16" s="75">
        <f>ROUND(SUM(I5:I15),-2)</f>
        <v>51200</v>
      </c>
      <c r="J16" s="1"/>
      <c r="K16" s="1"/>
      <c r="L16" s="1"/>
    </row>
    <row r="17" spans="1:12" ht="15.75" x14ac:dyDescent="0.25">
      <c r="A17" s="72"/>
      <c r="J17" s="1"/>
      <c r="K17" s="1"/>
      <c r="L17" s="1"/>
    </row>
    <row r="18" spans="1:12" ht="15.75" x14ac:dyDescent="0.25">
      <c r="A18" s="76" t="s">
        <v>12</v>
      </c>
      <c r="J18" s="1"/>
      <c r="K18" s="1"/>
      <c r="L18" s="1"/>
    </row>
    <row r="19" spans="1:12" ht="19.899999999999999" customHeight="1" x14ac:dyDescent="0.25">
      <c r="A19" s="107" t="s">
        <v>130</v>
      </c>
      <c r="B19" s="107"/>
      <c r="C19" s="107"/>
      <c r="D19" s="107"/>
      <c r="E19" s="107"/>
      <c r="F19" s="107"/>
      <c r="G19" s="107"/>
      <c r="H19" s="107"/>
      <c r="I19" s="107"/>
      <c r="J19" s="1"/>
      <c r="K19" s="1"/>
      <c r="L19" s="1"/>
    </row>
    <row r="20" spans="1:12" ht="48.6" customHeight="1" x14ac:dyDescent="0.25">
      <c r="A20" s="106" t="s">
        <v>134</v>
      </c>
      <c r="B20" s="106"/>
      <c r="C20" s="106"/>
      <c r="D20" s="106"/>
      <c r="E20" s="106"/>
      <c r="F20" s="106"/>
      <c r="G20" s="106"/>
      <c r="H20" s="106"/>
      <c r="I20" s="106"/>
      <c r="J20" s="1"/>
      <c r="K20" s="1"/>
      <c r="L20" s="1"/>
    </row>
    <row r="21" spans="1:12" ht="18.600000000000001" customHeight="1" x14ac:dyDescent="0.25">
      <c r="A21" s="105" t="s">
        <v>132</v>
      </c>
      <c r="B21" s="105"/>
      <c r="C21" s="105"/>
      <c r="D21" s="105"/>
      <c r="E21" s="105"/>
      <c r="F21" s="105"/>
      <c r="G21" s="105"/>
      <c r="H21" s="105"/>
      <c r="I21" s="105"/>
      <c r="J21" s="82"/>
      <c r="K21" s="81"/>
      <c r="L21" s="1"/>
    </row>
    <row r="22" spans="1:12" ht="18" customHeight="1" x14ac:dyDescent="0.25">
      <c r="A22" s="105" t="s">
        <v>135</v>
      </c>
      <c r="B22" s="105"/>
      <c r="C22" s="105"/>
      <c r="D22" s="105"/>
      <c r="E22" s="105"/>
      <c r="F22" s="105"/>
      <c r="G22" s="105"/>
      <c r="H22" s="105"/>
      <c r="I22" s="105"/>
      <c r="J22" s="82"/>
      <c r="K22" s="81"/>
      <c r="L22" s="1"/>
    </row>
    <row r="23" spans="1:12" ht="18.600000000000001" customHeight="1" x14ac:dyDescent="0.25">
      <c r="A23" s="105" t="s">
        <v>147</v>
      </c>
      <c r="B23" s="105"/>
      <c r="C23" s="105"/>
      <c r="D23" s="105"/>
      <c r="E23" s="105"/>
      <c r="F23" s="105"/>
      <c r="G23" s="105"/>
      <c r="H23" s="105"/>
      <c r="I23" s="105"/>
      <c r="J23" s="1"/>
      <c r="K23" s="1"/>
      <c r="L23" s="1"/>
    </row>
    <row r="24" spans="1:12" ht="15.75" x14ac:dyDescent="0.25">
      <c r="A24" s="105" t="s">
        <v>121</v>
      </c>
      <c r="B24" s="105"/>
      <c r="C24" s="105"/>
      <c r="D24" s="105"/>
      <c r="E24" s="105"/>
      <c r="F24" s="105"/>
      <c r="G24" s="105"/>
      <c r="H24" s="105"/>
      <c r="I24" s="105"/>
      <c r="J24" s="1"/>
      <c r="K24" s="1"/>
      <c r="L24" s="1"/>
    </row>
    <row r="25" spans="1:12" x14ac:dyDescent="0.25">
      <c r="J25" s="1"/>
      <c r="K25" s="1"/>
      <c r="L25" s="1"/>
    </row>
    <row r="26" spans="1:12" x14ac:dyDescent="0.25">
      <c r="J26" s="1"/>
      <c r="K26" s="1"/>
      <c r="L26" s="1"/>
    </row>
    <row r="27" spans="1:12" x14ac:dyDescent="0.25">
      <c r="J27" s="1"/>
      <c r="K27" s="1"/>
      <c r="L27" s="1"/>
    </row>
    <row r="28" spans="1:12" x14ac:dyDescent="0.25">
      <c r="J28" s="1"/>
      <c r="K28" s="1"/>
      <c r="L28" s="1"/>
    </row>
    <row r="29" spans="1:12" x14ac:dyDescent="0.25">
      <c r="J29" s="1"/>
      <c r="K29" s="1"/>
      <c r="L29" s="1"/>
    </row>
    <row r="30" spans="1:12" x14ac:dyDescent="0.25">
      <c r="J30" s="1"/>
      <c r="K30" s="1"/>
      <c r="L30" s="1"/>
    </row>
    <row r="31" spans="1:12" x14ac:dyDescent="0.25">
      <c r="J31" s="1"/>
      <c r="K31" s="1"/>
      <c r="L31" s="1"/>
    </row>
    <row r="32" spans="1:12" x14ac:dyDescent="0.25">
      <c r="J32" s="1"/>
      <c r="K32" s="1"/>
      <c r="L32" s="1"/>
    </row>
    <row r="33" spans="10:12" x14ac:dyDescent="0.25">
      <c r="J33" s="1"/>
      <c r="K33" s="1"/>
      <c r="L33" s="1"/>
    </row>
  </sheetData>
  <mergeCells count="10">
    <mergeCell ref="A1:I1"/>
    <mergeCell ref="A16:E16"/>
    <mergeCell ref="F16:H16"/>
    <mergeCell ref="A24:I24"/>
    <mergeCell ref="K4:L4"/>
    <mergeCell ref="A23:I23"/>
    <mergeCell ref="A20:I20"/>
    <mergeCell ref="A21:I21"/>
    <mergeCell ref="A22:I22"/>
    <mergeCell ref="A19:I19"/>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7"/>
  <sheetViews>
    <sheetView zoomScale="90" zoomScaleNormal="90" workbookViewId="0"/>
  </sheetViews>
  <sheetFormatPr defaultColWidth="22" defaultRowHeight="12.75" x14ac:dyDescent="0.2"/>
  <cols>
    <col min="1" max="1" width="22" style="14"/>
    <col min="2" max="2" width="17.5703125" style="14" customWidth="1"/>
    <col min="3" max="3" width="17.28515625" style="14" customWidth="1"/>
    <col min="4" max="4" width="22" style="14"/>
    <col min="5" max="5" width="19.85546875" style="14" customWidth="1"/>
    <col min="6" max="7" width="16.85546875" style="14" customWidth="1"/>
    <col min="8" max="8" width="6" style="14" customWidth="1"/>
    <col min="9" max="16384" width="22" style="14"/>
  </cols>
  <sheetData>
    <row r="1" spans="1:9" x14ac:dyDescent="0.2">
      <c r="A1" s="4"/>
      <c r="B1" s="5"/>
      <c r="C1" s="5"/>
    </row>
    <row r="2" spans="1:9" x14ac:dyDescent="0.2">
      <c r="A2" s="97" t="s">
        <v>15</v>
      </c>
      <c r="B2" s="97"/>
      <c r="C2" s="97"/>
      <c r="D2" s="97"/>
      <c r="E2" s="97"/>
      <c r="F2" s="97"/>
      <c r="G2" s="110"/>
      <c r="H2" s="21"/>
    </row>
    <row r="3" spans="1:9" x14ac:dyDescent="0.2">
      <c r="A3" s="19" t="s">
        <v>16</v>
      </c>
      <c r="B3" s="19" t="s">
        <v>17</v>
      </c>
      <c r="C3" s="19" t="s">
        <v>18</v>
      </c>
      <c r="D3" s="19" t="s">
        <v>19</v>
      </c>
      <c r="E3" s="19" t="s">
        <v>20</v>
      </c>
      <c r="F3" s="19" t="s">
        <v>21</v>
      </c>
      <c r="G3" s="19" t="s">
        <v>22</v>
      </c>
      <c r="H3" s="21"/>
    </row>
    <row r="4" spans="1:9" ht="46.5" customHeight="1" x14ac:dyDescent="0.2">
      <c r="A4" s="19" t="s">
        <v>23</v>
      </c>
      <c r="B4" s="19" t="s">
        <v>24</v>
      </c>
      <c r="C4" s="19" t="s">
        <v>144</v>
      </c>
      <c r="D4" s="19" t="s">
        <v>25</v>
      </c>
      <c r="E4" s="19" t="s">
        <v>26</v>
      </c>
      <c r="F4" s="19" t="s">
        <v>145</v>
      </c>
      <c r="G4" s="19" t="s">
        <v>27</v>
      </c>
      <c r="H4" s="21"/>
    </row>
    <row r="5" spans="1:9" ht="36.75" customHeight="1" x14ac:dyDescent="0.2">
      <c r="A5" s="29" t="s">
        <v>63</v>
      </c>
      <c r="B5" s="85">
        <v>0</v>
      </c>
      <c r="C5" s="79">
        <v>0</v>
      </c>
      <c r="D5" s="85">
        <f>B5*C5</f>
        <v>0</v>
      </c>
      <c r="E5" s="85">
        <v>4700</v>
      </c>
      <c r="F5" s="80">
        <v>11</v>
      </c>
      <c r="G5" s="85">
        <f>E5*F5</f>
        <v>51700</v>
      </c>
      <c r="H5" s="22"/>
    </row>
    <row r="6" spans="1:9" ht="36.75" customHeight="1" x14ac:dyDescent="0.2">
      <c r="A6" s="18" t="s">
        <v>139</v>
      </c>
      <c r="B6" s="85">
        <v>0</v>
      </c>
      <c r="C6" s="52">
        <v>0</v>
      </c>
      <c r="D6" s="85">
        <f t="shared" ref="D6:D10" si="0">B6*C6</f>
        <v>0</v>
      </c>
      <c r="E6" s="85">
        <v>19300</v>
      </c>
      <c r="F6" s="52">
        <v>2</v>
      </c>
      <c r="G6" s="85">
        <f t="shared" ref="G6:G10" si="1">E6*F6</f>
        <v>38600</v>
      </c>
      <c r="H6" s="22"/>
    </row>
    <row r="7" spans="1:9" ht="36.75" customHeight="1" x14ac:dyDescent="0.2">
      <c r="A7" s="18" t="s">
        <v>140</v>
      </c>
      <c r="B7" s="85">
        <v>0</v>
      </c>
      <c r="C7" s="52">
        <v>0</v>
      </c>
      <c r="D7" s="85">
        <f t="shared" si="0"/>
        <v>0</v>
      </c>
      <c r="E7" s="85">
        <v>10000</v>
      </c>
      <c r="F7" s="52">
        <v>6</v>
      </c>
      <c r="G7" s="85">
        <f t="shared" si="1"/>
        <v>60000</v>
      </c>
      <c r="H7" s="23"/>
    </row>
    <row r="8" spans="1:9" ht="36.75" customHeight="1" x14ac:dyDescent="0.2">
      <c r="A8" s="32" t="s">
        <v>141</v>
      </c>
      <c r="B8" s="85">
        <v>0</v>
      </c>
      <c r="C8" s="79">
        <v>0</v>
      </c>
      <c r="D8" s="85">
        <f t="shared" si="0"/>
        <v>0</v>
      </c>
      <c r="E8" s="85">
        <v>7500</v>
      </c>
      <c r="F8" s="66">
        <v>11</v>
      </c>
      <c r="G8" s="85">
        <f t="shared" si="1"/>
        <v>82500</v>
      </c>
      <c r="H8" s="24"/>
    </row>
    <row r="9" spans="1:9" ht="36.75" customHeight="1" x14ac:dyDescent="0.2">
      <c r="A9" s="32" t="s">
        <v>142</v>
      </c>
      <c r="B9" s="85">
        <v>2300</v>
      </c>
      <c r="C9" s="79">
        <v>0</v>
      </c>
      <c r="D9" s="85">
        <f t="shared" si="0"/>
        <v>0</v>
      </c>
      <c r="E9" s="85">
        <v>230</v>
      </c>
      <c r="F9" s="66">
        <v>22</v>
      </c>
      <c r="G9" s="85">
        <f t="shared" si="1"/>
        <v>5060</v>
      </c>
      <c r="H9" s="24"/>
    </row>
    <row r="10" spans="1:9" ht="36.75" customHeight="1" x14ac:dyDescent="0.2">
      <c r="A10" s="30" t="s">
        <v>125</v>
      </c>
      <c r="B10" s="85">
        <v>32759</v>
      </c>
      <c r="C10" s="79">
        <v>0</v>
      </c>
      <c r="D10" s="85">
        <f t="shared" si="0"/>
        <v>0</v>
      </c>
      <c r="E10" s="85">
        <v>4665</v>
      </c>
      <c r="F10" s="79">
        <v>0</v>
      </c>
      <c r="G10" s="85">
        <f t="shared" si="1"/>
        <v>0</v>
      </c>
    </row>
    <row r="11" spans="1:9" ht="46.5" customHeight="1" x14ac:dyDescent="0.2">
      <c r="A11" s="20" t="s">
        <v>143</v>
      </c>
      <c r="B11" s="52"/>
      <c r="C11" s="52"/>
      <c r="D11" s="86">
        <f>SUM(D5:D10)</f>
        <v>0</v>
      </c>
      <c r="E11" s="52"/>
      <c r="F11" s="52"/>
      <c r="G11" s="86">
        <f>ROUND(SUM(G5:G10),-3)</f>
        <v>238000</v>
      </c>
      <c r="I11" s="58">
        <f>ROUND(D11+G11,-3)</f>
        <v>238000</v>
      </c>
    </row>
    <row r="12" spans="1:9" ht="11.25" customHeight="1" x14ac:dyDescent="0.2">
      <c r="A12" s="56"/>
      <c r="B12" s="57"/>
      <c r="C12" s="57"/>
      <c r="D12" s="23"/>
      <c r="E12" s="57"/>
      <c r="F12" s="57"/>
      <c r="G12" s="23"/>
    </row>
    <row r="13" spans="1:9" ht="15.75" x14ac:dyDescent="0.2">
      <c r="A13" s="109" t="s">
        <v>137</v>
      </c>
      <c r="B13" s="109"/>
      <c r="C13" s="109"/>
      <c r="D13" s="109"/>
      <c r="E13" s="109"/>
      <c r="F13" s="109"/>
      <c r="G13" s="109"/>
      <c r="H13" s="81"/>
      <c r="I13" s="81"/>
    </row>
    <row r="14" spans="1:9" ht="31.15" customHeight="1" x14ac:dyDescent="0.2">
      <c r="A14" s="99" t="s">
        <v>138</v>
      </c>
      <c r="B14" s="99"/>
      <c r="C14" s="99"/>
      <c r="D14" s="99"/>
      <c r="E14" s="99"/>
      <c r="F14" s="99"/>
      <c r="G14" s="99"/>
      <c r="H14" s="81"/>
      <c r="I14" s="81"/>
    </row>
    <row r="15" spans="1:9" x14ac:dyDescent="0.2">
      <c r="A15" s="108" t="s">
        <v>126</v>
      </c>
      <c r="B15" s="108"/>
      <c r="C15" s="108"/>
      <c r="D15" s="108"/>
      <c r="E15" s="108"/>
      <c r="F15" s="108"/>
      <c r="G15" s="108"/>
    </row>
    <row r="16" spans="1:9" ht="15.75" x14ac:dyDescent="0.2">
      <c r="A16" s="100" t="s">
        <v>127</v>
      </c>
      <c r="B16" s="100"/>
      <c r="C16" s="100"/>
      <c r="D16" s="100"/>
      <c r="E16" s="100"/>
      <c r="F16" s="100"/>
      <c r="G16" s="100"/>
    </row>
    <row r="17" spans="1:7" ht="15.75" x14ac:dyDescent="0.2">
      <c r="A17" s="100" t="s">
        <v>128</v>
      </c>
      <c r="B17" s="100"/>
      <c r="C17" s="100"/>
      <c r="D17" s="100"/>
      <c r="E17" s="100"/>
      <c r="F17" s="100"/>
      <c r="G17" s="100"/>
    </row>
  </sheetData>
  <mergeCells count="6">
    <mergeCell ref="A17:G17"/>
    <mergeCell ref="A15:G15"/>
    <mergeCell ref="A13:G13"/>
    <mergeCell ref="A2:G2"/>
    <mergeCell ref="A14:G14"/>
    <mergeCell ref="A16:G16"/>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9"/>
  <sheetViews>
    <sheetView zoomScaleNormal="100" workbookViewId="0">
      <selection activeCell="H9" sqref="H9"/>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14" customFormat="1" ht="15.75" x14ac:dyDescent="0.2">
      <c r="A1" s="111" t="s">
        <v>5</v>
      </c>
      <c r="B1" s="111"/>
      <c r="C1" s="111"/>
      <c r="D1" s="111"/>
      <c r="E1" s="111"/>
    </row>
    <row r="2" spans="1:6" s="14" customFormat="1" ht="12.75" x14ac:dyDescent="0.2">
      <c r="A2" s="15" t="s">
        <v>16</v>
      </c>
      <c r="B2" s="15" t="s">
        <v>17</v>
      </c>
      <c r="C2" s="15" t="s">
        <v>18</v>
      </c>
      <c r="D2" s="15" t="s">
        <v>19</v>
      </c>
      <c r="E2" s="15" t="s">
        <v>20</v>
      </c>
    </row>
    <row r="3" spans="1:6" s="14" customFormat="1" ht="102" x14ac:dyDescent="0.2">
      <c r="A3" s="15" t="s">
        <v>28</v>
      </c>
      <c r="B3" s="15" t="s">
        <v>29</v>
      </c>
      <c r="C3" s="15" t="s">
        <v>30</v>
      </c>
      <c r="D3" s="15" t="s">
        <v>31</v>
      </c>
      <c r="E3" s="15" t="s">
        <v>32</v>
      </c>
    </row>
    <row r="4" spans="1:6" s="14" customFormat="1" ht="25.5" x14ac:dyDescent="0.2">
      <c r="A4" s="31" t="s">
        <v>122</v>
      </c>
      <c r="B4" s="16">
        <v>11</v>
      </c>
      <c r="C4" s="16">
        <v>2</v>
      </c>
      <c r="D4" s="16">
        <v>0</v>
      </c>
      <c r="E4" s="16">
        <f>(B4*C4)+D4</f>
        <v>22</v>
      </c>
    </row>
    <row r="5" spans="1:6" s="14" customFormat="1" ht="25.5" x14ac:dyDescent="0.2">
      <c r="A5" s="31" t="s">
        <v>78</v>
      </c>
      <c r="B5" s="16">
        <v>11</v>
      </c>
      <c r="C5" s="16">
        <v>2</v>
      </c>
      <c r="D5" s="16">
        <v>0</v>
      </c>
      <c r="E5" s="16">
        <f t="shared" ref="E5:E8" si="0">(B5*C5)+D5</f>
        <v>22</v>
      </c>
    </row>
    <row r="6" spans="1:6" s="14" customFormat="1" ht="25.5" x14ac:dyDescent="0.2">
      <c r="A6" s="31" t="s">
        <v>123</v>
      </c>
      <c r="B6" s="16">
        <v>11</v>
      </c>
      <c r="C6" s="16">
        <v>2</v>
      </c>
      <c r="D6" s="16">
        <v>0</v>
      </c>
      <c r="E6" s="16">
        <f t="shared" si="0"/>
        <v>22</v>
      </c>
    </row>
    <row r="7" spans="1:6" s="14" customFormat="1" ht="25.5" x14ac:dyDescent="0.2">
      <c r="A7" s="31" t="s">
        <v>118</v>
      </c>
      <c r="B7" s="16">
        <v>11</v>
      </c>
      <c r="C7" s="16">
        <v>1</v>
      </c>
      <c r="D7" s="16">
        <v>0</v>
      </c>
      <c r="E7" s="16">
        <f t="shared" si="0"/>
        <v>11</v>
      </c>
    </row>
    <row r="8" spans="1:6" s="14" customFormat="1" ht="38.25" x14ac:dyDescent="0.2">
      <c r="A8" s="31" t="s">
        <v>124</v>
      </c>
      <c r="B8" s="16">
        <v>1</v>
      </c>
      <c r="C8" s="16">
        <v>1</v>
      </c>
      <c r="D8" s="16">
        <v>0</v>
      </c>
      <c r="E8" s="16">
        <f t="shared" si="0"/>
        <v>1</v>
      </c>
      <c r="F8" s="2"/>
    </row>
    <row r="9" spans="1:6" s="14" customFormat="1" ht="12.75" x14ac:dyDescent="0.2">
      <c r="A9" s="18"/>
      <c r="B9" s="16"/>
      <c r="C9" s="16"/>
      <c r="D9" s="19" t="s">
        <v>34</v>
      </c>
      <c r="E9" s="55">
        <f>SUM(E4:E8)</f>
        <v>78</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sqref="A1:F1"/>
    </sheetView>
  </sheetViews>
  <sheetFormatPr defaultColWidth="17.7109375" defaultRowHeight="31.9" customHeight="1" x14ac:dyDescent="0.25"/>
  <sheetData>
    <row r="1" spans="1:6" s="14" customFormat="1" ht="31.9" customHeight="1" x14ac:dyDescent="0.2">
      <c r="A1" s="111" t="s">
        <v>1</v>
      </c>
      <c r="B1" s="111"/>
      <c r="C1" s="111"/>
      <c r="D1" s="111"/>
      <c r="E1" s="111"/>
      <c r="F1" s="111"/>
    </row>
    <row r="2" spans="1:6" s="14" customFormat="1" ht="31.9" customHeight="1" x14ac:dyDescent="0.2">
      <c r="A2" s="25"/>
      <c r="B2" s="112" t="s">
        <v>35</v>
      </c>
      <c r="C2" s="112"/>
      <c r="D2" s="25" t="s">
        <v>36</v>
      </c>
      <c r="E2" s="112"/>
      <c r="F2" s="112"/>
    </row>
    <row r="3" spans="1:6" s="14" customFormat="1" ht="31.9" customHeight="1" x14ac:dyDescent="0.2">
      <c r="A3" s="25"/>
      <c r="B3" s="26" t="s">
        <v>16</v>
      </c>
      <c r="C3" s="26" t="s">
        <v>17</v>
      </c>
      <c r="D3" s="26" t="s">
        <v>18</v>
      </c>
      <c r="E3" s="26" t="s">
        <v>19</v>
      </c>
      <c r="F3" s="26" t="s">
        <v>20</v>
      </c>
    </row>
    <row r="4" spans="1:6" s="14" customFormat="1" ht="70.900000000000006" customHeight="1" x14ac:dyDescent="0.2">
      <c r="A4" s="26" t="s">
        <v>37</v>
      </c>
      <c r="B4" s="25" t="s">
        <v>38</v>
      </c>
      <c r="C4" s="25" t="s">
        <v>39</v>
      </c>
      <c r="D4" s="25" t="s">
        <v>40</v>
      </c>
      <c r="E4" s="25" t="s">
        <v>41</v>
      </c>
      <c r="F4" s="25" t="s">
        <v>42</v>
      </c>
    </row>
    <row r="5" spans="1:6" s="14" customFormat="1" ht="31.9" customHeight="1" x14ac:dyDescent="0.2">
      <c r="A5" s="77">
        <v>1</v>
      </c>
      <c r="B5" s="78">
        <v>0</v>
      </c>
      <c r="C5" s="78">
        <v>11</v>
      </c>
      <c r="D5" s="77">
        <v>0</v>
      </c>
      <c r="E5" s="78">
        <v>0</v>
      </c>
      <c r="F5" s="78">
        <f>B5+C5+D5-E5</f>
        <v>11</v>
      </c>
    </row>
    <row r="6" spans="1:6" s="14" customFormat="1" ht="31.9" customHeight="1" x14ac:dyDescent="0.2">
      <c r="A6" s="77">
        <v>2</v>
      </c>
      <c r="B6" s="78">
        <f>B5</f>
        <v>0</v>
      </c>
      <c r="C6" s="78">
        <v>11</v>
      </c>
      <c r="D6" s="77">
        <v>0</v>
      </c>
      <c r="E6" s="77">
        <v>0</v>
      </c>
      <c r="F6" s="77">
        <f>B6+C6+D6-E6</f>
        <v>11</v>
      </c>
    </row>
    <row r="7" spans="1:6" s="14" customFormat="1" ht="31.9" customHeight="1" x14ac:dyDescent="0.2">
      <c r="A7" s="77">
        <v>3</v>
      </c>
      <c r="B7" s="78">
        <f>B5</f>
        <v>0</v>
      </c>
      <c r="C7" s="78">
        <v>11</v>
      </c>
      <c r="D7" s="77">
        <v>0</v>
      </c>
      <c r="E7" s="77">
        <v>0</v>
      </c>
      <c r="F7" s="77">
        <f>B7+C7+D7-E7</f>
        <v>11</v>
      </c>
    </row>
    <row r="8" spans="1:6" s="14" customFormat="1" ht="31.9" customHeight="1" x14ac:dyDescent="0.2">
      <c r="A8" s="77" t="s">
        <v>43</v>
      </c>
      <c r="B8" s="78">
        <f>AVERAGE(B5:B7)</f>
        <v>0</v>
      </c>
      <c r="C8" s="78">
        <f>AVERAGE(C5:C7)</f>
        <v>11</v>
      </c>
      <c r="D8" s="78">
        <f>AVERAGE(D5:D7)</f>
        <v>0</v>
      </c>
      <c r="E8" s="78">
        <f>AVERAGE(E5:E7)</f>
        <v>0</v>
      </c>
      <c r="F8" s="66">
        <f>AVERAGE(F5:F7)</f>
        <v>11</v>
      </c>
    </row>
    <row r="9" spans="1:6" s="14" customFormat="1" ht="20.45" customHeight="1" x14ac:dyDescent="0.2">
      <c r="A9" s="17" t="s">
        <v>44</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2024-10-24T20:34:31+00:00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6236D37B-BE30-4B7D-8BD3-FA4EC558AE40}"/>
</file>

<file path=customXml/itemProps3.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s>
</ds:datastoreItem>
</file>

<file path=customXml/itemProps4.xml><?xml version="1.0" encoding="utf-8"?>
<ds:datastoreItem xmlns:ds="http://schemas.openxmlformats.org/officeDocument/2006/customXml" ds:itemID="{23A4903C-3608-4FA8-9B55-08DCDEF0FA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2024-04-24T12:02:56Z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