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Tracy\ICRs - SPPD\FY2024\1957.11 Metal Coil Surface Coating Plants NESHAP\Send to EPA\"/>
    </mc:Choice>
  </mc:AlternateContent>
  <xr:revisionPtr revIDLastSave="0" documentId="13_ncr:1_{BE09D3E7-953B-4C1F-A552-D7FEE0A41FB1}"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dents" sheetId="4" r:id="rId5"/>
    <sheet name="Responses"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6" i="1" l="1"/>
  <c r="I14" i="2"/>
  <c r="F22" i="2"/>
  <c r="E13" i="5"/>
  <c r="E12" i="5"/>
  <c r="B12" i="5"/>
  <c r="B9" i="5"/>
  <c r="B8" i="5"/>
  <c r="B6" i="6"/>
  <c r="C6" i="3"/>
  <c r="D6" i="3"/>
  <c r="F5" i="3" l="1"/>
  <c r="G5" i="3" s="1"/>
  <c r="E20" i="2" l="1"/>
  <c r="E18" i="2"/>
  <c r="E17" i="2"/>
  <c r="E16" i="2"/>
  <c r="E15" i="2"/>
  <c r="E14" i="2"/>
  <c r="I44" i="1"/>
  <c r="F44" i="1"/>
  <c r="F29" i="1"/>
  <c r="F43" i="1"/>
  <c r="I38" i="1"/>
  <c r="E38" i="1"/>
  <c r="E25" i="1"/>
  <c r="E24" i="1"/>
  <c r="E14" i="1"/>
  <c r="E13" i="1"/>
  <c r="E27" i="1"/>
  <c r="E26" i="1"/>
  <c r="F5" i="4" l="1"/>
  <c r="D5" i="3" l="1"/>
  <c r="D7" i="3" s="1"/>
  <c r="G7" i="3"/>
  <c r="I7" i="3" l="1"/>
  <c r="E8" i="4"/>
  <c r="I21" i="2" l="1"/>
  <c r="D21" i="2"/>
  <c r="D20" i="2"/>
  <c r="D18" i="2"/>
  <c r="F18" i="2" s="1"/>
  <c r="D17" i="2"/>
  <c r="F17" i="2" s="1"/>
  <c r="D16" i="2"/>
  <c r="F16" i="2" s="1"/>
  <c r="D15" i="2"/>
  <c r="F15" i="2" s="1"/>
  <c r="D14" i="2"/>
  <c r="F14" i="2" s="1"/>
  <c r="D13" i="2"/>
  <c r="F13" i="2" s="1"/>
  <c r="D11" i="2"/>
  <c r="F11" i="2" s="1"/>
  <c r="D10" i="2"/>
  <c r="F10" i="2" s="1"/>
  <c r="D9" i="2"/>
  <c r="F9" i="2" s="1"/>
  <c r="D7" i="2"/>
  <c r="F7" i="2" s="1"/>
  <c r="D6" i="2"/>
  <c r="F6" i="2" s="1"/>
  <c r="H6" i="2" s="1"/>
  <c r="D5" i="2"/>
  <c r="F5" i="2" s="1"/>
  <c r="D4" i="2"/>
  <c r="F4" i="2" s="1"/>
  <c r="F38" i="1"/>
  <c r="G38" i="1" s="1"/>
  <c r="I37" i="1"/>
  <c r="F37" i="1"/>
  <c r="G37" i="1" s="1"/>
  <c r="H37" i="1"/>
  <c r="D41" i="1"/>
  <c r="D38" i="1"/>
  <c r="D37" i="1"/>
  <c r="D36" i="1"/>
  <c r="F13" i="1"/>
  <c r="H13" i="1" s="1"/>
  <c r="F28" i="1"/>
  <c r="G28" i="1" s="1"/>
  <c r="F26" i="1"/>
  <c r="G26" i="1" s="1"/>
  <c r="F21" i="1"/>
  <c r="D28" i="1"/>
  <c r="D27" i="1"/>
  <c r="F27" i="1" s="1"/>
  <c r="D26" i="1"/>
  <c r="D25" i="1"/>
  <c r="F25" i="1" s="1"/>
  <c r="D24" i="1"/>
  <c r="F24" i="1" s="1"/>
  <c r="D23" i="1"/>
  <c r="F23" i="1" s="1"/>
  <c r="D22" i="1"/>
  <c r="F22" i="1" s="1"/>
  <c r="D21" i="1"/>
  <c r="D20" i="1"/>
  <c r="F20" i="1" s="1"/>
  <c r="D18" i="1"/>
  <c r="D16" i="1"/>
  <c r="D15" i="1"/>
  <c r="D14" i="1"/>
  <c r="D13" i="1"/>
  <c r="D12" i="1"/>
  <c r="D11" i="1"/>
  <c r="D10" i="1"/>
  <c r="D9" i="1"/>
  <c r="D7" i="1"/>
  <c r="G6" i="2" l="1"/>
  <c r="I6" i="2" s="1"/>
  <c r="G18" i="2"/>
  <c r="H18" i="2"/>
  <c r="G17" i="2"/>
  <c r="H17" i="2"/>
  <c r="G16" i="2"/>
  <c r="H16" i="2"/>
  <c r="G15" i="2"/>
  <c r="H15" i="2"/>
  <c r="G14" i="2"/>
  <c r="H14" i="2"/>
  <c r="G13" i="2"/>
  <c r="H13" i="2"/>
  <c r="G11" i="2"/>
  <c r="H11" i="2"/>
  <c r="G10" i="2"/>
  <c r="H10" i="2"/>
  <c r="H9" i="2"/>
  <c r="G9" i="2"/>
  <c r="I9" i="2" s="1"/>
  <c r="H7" i="2"/>
  <c r="G7" i="2"/>
  <c r="G5" i="2"/>
  <c r="H5" i="2"/>
  <c r="H4" i="2"/>
  <c r="G4" i="2"/>
  <c r="I4" i="2" s="1"/>
  <c r="H38" i="1"/>
  <c r="H20" i="1"/>
  <c r="G20" i="1"/>
  <c r="I20" i="1" s="1"/>
  <c r="G22" i="1"/>
  <c r="H22" i="1"/>
  <c r="I22" i="1" s="1"/>
  <c r="H23" i="1"/>
  <c r="H24" i="1"/>
  <c r="H25" i="1"/>
  <c r="H27" i="1"/>
  <c r="G27" i="1"/>
  <c r="H28" i="1"/>
  <c r="G13" i="1"/>
  <c r="G21" i="1"/>
  <c r="I21" i="1" s="1"/>
  <c r="I13" i="1"/>
  <c r="H21" i="1"/>
  <c r="H26" i="1"/>
  <c r="G25" i="1"/>
  <c r="G24" i="1"/>
  <c r="G23" i="1"/>
  <c r="I23" i="1" s="1"/>
  <c r="I25" i="1" l="1"/>
  <c r="I24" i="1"/>
  <c r="I5" i="2"/>
  <c r="I11" i="2"/>
  <c r="I16" i="2"/>
  <c r="I18" i="2"/>
  <c r="I7" i="2"/>
  <c r="I17" i="2"/>
  <c r="I13" i="2"/>
  <c r="I10" i="2"/>
  <c r="I15" i="2"/>
  <c r="I27" i="1"/>
  <c r="B8" i="4" l="1"/>
  <c r="C8" i="4"/>
  <c r="E5" i="5"/>
  <c r="E6" i="5"/>
  <c r="E7" i="5"/>
  <c r="E8" i="5"/>
  <c r="E9" i="5"/>
  <c r="E10" i="5"/>
  <c r="E11" i="5"/>
  <c r="E4" i="5"/>
  <c r="F7" i="4"/>
  <c r="F6" i="4"/>
  <c r="F8" i="4" l="1"/>
  <c r="F16" i="1"/>
  <c r="H16" i="1" s="1"/>
  <c r="B3" i="6" l="1"/>
  <c r="E7" i="1"/>
  <c r="F7" i="1" s="1"/>
  <c r="E18" i="1"/>
  <c r="F18" i="1" s="1"/>
  <c r="K43" i="1"/>
  <c r="G16" i="1"/>
  <c r="I16" i="1" s="1"/>
  <c r="H18" i="1" l="1"/>
  <c r="G18" i="1"/>
  <c r="H7" i="1"/>
  <c r="G7" i="1"/>
  <c r="F15" i="1"/>
  <c r="F14" i="1"/>
  <c r="I18" i="1" l="1"/>
  <c r="I7" i="1"/>
  <c r="H15" i="1"/>
  <c r="G15" i="1"/>
  <c r="H14" i="1"/>
  <c r="G14" i="1"/>
  <c r="I26" i="1" l="1"/>
  <c r="I15" i="1"/>
  <c r="I14" i="1"/>
  <c r="I45" i="1" l="1"/>
  <c r="F12" i="1" l="1"/>
  <c r="G12" i="1" s="1"/>
  <c r="H12" i="1" l="1"/>
  <c r="I12" i="1" s="1"/>
  <c r="F36" i="1"/>
  <c r="F11" i="1"/>
  <c r="F10" i="1"/>
  <c r="H10" i="1" s="1"/>
  <c r="F9" i="1"/>
  <c r="F41" i="1" l="1"/>
  <c r="H41" i="1" s="1"/>
  <c r="F21" i="2"/>
  <c r="H21" i="2" s="1"/>
  <c r="F20" i="2"/>
  <c r="H11" i="1"/>
  <c r="G9" i="1"/>
  <c r="H36" i="1"/>
  <c r="G36" i="1"/>
  <c r="G11" i="1"/>
  <c r="H9" i="1"/>
  <c r="G10" i="1"/>
  <c r="I10" i="1" s="1"/>
  <c r="H20" i="2" l="1"/>
  <c r="I20" i="2"/>
  <c r="I22" i="2" s="1"/>
  <c r="I28" i="1"/>
  <c r="G41" i="1"/>
  <c r="I41" i="1" s="1"/>
  <c r="G21" i="2"/>
  <c r="G20" i="2"/>
  <c r="I11" i="1"/>
  <c r="I36" i="1"/>
  <c r="I9" i="1"/>
  <c r="I43" i="1" l="1"/>
  <c r="B4" i="6" l="1"/>
  <c r="I29" i="1"/>
  <c r="B5" i="6" l="1"/>
  <c r="B2" i="6"/>
</calcChain>
</file>

<file path=xl/sharedStrings.xml><?xml version="1.0" encoding="utf-8"?>
<sst xmlns="http://schemas.openxmlformats.org/spreadsheetml/2006/main" count="199" uniqueCount="168">
  <si>
    <t>ICR Summary Information</t>
  </si>
  <si>
    <t>Number of Respondents</t>
  </si>
  <si>
    <t>Total Estimated Burden Hours</t>
  </si>
  <si>
    <t>Total Estimated Costs</t>
  </si>
  <si>
    <t>Annualized Capital O&amp;M</t>
  </si>
  <si>
    <t>Total Annual Responses</t>
  </si>
  <si>
    <t>Form Number</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</si>
  <si>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</si>
  <si>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</si>
  <si>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</si>
  <si>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</si>
  <si>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</si>
  <si>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</si>
  <si>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</si>
  <si>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</si>
  <si>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</si>
  <si>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</si>
  <si>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</si>
  <si>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</si>
  <si>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</si>
  <si>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Subtotal for Reporting Requirements</t>
  </si>
  <si>
    <t>2.  Recordkeeping requirements</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</si>
  <si>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</si>
  <si>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</si>
  <si>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</si>
  <si>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</si>
  <si>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</si>
  <si>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</si>
  <si>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</si>
  <si>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</si>
  <si>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</si>
  <si>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</si>
  <si>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</si>
  <si>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</si>
  <si>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 xml:space="preserve">TOTAL (rounded) </t>
    </r>
    <r>
      <rPr>
        <b/>
        <vertAlign val="superscript"/>
        <sz val="10"/>
        <rFont val="Times New Roman"/>
        <family val="1"/>
      </rPr>
      <t>h</t>
    </r>
  </si>
  <si>
    <r>
      <t>Capital/Startup vs. Operation and Maintenance (O&amp;M) Costs</t>
    </r>
    <r>
      <rPr>
        <sz val="10"/>
        <color theme="1"/>
        <rFont val="Times New Roman"/>
        <family val="1"/>
      </rPr>
      <t> </t>
    </r>
  </si>
  <si>
    <t>(A)</t>
  </si>
  <si>
    <t>(B)</t>
  </si>
  <si>
    <t>(C)</t>
  </si>
  <si>
    <t>(D)</t>
  </si>
  <si>
    <t>(E)</t>
  </si>
  <si>
    <t>(F)</t>
  </si>
  <si>
    <t>(G)</t>
  </si>
  <si>
    <t>Total Capital/Startup Cost,  (B X C)</t>
  </si>
  <si>
    <t>Annual O&amp;M Costs for One Respondent</t>
  </si>
  <si>
    <t>Total O&amp;M, 
(E X F)</t>
  </si>
  <si>
    <t>Information Collection Activity</t>
  </si>
  <si>
    <t>Number of Responses</t>
  </si>
  <si>
    <t>Number of Existing Respondents That Keep Records But Do Not Submit Reports</t>
  </si>
  <si>
    <t>Total Annual Responses E=(BxC)+D</t>
  </si>
  <si>
    <t>Notification of compliance status</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</si>
  <si>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</si>
  <si>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</si>
  <si>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</si>
  <si>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</si>
  <si>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</si>
  <si>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</si>
  <si>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</si>
  <si>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</si>
  <si>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</si>
  <si>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</si>
  <si>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</si>
  <si>
    <t>Table 1:  Annual Respondent Burden and Cost - NESHAP for Metal Coil Surface Coating Plants (40 CFR Part 63, Subpart SSSS) (Renewal)</t>
  </si>
  <si>
    <t>Table 2:  Average Annual EPA Burden and Cost - NESHAP for Metal Coil Surface Coating Plants (40 CFR Part 63, Subpart SSSS) (Renewal)</t>
  </si>
  <si>
    <r>
      <t>a</t>
    </r>
    <r>
      <rPr>
        <sz val="10"/>
        <rFont val="Times New Roman"/>
        <family val="1"/>
      </rPr>
      <t xml:space="preserve">  We have assumed that there are approximately 48 respondents, with no additional new or reconstructed sources becoming subject to the rule over the next three years. This ICR assumes each respondent will incur a burden to re-familiarize themselves with the regulatory requirements each year.</t>
    </r>
  </si>
  <si>
    <r>
      <t>b</t>
    </r>
    <r>
      <rPr>
        <sz val="10"/>
        <rFont val="Times New Roman"/>
        <family val="1"/>
      </rPr>
      <t xml:space="preserve">  This ICR uses the following labor rates: Managerial $163.17 ($77.70 + 110%); Technical $130.28 ($62.04 + 110%); and Clerical $65.71 ($31.29 + 110%). These rates are from the United States Department of Labor, Bureau of Labor Statistics, January 2023, “Table 2. Civilian Workers, by occupational and industry group.” The rates are from column 1, “Total compensation.”  The rates have been increased by 110 percent to account for the benefit packages available to those employed by private industry.</t>
    </r>
  </si>
  <si>
    <r>
      <t>b</t>
    </r>
    <r>
      <rPr>
        <sz val="10"/>
        <rFont val="Times New Roman"/>
        <family val="1"/>
      </rPr>
      <t xml:space="preserve">  This cost is based on the average hourly labor rate as follows: Managerial $73.46 (GS-13, Step 5, $44.91 + 60%); Technical $54.51 (GS-12, Step 1, $34.07 + 60%); and Clerical $29.50 (GS-6, Step 3, $18.44 + 60%). These rates are from the Office of Personnel Management (OPM), 2023 General Schedule, which excludes locality rates of pay. The rates have been increased by 60 percent to account for the benefit packages available to government employees.</t>
    </r>
  </si>
  <si>
    <t>Initial notification</t>
  </si>
  <si>
    <t>Notification of construction/reconstruction</t>
  </si>
  <si>
    <t>Notification of actual startup</t>
  </si>
  <si>
    <t>Performance test notification</t>
  </si>
  <si>
    <t>Performance test report</t>
  </si>
  <si>
    <t>Semiannual report of exceedances</t>
  </si>
  <si>
    <t>Semiannual report of no exceedances</t>
  </si>
  <si>
    <t>Startup, shutdown, malfunction report</t>
  </si>
  <si>
    <t>1.  Applications</t>
  </si>
  <si>
    <t>N/A</t>
  </si>
  <si>
    <t>2.  Survey and Studies</t>
  </si>
  <si>
    <t>3.  Reporting requirements</t>
  </si>
  <si>
    <r>
      <t xml:space="preserve">A.  Familiarization with the regulatory requirements </t>
    </r>
    <r>
      <rPr>
        <vertAlign val="superscript"/>
        <sz val="10"/>
        <rFont val="Times New Roman"/>
        <family val="1"/>
      </rPr>
      <t>a</t>
    </r>
  </si>
  <si>
    <t>B.  Required activities</t>
  </si>
  <si>
    <r>
      <t xml:space="preserve">Initial oxidizer performance test </t>
    </r>
    <r>
      <rPr>
        <vertAlign val="superscript"/>
        <sz val="10"/>
        <rFont val="Times New Roman"/>
        <family val="1"/>
      </rPr>
      <t>c</t>
    </r>
  </si>
  <si>
    <r>
      <t xml:space="preserve">Repeat oxidizer performance test </t>
    </r>
    <r>
      <rPr>
        <vertAlign val="superscript"/>
        <sz val="10"/>
        <rFont val="Times New Roman"/>
        <family val="1"/>
      </rPr>
      <t>c</t>
    </r>
  </si>
  <si>
    <r>
      <t xml:space="preserve">Initial capture performance test, or review design criteria to ensure capture system meets design criteria for a permanent total enclsosure (PTE) </t>
    </r>
    <r>
      <rPr>
        <vertAlign val="superscript"/>
        <sz val="10"/>
        <rFont val="Times New Roman"/>
        <family val="1"/>
      </rPr>
      <t>c, d</t>
    </r>
  </si>
  <si>
    <r>
      <t xml:space="preserve">Repeat capture performance test </t>
    </r>
    <r>
      <rPr>
        <vertAlign val="superscript"/>
        <sz val="10"/>
        <rFont val="Times New Roman"/>
        <family val="1"/>
      </rPr>
      <t>c, d</t>
    </r>
  </si>
  <si>
    <r>
      <t xml:space="preserve">Add-on control performance test </t>
    </r>
    <r>
      <rPr>
        <vertAlign val="superscript"/>
        <sz val="10"/>
        <color theme="1"/>
        <rFont val="Times New Roman"/>
        <family val="1"/>
      </rPr>
      <t>e</t>
    </r>
  </si>
  <si>
    <r>
      <t xml:space="preserve">Repeat add-on control performance test </t>
    </r>
    <r>
      <rPr>
        <vertAlign val="superscript"/>
        <sz val="10"/>
        <color theme="1"/>
        <rFont val="Times New Roman"/>
        <family val="1"/>
      </rPr>
      <t>f</t>
    </r>
  </si>
  <si>
    <t>Emission rate limit compliance determination</t>
  </si>
  <si>
    <t>Startup, shutdown, malfunction plan</t>
  </si>
  <si>
    <t>C.  Create information</t>
  </si>
  <si>
    <t xml:space="preserve">See 4B </t>
  </si>
  <si>
    <r>
      <t xml:space="preserve">D.  Gather existing information </t>
    </r>
    <r>
      <rPr>
        <vertAlign val="superscript"/>
        <sz val="10"/>
        <rFont val="Times New Roman"/>
        <family val="1"/>
      </rPr>
      <t>g</t>
    </r>
  </si>
  <si>
    <t>E.  Write Report</t>
  </si>
  <si>
    <r>
      <t xml:space="preserve">Semiannual report of exceedances </t>
    </r>
    <r>
      <rPr>
        <vertAlign val="superscript"/>
        <sz val="10"/>
        <rFont val="Times New Roman"/>
        <family val="1"/>
      </rPr>
      <t>h</t>
    </r>
  </si>
  <si>
    <r>
      <t xml:space="preserve">Semiannual report of no exceedances </t>
    </r>
    <r>
      <rPr>
        <vertAlign val="superscript"/>
        <sz val="10"/>
        <rFont val="Times New Roman"/>
        <family val="1"/>
      </rPr>
      <t>i, j</t>
    </r>
  </si>
  <si>
    <r>
      <t xml:space="preserve">Startup, shutdown, malfunction report </t>
    </r>
    <r>
      <rPr>
        <vertAlign val="superscript"/>
        <sz val="10"/>
        <rFont val="Times New Roman"/>
        <family val="1"/>
      </rPr>
      <t>k</t>
    </r>
  </si>
  <si>
    <t>4.  Recordkeeping requirements</t>
  </si>
  <si>
    <t>A.  Familiarization with the regulatory requirements</t>
  </si>
  <si>
    <t>See 4B</t>
  </si>
  <si>
    <t>B.  Plan activities</t>
  </si>
  <si>
    <t xml:space="preserve">C.  Implement Activities </t>
  </si>
  <si>
    <t>D.  Develop record system</t>
  </si>
  <si>
    <r>
      <t xml:space="preserve">E.  Revise record systems due to SSM revisions </t>
    </r>
    <r>
      <rPr>
        <vertAlign val="superscript"/>
        <sz val="10"/>
        <rFont val="Times New Roman"/>
        <family val="1"/>
      </rPr>
      <t>l</t>
    </r>
  </si>
  <si>
    <r>
      <t xml:space="preserve">F.  Become familiar with CEDRI for electronic filing of notifications and reports </t>
    </r>
    <r>
      <rPr>
        <vertAlign val="superscript"/>
        <sz val="10"/>
        <rFont val="Times New Roman"/>
        <family val="1"/>
      </rPr>
      <t>m</t>
    </r>
  </si>
  <si>
    <r>
      <t xml:space="preserve">G. Time to enter records of all information required by standards </t>
    </r>
    <r>
      <rPr>
        <vertAlign val="superscript"/>
        <sz val="10"/>
        <rFont val="Times New Roman"/>
        <family val="1"/>
      </rPr>
      <t>n</t>
    </r>
  </si>
  <si>
    <t xml:space="preserve">H.  Time to train personnel </t>
  </si>
  <si>
    <t>I.  Time to adjust existing ways to comply with previously applicable requirements</t>
  </si>
  <si>
    <r>
      <t xml:space="preserve">J.  Time to transmit or disclose information </t>
    </r>
    <r>
      <rPr>
        <vertAlign val="superscript"/>
        <sz val="10"/>
        <rFont val="Times New Roman"/>
        <family val="1"/>
      </rPr>
      <t>o</t>
    </r>
  </si>
  <si>
    <t>K.  Time for audits</t>
  </si>
  <si>
    <r>
      <t xml:space="preserve">Total Capital and O&amp;M Cost (rounded) </t>
    </r>
    <r>
      <rPr>
        <b/>
        <vertAlign val="superscript"/>
        <sz val="10"/>
        <color theme="1"/>
        <rFont val="Times New Roman"/>
        <family val="1"/>
      </rPr>
      <t>p</t>
    </r>
  </si>
  <si>
    <t>Number of Respondents with O&amp;M</t>
  </si>
  <si>
    <r>
      <t xml:space="preserve">Total Labor Burden and Cost (rounded) </t>
    </r>
    <r>
      <rPr>
        <b/>
        <vertAlign val="superscript"/>
        <sz val="10"/>
        <color theme="1"/>
        <rFont val="Times New Roman"/>
        <family val="1"/>
      </rPr>
      <t>p</t>
    </r>
  </si>
  <si>
    <r>
      <t xml:space="preserve">GRAND TOTAL (rounded) </t>
    </r>
    <r>
      <rPr>
        <b/>
        <vertAlign val="superscript"/>
        <sz val="10"/>
        <color theme="1"/>
        <rFont val="Times New Roman"/>
        <family val="1"/>
      </rPr>
      <t>p</t>
    </r>
  </si>
  <si>
    <r>
      <t xml:space="preserve">d  </t>
    </r>
    <r>
      <rPr>
        <sz val="10"/>
        <rFont val="Times New Roman"/>
        <family val="1"/>
      </rPr>
      <t>We have assumed that emission capture systems meet the design criteria for a permanent total enclosure in EPA Method 204, so that capture efficiency does not need to be measured.</t>
    </r>
  </si>
  <si>
    <r>
      <t>h</t>
    </r>
    <r>
      <rPr>
        <sz val="10"/>
        <rFont val="Times New Roman"/>
        <family val="1"/>
      </rPr>
      <t xml:space="preserve">  We have assumed that exceedances are reported semiannually.</t>
    </r>
    <r>
      <rPr>
        <vertAlign val="superscript"/>
        <sz val="10"/>
        <rFont val="Times New Roman"/>
        <family val="1"/>
      </rPr>
      <t xml:space="preserve"> </t>
    </r>
    <r>
      <rPr>
        <sz val="10"/>
        <rFont val="Times New Roman"/>
        <family val="1"/>
      </rPr>
      <t>We have assumed that 10 percent of respondents will report exceedances (48 x 0.1 = 4.8, or 5 respondents, when rounded).</t>
    </r>
  </si>
  <si>
    <r>
      <t>i</t>
    </r>
    <r>
      <rPr>
        <sz val="10"/>
        <rFont val="Times New Roman"/>
        <family val="1"/>
      </rPr>
      <t xml:space="preserve"> Reports indicating no exceedances are required semiannually.</t>
    </r>
  </si>
  <si>
    <r>
      <t>j</t>
    </r>
    <r>
      <rPr>
        <sz val="10"/>
        <rFont val="Times New Roman"/>
        <family val="1"/>
      </rPr>
      <t xml:space="preserve">  We have assumed that 90 percent of respondents will report no exceedances (48 x 0.9 = 43.2, or 43 respondents, when rounded).</t>
    </r>
  </si>
  <si>
    <r>
      <rPr>
        <vertAlign val="superscript"/>
        <sz val="10"/>
        <rFont val="Times New Roman"/>
        <family val="1"/>
      </rPr>
      <t xml:space="preserve">l </t>
    </r>
    <r>
      <rPr>
        <sz val="10"/>
        <rFont val="Times New Roman"/>
        <family val="1"/>
      </rPr>
      <t xml:space="preserve"> We assume that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
    </r>
  </si>
  <si>
    <r>
      <rPr>
        <vertAlign val="superscript"/>
        <sz val="10"/>
        <rFont val="Times New Roman"/>
        <family val="1"/>
      </rPr>
      <t>m</t>
    </r>
    <r>
      <rPr>
        <sz val="10"/>
        <rFont val="Times New Roman"/>
        <family val="1"/>
      </rPr>
      <t xml:space="preserve">  Responses in year one associated with the use of electronic reporting include becoming familiar with CEDRI and the semi-annual reporting form.</t>
    </r>
  </si>
  <si>
    <r>
      <t xml:space="preserve">n </t>
    </r>
    <r>
      <rPr>
        <sz val="10"/>
        <rFont val="Times New Roman"/>
        <family val="1"/>
      </rPr>
      <t xml:space="preserve"> We have assumed that all information is entered on a weekly basis.</t>
    </r>
  </si>
  <si>
    <r>
      <t xml:space="preserve">o </t>
    </r>
    <r>
      <rPr>
        <sz val="10"/>
        <rFont val="Times New Roman"/>
        <family val="1"/>
      </rPr>
      <t xml:space="preserve"> We have assumed that each of the 48 respondents will take 15 minutes to transmit or disclose information twice a year.</t>
    </r>
  </si>
  <si>
    <r>
      <t xml:space="preserve">p </t>
    </r>
    <r>
      <rPr>
        <sz val="10"/>
        <rFont val="Times New Roman"/>
        <family val="1"/>
      </rPr>
      <t>Totals have been rounded to 3 significant figures. Figures may not add exactly due to rounding.</t>
    </r>
  </si>
  <si>
    <r>
      <t xml:space="preserve">g </t>
    </r>
    <r>
      <rPr>
        <sz val="10"/>
        <rFont val="Times New Roman"/>
        <family val="1"/>
      </rPr>
      <t>Based on comments we received from industry consultation, 60 hrs per respondent is required to gather and evaluate information in preparation of semiannual reports.</t>
    </r>
  </si>
  <si>
    <r>
      <t xml:space="preserve">Initial performance test </t>
    </r>
    <r>
      <rPr>
        <vertAlign val="superscript"/>
        <sz val="10"/>
        <rFont val="Times New Roman"/>
        <family val="1"/>
      </rPr>
      <t>a</t>
    </r>
  </si>
  <si>
    <t>Repeat performance test-retesting preparation</t>
  </si>
  <si>
    <t>Repeat performance-retesting</t>
  </si>
  <si>
    <t>Excess emissions enforcement activities</t>
  </si>
  <si>
    <t>Review reports</t>
  </si>
  <si>
    <t xml:space="preserve">   Notification of applicability</t>
  </si>
  <si>
    <t xml:space="preserve">   Notification of construction/reconstruction</t>
  </si>
  <si>
    <t xml:space="preserve">   Notification of actual startup</t>
  </si>
  <si>
    <t xml:space="preserve">   Notification of special compliance requirements</t>
  </si>
  <si>
    <t xml:space="preserve">   Notification of compliance status</t>
  </si>
  <si>
    <r>
      <t xml:space="preserve">   Notification of peformance test </t>
    </r>
    <r>
      <rPr>
        <vertAlign val="superscript"/>
        <sz val="10"/>
        <color theme="1"/>
        <rFont val="Times New Roman"/>
        <family val="1"/>
      </rPr>
      <t>c</t>
    </r>
  </si>
  <si>
    <r>
      <t xml:space="preserve">   Review of initial performance test report </t>
    </r>
    <r>
      <rPr>
        <vertAlign val="superscript"/>
        <sz val="10"/>
        <color theme="1"/>
        <rFont val="Times New Roman"/>
        <family val="1"/>
      </rPr>
      <t>d</t>
    </r>
  </si>
  <si>
    <r>
      <t xml:space="preserve">   Review of repeat performance test report </t>
    </r>
    <r>
      <rPr>
        <vertAlign val="superscript"/>
        <sz val="10"/>
        <color theme="1"/>
        <rFont val="Times New Roman"/>
        <family val="1"/>
      </rPr>
      <t>d</t>
    </r>
  </si>
  <si>
    <r>
      <t xml:space="preserve">   Semiannual report of excess emissions </t>
    </r>
    <r>
      <rPr>
        <vertAlign val="superscript"/>
        <sz val="10"/>
        <color theme="1"/>
        <rFont val="Times New Roman"/>
        <family val="1"/>
      </rPr>
      <t>e, f</t>
    </r>
  </si>
  <si>
    <r>
      <t xml:space="preserve">   Semiannual report of no excess emissions </t>
    </r>
    <r>
      <rPr>
        <vertAlign val="superscript"/>
        <sz val="10"/>
        <color theme="1"/>
        <rFont val="Times New Roman"/>
        <family val="1"/>
      </rPr>
      <t>g, h</t>
    </r>
  </si>
  <si>
    <t xml:space="preserve">   Review of NESHAP waiver application</t>
  </si>
  <si>
    <r>
      <t xml:space="preserve">   Review startup, shutdown, malfunction report </t>
    </r>
    <r>
      <rPr>
        <vertAlign val="superscript"/>
        <sz val="10"/>
        <color theme="1"/>
        <rFont val="Times New Roman"/>
        <family val="1"/>
      </rPr>
      <t>i</t>
    </r>
  </si>
  <si>
    <r>
      <t xml:space="preserve">Review record systems due to SSM revisions </t>
    </r>
    <r>
      <rPr>
        <vertAlign val="superscript"/>
        <sz val="10"/>
        <color theme="1"/>
        <rFont val="Times New Roman"/>
        <family val="1"/>
      </rPr>
      <t>j</t>
    </r>
  </si>
  <si>
    <t>(E) 
Technical person hours per year (E=CxD)</t>
  </si>
  <si>
    <r>
      <t xml:space="preserve">c  </t>
    </r>
    <r>
      <rPr>
        <sz val="10"/>
        <rFont val="Times New Roman"/>
        <family val="1"/>
      </rPr>
      <t xml:space="preserve">It is assumed that it will take four hours to review the notification of the test and the test plan for each respondent. </t>
    </r>
  </si>
  <si>
    <r>
      <t>e</t>
    </r>
    <r>
      <rPr>
        <sz val="10"/>
        <rFont val="Times New Roman"/>
        <family val="1"/>
      </rPr>
      <t xml:space="preserve">  It is assumed that 10 percent of respondents will report excess emissions (48 x 0.1 = 4.8, or 5 respondents, when rounded).</t>
    </r>
  </si>
  <si>
    <r>
      <t>f</t>
    </r>
    <r>
      <rPr>
        <sz val="10"/>
        <rFont val="Times New Roman"/>
        <family val="1"/>
      </rPr>
      <t xml:space="preserve">  It is assumed that reports of excess emissions are required semiannually.</t>
    </r>
  </si>
  <si>
    <r>
      <t>g</t>
    </r>
    <r>
      <rPr>
        <sz val="10"/>
        <rFont val="Times New Roman"/>
        <family val="1"/>
      </rPr>
      <t xml:space="preserve">  We have assumed that 90 percent of respondents will report no excess emissions (48 x 0.9 = 43.2, or 43 respondents, when rounded).</t>
    </r>
  </si>
  <si>
    <r>
      <rPr>
        <vertAlign val="superscript"/>
        <sz val="10"/>
        <rFont val="Times New Roman"/>
        <family val="1"/>
      </rPr>
      <t>h</t>
    </r>
    <r>
      <rPr>
        <sz val="10"/>
        <rFont val="Times New Roman"/>
        <family val="1"/>
      </rPr>
      <t xml:space="preserve">  It is assumed that reports of no excess emissions are required semiannually.</t>
    </r>
  </si>
  <si>
    <r>
      <t>k</t>
    </r>
    <r>
      <rPr>
        <sz val="10"/>
        <rFont val="Times New Roman"/>
        <family val="1"/>
      </rPr>
      <t xml:space="preserve">  Totals have been rounded to 3 significant figures. Figures may not add exactly due to rounding.</t>
    </r>
  </si>
  <si>
    <r>
      <rPr>
        <vertAlign val="superscript"/>
        <sz val="10"/>
        <color theme="1"/>
        <rFont val="Times New Roman"/>
        <family val="1"/>
      </rPr>
      <t>a</t>
    </r>
    <r>
      <rPr>
        <sz val="10"/>
        <color theme="1"/>
        <rFont val="Times New Roman"/>
        <family val="1"/>
      </rPr>
      <t xml:space="preserve"> The O&amp;M cost to maintain continuous temperature measuring monitor is $1,200 per respondent. The cost covers replacement of temperature sensor each calendar year. </t>
    </r>
  </si>
  <si>
    <r>
      <rPr>
        <vertAlign val="superscript"/>
        <sz val="10"/>
        <color theme="1"/>
        <rFont val="Times New Roman"/>
        <family val="1"/>
      </rPr>
      <t>c</t>
    </r>
    <r>
      <rPr>
        <sz val="10"/>
        <color theme="1"/>
        <rFont val="Times New Roman"/>
        <family val="1"/>
      </rPr>
      <t xml:space="preserve"> Totals have been rounded to 3 significant digits. Figures may not add exactly due to rounding. </t>
    </r>
  </si>
  <si>
    <r>
      <rPr>
        <vertAlign val="superscript"/>
        <sz val="12"/>
        <rFont val="Times New Roman"/>
        <family val="1"/>
      </rPr>
      <t xml:space="preserve">e </t>
    </r>
    <r>
      <rPr>
        <sz val="12"/>
        <rFont val="Times New Roman"/>
        <family val="1"/>
      </rPr>
      <t xml:space="preserve"> </t>
    </r>
    <r>
      <rPr>
        <sz val="10"/>
        <rFont val="Times New Roman"/>
        <family val="1"/>
      </rPr>
      <t>Facilities that comply using emission capture systems and add-on controls conduct air emissions performance testing, within 3 years of the effective date of the revised standards. Labor totals include hours for the facility to obtain the testing contractor, plan and attend the test, review the test report, and load it to ERT. A permit review revealed that, of the 48 sources subject to Subpart SSSS, 30 add on control devices at 21 sources do not already have a permit testing requirement. 21 sources undergo testing of their control devices once every five years (21 sources/5 years = 4.2 sources per year).</t>
    </r>
  </si>
  <si>
    <r>
      <t>f</t>
    </r>
    <r>
      <rPr>
        <sz val="10"/>
        <color theme="1"/>
        <rFont val="Times New Roman"/>
        <family val="1"/>
      </rPr>
      <t xml:space="preserve">  It is assumed that 5 percent of respondents will have to repeat performance tests. (4.2 x 0.05 = 0.21 per year) </t>
    </r>
  </si>
  <si>
    <r>
      <rPr>
        <vertAlign val="superscript"/>
        <sz val="10"/>
        <color theme="1"/>
        <rFont val="Times New Roman"/>
        <family val="1"/>
      </rPr>
      <t>j</t>
    </r>
    <r>
      <rPr>
        <sz val="10"/>
        <color theme="1"/>
        <rFont val="Times New Roman"/>
        <family val="1"/>
      </rPr>
      <t xml:space="preserve">  These are costs associated with evaluating new SSM record systems in year one of the 2020 rule amendments.</t>
    </r>
  </si>
  <si>
    <r>
      <t xml:space="preserve">k  </t>
    </r>
    <r>
      <rPr>
        <sz val="10"/>
        <rFont val="Times New Roman"/>
        <family val="1"/>
      </rPr>
      <t>We have assumed that 10 percent of respondents will file a startup, shutdown, malfunction report semiannually  (48 x 0.1 = 4.8, or 5 respondents, when rounded). This requirement is not applicable on and after August 24, 2020.</t>
    </r>
  </si>
  <si>
    <r>
      <t>i</t>
    </r>
    <r>
      <rPr>
        <sz val="10"/>
        <rFont val="Times New Roman"/>
        <family val="1"/>
      </rPr>
      <t xml:space="preserve">  We have assumed that 10 percent of respondents will submit startup, shutdown, malfunction reports to be reviewed (48 x 0.1 = 4.8, or 5 respondents, when rounded). This requirement is not applicable on and after August 24, 2020.</t>
    </r>
  </si>
  <si>
    <r>
      <t xml:space="preserve">d  </t>
    </r>
    <r>
      <rPr>
        <sz val="10"/>
        <rFont val="Times New Roman"/>
        <family val="1"/>
      </rPr>
      <t>Facilities that comply using emission capture systems and add-on controls conduct air emissions performance testing, within 3 years of the effective date of the revised standards. 21 facilities utilize 30 add-on VOC/HAP control devices and would require testing once every five years (21 sources/5 years = 4.2 sources per year). It is assumed that 5 percent of respondents will have to repeat performance tests. (4.2 x 0.05 = 0.21 per year)</t>
    </r>
  </si>
  <si>
    <r>
      <t>c</t>
    </r>
    <r>
      <rPr>
        <sz val="10"/>
        <rFont val="Times New Roman"/>
        <family val="1"/>
      </rPr>
      <t xml:space="preserve">  This is a one-time startup cost associated with initial compliance determination and acquisition, installation, and utilization of technology and systems needed to support recordkeeping and reporting.  The one-time startup costs were annualized over the 15-year life of control equipment at 7 percent interest. The number of occurrences per respondent per year is annualized over the 15 year life of the control equipment. Because there are no new sources, no performance tests are expected to occur. It is assumed that the facility would contract out the performance testing costs, but some labor hours from facility staff would be involved with coordinating and observing the test and reviewing the results.</t>
    </r>
  </si>
  <si>
    <r>
      <t xml:space="preserve">Performance test notification </t>
    </r>
    <r>
      <rPr>
        <vertAlign val="superscript"/>
        <sz val="10"/>
        <rFont val="Times New Roman"/>
        <family val="1"/>
      </rPr>
      <t>e, f</t>
    </r>
  </si>
  <si>
    <r>
      <t xml:space="preserve">Performance test report </t>
    </r>
    <r>
      <rPr>
        <vertAlign val="superscript"/>
        <sz val="10"/>
        <rFont val="Times New Roman"/>
        <family val="1"/>
      </rPr>
      <t>e , f</t>
    </r>
  </si>
  <si>
    <r>
      <t xml:space="preserve">Continuous temperature monitor </t>
    </r>
    <r>
      <rPr>
        <vertAlign val="superscript"/>
        <sz val="10"/>
        <rFont val="Times New Roman"/>
        <family val="1"/>
      </rPr>
      <t>a</t>
    </r>
  </si>
  <si>
    <t>$18,750 / $14,063</t>
  </si>
  <si>
    <r>
      <t xml:space="preserve">Performance Test </t>
    </r>
    <r>
      <rPr>
        <vertAlign val="superscript"/>
        <sz val="10"/>
        <rFont val="Times New Roman"/>
        <family val="1"/>
      </rPr>
      <t>b</t>
    </r>
  </si>
  <si>
    <r>
      <t xml:space="preserve">Total </t>
    </r>
    <r>
      <rPr>
        <vertAlign val="superscript"/>
        <sz val="10"/>
        <rFont val="Times New Roman"/>
        <family val="1"/>
      </rPr>
      <t>c</t>
    </r>
  </si>
  <si>
    <t>Hours per Response</t>
  </si>
  <si>
    <t>Continuous Monitoring Device</t>
  </si>
  <si>
    <r>
      <rPr>
        <vertAlign val="superscript"/>
        <sz val="10"/>
        <color theme="1"/>
        <rFont val="Times New Roman"/>
        <family val="1"/>
      </rPr>
      <t>b</t>
    </r>
    <r>
      <rPr>
        <sz val="10"/>
        <color theme="1"/>
        <rFont val="Times New Roman"/>
        <family val="1"/>
      </rPr>
      <t xml:space="preserve"> Emissions compliance testing costs are treated as capital costs because facilities routinely contract with a testing company to perform the testing. No O&amp;M costs would be assumed to be associated with the periodic testing requirement. Assumes nine sources test two control devices each at a cost of $32,813 once every five years. Twelve sources test one control device each at a cost of $18,750 once every five years. Five percent of tests will be repeated at a cost of $18,750 each. Total test costs are divided by five years to estimate average capital cost per year.</t>
    </r>
  </si>
  <si>
    <t>Capital/Startup Cost for One Respondent</t>
  </si>
  <si>
    <t>5900-0526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</si>
</sst>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34"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8"/>
      <name val="Calibri"/>
      <family val="2"/>
      <scheme val="minor"/>
    </font>
    <font>
      <sz val="12"/>
      <color theme="1"/>
      <name val="Times New Roman"/>
      <family val="1"/>
    </font>
    <font>
      <sz val="12"/>
      <color rgb="FF000000"/>
      <name val="Times New Roman"/>
      <family val="1"/>
    </font>
    <font>
      <vertAlign val="superscript"/>
      <sz val="12"/>
      <name val="Times New Roman"/>
      <family val="1"/>
    </font>
    <font>
      <sz val="12"/>
      <name val="Times New Roman"/>
      <family val="1"/>
    </font>
    <font>
      <sz val="10"/>
      <color rgb="FF7030A0"/>
      <name val="Times New Roman"/>
      <family val="1"/>
    </font>
    <font>
      <sz val="10"/>
      <color rgb="FF7030A0"/>
      <name val="Calibri"/>
      <family val="2"/>
      <scheme val="minor"/>
    </font>
    <font>
      <b/>
      <sz val="10"/>
      <color rgb="FF7030A0"/>
      <name val="Calibri"/>
      <family val="2"/>
      <scheme val="minor"/>
    </font>
    <font>
      <sz val="1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164" fontId="11" fillId="0" borderId="0"/>
  </cellStyleXfs>
  <cellXfs count="156">
    <xf numFmtId="0" fontId="0" fillId="0" borderId="0" xfId="0"/>
    <xf numFmtId="0" fontId="2" fillId="0" borderId="0" xfId="0" applyFont="1"/>
    <xf numFmtId="0" fontId="2" fillId="0" borderId="1" xfId="0" applyFont="1" applyBorder="1" applyAlignment="1">
      <alignment horizontal="center" wrapText="1"/>
    </xf>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6" fontId="21" fillId="0" borderId="2" xfId="0" applyNumberFormat="1" applyFont="1" applyBorder="1" applyAlignment="1">
      <alignment horizontal="right" wrapText="1"/>
    </xf>
    <xf numFmtId="0" fontId="18" fillId="0" borderId="0" xfId="0" applyFont="1"/>
    <xf numFmtId="0" fontId="15" fillId="0" borderId="1" xfId="0" applyFont="1" applyBorder="1"/>
    <xf numFmtId="41" fontId="18" fillId="0" borderId="0" xfId="0" applyNumberFormat="1" applyFont="1"/>
    <xf numFmtId="41" fontId="18" fillId="0" borderId="5" xfId="0" applyNumberFormat="1" applyFont="1" applyBorder="1"/>
    <xf numFmtId="164" fontId="13" fillId="0" borderId="0" xfId="1" applyFont="1" applyAlignment="1">
      <alignment wrapText="1"/>
    </xf>
    <xf numFmtId="0" fontId="2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5" fillId="0" borderId="0" xfId="0" applyFont="1" applyAlignment="1">
      <alignment vertical="top" wrapText="1"/>
    </xf>
    <xf numFmtId="165" fontId="10" fillId="0" borderId="1" xfId="0" applyNumberFormat="1" applyFont="1" applyBorder="1"/>
    <xf numFmtId="0" fontId="10" fillId="0" borderId="1" xfId="0" applyFont="1" applyBorder="1" applyAlignment="1">
      <alignment horizontal="center" vertical="center" wrapText="1"/>
    </xf>
    <xf numFmtId="1" fontId="2" fillId="0" borderId="1" xfId="0" applyNumberFormat="1" applyFont="1" applyBorder="1" applyAlignment="1">
      <alignment horizontal="center" wrapText="1"/>
    </xf>
    <xf numFmtId="0" fontId="1" fillId="0" borderId="0" xfId="0" applyFont="1"/>
    <xf numFmtId="0" fontId="2" fillId="0" borderId="1" xfId="0" applyFont="1" applyBorder="1" applyAlignment="1">
      <alignment horizontal="right" wrapText="1"/>
    </xf>
    <xf numFmtId="6" fontId="7" fillId="0" borderId="1" xfId="0" applyNumberFormat="1" applyFont="1" applyBorder="1" applyAlignment="1">
      <alignment horizontal="right"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1"/>
    </xf>
    <xf numFmtId="8" fontId="2" fillId="0" borderId="1" xfId="0" applyNumberFormat="1" applyFont="1" applyBorder="1" applyAlignment="1">
      <alignment horizontal="right" wrapText="1"/>
    </xf>
    <xf numFmtId="0" fontId="10" fillId="0" borderId="1" xfId="0" applyFont="1" applyBorder="1" applyAlignment="1">
      <alignment horizontal="left" vertical="top" wrapText="1" indent="1"/>
    </xf>
    <xf numFmtId="0" fontId="10" fillId="0" borderId="1" xfId="0" applyFont="1" applyBorder="1" applyAlignment="1">
      <alignment horizontal="right" wrapText="1"/>
    </xf>
    <xf numFmtId="3" fontId="2" fillId="0" borderId="0" xfId="0" applyNumberFormat="1" applyFont="1"/>
    <xf numFmtId="0" fontId="3" fillId="0" borderId="0" xfId="0" applyFont="1"/>
    <xf numFmtId="41" fontId="10" fillId="0" borderId="0" xfId="0" applyNumberFormat="1" applyFont="1"/>
    <xf numFmtId="0" fontId="12" fillId="0" borderId="1" xfId="0" applyFont="1" applyBorder="1" applyAlignment="1">
      <alignment wrapText="1"/>
    </xf>
    <xf numFmtId="0" fontId="22"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15" fillId="0" borderId="0" xfId="0" applyFont="1" applyAlignment="1">
      <alignment vertical="top"/>
    </xf>
    <xf numFmtId="0" fontId="21" fillId="0" borderId="1" xfId="0" applyFont="1" applyBorder="1" applyAlignment="1">
      <alignment vertical="top" wrapText="1"/>
    </xf>
    <xf numFmtId="3" fontId="10" fillId="0" borderId="1" xfId="0" applyNumberFormat="1" applyFont="1" applyBorder="1" applyAlignment="1">
      <alignment horizontal="center" wrapText="1"/>
    </xf>
    <xf numFmtId="164" fontId="9" fillId="0" borderId="0" xfId="1" applyFont="1" applyAlignment="1">
      <alignment vertical="center"/>
    </xf>
    <xf numFmtId="164" fontId="9" fillId="0" borderId="0" xfId="1" applyFont="1"/>
    <xf numFmtId="0" fontId="26" fillId="0" borderId="0" xfId="0" applyFont="1" applyAlignment="1">
      <alignment vertical="center" wrapText="1"/>
    </xf>
    <xf numFmtId="0" fontId="27" fillId="0" borderId="0" xfId="0" applyFont="1" applyAlignment="1">
      <alignment vertical="center" wrapText="1"/>
    </xf>
    <xf numFmtId="1" fontId="3" fillId="0" borderId="1" xfId="0" applyNumberFormat="1" applyFont="1" applyBorder="1" applyAlignment="1">
      <alignment horizontal="center" vertical="center" wrapText="1"/>
    </xf>
    <xf numFmtId="6" fontId="24"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64" fontId="9" fillId="0" borderId="0" xfId="1" applyFont="1" applyAlignment="1">
      <alignment horizontal="left" vertical="center"/>
    </xf>
    <xf numFmtId="6" fontId="21" fillId="0" borderId="1" xfId="0" applyNumberFormat="1" applyFont="1" applyBorder="1" applyAlignment="1">
      <alignment horizontal="right" wrapText="1"/>
    </xf>
    <xf numFmtId="6" fontId="12"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0" fontId="19" fillId="0" borderId="0" xfId="0" applyFont="1" applyAlignment="1">
      <alignment horizontal="left" vertical="top" wrapText="1"/>
    </xf>
    <xf numFmtId="0" fontId="19" fillId="0" borderId="0" xfId="0" applyFont="1" applyAlignment="1">
      <alignment horizontal="left" wrapText="1"/>
    </xf>
    <xf numFmtId="0" fontId="12" fillId="0" borderId="0" xfId="0" applyFont="1" applyAlignment="1">
      <alignment horizontal="left"/>
    </xf>
    <xf numFmtId="0" fontId="28" fillId="0" borderId="0" xfId="0" applyFont="1" applyAlignment="1">
      <alignment horizontal="left" wrapText="1"/>
    </xf>
    <xf numFmtId="0" fontId="10" fillId="0" borderId="8" xfId="0" applyFont="1" applyBorder="1" applyAlignment="1">
      <alignment horizontal="center"/>
    </xf>
    <xf numFmtId="0" fontId="10" fillId="0" borderId="8" xfId="0" applyFont="1" applyBorder="1" applyAlignment="1">
      <alignment horizontal="center" wrapText="1"/>
    </xf>
    <xf numFmtId="0" fontId="3" fillId="0" borderId="1" xfId="0" applyFont="1" applyBorder="1" applyAlignment="1">
      <alignment horizontal="left" vertical="top"/>
    </xf>
    <xf numFmtId="0" fontId="2" fillId="0" borderId="1" xfId="0" applyFont="1" applyBorder="1" applyAlignment="1">
      <alignment wrapText="1"/>
    </xf>
    <xf numFmtId="166" fontId="3" fillId="0" borderId="1" xfId="0" applyNumberFormat="1" applyFont="1" applyBorder="1" applyAlignment="1">
      <alignment wrapText="1"/>
    </xf>
    <xf numFmtId="167" fontId="2" fillId="0" borderId="1" xfId="0" applyNumberFormat="1" applyFont="1" applyBorder="1" applyAlignment="1">
      <alignment horizontal="center" wrapText="1"/>
    </xf>
    <xf numFmtId="3" fontId="2" fillId="0" borderId="1" xfId="0" applyNumberFormat="1" applyFont="1" applyBorder="1" applyAlignment="1">
      <alignment horizontal="center" wrapText="1"/>
    </xf>
    <xf numFmtId="0" fontId="2" fillId="0" borderId="1" xfId="0" applyFont="1" applyBorder="1" applyAlignment="1">
      <alignment horizontal="left" wrapText="1"/>
    </xf>
    <xf numFmtId="0" fontId="10" fillId="0" borderId="1" xfId="0" applyFont="1" applyBorder="1" applyAlignment="1">
      <alignment horizontal="left" wrapText="1" indent="1"/>
    </xf>
    <xf numFmtId="0" fontId="10" fillId="0" borderId="1" xfId="0" applyFont="1" applyBorder="1" applyAlignment="1">
      <alignment horizontal="left" wrapText="1" indent="2"/>
    </xf>
    <xf numFmtId="0" fontId="2" fillId="0" borderId="7" xfId="0" applyFont="1" applyBorder="1" applyAlignment="1">
      <alignment horizontal="left" wrapText="1" indent="2"/>
    </xf>
    <xf numFmtId="0" fontId="2" fillId="0" borderId="1" xfId="0" applyFont="1" applyBorder="1" applyAlignment="1">
      <alignment horizontal="left" wrapText="1" indent="1"/>
    </xf>
    <xf numFmtId="0" fontId="2" fillId="0" borderId="1" xfId="0" applyFont="1" applyBorder="1" applyAlignment="1">
      <alignment horizontal="left" wrapText="1" indent="2"/>
    </xf>
    <xf numFmtId="0" fontId="3" fillId="0" borderId="1" xfId="0" applyFont="1" applyBorder="1" applyAlignment="1">
      <alignment vertical="top" wrapText="1"/>
    </xf>
    <xf numFmtId="0" fontId="19" fillId="0" borderId="0" xfId="0" applyFont="1" applyAlignment="1">
      <alignment horizontal="left" vertical="top"/>
    </xf>
    <xf numFmtId="0" fontId="10" fillId="0" borderId="1" xfId="0" applyFont="1" applyBorder="1" applyAlignment="1">
      <alignment horizontal="left" wrapText="1"/>
    </xf>
    <xf numFmtId="6" fontId="2" fillId="0" borderId="1" xfId="0" applyNumberFormat="1" applyFont="1" applyBorder="1" applyAlignment="1">
      <alignment horizontal="right" wrapText="1"/>
    </xf>
    <xf numFmtId="0" fontId="10" fillId="0" borderId="0" xfId="0" applyFont="1" applyAlignment="1">
      <alignment horizontal="left" vertical="top"/>
    </xf>
    <xf numFmtId="0" fontId="10" fillId="0" borderId="0" xfId="0" applyFont="1" applyAlignment="1">
      <alignment horizontal="center" vertical="top" wrapText="1"/>
    </xf>
    <xf numFmtId="6" fontId="2" fillId="0" borderId="0" xfId="0" applyNumberFormat="1" applyFont="1" applyAlignment="1">
      <alignment horizontal="right" wrapText="1"/>
    </xf>
    <xf numFmtId="8" fontId="10" fillId="0" borderId="0" xfId="0" applyNumberFormat="1" applyFont="1" applyAlignment="1">
      <alignment horizontal="right" wrapText="1"/>
    </xf>
    <xf numFmtId="6" fontId="12" fillId="0" borderId="0" xfId="0" applyNumberFormat="1" applyFont="1" applyAlignment="1">
      <alignment horizontal="right" wrapText="1"/>
    </xf>
    <xf numFmtId="6" fontId="9" fillId="0" borderId="0" xfId="0" applyNumberFormat="1" applyFont="1" applyAlignment="1">
      <alignment horizontal="left"/>
    </xf>
    <xf numFmtId="0" fontId="30" fillId="0" borderId="0" xfId="0" applyFont="1"/>
    <xf numFmtId="0" fontId="30" fillId="0" borderId="0" xfId="0" applyFont="1" applyAlignment="1">
      <alignment horizontal="left" vertical="top"/>
    </xf>
    <xf numFmtId="0" fontId="31" fillId="0" borderId="0" xfId="0" applyFont="1"/>
    <xf numFmtId="0" fontId="32" fillId="0" borderId="0" xfId="0" applyFont="1"/>
    <xf numFmtId="0" fontId="30" fillId="0" borderId="0" xfId="0" applyFont="1" applyAlignment="1">
      <alignment horizontal="left" vertical="center"/>
    </xf>
    <xf numFmtId="0" fontId="30" fillId="0" borderId="0" xfId="0" applyFont="1" applyAlignment="1">
      <alignment horizontal="left" wrapText="1" indent="1"/>
    </xf>
    <xf numFmtId="0" fontId="12" fillId="0" borderId="1" xfId="0" applyFont="1" applyBorder="1" applyAlignment="1">
      <alignment horizontal="center" vertical="center" wrapText="1"/>
    </xf>
    <xf numFmtId="0" fontId="24" fillId="0" borderId="0" xfId="0" quotePrefix="1" applyFont="1"/>
    <xf numFmtId="166" fontId="10"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33" fillId="0" borderId="0" xfId="0" applyFont="1"/>
    <xf numFmtId="6" fontId="33" fillId="0" borderId="0" xfId="0" applyNumberFormat="1" applyFont="1"/>
    <xf numFmtId="8" fontId="0" fillId="0" borderId="0" xfId="0" applyNumberFormat="1"/>
    <xf numFmtId="0" fontId="0" fillId="0" borderId="0" xfId="0" applyAlignment="1">
      <alignment horizontal="center"/>
    </xf>
    <xf numFmtId="0" fontId="28" fillId="0" borderId="0" xfId="0" applyFont="1" applyAlignment="1">
      <alignment horizontal="left" wrapText="1"/>
    </xf>
    <xf numFmtId="3" fontId="3" fillId="0" borderId="2" xfId="0" applyNumberFormat="1" applyFont="1" applyBorder="1" applyAlignment="1">
      <alignment horizontal="center" wrapText="1"/>
    </xf>
    <xf numFmtId="3" fontId="3" fillId="0" borderId="3" xfId="0" applyNumberFormat="1" applyFont="1" applyBorder="1" applyAlignment="1">
      <alignment horizontal="center" wrapText="1"/>
    </xf>
    <xf numFmtId="3" fontId="3" fillId="0" borderId="4" xfId="0" applyNumberFormat="1" applyFont="1" applyBorder="1" applyAlignment="1">
      <alignment horizontal="center" wrapText="1"/>
    </xf>
    <xf numFmtId="0" fontId="19" fillId="0" borderId="0" xfId="0" applyFont="1" applyAlignment="1">
      <alignment horizontal="left" vertical="top" wrapText="1"/>
    </xf>
    <xf numFmtId="0" fontId="10" fillId="0" borderId="0" xfId="0" applyFont="1" applyAlignment="1">
      <alignment horizontal="left" vertical="top" wrapText="1"/>
    </xf>
    <xf numFmtId="0" fontId="15" fillId="0" borderId="1" xfId="0" applyFont="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3" fontId="21" fillId="0" borderId="2" xfId="0" applyNumberFormat="1" applyFont="1" applyBorder="1" applyAlignment="1">
      <alignment horizontal="center" wrapText="1"/>
    </xf>
    <xf numFmtId="3" fontId="21" fillId="0" borderId="3" xfId="0" applyNumberFormat="1" applyFont="1" applyBorder="1" applyAlignment="1">
      <alignment horizontal="center" wrapText="1"/>
    </xf>
    <xf numFmtId="3" fontId="21" fillId="0" borderId="4" xfId="0" applyNumberFormat="1" applyFont="1" applyBorder="1" applyAlignment="1">
      <alignment horizontal="center" wrapText="1"/>
    </xf>
    <xf numFmtId="0" fontId="5" fillId="0" borderId="0" xfId="0" applyFont="1" applyAlignment="1">
      <alignment horizontal="left" vertical="top" wrapText="1"/>
    </xf>
    <xf numFmtId="0" fontId="19" fillId="0" borderId="0" xfId="0" applyFont="1" applyAlignment="1">
      <alignment horizontal="left" vertical="top"/>
    </xf>
    <xf numFmtId="0" fontId="10" fillId="0" borderId="0" xfId="0" applyFont="1" applyAlignment="1">
      <alignment horizontal="left" vertical="top"/>
    </xf>
    <xf numFmtId="0" fontId="2" fillId="0" borderId="0" xfId="0" applyFont="1" applyAlignment="1">
      <alignment horizontal="left" vertical="top"/>
    </xf>
    <xf numFmtId="0" fontId="12" fillId="0" borderId="1" xfId="0" applyFont="1" applyBorder="1" applyAlignment="1">
      <alignment horizontal="center" wrapText="1"/>
    </xf>
    <xf numFmtId="3" fontId="12" fillId="0" borderId="1" xfId="0" applyNumberFormat="1" applyFont="1" applyBorder="1" applyAlignment="1">
      <alignment horizontal="center" wrapText="1"/>
    </xf>
    <xf numFmtId="0" fontId="19" fillId="0" borderId="0" xfId="0" applyFont="1" applyAlignment="1">
      <alignment horizontal="left" wrapText="1"/>
    </xf>
    <xf numFmtId="0" fontId="12" fillId="0" borderId="0" xfId="0" applyFont="1" applyAlignment="1">
      <alignment horizontal="left"/>
    </xf>
    <xf numFmtId="0" fontId="10" fillId="0" borderId="6" xfId="0" applyFont="1" applyBorder="1" applyAlignment="1">
      <alignment horizontal="left" vertical="top"/>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lignment vertical="center" wrapText="1"/>
    </xf>
    <xf numFmtId="0" fontId="0" fillId="0" borderId="0" xfId="0" applyAlignment="1">
      <alignment horizontal="right"/>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A8" sqref="A8"/>
    </sheetView>
  </sheetViews>
  <sheetFormatPr defaultRowHeight="15" x14ac:dyDescent="0.25"/>
  <cols>
    <col min="1" max="1" width="27.85546875" bestFit="1" customWidth="1"/>
    <col min="2" max="2" width="14.28515625" bestFit="1" customWidth="1"/>
  </cols>
  <sheetData>
    <row r="1" spans="1:2" x14ac:dyDescent="0.25">
      <c r="A1" s="117" t="s">
        <v>0</v>
      </c>
      <c r="B1" s="117"/>
    </row>
    <row r="2" spans="1:2" x14ac:dyDescent="0.25">
      <c r="A2" t="s">
        <v>163</v>
      </c>
      <c r="B2" s="74">
        <f>'Table 1'!K43</f>
        <v>154.55065827132228</v>
      </c>
    </row>
    <row r="3" spans="1:2" x14ac:dyDescent="0.25">
      <c r="A3" t="s">
        <v>1</v>
      </c>
      <c r="B3">
        <f>Respondents!F8</f>
        <v>48</v>
      </c>
    </row>
    <row r="4" spans="1:2" x14ac:dyDescent="0.25">
      <c r="A4" t="s">
        <v>2</v>
      </c>
      <c r="B4" s="75">
        <f>'Table 1'!F44</f>
        <v>16200</v>
      </c>
    </row>
    <row r="5" spans="1:2" x14ac:dyDescent="0.25">
      <c r="A5" t="s">
        <v>3</v>
      </c>
      <c r="B5" s="76">
        <f>'Table 1'!I46</f>
        <v>2220000</v>
      </c>
    </row>
    <row r="6" spans="1:2" x14ac:dyDescent="0.25">
      <c r="A6" t="s">
        <v>4</v>
      </c>
      <c r="B6" s="76">
        <f>'Capital O&amp;M'!I7</f>
        <v>166000</v>
      </c>
    </row>
    <row r="7" spans="1:2" x14ac:dyDescent="0.25">
      <c r="A7" t="s">
        <v>6</v>
      </c>
      <c r="B7" s="155" t="s">
        <v>167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78"/>
  <sheetViews>
    <sheetView zoomScaleNormal="100"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1" t="s">
        <v>62</v>
      </c>
      <c r="B1" s="1"/>
      <c r="C1" s="1"/>
      <c r="D1" s="1"/>
      <c r="E1" s="1"/>
      <c r="F1" s="1"/>
      <c r="G1" s="1"/>
      <c r="H1" s="1"/>
      <c r="I1" s="8"/>
      <c r="J1" s="1"/>
      <c r="K1" s="1"/>
      <c r="L1" s="1"/>
      <c r="M1" s="43"/>
      <c r="N1" s="13"/>
    </row>
    <row r="2" spans="1:21" s="1" customFormat="1" ht="12.75" x14ac:dyDescent="0.2">
      <c r="F2" s="7"/>
      <c r="G2" s="7"/>
      <c r="H2" s="7"/>
      <c r="I2" s="8"/>
      <c r="J2" s="3"/>
    </row>
    <row r="3" spans="1:21" s="1" customFormat="1" ht="76.5" x14ac:dyDescent="0.2">
      <c r="A3" s="20" t="s">
        <v>7</v>
      </c>
      <c r="B3" s="69" t="s">
        <v>8</v>
      </c>
      <c r="C3" s="69" t="s">
        <v>9</v>
      </c>
      <c r="D3" s="69" t="s">
        <v>10</v>
      </c>
      <c r="E3" s="69" t="s">
        <v>11</v>
      </c>
      <c r="F3" s="69" t="s">
        <v>12</v>
      </c>
      <c r="G3" s="69" t="s">
        <v>13</v>
      </c>
      <c r="H3" s="69" t="s">
        <v>14</v>
      </c>
      <c r="I3" s="69" t="s">
        <v>15</v>
      </c>
      <c r="J3" s="3"/>
      <c r="M3" s="44"/>
      <c r="N3" s="44"/>
      <c r="O3" s="44"/>
      <c r="P3" s="44"/>
      <c r="Q3" s="44"/>
      <c r="R3" s="44"/>
      <c r="S3" s="44"/>
      <c r="T3" s="44"/>
      <c r="U3" s="44"/>
    </row>
    <row r="4" spans="1:21" s="1" customFormat="1" ht="12.75" x14ac:dyDescent="0.2">
      <c r="A4" s="88" t="s">
        <v>75</v>
      </c>
      <c r="B4" s="2" t="s">
        <v>76</v>
      </c>
      <c r="C4" s="2"/>
      <c r="D4" s="2"/>
      <c r="E4" s="2"/>
      <c r="F4" s="2"/>
      <c r="G4" s="2"/>
      <c r="H4" s="2"/>
      <c r="I4" s="32"/>
      <c r="J4" s="3"/>
      <c r="K4" s="124" t="s">
        <v>16</v>
      </c>
      <c r="L4" s="124"/>
      <c r="O4" s="46"/>
      <c r="P4" s="46"/>
      <c r="Q4" s="46"/>
      <c r="R4" s="46"/>
      <c r="S4" s="46"/>
      <c r="T4" s="46"/>
      <c r="U4" s="47"/>
    </row>
    <row r="5" spans="1:21" s="1" customFormat="1" ht="12.75" x14ac:dyDescent="0.2">
      <c r="A5" s="88" t="s">
        <v>77</v>
      </c>
      <c r="B5" s="2" t="s">
        <v>76</v>
      </c>
      <c r="C5" s="2"/>
      <c r="D5" s="2"/>
      <c r="E5" s="2"/>
      <c r="F5" s="87"/>
      <c r="G5" s="30"/>
      <c r="H5" s="30"/>
      <c r="I5" s="36"/>
      <c r="J5" s="9"/>
      <c r="K5" s="14" t="s">
        <v>17</v>
      </c>
      <c r="L5" s="28">
        <v>163.61000000000001</v>
      </c>
      <c r="M5" s="45"/>
      <c r="N5" s="46"/>
      <c r="O5" s="46"/>
      <c r="P5" s="46"/>
      <c r="Q5" s="46"/>
      <c r="R5" s="48"/>
      <c r="S5" s="46"/>
      <c r="T5" s="46"/>
      <c r="U5" s="49"/>
    </row>
    <row r="6" spans="1:21" s="1" customFormat="1" ht="12.75" x14ac:dyDescent="0.2">
      <c r="A6" s="88" t="s">
        <v>78</v>
      </c>
      <c r="B6" s="2"/>
      <c r="C6" s="2"/>
      <c r="D6" s="2"/>
      <c r="E6" s="2"/>
      <c r="F6" s="2"/>
      <c r="G6" s="2"/>
      <c r="H6" s="2"/>
      <c r="I6" s="36"/>
      <c r="J6" s="3"/>
      <c r="K6" s="14" t="s">
        <v>18</v>
      </c>
      <c r="L6" s="28">
        <v>130.28</v>
      </c>
      <c r="M6" s="45"/>
      <c r="N6" s="46"/>
      <c r="O6" s="46"/>
      <c r="P6" s="46"/>
      <c r="Q6" s="46"/>
      <c r="R6" s="46"/>
      <c r="S6" s="46"/>
      <c r="T6" s="46"/>
      <c r="U6" s="49"/>
    </row>
    <row r="7" spans="1:21" s="1" customFormat="1" ht="15.75" x14ac:dyDescent="0.2">
      <c r="A7" s="89" t="s">
        <v>79</v>
      </c>
      <c r="B7" s="10">
        <v>4</v>
      </c>
      <c r="C7" s="10">
        <v>1</v>
      </c>
      <c r="D7" s="10">
        <f>B7*C7</f>
        <v>4</v>
      </c>
      <c r="E7" s="10">
        <f>Respondents!$F$8</f>
        <v>48</v>
      </c>
      <c r="F7" s="2">
        <f>D7*E7</f>
        <v>192</v>
      </c>
      <c r="G7" s="2">
        <f>F7*0.05</f>
        <v>9.6000000000000014</v>
      </c>
      <c r="H7" s="2">
        <f>F7*0.1</f>
        <v>19.200000000000003</v>
      </c>
      <c r="I7" s="36">
        <f>F7*$L$6+G7*$L$5+H7*$L$7</f>
        <v>27846.048000000003</v>
      </c>
      <c r="J7" s="3"/>
      <c r="K7" s="14" t="s">
        <v>19</v>
      </c>
      <c r="L7" s="28">
        <v>65.709999999999994</v>
      </c>
      <c r="M7" s="45"/>
      <c r="N7" s="46"/>
      <c r="O7" s="46"/>
      <c r="P7" s="46"/>
      <c r="Q7" s="46"/>
      <c r="R7" s="46"/>
      <c r="S7" s="46"/>
      <c r="T7" s="46"/>
      <c r="U7" s="49"/>
    </row>
    <row r="8" spans="1:21" s="1" customFormat="1" ht="12.75" x14ac:dyDescent="0.2">
      <c r="A8" s="89" t="s">
        <v>80</v>
      </c>
      <c r="B8" s="10"/>
      <c r="C8" s="10"/>
      <c r="D8" s="10"/>
      <c r="E8" s="10"/>
      <c r="F8" s="2"/>
      <c r="G8" s="2"/>
      <c r="H8" s="2"/>
      <c r="I8" s="36"/>
      <c r="J8" s="3"/>
      <c r="K8" s="60"/>
      <c r="L8" s="17"/>
      <c r="M8" s="45"/>
      <c r="N8" s="46"/>
      <c r="O8" s="46"/>
      <c r="P8" s="46"/>
      <c r="Q8" s="50"/>
      <c r="R8" s="50"/>
      <c r="S8" s="50"/>
      <c r="T8" s="50"/>
      <c r="U8" s="49"/>
    </row>
    <row r="9" spans="1:21" s="1" customFormat="1" ht="15.75" x14ac:dyDescent="0.2">
      <c r="A9" s="90" t="s">
        <v>81</v>
      </c>
      <c r="B9" s="10">
        <v>30</v>
      </c>
      <c r="C9" s="10">
        <v>7.0000000000000007E-2</v>
      </c>
      <c r="D9" s="10">
        <f t="shared" ref="D9:D18" si="0">B9*C9</f>
        <v>2.1</v>
      </c>
      <c r="E9" s="10">
        <v>0</v>
      </c>
      <c r="F9" s="2">
        <f>D9*E9</f>
        <v>0</v>
      </c>
      <c r="G9" s="2">
        <f>F9*0.05</f>
        <v>0</v>
      </c>
      <c r="H9" s="2">
        <f>F9*0.1</f>
        <v>0</v>
      </c>
      <c r="I9" s="36">
        <f>F9*$L$6+G9*$L$5+H9*$L$7</f>
        <v>0</v>
      </c>
      <c r="J9" s="3"/>
      <c r="K9" s="71"/>
      <c r="L9" s="4"/>
      <c r="M9" s="45"/>
      <c r="N9" s="46"/>
      <c r="O9" s="46"/>
      <c r="P9" s="46"/>
      <c r="Q9" s="50"/>
      <c r="R9" s="50"/>
      <c r="S9" s="50"/>
      <c r="T9" s="50"/>
      <c r="U9" s="49"/>
    </row>
    <row r="10" spans="1:21" s="1" customFormat="1" ht="15.75" x14ac:dyDescent="0.2">
      <c r="A10" s="90" t="s">
        <v>82</v>
      </c>
      <c r="B10" s="10">
        <v>30</v>
      </c>
      <c r="C10" s="10">
        <v>7.0000000000000007E-2</v>
      </c>
      <c r="D10" s="10">
        <f t="shared" si="0"/>
        <v>2.1</v>
      </c>
      <c r="E10" s="10">
        <v>0</v>
      </c>
      <c r="F10" s="2">
        <f>D10*E10</f>
        <v>0</v>
      </c>
      <c r="G10" s="2">
        <f>F10*0.05</f>
        <v>0</v>
      </c>
      <c r="H10" s="2">
        <f>F10*0.1</f>
        <v>0</v>
      </c>
      <c r="I10" s="36">
        <f>F10*$L$6+G10*$L$5+H10*$L$7</f>
        <v>0</v>
      </c>
      <c r="J10" s="3"/>
      <c r="K10" s="4"/>
      <c r="L10" s="4"/>
      <c r="M10" s="45"/>
      <c r="N10" s="46"/>
      <c r="O10" s="46"/>
      <c r="P10" s="46"/>
      <c r="Q10" s="50"/>
      <c r="R10" s="50"/>
      <c r="S10" s="50"/>
      <c r="T10" s="50"/>
      <c r="U10" s="49"/>
    </row>
    <row r="11" spans="1:21" s="1" customFormat="1" ht="41.25" x14ac:dyDescent="0.2">
      <c r="A11" s="90" t="s">
        <v>83</v>
      </c>
      <c r="B11" s="10">
        <v>8</v>
      </c>
      <c r="C11" s="10">
        <v>7.0000000000000007E-2</v>
      </c>
      <c r="D11" s="10">
        <f t="shared" si="0"/>
        <v>0.56000000000000005</v>
      </c>
      <c r="E11" s="10">
        <v>0</v>
      </c>
      <c r="F11" s="2">
        <f>D11*E11</f>
        <v>0</v>
      </c>
      <c r="G11" s="2">
        <f>F11*0.05</f>
        <v>0</v>
      </c>
      <c r="H11" s="2">
        <f>F11*0.1</f>
        <v>0</v>
      </c>
      <c r="I11" s="36">
        <f>F11*$L$6+G11*$L$5+H11*$L$7</f>
        <v>0</v>
      </c>
      <c r="J11" s="3"/>
      <c r="K11" s="5"/>
      <c r="L11" s="6"/>
      <c r="M11" s="45"/>
      <c r="N11" s="46"/>
      <c r="O11" s="46"/>
      <c r="P11" s="46"/>
      <c r="Q11" s="50"/>
      <c r="R11" s="50"/>
      <c r="S11" s="51"/>
      <c r="T11" s="51"/>
      <c r="U11" s="49"/>
    </row>
    <row r="12" spans="1:21" s="1" customFormat="1" ht="15.75" x14ac:dyDescent="0.2">
      <c r="A12" s="90" t="s">
        <v>84</v>
      </c>
      <c r="B12" s="10">
        <v>8</v>
      </c>
      <c r="C12" s="10">
        <v>7.0000000000000007E-2</v>
      </c>
      <c r="D12" s="10">
        <f t="shared" si="0"/>
        <v>0.56000000000000005</v>
      </c>
      <c r="E12" s="10">
        <v>0</v>
      </c>
      <c r="F12" s="2">
        <f>D12*E12</f>
        <v>0</v>
      </c>
      <c r="G12" s="2">
        <f>F12*0.05</f>
        <v>0</v>
      </c>
      <c r="H12" s="2">
        <f>F12*0.1</f>
        <v>0</v>
      </c>
      <c r="I12" s="36">
        <f>F12*$L$6+G12*$L$5+H12*$L$7</f>
        <v>0</v>
      </c>
      <c r="J12" s="3"/>
      <c r="K12" s="5"/>
      <c r="L12" s="6"/>
      <c r="M12" s="45"/>
      <c r="N12" s="46"/>
      <c r="O12" s="46"/>
      <c r="P12" s="46"/>
      <c r="Q12" s="50"/>
      <c r="R12" s="50"/>
      <c r="S12" s="51"/>
      <c r="T12" s="51"/>
      <c r="U12" s="49"/>
    </row>
    <row r="13" spans="1:21" s="1" customFormat="1" ht="15.75" x14ac:dyDescent="0.2">
      <c r="A13" s="91" t="s">
        <v>85</v>
      </c>
      <c r="B13" s="10">
        <v>30</v>
      </c>
      <c r="C13" s="10">
        <v>1</v>
      </c>
      <c r="D13" s="10">
        <f t="shared" si="0"/>
        <v>30</v>
      </c>
      <c r="E13" s="10">
        <f>21/5</f>
        <v>4.2</v>
      </c>
      <c r="F13" s="2">
        <f>D13*E13</f>
        <v>126</v>
      </c>
      <c r="G13" s="2">
        <f>F13*0.05</f>
        <v>6.3000000000000007</v>
      </c>
      <c r="H13" s="2">
        <f>F13*0.1</f>
        <v>12.600000000000001</v>
      </c>
      <c r="I13" s="36">
        <f>F13*$L$6+G13*$L$5+H13*$L$7</f>
        <v>18273.968999999997</v>
      </c>
      <c r="J13" s="3"/>
      <c r="K13" s="5"/>
      <c r="L13" s="6"/>
      <c r="M13" s="109"/>
      <c r="N13" s="46"/>
      <c r="O13" s="46"/>
      <c r="P13" s="46"/>
      <c r="Q13" s="46"/>
      <c r="R13" s="46"/>
      <c r="S13" s="46"/>
      <c r="T13" s="46"/>
      <c r="U13" s="49"/>
    </row>
    <row r="14" spans="1:21" s="1" customFormat="1" ht="18" customHeight="1" x14ac:dyDescent="0.2">
      <c r="A14" s="91" t="s">
        <v>86</v>
      </c>
      <c r="B14" s="10">
        <v>30</v>
      </c>
      <c r="C14" s="10">
        <v>1</v>
      </c>
      <c r="D14" s="10">
        <f t="shared" si="0"/>
        <v>30</v>
      </c>
      <c r="E14" s="10">
        <f>0.05*E13</f>
        <v>0.21000000000000002</v>
      </c>
      <c r="F14" s="30">
        <f t="shared" ref="F14:F16" si="1">D14*E14</f>
        <v>6.3000000000000007</v>
      </c>
      <c r="G14" s="30">
        <f t="shared" ref="G14:G16" si="2">F14*0.05</f>
        <v>0.31500000000000006</v>
      </c>
      <c r="H14" s="30">
        <f t="shared" ref="H14:H16" si="3">F14*0.1</f>
        <v>0.63000000000000012</v>
      </c>
      <c r="I14" s="36">
        <f t="shared" ref="I14:I27" si="4">F14*$L$6+G14*$L$5+H14*$L$7</f>
        <v>913.69845000000009</v>
      </c>
      <c r="J14" s="9"/>
      <c r="K14" s="59"/>
      <c r="L14" s="6"/>
      <c r="M14" s="45"/>
      <c r="N14" s="46"/>
      <c r="O14" s="46"/>
      <c r="P14" s="46"/>
      <c r="Q14" s="46"/>
      <c r="R14" s="46"/>
      <c r="S14" s="46"/>
      <c r="T14" s="46"/>
      <c r="U14" s="49"/>
    </row>
    <row r="15" spans="1:21" s="1" customFormat="1" ht="12.75" x14ac:dyDescent="0.2">
      <c r="A15" s="90" t="s">
        <v>87</v>
      </c>
      <c r="B15" s="10">
        <v>16</v>
      </c>
      <c r="C15" s="10">
        <v>12</v>
      </c>
      <c r="D15" s="10">
        <f t="shared" si="0"/>
        <v>192</v>
      </c>
      <c r="E15" s="10">
        <v>0</v>
      </c>
      <c r="F15" s="2">
        <f t="shared" si="1"/>
        <v>0</v>
      </c>
      <c r="G15" s="2">
        <f t="shared" si="2"/>
        <v>0</v>
      </c>
      <c r="H15" s="2">
        <f t="shared" si="3"/>
        <v>0</v>
      </c>
      <c r="I15" s="36">
        <f t="shared" si="4"/>
        <v>0</v>
      </c>
      <c r="J15" s="3"/>
      <c r="K15" s="59"/>
      <c r="M15" s="45"/>
      <c r="N15" s="46"/>
      <c r="O15" s="46"/>
      <c r="P15" s="46"/>
      <c r="Q15" s="46"/>
      <c r="R15" s="46"/>
      <c r="S15" s="46"/>
      <c r="T15" s="46"/>
      <c r="U15" s="49"/>
    </row>
    <row r="16" spans="1:21" s="1" customFormat="1" ht="12.75" x14ac:dyDescent="0.2">
      <c r="A16" s="90" t="s">
        <v>88</v>
      </c>
      <c r="B16" s="10">
        <v>32</v>
      </c>
      <c r="C16" s="10">
        <v>1</v>
      </c>
      <c r="D16" s="10">
        <f t="shared" si="0"/>
        <v>32</v>
      </c>
      <c r="E16" s="10">
        <v>0</v>
      </c>
      <c r="F16" s="30">
        <f t="shared" si="1"/>
        <v>0</v>
      </c>
      <c r="G16" s="2">
        <f t="shared" si="2"/>
        <v>0</v>
      </c>
      <c r="H16" s="86">
        <f t="shared" si="3"/>
        <v>0</v>
      </c>
      <c r="I16" s="36">
        <f t="shared" si="4"/>
        <v>0</v>
      </c>
      <c r="J16" s="3"/>
      <c r="K16" s="59"/>
      <c r="M16" s="45"/>
      <c r="N16" s="46"/>
      <c r="O16" s="46"/>
      <c r="P16" s="46"/>
      <c r="Q16" s="46"/>
      <c r="R16" s="46"/>
      <c r="S16" s="46"/>
      <c r="T16" s="46"/>
      <c r="U16" s="49"/>
    </row>
    <row r="17" spans="1:21" s="1" customFormat="1" ht="12.75" x14ac:dyDescent="0.2">
      <c r="A17" s="89" t="s">
        <v>89</v>
      </c>
      <c r="B17" s="10" t="s">
        <v>90</v>
      </c>
      <c r="C17" s="10"/>
      <c r="D17" s="10"/>
      <c r="E17" s="10"/>
      <c r="F17" s="30"/>
      <c r="G17" s="2"/>
      <c r="H17" s="86"/>
      <c r="I17" s="36"/>
      <c r="J17" s="3"/>
      <c r="K17" s="59"/>
      <c r="M17" s="45"/>
      <c r="N17" s="46"/>
      <c r="O17" s="46"/>
      <c r="P17" s="46"/>
      <c r="Q17" s="46"/>
      <c r="R17" s="46"/>
      <c r="S17" s="46"/>
      <c r="T17" s="46"/>
      <c r="U17" s="49"/>
    </row>
    <row r="18" spans="1:21" s="1" customFormat="1" ht="15.75" x14ac:dyDescent="0.2">
      <c r="A18" s="89" t="s">
        <v>91</v>
      </c>
      <c r="B18" s="10">
        <v>60</v>
      </c>
      <c r="C18" s="10">
        <v>1</v>
      </c>
      <c r="D18" s="10">
        <f t="shared" si="0"/>
        <v>60</v>
      </c>
      <c r="E18" s="10">
        <f>Respondents!$F$8</f>
        <v>48</v>
      </c>
      <c r="F18" s="30">
        <f t="shared" ref="F18" si="5">D18*E18</f>
        <v>2880</v>
      </c>
      <c r="G18" s="2">
        <f t="shared" ref="G18" si="6">F18*0.05</f>
        <v>144</v>
      </c>
      <c r="H18" s="86">
        <f t="shared" ref="H18" si="7">F18*0.1</f>
        <v>288</v>
      </c>
      <c r="I18" s="36">
        <f t="shared" si="4"/>
        <v>417690.72000000003</v>
      </c>
      <c r="J18" s="3"/>
      <c r="K18" s="59"/>
      <c r="M18" s="109"/>
      <c r="N18" s="46"/>
      <c r="O18" s="46"/>
      <c r="P18" s="46"/>
      <c r="Q18" s="46"/>
      <c r="R18" s="46"/>
      <c r="S18" s="46"/>
      <c r="T18" s="46"/>
      <c r="U18" s="49"/>
    </row>
    <row r="19" spans="1:21" s="1" customFormat="1" ht="12.75" x14ac:dyDescent="0.2">
      <c r="A19" s="92" t="s">
        <v>92</v>
      </c>
      <c r="B19" s="2"/>
      <c r="C19" s="2"/>
      <c r="D19" s="2"/>
      <c r="E19" s="2"/>
      <c r="F19" s="30"/>
      <c r="G19" s="2"/>
      <c r="H19" s="86"/>
      <c r="I19" s="36"/>
      <c r="J19" s="3"/>
      <c r="K19" s="59"/>
      <c r="M19" s="45"/>
      <c r="N19" s="46"/>
      <c r="O19" s="46"/>
      <c r="P19" s="46"/>
      <c r="Q19" s="46"/>
      <c r="R19" s="46"/>
      <c r="S19" s="46"/>
      <c r="T19" s="46"/>
      <c r="U19" s="49"/>
    </row>
    <row r="20" spans="1:21" s="1" customFormat="1" ht="12.75" x14ac:dyDescent="0.2">
      <c r="A20" s="93" t="s">
        <v>67</v>
      </c>
      <c r="B20" s="2">
        <v>2</v>
      </c>
      <c r="C20" s="2">
        <v>1</v>
      </c>
      <c r="D20" s="2">
        <f t="shared" ref="D20:D28" si="8">B20*C20</f>
        <v>2</v>
      </c>
      <c r="E20" s="2">
        <v>0</v>
      </c>
      <c r="F20" s="30">
        <f t="shared" ref="F20:F28" si="9">D20*E20</f>
        <v>0</v>
      </c>
      <c r="G20" s="2">
        <f t="shared" ref="G20:G28" si="10">F20*0.05</f>
        <v>0</v>
      </c>
      <c r="H20" s="86">
        <f t="shared" ref="H20:H28" si="11">F20*0.1</f>
        <v>0</v>
      </c>
      <c r="I20" s="36">
        <f t="shared" si="4"/>
        <v>0</v>
      </c>
      <c r="J20" s="3"/>
      <c r="K20" s="59"/>
      <c r="M20" s="45"/>
      <c r="N20" s="46"/>
      <c r="O20" s="46"/>
      <c r="P20" s="46"/>
      <c r="Q20" s="46"/>
      <c r="R20" s="46"/>
      <c r="S20" s="46"/>
      <c r="T20" s="46"/>
      <c r="U20" s="49"/>
    </row>
    <row r="21" spans="1:21" s="1" customFormat="1" ht="12.75" x14ac:dyDescent="0.2">
      <c r="A21" s="93" t="s">
        <v>68</v>
      </c>
      <c r="B21" s="2">
        <v>2</v>
      </c>
      <c r="C21" s="2">
        <v>1</v>
      </c>
      <c r="D21" s="2">
        <f t="shared" si="8"/>
        <v>2</v>
      </c>
      <c r="E21" s="2">
        <v>0</v>
      </c>
      <c r="F21" s="30">
        <f t="shared" si="9"/>
        <v>0</v>
      </c>
      <c r="G21" s="2">
        <f t="shared" si="10"/>
        <v>0</v>
      </c>
      <c r="H21" s="86">
        <f t="shared" si="11"/>
        <v>0</v>
      </c>
      <c r="I21" s="36">
        <f t="shared" si="4"/>
        <v>0</v>
      </c>
      <c r="J21" s="3"/>
      <c r="K21" s="59"/>
      <c r="M21" s="45"/>
      <c r="N21" s="46"/>
      <c r="O21" s="46"/>
      <c r="P21" s="46"/>
      <c r="Q21" s="46"/>
      <c r="R21" s="46"/>
      <c r="S21" s="46"/>
      <c r="T21" s="46"/>
      <c r="U21" s="49"/>
    </row>
    <row r="22" spans="1:21" s="1" customFormat="1" ht="12.75" x14ac:dyDescent="0.2">
      <c r="A22" s="93" t="s">
        <v>69</v>
      </c>
      <c r="B22" s="2">
        <v>2</v>
      </c>
      <c r="C22" s="2">
        <v>1</v>
      </c>
      <c r="D22" s="2">
        <f t="shared" si="8"/>
        <v>2</v>
      </c>
      <c r="E22" s="2">
        <v>0</v>
      </c>
      <c r="F22" s="30">
        <f t="shared" si="9"/>
        <v>0</v>
      </c>
      <c r="G22" s="2">
        <f t="shared" si="10"/>
        <v>0</v>
      </c>
      <c r="H22" s="86">
        <f t="shared" si="11"/>
        <v>0</v>
      </c>
      <c r="I22" s="36">
        <f t="shared" si="4"/>
        <v>0</v>
      </c>
      <c r="J22" s="3"/>
      <c r="K22" s="59"/>
      <c r="M22" s="45"/>
      <c r="N22" s="46"/>
      <c r="O22" s="46"/>
      <c r="P22" s="46"/>
      <c r="Q22" s="46"/>
      <c r="R22" s="46"/>
      <c r="S22" s="46"/>
      <c r="T22" s="46"/>
      <c r="U22" s="49"/>
    </row>
    <row r="23" spans="1:21" s="1" customFormat="1" ht="12.75" x14ac:dyDescent="0.2">
      <c r="A23" s="93" t="s">
        <v>50</v>
      </c>
      <c r="B23" s="2">
        <v>4</v>
      </c>
      <c r="C23" s="2">
        <v>1</v>
      </c>
      <c r="D23" s="2">
        <f t="shared" si="8"/>
        <v>4</v>
      </c>
      <c r="E23" s="2">
        <v>0</v>
      </c>
      <c r="F23" s="30">
        <f t="shared" si="9"/>
        <v>0</v>
      </c>
      <c r="G23" s="2">
        <f t="shared" si="10"/>
        <v>0</v>
      </c>
      <c r="H23" s="86">
        <f t="shared" si="11"/>
        <v>0</v>
      </c>
      <c r="I23" s="36">
        <f t="shared" si="4"/>
        <v>0</v>
      </c>
      <c r="J23" s="3"/>
      <c r="K23" s="59"/>
      <c r="M23" s="45"/>
      <c r="N23" s="46"/>
      <c r="O23" s="46"/>
      <c r="P23" s="46"/>
      <c r="Q23" s="46"/>
      <c r="R23" s="46"/>
      <c r="S23" s="46"/>
      <c r="T23" s="46"/>
      <c r="U23" s="49"/>
    </row>
    <row r="24" spans="1:21" s="1" customFormat="1" ht="15.75" x14ac:dyDescent="0.2">
      <c r="A24" s="90" t="s">
        <v>157</v>
      </c>
      <c r="B24" s="10">
        <v>2</v>
      </c>
      <c r="C24" s="10">
        <v>1</v>
      </c>
      <c r="D24" s="10">
        <f t="shared" si="8"/>
        <v>2</v>
      </c>
      <c r="E24" s="10">
        <f>E13+E14</f>
        <v>4.41</v>
      </c>
      <c r="F24" s="30">
        <f t="shared" si="9"/>
        <v>8.82</v>
      </c>
      <c r="G24" s="2">
        <f t="shared" si="10"/>
        <v>0.44100000000000006</v>
      </c>
      <c r="H24" s="86">
        <f t="shared" si="11"/>
        <v>0.88200000000000012</v>
      </c>
      <c r="I24" s="36">
        <f t="shared" si="4"/>
        <v>1279.1778300000001</v>
      </c>
      <c r="J24" s="104"/>
      <c r="K24" s="59"/>
      <c r="M24" s="45"/>
      <c r="N24" s="46"/>
      <c r="O24" s="46"/>
      <c r="P24" s="46"/>
      <c r="Q24" s="46"/>
      <c r="R24" s="46"/>
      <c r="S24" s="46"/>
      <c r="T24" s="46"/>
      <c r="U24" s="49"/>
    </row>
    <row r="25" spans="1:21" s="1" customFormat="1" ht="15.75" x14ac:dyDescent="0.2">
      <c r="A25" s="90" t="s">
        <v>158</v>
      </c>
      <c r="B25" s="10">
        <v>10</v>
      </c>
      <c r="C25" s="10">
        <v>1</v>
      </c>
      <c r="D25" s="10">
        <f t="shared" si="8"/>
        <v>10</v>
      </c>
      <c r="E25" s="10">
        <f>E24</f>
        <v>4.41</v>
      </c>
      <c r="F25" s="30">
        <f t="shared" si="9"/>
        <v>44.1</v>
      </c>
      <c r="G25" s="2">
        <f t="shared" si="10"/>
        <v>2.2050000000000001</v>
      </c>
      <c r="H25" s="86">
        <f t="shared" si="11"/>
        <v>4.41</v>
      </c>
      <c r="I25" s="36">
        <f t="shared" si="4"/>
        <v>6395.88915</v>
      </c>
      <c r="J25" s="104"/>
      <c r="K25" s="59"/>
      <c r="M25" s="45"/>
      <c r="N25" s="46"/>
      <c r="O25" s="46"/>
      <c r="P25" s="46"/>
      <c r="Q25" s="46"/>
      <c r="R25" s="46"/>
      <c r="S25" s="46"/>
      <c r="T25" s="46"/>
      <c r="U25" s="49"/>
    </row>
    <row r="26" spans="1:21" s="1" customFormat="1" ht="15.75" x14ac:dyDescent="0.2">
      <c r="A26" s="90" t="s">
        <v>93</v>
      </c>
      <c r="B26" s="10">
        <v>16</v>
      </c>
      <c r="C26" s="10">
        <v>2</v>
      </c>
      <c r="D26" s="10">
        <f t="shared" si="8"/>
        <v>32</v>
      </c>
      <c r="E26" s="10">
        <f>ROUND(E7*0.1,0)</f>
        <v>5</v>
      </c>
      <c r="F26" s="30">
        <f t="shared" si="9"/>
        <v>160</v>
      </c>
      <c r="G26" s="2">
        <f t="shared" si="10"/>
        <v>8</v>
      </c>
      <c r="H26" s="86">
        <f t="shared" si="11"/>
        <v>16</v>
      </c>
      <c r="I26" s="36">
        <f t="shared" si="4"/>
        <v>23205.040000000001</v>
      </c>
      <c r="J26" s="3"/>
      <c r="K26" s="59"/>
      <c r="M26" s="45"/>
      <c r="N26" s="46"/>
      <c r="O26" s="46"/>
      <c r="P26" s="46"/>
      <c r="Q26" s="46"/>
      <c r="R26" s="46"/>
      <c r="S26" s="46"/>
      <c r="T26" s="46"/>
      <c r="U26" s="49"/>
    </row>
    <row r="27" spans="1:21" s="1" customFormat="1" ht="19.5" customHeight="1" x14ac:dyDescent="0.2">
      <c r="A27" s="90" t="s">
        <v>94</v>
      </c>
      <c r="B27" s="10">
        <v>8</v>
      </c>
      <c r="C27" s="10">
        <v>2</v>
      </c>
      <c r="D27" s="10">
        <f t="shared" si="8"/>
        <v>16</v>
      </c>
      <c r="E27" s="10">
        <f>E7-E26</f>
        <v>43</v>
      </c>
      <c r="F27" s="30">
        <f t="shared" si="9"/>
        <v>688</v>
      </c>
      <c r="G27" s="2">
        <f t="shared" si="10"/>
        <v>34.4</v>
      </c>
      <c r="H27" s="86">
        <f t="shared" si="11"/>
        <v>68.8</v>
      </c>
      <c r="I27" s="36">
        <f t="shared" si="4"/>
        <v>99781.671999999991</v>
      </c>
      <c r="J27" s="3"/>
      <c r="K27" s="59"/>
      <c r="M27" s="109"/>
      <c r="N27" s="46"/>
      <c r="O27" s="46"/>
      <c r="P27" s="46"/>
      <c r="Q27" s="46"/>
      <c r="R27" s="46"/>
      <c r="S27" s="46"/>
      <c r="T27" s="46"/>
      <c r="U27" s="49"/>
    </row>
    <row r="28" spans="1:21" s="1" customFormat="1" ht="16.5" customHeight="1" x14ac:dyDescent="0.2">
      <c r="A28" s="90" t="s">
        <v>95</v>
      </c>
      <c r="B28" s="10">
        <v>8</v>
      </c>
      <c r="C28" s="10">
        <v>2</v>
      </c>
      <c r="D28" s="10">
        <f t="shared" si="8"/>
        <v>16</v>
      </c>
      <c r="E28" s="10">
        <v>0</v>
      </c>
      <c r="F28" s="30">
        <f t="shared" si="9"/>
        <v>0</v>
      </c>
      <c r="G28" s="2">
        <f t="shared" si="10"/>
        <v>0</v>
      </c>
      <c r="H28" s="86">
        <f t="shared" si="11"/>
        <v>0</v>
      </c>
      <c r="I28" s="36">
        <f>F28*$L$6+G28*$L$5+H28*$L$7</f>
        <v>0</v>
      </c>
      <c r="J28" s="3"/>
      <c r="K28" s="3"/>
      <c r="M28" s="109"/>
      <c r="N28" s="46"/>
      <c r="O28" s="46"/>
      <c r="P28" s="46"/>
      <c r="Q28" s="46"/>
      <c r="R28" s="46"/>
      <c r="S28" s="46"/>
      <c r="T28" s="46"/>
      <c r="U28" s="49"/>
    </row>
    <row r="29" spans="1:21" s="1" customFormat="1" ht="13.5" x14ac:dyDescent="0.25">
      <c r="A29" s="125" t="s">
        <v>20</v>
      </c>
      <c r="B29" s="126"/>
      <c r="C29" s="126"/>
      <c r="D29" s="126"/>
      <c r="E29" s="127"/>
      <c r="F29" s="128">
        <f>SUM(F5:H28)</f>
        <v>4721.0029999999997</v>
      </c>
      <c r="G29" s="129"/>
      <c r="H29" s="130"/>
      <c r="I29" s="33">
        <f>SUM(I5:I28)</f>
        <v>595386.21443000005</v>
      </c>
      <c r="J29" s="3"/>
      <c r="M29" s="45"/>
      <c r="N29" s="46"/>
      <c r="O29" s="46"/>
      <c r="P29" s="46"/>
      <c r="Q29" s="46"/>
      <c r="R29" s="46"/>
      <c r="S29" s="46"/>
      <c r="T29" s="46"/>
      <c r="U29" s="49"/>
    </row>
    <row r="30" spans="1:21" s="1" customFormat="1" ht="12.75" x14ac:dyDescent="0.2">
      <c r="A30" s="34" t="s">
        <v>21</v>
      </c>
      <c r="B30" s="2"/>
      <c r="C30" s="2"/>
      <c r="D30" s="2"/>
      <c r="E30" s="2"/>
      <c r="F30" s="2"/>
      <c r="G30" s="2"/>
      <c r="H30" s="2"/>
      <c r="I30" s="32"/>
      <c r="J30" s="3"/>
      <c r="M30" s="45"/>
      <c r="N30" s="46"/>
      <c r="O30" s="46"/>
      <c r="P30" s="46"/>
      <c r="Q30" s="46"/>
      <c r="R30" s="48"/>
      <c r="S30" s="46"/>
      <c r="T30" s="46"/>
      <c r="U30" s="49"/>
    </row>
    <row r="31" spans="1:21" s="1" customFormat="1" ht="13.5" x14ac:dyDescent="0.25">
      <c r="A31" s="34" t="s">
        <v>96</v>
      </c>
      <c r="B31" s="2"/>
      <c r="C31" s="2"/>
      <c r="D31" s="2"/>
      <c r="E31" s="2"/>
      <c r="F31" s="2"/>
      <c r="G31" s="2"/>
      <c r="H31" s="2"/>
      <c r="I31" s="36"/>
      <c r="J31" s="3"/>
      <c r="K31" s="3"/>
      <c r="M31" s="52"/>
      <c r="N31" s="52"/>
      <c r="O31" s="52"/>
      <c r="P31" s="52"/>
      <c r="Q31" s="52"/>
      <c r="R31" s="53"/>
      <c r="S31" s="53"/>
      <c r="T31" s="53"/>
      <c r="U31" s="54"/>
    </row>
    <row r="32" spans="1:21" s="1" customFormat="1" ht="12.75" x14ac:dyDescent="0.2">
      <c r="A32" s="37" t="s">
        <v>97</v>
      </c>
      <c r="B32" s="10" t="s">
        <v>98</v>
      </c>
      <c r="C32" s="10"/>
      <c r="D32" s="10"/>
      <c r="E32" s="10"/>
      <c r="F32" s="10"/>
      <c r="G32" s="10"/>
      <c r="H32" s="10"/>
      <c r="I32" s="11"/>
      <c r="J32" s="3"/>
      <c r="K32" s="3"/>
      <c r="M32" s="45"/>
      <c r="N32" s="46"/>
      <c r="O32" s="46"/>
      <c r="P32" s="46"/>
      <c r="Q32" s="46"/>
      <c r="R32" s="46"/>
      <c r="S32" s="46"/>
      <c r="T32" s="46"/>
      <c r="U32" s="47"/>
    </row>
    <row r="33" spans="1:21" s="1" customFormat="1" ht="12.75" x14ac:dyDescent="0.2">
      <c r="A33" s="37" t="s">
        <v>99</v>
      </c>
      <c r="B33" s="10" t="s">
        <v>76</v>
      </c>
      <c r="C33" s="10"/>
      <c r="D33" s="10"/>
      <c r="E33" s="10"/>
      <c r="F33" s="58"/>
      <c r="G33" s="10"/>
      <c r="H33" s="10"/>
      <c r="I33" s="11"/>
      <c r="J33" s="3"/>
      <c r="K33" s="3"/>
      <c r="M33" s="45"/>
      <c r="N33" s="46"/>
      <c r="O33" s="46"/>
      <c r="P33" s="46"/>
      <c r="Q33" s="46"/>
      <c r="R33" s="46"/>
      <c r="S33" s="46"/>
      <c r="T33" s="46"/>
      <c r="U33" s="49"/>
    </row>
    <row r="34" spans="1:21" s="1" customFormat="1" ht="12.75" x14ac:dyDescent="0.2">
      <c r="A34" s="37" t="s">
        <v>100</v>
      </c>
      <c r="B34" s="10" t="s">
        <v>76</v>
      </c>
      <c r="C34" s="10"/>
      <c r="D34" s="10"/>
      <c r="E34" s="10"/>
      <c r="F34" s="10"/>
      <c r="G34" s="10"/>
      <c r="H34" s="10"/>
      <c r="I34" s="38"/>
      <c r="J34" s="3"/>
      <c r="M34" s="45"/>
      <c r="N34" s="46"/>
      <c r="O34" s="46"/>
      <c r="P34" s="46"/>
      <c r="Q34" s="46"/>
      <c r="R34" s="46"/>
      <c r="S34" s="46"/>
      <c r="T34" s="46"/>
      <c r="U34" s="49"/>
    </row>
    <row r="35" spans="1:21" s="1" customFormat="1" ht="12.75" x14ac:dyDescent="0.2">
      <c r="A35" s="37" t="s">
        <v>101</v>
      </c>
      <c r="B35" s="10" t="s">
        <v>76</v>
      </c>
      <c r="C35" s="10"/>
      <c r="D35" s="10"/>
      <c r="E35" s="10"/>
      <c r="F35" s="10"/>
      <c r="G35" s="10"/>
      <c r="H35" s="10"/>
      <c r="I35" s="11"/>
      <c r="J35" s="3"/>
      <c r="K35" s="3"/>
      <c r="M35" s="45"/>
      <c r="N35" s="46"/>
      <c r="O35" s="46"/>
      <c r="P35" s="46"/>
      <c r="Q35" s="46"/>
      <c r="R35" s="48"/>
      <c r="S35" s="46"/>
      <c r="T35" s="46"/>
      <c r="U35" s="49"/>
    </row>
    <row r="36" spans="1:21" s="1" customFormat="1" ht="18" customHeight="1" x14ac:dyDescent="0.2">
      <c r="A36" s="37" t="s">
        <v>102</v>
      </c>
      <c r="B36" s="10">
        <v>8</v>
      </c>
      <c r="C36" s="10">
        <v>1</v>
      </c>
      <c r="D36" s="10">
        <f t="shared" ref="D36:D38" si="12">B36*C36</f>
        <v>8</v>
      </c>
      <c r="E36" s="81">
        <v>0</v>
      </c>
      <c r="F36" s="10">
        <f t="shared" ref="F36" si="13">D36*E36</f>
        <v>0</v>
      </c>
      <c r="G36" s="10">
        <f t="shared" ref="G36" si="14">F36*0.05</f>
        <v>0</v>
      </c>
      <c r="H36" s="10">
        <f t="shared" ref="H36" si="15">F36*0.1</f>
        <v>0</v>
      </c>
      <c r="I36" s="11">
        <f>F36*$L$6+G36*$L$5+H36*$L$7</f>
        <v>0</v>
      </c>
      <c r="J36" s="3"/>
      <c r="K36" s="3"/>
      <c r="M36" s="45"/>
      <c r="N36" s="46"/>
      <c r="O36" s="46"/>
      <c r="P36" s="46"/>
      <c r="Q36" s="46"/>
      <c r="R36" s="46"/>
      <c r="S36" s="46"/>
      <c r="T36" s="46"/>
      <c r="U36" s="49"/>
    </row>
    <row r="37" spans="1:21" s="1" customFormat="1" ht="28.5" x14ac:dyDescent="0.2">
      <c r="A37" s="37" t="s">
        <v>103</v>
      </c>
      <c r="B37" s="10">
        <v>8</v>
      </c>
      <c r="C37" s="10">
        <v>1</v>
      </c>
      <c r="D37" s="10">
        <f t="shared" si="12"/>
        <v>8</v>
      </c>
      <c r="E37" s="81">
        <v>0</v>
      </c>
      <c r="F37" s="10">
        <f t="shared" ref="F37:F38" si="16">D37*E37</f>
        <v>0</v>
      </c>
      <c r="G37" s="10">
        <f t="shared" ref="G37:G38" si="17">F37*0.05</f>
        <v>0</v>
      </c>
      <c r="H37" s="10">
        <f t="shared" ref="H37:H38" si="18">F37*0.1</f>
        <v>0</v>
      </c>
      <c r="I37" s="11">
        <f>F37*$L$6+G37*$L$5+H37*$L$7</f>
        <v>0</v>
      </c>
      <c r="J37" s="3"/>
      <c r="K37" s="3"/>
      <c r="M37" s="45"/>
      <c r="N37" s="46"/>
      <c r="O37" s="46"/>
      <c r="P37" s="46"/>
      <c r="Q37" s="46"/>
      <c r="R37" s="46"/>
      <c r="S37" s="46"/>
      <c r="T37" s="46"/>
      <c r="U37" s="49"/>
    </row>
    <row r="38" spans="1:21" s="1" customFormat="1" ht="28.5" x14ac:dyDescent="0.2">
      <c r="A38" s="37" t="s">
        <v>104</v>
      </c>
      <c r="B38" s="81">
        <v>4</v>
      </c>
      <c r="C38" s="81">
        <v>52</v>
      </c>
      <c r="D38" s="10">
        <f t="shared" si="12"/>
        <v>208</v>
      </c>
      <c r="E38" s="10">
        <f>E7</f>
        <v>48</v>
      </c>
      <c r="F38" s="30">
        <f t="shared" si="16"/>
        <v>9984</v>
      </c>
      <c r="G38" s="2">
        <f t="shared" si="17"/>
        <v>499.20000000000005</v>
      </c>
      <c r="H38" s="86">
        <f t="shared" si="18"/>
        <v>998.40000000000009</v>
      </c>
      <c r="I38" s="11">
        <f>F38*$L$6+G38*$L$5+H38*$L$7</f>
        <v>1447994.496</v>
      </c>
      <c r="J38" s="3"/>
      <c r="K38" s="3"/>
      <c r="M38" s="45"/>
      <c r="N38" s="46"/>
      <c r="O38" s="46"/>
      <c r="P38" s="46"/>
      <c r="Q38" s="46"/>
      <c r="R38" s="46"/>
      <c r="S38" s="46"/>
      <c r="T38" s="46"/>
      <c r="U38" s="49"/>
    </row>
    <row r="39" spans="1:21" s="1" customFormat="1" ht="12.75" x14ac:dyDescent="0.2">
      <c r="A39" s="37" t="s">
        <v>105</v>
      </c>
      <c r="B39" s="10" t="s">
        <v>76</v>
      </c>
      <c r="C39" s="10"/>
      <c r="D39" s="10"/>
      <c r="E39" s="10"/>
      <c r="F39" s="10"/>
      <c r="G39" s="10"/>
      <c r="H39" s="10"/>
      <c r="I39" s="11"/>
      <c r="J39" s="3"/>
      <c r="K39" s="3"/>
      <c r="M39" s="45"/>
      <c r="N39" s="46"/>
      <c r="O39" s="46"/>
      <c r="P39" s="46"/>
      <c r="Q39" s="46"/>
      <c r="R39" s="46"/>
      <c r="S39" s="46"/>
      <c r="T39" s="46"/>
      <c r="U39" s="49"/>
    </row>
    <row r="40" spans="1:21" s="1" customFormat="1" ht="27.6" customHeight="1" x14ac:dyDescent="0.2">
      <c r="A40" s="37" t="s">
        <v>106</v>
      </c>
      <c r="B40" s="82" t="s">
        <v>76</v>
      </c>
      <c r="C40" s="82"/>
      <c r="D40" s="82"/>
      <c r="E40" s="82"/>
      <c r="F40" s="10"/>
      <c r="G40" s="10"/>
      <c r="H40" s="10"/>
      <c r="I40" s="38"/>
      <c r="J40" s="3"/>
      <c r="K40" s="3"/>
      <c r="M40" s="109"/>
      <c r="N40" s="46"/>
      <c r="O40" s="46"/>
      <c r="P40" s="46"/>
      <c r="Q40" s="46"/>
      <c r="R40" s="46"/>
      <c r="S40" s="46"/>
      <c r="T40" s="46"/>
      <c r="U40" s="49"/>
    </row>
    <row r="41" spans="1:21" s="1" customFormat="1" ht="15.75" x14ac:dyDescent="0.2">
      <c r="A41" s="37" t="s">
        <v>107</v>
      </c>
      <c r="B41" s="10">
        <v>0.25</v>
      </c>
      <c r="C41" s="10">
        <v>2</v>
      </c>
      <c r="D41" s="10">
        <f>B41*C41</f>
        <v>0.5</v>
      </c>
      <c r="E41" s="10">
        <v>48</v>
      </c>
      <c r="F41" s="58">
        <f t="shared" ref="F41" si="19">D41*E41</f>
        <v>24</v>
      </c>
      <c r="G41" s="10">
        <f t="shared" ref="G41" si="20">F41*0.05</f>
        <v>1.2000000000000002</v>
      </c>
      <c r="H41" s="10">
        <f t="shared" ref="H41" si="21">F41*0.1</f>
        <v>2.4000000000000004</v>
      </c>
      <c r="I41" s="11">
        <f>F41*$L$6+G41*$L$5+H41*$L$7</f>
        <v>3480.7560000000003</v>
      </c>
      <c r="J41" s="3"/>
      <c r="K41" s="3"/>
      <c r="M41" s="109"/>
      <c r="N41" s="46"/>
      <c r="O41" s="46"/>
      <c r="P41" s="46"/>
      <c r="Q41" s="46"/>
      <c r="R41" s="46"/>
      <c r="S41" s="46"/>
      <c r="T41" s="46"/>
      <c r="U41" s="49"/>
    </row>
    <row r="42" spans="1:21" s="1" customFormat="1" ht="12.75" x14ac:dyDescent="0.2">
      <c r="A42" s="35" t="s">
        <v>108</v>
      </c>
      <c r="B42" s="2" t="s">
        <v>76</v>
      </c>
      <c r="C42" s="2"/>
      <c r="D42" s="2"/>
      <c r="E42" s="10"/>
      <c r="F42" s="10"/>
      <c r="G42" s="10"/>
      <c r="H42" s="10"/>
      <c r="I42" s="11"/>
      <c r="J42" s="3"/>
      <c r="K42" s="3"/>
      <c r="M42" s="45"/>
      <c r="N42" s="46"/>
      <c r="O42" s="46"/>
      <c r="P42" s="46"/>
      <c r="Q42" s="46"/>
      <c r="R42" s="46"/>
      <c r="S42" s="46"/>
      <c r="T42" s="46"/>
      <c r="U42" s="49"/>
    </row>
    <row r="43" spans="1:21" s="1" customFormat="1" ht="13.5" x14ac:dyDescent="0.25">
      <c r="A43" s="57" t="s">
        <v>22</v>
      </c>
      <c r="B43" s="131"/>
      <c r="C43" s="132"/>
      <c r="D43" s="132"/>
      <c r="E43" s="133"/>
      <c r="F43" s="137">
        <f>SUM(F31:H42)</f>
        <v>11509.2</v>
      </c>
      <c r="G43" s="138"/>
      <c r="H43" s="139"/>
      <c r="I43" s="12">
        <f>SUM(I31:I42)</f>
        <v>1451475.2520000001</v>
      </c>
      <c r="J43" s="16"/>
      <c r="K43" s="41">
        <f>F44/Responses!E13</f>
        <v>154.55065827132228</v>
      </c>
      <c r="L43" s="41" t="s">
        <v>23</v>
      </c>
      <c r="M43" s="45"/>
      <c r="N43" s="46"/>
      <c r="O43" s="46"/>
      <c r="P43" s="46"/>
      <c r="Q43" s="46"/>
      <c r="R43" s="46"/>
      <c r="S43" s="46"/>
      <c r="T43" s="46"/>
      <c r="U43" s="49"/>
    </row>
    <row r="44" spans="1:21" s="1" customFormat="1" ht="16.899999999999999" customHeight="1" x14ac:dyDescent="0.25">
      <c r="A44" s="94" t="s">
        <v>111</v>
      </c>
      <c r="B44" s="134"/>
      <c r="C44" s="135"/>
      <c r="D44" s="135"/>
      <c r="E44" s="136"/>
      <c r="F44" s="137">
        <f>ROUND(SUM(F29,F43), -2)</f>
        <v>16200</v>
      </c>
      <c r="G44" s="138"/>
      <c r="H44" s="139"/>
      <c r="I44" s="12">
        <f>ROUND(SUM(I43,I29), -4)</f>
        <v>2050000</v>
      </c>
      <c r="J44" s="16"/>
      <c r="K44" s="15"/>
      <c r="L44" s="3"/>
      <c r="M44" s="45"/>
      <c r="N44" s="46"/>
      <c r="O44" s="46"/>
      <c r="P44" s="46"/>
      <c r="Q44" s="46"/>
      <c r="R44" s="46"/>
      <c r="S44" s="46"/>
      <c r="T44" s="46"/>
      <c r="U44" s="49"/>
    </row>
    <row r="45" spans="1:21" s="1" customFormat="1" ht="18.600000000000001" customHeight="1" x14ac:dyDescent="0.25">
      <c r="A45" s="83" t="s">
        <v>109</v>
      </c>
      <c r="B45" s="84"/>
      <c r="C45" s="84"/>
      <c r="D45" s="84"/>
      <c r="E45" s="84"/>
      <c r="F45" s="119"/>
      <c r="G45" s="120"/>
      <c r="H45" s="121"/>
      <c r="I45" s="85">
        <f>'Capital O&amp;M'!I7</f>
        <v>166000</v>
      </c>
      <c r="J45" s="3"/>
      <c r="M45" s="52"/>
      <c r="N45" s="52"/>
      <c r="O45" s="52"/>
      <c r="P45" s="52"/>
      <c r="Q45" s="52"/>
      <c r="R45" s="53"/>
      <c r="S45" s="53"/>
      <c r="T45" s="53"/>
      <c r="U45" s="54"/>
    </row>
    <row r="46" spans="1:21" s="1" customFormat="1" ht="16.899999999999999" customHeight="1" x14ac:dyDescent="0.25">
      <c r="A46" s="83" t="s">
        <v>112</v>
      </c>
      <c r="B46" s="134"/>
      <c r="C46" s="135"/>
      <c r="D46" s="135"/>
      <c r="E46" s="135"/>
      <c r="F46" s="135"/>
      <c r="G46" s="135"/>
      <c r="H46" s="136"/>
      <c r="I46" s="72">
        <f>ROUND(SUM(I44:I45), -4)</f>
        <v>2220000</v>
      </c>
      <c r="J46" s="3"/>
      <c r="M46" s="55"/>
      <c r="N46" s="55"/>
      <c r="O46" s="55"/>
      <c r="P46" s="55"/>
      <c r="Q46" s="55"/>
      <c r="R46" s="53"/>
      <c r="S46" s="53"/>
      <c r="T46" s="53"/>
      <c r="U46" s="54"/>
    </row>
    <row r="47" spans="1:21" s="1" customFormat="1" ht="13.5" x14ac:dyDescent="0.25">
      <c r="G47" s="39"/>
      <c r="I47" s="8"/>
      <c r="J47" s="13"/>
      <c r="M47" s="55"/>
      <c r="N47" s="55"/>
      <c r="O47" s="55"/>
      <c r="P47" s="55"/>
      <c r="Q47" s="55"/>
      <c r="R47" s="55"/>
      <c r="S47" s="55"/>
      <c r="T47" s="55"/>
      <c r="U47" s="54"/>
    </row>
    <row r="48" spans="1:21" s="1" customFormat="1" ht="13.5" x14ac:dyDescent="0.25">
      <c r="A48" s="40" t="s">
        <v>24</v>
      </c>
      <c r="I48" s="8"/>
      <c r="J48" s="3"/>
      <c r="M48" s="55"/>
      <c r="N48" s="55"/>
      <c r="O48" s="55"/>
      <c r="P48" s="55"/>
      <c r="Q48" s="55"/>
      <c r="R48" s="55"/>
      <c r="S48" s="55"/>
      <c r="T48" s="55"/>
      <c r="U48" s="54"/>
    </row>
    <row r="49" spans="1:21" s="1" customFormat="1" ht="34.5" customHeight="1" x14ac:dyDescent="0.2">
      <c r="A49" s="122" t="s">
        <v>64</v>
      </c>
      <c r="B49" s="122"/>
      <c r="C49" s="122"/>
      <c r="D49" s="122"/>
      <c r="E49" s="122"/>
      <c r="F49" s="122"/>
      <c r="G49" s="122"/>
      <c r="H49" s="122"/>
      <c r="I49" s="122"/>
      <c r="J49" s="111"/>
      <c r="M49" s="27"/>
      <c r="N49" s="27"/>
      <c r="O49" s="27"/>
      <c r="P49" s="27"/>
      <c r="Q49" s="27"/>
      <c r="R49" s="27"/>
      <c r="S49" s="27"/>
      <c r="T49" s="27"/>
      <c r="U49" s="27"/>
    </row>
    <row r="50" spans="1:21" s="1" customFormat="1" ht="43.9" customHeight="1" x14ac:dyDescent="0.2">
      <c r="A50" s="122" t="s">
        <v>65</v>
      </c>
      <c r="B50" s="122"/>
      <c r="C50" s="122"/>
      <c r="D50" s="122"/>
      <c r="E50" s="122"/>
      <c r="F50" s="122"/>
      <c r="G50" s="122"/>
      <c r="H50" s="122"/>
      <c r="I50" s="122"/>
      <c r="J50" s="3"/>
      <c r="M50" s="27"/>
      <c r="N50" s="27"/>
      <c r="O50" s="27"/>
      <c r="P50" s="27"/>
      <c r="Q50" s="27"/>
      <c r="R50" s="27"/>
      <c r="S50" s="27"/>
      <c r="T50" s="27"/>
      <c r="U50" s="27"/>
    </row>
    <row r="51" spans="1:21" s="1" customFormat="1" ht="77.45" customHeight="1" x14ac:dyDescent="0.25">
      <c r="A51" s="118" t="s">
        <v>156</v>
      </c>
      <c r="B51" s="118"/>
      <c r="C51" s="118"/>
      <c r="D51" s="118"/>
      <c r="E51" s="118"/>
      <c r="F51" s="118"/>
      <c r="G51" s="118"/>
      <c r="H51" s="118"/>
      <c r="I51" s="118"/>
      <c r="J51" s="9"/>
      <c r="M51" s="27"/>
      <c r="N51" s="27"/>
      <c r="O51" s="27"/>
      <c r="P51" s="27"/>
      <c r="Q51" s="27"/>
      <c r="R51" s="27"/>
      <c r="S51" s="27"/>
      <c r="T51" s="27"/>
      <c r="U51" s="27"/>
    </row>
    <row r="52" spans="1:21" s="1" customFormat="1" ht="29.45" customHeight="1" x14ac:dyDescent="0.2">
      <c r="A52" s="122" t="s">
        <v>113</v>
      </c>
      <c r="B52" s="122"/>
      <c r="C52" s="122"/>
      <c r="D52" s="122"/>
      <c r="E52" s="122"/>
      <c r="F52" s="122"/>
      <c r="G52" s="122"/>
      <c r="H52" s="122"/>
      <c r="I52" s="122"/>
      <c r="J52" s="3"/>
      <c r="M52" s="27"/>
      <c r="N52" s="27"/>
      <c r="O52" s="27"/>
      <c r="P52" s="27"/>
      <c r="Q52" s="27"/>
      <c r="R52" s="27"/>
      <c r="S52" s="27"/>
      <c r="T52" s="27"/>
      <c r="U52" s="27"/>
    </row>
    <row r="53" spans="1:21" s="1" customFormat="1" ht="60.6" customHeight="1" x14ac:dyDescent="0.2">
      <c r="A53" s="123" t="s">
        <v>150</v>
      </c>
      <c r="B53" s="123"/>
      <c r="C53" s="123"/>
      <c r="D53" s="123"/>
      <c r="E53" s="123"/>
      <c r="F53" s="123"/>
      <c r="G53" s="123"/>
      <c r="H53" s="123"/>
      <c r="I53" s="123"/>
      <c r="M53" s="27"/>
      <c r="N53" s="27"/>
      <c r="O53" s="27"/>
      <c r="P53" s="27"/>
      <c r="Q53" s="27"/>
      <c r="R53" s="27"/>
      <c r="S53" s="27"/>
      <c r="T53" s="27"/>
      <c r="U53" s="27"/>
    </row>
    <row r="54" spans="1:21" s="1" customFormat="1" ht="15.75" x14ac:dyDescent="0.2">
      <c r="A54" s="140" t="s">
        <v>151</v>
      </c>
      <c r="B54" s="140"/>
      <c r="C54" s="140"/>
      <c r="D54" s="140"/>
      <c r="E54" s="140"/>
      <c r="F54" s="140"/>
      <c r="G54" s="140"/>
      <c r="H54" s="140"/>
      <c r="I54" s="140"/>
      <c r="M54" s="27"/>
      <c r="N54" s="27"/>
      <c r="O54" s="27"/>
      <c r="P54" s="27"/>
      <c r="Q54" s="27"/>
      <c r="R54" s="27"/>
      <c r="S54" s="27"/>
      <c r="T54" s="27"/>
      <c r="U54" s="27"/>
    </row>
    <row r="55" spans="1:21" s="1" customFormat="1" ht="15.75" x14ac:dyDescent="0.2">
      <c r="A55" s="141" t="s">
        <v>122</v>
      </c>
      <c r="B55" s="141"/>
      <c r="C55" s="141"/>
      <c r="D55" s="141"/>
      <c r="E55" s="141"/>
      <c r="F55" s="141"/>
      <c r="G55" s="141"/>
      <c r="H55" s="141"/>
      <c r="I55" s="141"/>
      <c r="M55" s="56"/>
      <c r="N55" s="56"/>
      <c r="O55" s="56"/>
      <c r="P55" s="56"/>
      <c r="Q55" s="56"/>
      <c r="R55" s="56"/>
      <c r="S55" s="56"/>
      <c r="T55" s="56"/>
      <c r="U55" s="56"/>
    </row>
    <row r="56" spans="1:21" s="1" customFormat="1" ht="30.6" customHeight="1" x14ac:dyDescent="0.2">
      <c r="A56" s="122" t="s">
        <v>114</v>
      </c>
      <c r="B56" s="122"/>
      <c r="C56" s="122"/>
      <c r="D56" s="122"/>
      <c r="E56" s="122"/>
      <c r="F56" s="122"/>
      <c r="G56" s="122"/>
      <c r="H56" s="122"/>
      <c r="I56" s="122"/>
      <c r="M56" s="27"/>
      <c r="N56" s="27"/>
      <c r="O56" s="27"/>
      <c r="P56" s="27"/>
      <c r="Q56" s="27"/>
      <c r="R56" s="27"/>
      <c r="S56" s="27"/>
      <c r="T56" s="27"/>
      <c r="U56" s="27"/>
    </row>
    <row r="57" spans="1:21" s="1" customFormat="1" ht="15.75" x14ac:dyDescent="0.2">
      <c r="A57" s="141" t="s">
        <v>115</v>
      </c>
      <c r="B57" s="141"/>
      <c r="C57" s="141"/>
      <c r="D57" s="141"/>
      <c r="E57" s="141"/>
      <c r="F57" s="141"/>
      <c r="G57" s="141"/>
      <c r="H57" s="141"/>
      <c r="I57" s="141"/>
      <c r="M57" s="27"/>
      <c r="N57" s="27"/>
      <c r="O57" s="27"/>
      <c r="P57" s="27"/>
      <c r="Q57" s="27"/>
      <c r="R57" s="27"/>
      <c r="S57" s="27"/>
      <c r="T57" s="27"/>
      <c r="U57" s="27"/>
    </row>
    <row r="58" spans="1:21" s="1" customFormat="1" ht="15.75" x14ac:dyDescent="0.2">
      <c r="A58" s="141" t="s">
        <v>116</v>
      </c>
      <c r="B58" s="141"/>
      <c r="C58" s="141"/>
      <c r="D58" s="141"/>
      <c r="E58" s="141"/>
      <c r="F58" s="141"/>
      <c r="G58" s="141"/>
      <c r="H58" s="141"/>
      <c r="I58" s="141"/>
      <c r="M58" s="27"/>
      <c r="N58" s="27"/>
      <c r="O58" s="27"/>
      <c r="P58" s="27"/>
      <c r="Q58" s="27"/>
      <c r="R58" s="27"/>
      <c r="S58" s="27"/>
      <c r="T58" s="27"/>
      <c r="U58" s="27"/>
    </row>
    <row r="59" spans="1:21" ht="33" customHeight="1" x14ac:dyDescent="0.25">
      <c r="A59" s="122" t="s">
        <v>153</v>
      </c>
      <c r="B59" s="122"/>
      <c r="C59" s="122"/>
      <c r="D59" s="122"/>
      <c r="E59" s="122"/>
      <c r="F59" s="122"/>
      <c r="G59" s="122"/>
      <c r="H59" s="122"/>
      <c r="I59" s="122"/>
    </row>
    <row r="60" spans="1:21" ht="30" customHeight="1" x14ac:dyDescent="0.25">
      <c r="A60" s="123" t="s">
        <v>117</v>
      </c>
      <c r="B60" s="123"/>
      <c r="C60" s="123"/>
      <c r="D60" s="123"/>
      <c r="E60" s="123"/>
      <c r="F60" s="123"/>
      <c r="G60" s="123"/>
      <c r="H60" s="123"/>
      <c r="I60" s="123"/>
    </row>
    <row r="61" spans="1:21" ht="19.149999999999999" customHeight="1" x14ac:dyDescent="0.25">
      <c r="A61" s="123" t="s">
        <v>118</v>
      </c>
      <c r="B61" s="123"/>
      <c r="C61" s="123"/>
      <c r="D61" s="123"/>
      <c r="E61" s="123"/>
      <c r="F61" s="123"/>
      <c r="G61" s="123"/>
      <c r="H61" s="123"/>
      <c r="I61" s="123"/>
    </row>
    <row r="62" spans="1:21" ht="15.75" x14ac:dyDescent="0.25">
      <c r="A62" s="141" t="s">
        <v>119</v>
      </c>
      <c r="B62" s="141"/>
      <c r="C62" s="141"/>
      <c r="D62" s="141"/>
      <c r="E62" s="141"/>
      <c r="F62" s="141"/>
      <c r="G62" s="141"/>
      <c r="H62" s="141"/>
      <c r="I62" s="141"/>
    </row>
    <row r="63" spans="1:21" ht="15.75" x14ac:dyDescent="0.25">
      <c r="A63" s="141" t="s">
        <v>120</v>
      </c>
      <c r="B63" s="141"/>
      <c r="C63" s="141"/>
      <c r="D63" s="141"/>
      <c r="E63" s="141"/>
      <c r="F63" s="141"/>
      <c r="G63" s="141"/>
      <c r="H63" s="141"/>
      <c r="I63" s="141"/>
    </row>
    <row r="64" spans="1:21" ht="15.75" x14ac:dyDescent="0.25">
      <c r="A64" s="141" t="s">
        <v>121</v>
      </c>
      <c r="B64" s="141"/>
      <c r="C64" s="141"/>
      <c r="D64" s="141"/>
      <c r="E64" s="141"/>
      <c r="F64" s="141"/>
      <c r="G64" s="141"/>
      <c r="H64" s="141"/>
      <c r="I64" s="141"/>
    </row>
    <row r="65" spans="1:3" ht="15.75" x14ac:dyDescent="0.25">
      <c r="A65" s="61"/>
      <c r="B65" s="61"/>
      <c r="C65" s="61"/>
    </row>
    <row r="66" spans="1:3" ht="15.75" x14ac:dyDescent="0.25">
      <c r="A66" s="61"/>
      <c r="B66" s="61"/>
      <c r="C66" s="61"/>
    </row>
    <row r="67" spans="1:3" ht="15.75" x14ac:dyDescent="0.25">
      <c r="A67" s="62"/>
      <c r="B67" s="62"/>
      <c r="C67" s="62"/>
    </row>
    <row r="68" spans="1:3" ht="15.75" x14ac:dyDescent="0.25">
      <c r="A68" s="61"/>
      <c r="B68" s="61"/>
      <c r="C68" s="61"/>
    </row>
    <row r="69" spans="1:3" ht="15.75" x14ac:dyDescent="0.25">
      <c r="A69" s="61"/>
      <c r="B69" s="61"/>
      <c r="C69" s="61"/>
    </row>
    <row r="70" spans="1:3" ht="15.75" x14ac:dyDescent="0.25">
      <c r="A70" s="62"/>
      <c r="B70" s="62"/>
      <c r="C70" s="62"/>
    </row>
    <row r="71" spans="1:3" ht="15.75" x14ac:dyDescent="0.25">
      <c r="A71" s="62"/>
      <c r="B71" s="62"/>
      <c r="C71" s="62"/>
    </row>
    <row r="72" spans="1:3" ht="15.75" customHeight="1" x14ac:dyDescent="0.25">
      <c r="A72" s="61"/>
      <c r="B72" s="61"/>
      <c r="C72" s="61"/>
    </row>
    <row r="73" spans="1:3" ht="15" customHeight="1" x14ac:dyDescent="0.25">
      <c r="A73" s="61"/>
      <c r="B73" s="61"/>
      <c r="C73" s="61"/>
    </row>
    <row r="74" spans="1:3" ht="15.75" x14ac:dyDescent="0.25">
      <c r="A74" s="61"/>
      <c r="B74" s="61"/>
      <c r="C74" s="61"/>
    </row>
    <row r="75" spans="1:3" ht="15.75" x14ac:dyDescent="0.25">
      <c r="A75" s="62"/>
      <c r="B75" s="62"/>
      <c r="C75" s="62"/>
    </row>
    <row r="76" spans="1:3" ht="15.75" x14ac:dyDescent="0.25">
      <c r="A76" s="62"/>
      <c r="B76" s="61"/>
      <c r="C76" s="61"/>
    </row>
    <row r="77" spans="1:3" ht="15.75" x14ac:dyDescent="0.25">
      <c r="A77" s="61"/>
      <c r="B77" s="61"/>
      <c r="C77" s="61"/>
    </row>
    <row r="78" spans="1:3" ht="15.75" x14ac:dyDescent="0.25">
      <c r="A78" s="62"/>
      <c r="B78" s="61"/>
      <c r="C78" s="61"/>
    </row>
  </sheetData>
  <sortState xmlns:xlrd2="http://schemas.microsoft.com/office/spreadsheetml/2017/richdata2" ref="A63:C78">
    <sortCondition ref="C63:C78"/>
  </sortState>
  <mergeCells count="25">
    <mergeCell ref="A59:I59"/>
    <mergeCell ref="A61:I61"/>
    <mergeCell ref="A62:I62"/>
    <mergeCell ref="A63:I63"/>
    <mergeCell ref="A64:I64"/>
    <mergeCell ref="A60:I60"/>
    <mergeCell ref="A54:I54"/>
    <mergeCell ref="A55:I55"/>
    <mergeCell ref="A56:I56"/>
    <mergeCell ref="A57:I57"/>
    <mergeCell ref="A58:I58"/>
    <mergeCell ref="K4:L4"/>
    <mergeCell ref="A50:I50"/>
    <mergeCell ref="A29:E29"/>
    <mergeCell ref="F29:H29"/>
    <mergeCell ref="B43:E43"/>
    <mergeCell ref="B44:E44"/>
    <mergeCell ref="B46:H46"/>
    <mergeCell ref="F43:H43"/>
    <mergeCell ref="F44:H44"/>
    <mergeCell ref="A51:I51"/>
    <mergeCell ref="F45:H45"/>
    <mergeCell ref="A52:I52"/>
    <mergeCell ref="A53:I53"/>
    <mergeCell ref="A49:I49"/>
  </mergeCells>
  <phoneticPr fontId="25"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N35"/>
  <sheetViews>
    <sheetView zoomScaleNormal="100" workbookViewId="0">
      <selection activeCell="A2" sqref="A2"/>
    </sheetView>
  </sheetViews>
  <sheetFormatPr defaultRowHeight="15" x14ac:dyDescent="0.25"/>
  <cols>
    <col min="1" max="1" width="39.140625" customWidth="1"/>
    <col min="2" max="9" width="11.7109375" customWidth="1"/>
    <col min="10" max="10" width="3.7109375" customWidth="1"/>
    <col min="11" max="11" width="11" customWidth="1"/>
    <col min="12" max="12" width="11.85546875" customWidth="1"/>
  </cols>
  <sheetData>
    <row r="1" spans="1:13" ht="15.75" x14ac:dyDescent="0.25">
      <c r="A1" s="31" t="s">
        <v>63</v>
      </c>
      <c r="B1" s="1"/>
      <c r="C1" s="1"/>
      <c r="D1" s="1"/>
      <c r="E1" s="1"/>
      <c r="F1" s="1"/>
      <c r="G1" s="1"/>
      <c r="H1" s="1"/>
      <c r="I1" s="1"/>
      <c r="J1" s="1"/>
    </row>
    <row r="2" spans="1:13" x14ac:dyDescent="0.25">
      <c r="A2" s="1"/>
      <c r="B2" s="1"/>
      <c r="C2" s="1"/>
      <c r="D2" s="1"/>
      <c r="E2" s="1"/>
      <c r="F2" s="7"/>
      <c r="G2" s="7"/>
      <c r="H2" s="7"/>
      <c r="I2" s="7"/>
      <c r="J2" s="7"/>
    </row>
    <row r="3" spans="1:13" ht="76.5" x14ac:dyDescent="0.25">
      <c r="A3" s="29" t="s">
        <v>25</v>
      </c>
      <c r="B3" s="70" t="s">
        <v>26</v>
      </c>
      <c r="C3" s="70" t="s">
        <v>27</v>
      </c>
      <c r="D3" s="70" t="s">
        <v>28</v>
      </c>
      <c r="E3" s="70" t="s">
        <v>29</v>
      </c>
      <c r="F3" s="70" t="s">
        <v>141</v>
      </c>
      <c r="G3" s="70" t="s">
        <v>30</v>
      </c>
      <c r="H3" s="70" t="s">
        <v>31</v>
      </c>
      <c r="I3" s="70" t="s">
        <v>32</v>
      </c>
      <c r="J3" s="99"/>
      <c r="K3" s="1"/>
      <c r="L3" s="1"/>
      <c r="M3" s="1"/>
    </row>
    <row r="4" spans="1:13" ht="16.5" x14ac:dyDescent="0.25">
      <c r="A4" s="96" t="s">
        <v>123</v>
      </c>
      <c r="B4" s="10">
        <v>48</v>
      </c>
      <c r="C4" s="10">
        <v>0</v>
      </c>
      <c r="D4" s="10">
        <f>B4*C4</f>
        <v>0</v>
      </c>
      <c r="E4" s="2">
        <v>0</v>
      </c>
      <c r="F4" s="2">
        <f>D4*E4</f>
        <v>0</v>
      </c>
      <c r="G4" s="2">
        <f>F4*0.05</f>
        <v>0</v>
      </c>
      <c r="H4" s="2">
        <f>F4*0.1</f>
        <v>0</v>
      </c>
      <c r="I4" s="97">
        <f>F4*$L$8+G4*$L$7+H4*$L$9</f>
        <v>0</v>
      </c>
      <c r="J4" s="100"/>
      <c r="K4" s="1"/>
      <c r="L4" s="1"/>
      <c r="M4" s="1"/>
    </row>
    <row r="5" spans="1:13" x14ac:dyDescent="0.25">
      <c r="A5" s="96" t="s">
        <v>124</v>
      </c>
      <c r="B5" s="10">
        <v>4</v>
      </c>
      <c r="C5" s="10">
        <v>0</v>
      </c>
      <c r="D5" s="10">
        <f t="shared" ref="D5:D7" si="0">B5*C5</f>
        <v>0</v>
      </c>
      <c r="E5" s="2">
        <v>0</v>
      </c>
      <c r="F5" s="2">
        <f>D5*E5</f>
        <v>0</v>
      </c>
      <c r="G5" s="2">
        <f>F5*0.05</f>
        <v>0</v>
      </c>
      <c r="H5" s="2">
        <f>F5*0.1</f>
        <v>0</v>
      </c>
      <c r="I5" s="97">
        <f>F5*$L$8+G5*$L$7+H5*$L$9</f>
        <v>0</v>
      </c>
      <c r="J5" s="100"/>
      <c r="K5" s="1"/>
      <c r="L5" s="1"/>
      <c r="M5" s="1"/>
    </row>
    <row r="6" spans="1:13" x14ac:dyDescent="0.25">
      <c r="A6" s="96" t="s">
        <v>125</v>
      </c>
      <c r="B6" s="10">
        <v>48</v>
      </c>
      <c r="C6" s="10">
        <v>0</v>
      </c>
      <c r="D6" s="10">
        <f t="shared" si="0"/>
        <v>0</v>
      </c>
      <c r="E6" s="2">
        <v>0</v>
      </c>
      <c r="F6" s="2">
        <f>D6*E6</f>
        <v>0</v>
      </c>
      <c r="G6" s="2">
        <f>F6*0.05</f>
        <v>0</v>
      </c>
      <c r="H6" s="2">
        <f>F6*0.1</f>
        <v>0</v>
      </c>
      <c r="I6" s="97">
        <f>F6*$L$8+G6*$L$7+H6*$L$9</f>
        <v>0</v>
      </c>
      <c r="J6" s="100"/>
      <c r="K6" s="124" t="s">
        <v>16</v>
      </c>
      <c r="L6" s="124"/>
      <c r="M6" s="1"/>
    </row>
    <row r="7" spans="1:13" x14ac:dyDescent="0.25">
      <c r="A7" s="88" t="s">
        <v>126</v>
      </c>
      <c r="B7" s="2">
        <v>120</v>
      </c>
      <c r="C7" s="2">
        <v>1</v>
      </c>
      <c r="D7" s="2">
        <f t="shared" si="0"/>
        <v>120</v>
      </c>
      <c r="E7" s="2">
        <v>0</v>
      </c>
      <c r="F7" s="2">
        <f>D7*E7</f>
        <v>0</v>
      </c>
      <c r="G7" s="2">
        <f>F7*0.05</f>
        <v>0</v>
      </c>
      <c r="H7" s="2">
        <f>F7*0.1</f>
        <v>0</v>
      </c>
      <c r="I7" s="97">
        <f>F7*$L$8+G7*$L$7+H7*$L$9</f>
        <v>0</v>
      </c>
      <c r="J7" s="100"/>
      <c r="K7" s="14" t="s">
        <v>17</v>
      </c>
      <c r="L7" s="28">
        <v>73.459999999999994</v>
      </c>
      <c r="M7" s="1"/>
    </row>
    <row r="8" spans="1:13" x14ac:dyDescent="0.25">
      <c r="A8" s="88" t="s">
        <v>127</v>
      </c>
      <c r="B8" s="2"/>
      <c r="C8" s="2"/>
      <c r="D8" s="2"/>
      <c r="E8" s="2"/>
      <c r="F8" s="70"/>
      <c r="G8" s="70"/>
      <c r="H8" s="70"/>
      <c r="I8" s="70"/>
      <c r="J8" s="100"/>
      <c r="K8" s="14" t="s">
        <v>33</v>
      </c>
      <c r="L8" s="28">
        <v>54.51</v>
      </c>
      <c r="M8" s="1"/>
    </row>
    <row r="9" spans="1:13" x14ac:dyDescent="0.25">
      <c r="A9" s="88" t="s">
        <v>128</v>
      </c>
      <c r="B9" s="2">
        <v>2</v>
      </c>
      <c r="C9" s="2">
        <v>1</v>
      </c>
      <c r="D9" s="2">
        <f t="shared" ref="D9:D11" si="1">B9*C9</f>
        <v>2</v>
      </c>
      <c r="E9" s="2">
        <v>0</v>
      </c>
      <c r="F9" s="2">
        <f>D9*E9</f>
        <v>0</v>
      </c>
      <c r="G9" s="2">
        <f>F9*0.05</f>
        <v>0</v>
      </c>
      <c r="H9" s="2">
        <f>F9*0.1</f>
        <v>0</v>
      </c>
      <c r="I9" s="97">
        <f>F9*$L$8+G9*$L$7+H9*$L$9</f>
        <v>0</v>
      </c>
      <c r="J9" s="100"/>
      <c r="K9" s="14" t="s">
        <v>19</v>
      </c>
      <c r="L9" s="28">
        <v>29.5</v>
      </c>
      <c r="M9" s="1"/>
    </row>
    <row r="10" spans="1:13" x14ac:dyDescent="0.25">
      <c r="A10" s="88" t="s">
        <v>129</v>
      </c>
      <c r="B10" s="2">
        <v>2</v>
      </c>
      <c r="C10" s="2">
        <v>1</v>
      </c>
      <c r="D10" s="2">
        <f t="shared" si="1"/>
        <v>2</v>
      </c>
      <c r="E10" s="2">
        <v>0</v>
      </c>
      <c r="F10" s="2">
        <f>D10*E10</f>
        <v>0</v>
      </c>
      <c r="G10" s="2">
        <f>F10*0.05</f>
        <v>0</v>
      </c>
      <c r="H10" s="2">
        <f>F10*0.1</f>
        <v>0</v>
      </c>
      <c r="I10" s="97">
        <f>F10*$L$8+G10*$L$7+H10*$L$9</f>
        <v>0</v>
      </c>
      <c r="J10" s="100"/>
      <c r="K10" s="1"/>
      <c r="L10" s="1"/>
      <c r="M10" s="1"/>
    </row>
    <row r="11" spans="1:13" x14ac:dyDescent="0.25">
      <c r="A11" s="88" t="s">
        <v>130</v>
      </c>
      <c r="B11" s="2">
        <v>2</v>
      </c>
      <c r="C11" s="2">
        <v>1</v>
      </c>
      <c r="D11" s="2">
        <f t="shared" si="1"/>
        <v>2</v>
      </c>
      <c r="E11" s="2">
        <v>0</v>
      </c>
      <c r="F11" s="2">
        <f>D11*E11</f>
        <v>0</v>
      </c>
      <c r="G11" s="2">
        <f>F11*0.05</f>
        <v>0</v>
      </c>
      <c r="H11" s="2">
        <f>F11*0.1</f>
        <v>0</v>
      </c>
      <c r="I11" s="97">
        <f>F11*$L$8+G11*$L$7+H11*$L$9</f>
        <v>0</v>
      </c>
      <c r="J11" s="100"/>
      <c r="K11" s="1"/>
      <c r="L11" s="1"/>
      <c r="M11" s="1"/>
    </row>
    <row r="12" spans="1:13" ht="31.15" customHeight="1" x14ac:dyDescent="0.25">
      <c r="A12" s="88" t="s">
        <v>131</v>
      </c>
      <c r="B12" s="2" t="s">
        <v>76</v>
      </c>
      <c r="C12" s="2"/>
      <c r="D12" s="2"/>
      <c r="E12" s="2"/>
      <c r="F12" s="70"/>
      <c r="G12" s="70"/>
      <c r="H12" s="70"/>
      <c r="I12" s="70"/>
      <c r="J12" s="99"/>
      <c r="K12" s="1"/>
      <c r="L12" s="1"/>
      <c r="M12" s="1"/>
    </row>
    <row r="13" spans="1:13" x14ac:dyDescent="0.25">
      <c r="A13" s="88" t="s">
        <v>132</v>
      </c>
      <c r="B13" s="2">
        <v>2</v>
      </c>
      <c r="C13" s="2">
        <v>1</v>
      </c>
      <c r="D13" s="2">
        <f t="shared" ref="D13:D18" si="2">B13*C13</f>
        <v>2</v>
      </c>
      <c r="E13" s="2">
        <v>0</v>
      </c>
      <c r="F13" s="2">
        <f t="shared" ref="F13:F18" si="3">D13*E13</f>
        <v>0</v>
      </c>
      <c r="G13" s="2">
        <f t="shared" ref="G13:G18" si="4">F13*0.05</f>
        <v>0</v>
      </c>
      <c r="H13" s="2">
        <f t="shared" ref="H13:H18" si="5">F13*0.1</f>
        <v>0</v>
      </c>
      <c r="I13" s="97">
        <f t="shared" ref="I13:I18" si="6">F13*$L$8+G13*$L$7+H13*$L$9</f>
        <v>0</v>
      </c>
      <c r="J13" s="100"/>
      <c r="K13" s="1"/>
      <c r="L13" s="1"/>
      <c r="M13" s="1"/>
    </row>
    <row r="14" spans="1:13" ht="16.5" x14ac:dyDescent="0.25">
      <c r="A14" s="88" t="s">
        <v>133</v>
      </c>
      <c r="B14" s="2">
        <v>4</v>
      </c>
      <c r="C14" s="2">
        <v>1</v>
      </c>
      <c r="D14" s="2">
        <f t="shared" si="2"/>
        <v>4</v>
      </c>
      <c r="E14" s="2">
        <f>'Table 1'!E24</f>
        <v>4.41</v>
      </c>
      <c r="F14" s="2">
        <f t="shared" si="3"/>
        <v>17.64</v>
      </c>
      <c r="G14" s="2">
        <f t="shared" si="4"/>
        <v>0.88200000000000012</v>
      </c>
      <c r="H14" s="2">
        <f t="shared" si="5"/>
        <v>1.7640000000000002</v>
      </c>
      <c r="I14" s="97">
        <f>F14*$L$8+G14*$L$7+H14*$L$9</f>
        <v>1078.3861199999999</v>
      </c>
      <c r="J14" s="100"/>
      <c r="K14" s="1"/>
      <c r="L14" s="1"/>
      <c r="M14" s="1"/>
    </row>
    <row r="15" spans="1:13" ht="16.5" x14ac:dyDescent="0.25">
      <c r="A15" s="88" t="s">
        <v>134</v>
      </c>
      <c r="B15" s="2">
        <v>8</v>
      </c>
      <c r="C15" s="2">
        <v>1</v>
      </c>
      <c r="D15" s="2">
        <f t="shared" si="2"/>
        <v>8</v>
      </c>
      <c r="E15" s="2">
        <f>'Table 1'!E13</f>
        <v>4.2</v>
      </c>
      <c r="F15" s="2">
        <f t="shared" si="3"/>
        <v>33.6</v>
      </c>
      <c r="G15" s="2">
        <f t="shared" si="4"/>
        <v>1.6800000000000002</v>
      </c>
      <c r="H15" s="2">
        <f t="shared" si="5"/>
        <v>3.3600000000000003</v>
      </c>
      <c r="I15" s="97">
        <f t="shared" si="6"/>
        <v>2054.0688</v>
      </c>
      <c r="J15" s="100"/>
      <c r="K15" s="1"/>
      <c r="L15" s="1"/>
      <c r="M15" s="1"/>
    </row>
    <row r="16" spans="1:13" ht="16.5" x14ac:dyDescent="0.25">
      <c r="A16" s="88" t="s">
        <v>135</v>
      </c>
      <c r="B16" s="2">
        <v>8</v>
      </c>
      <c r="C16" s="2">
        <v>1</v>
      </c>
      <c r="D16" s="2">
        <f t="shared" si="2"/>
        <v>8</v>
      </c>
      <c r="E16" s="2">
        <f>'Table 1'!E14</f>
        <v>0.21000000000000002</v>
      </c>
      <c r="F16" s="2">
        <f t="shared" si="3"/>
        <v>1.6800000000000002</v>
      </c>
      <c r="G16" s="2">
        <f t="shared" si="4"/>
        <v>8.4000000000000019E-2</v>
      </c>
      <c r="H16" s="2">
        <f t="shared" si="5"/>
        <v>0.16800000000000004</v>
      </c>
      <c r="I16" s="97">
        <f t="shared" si="6"/>
        <v>102.70344000000001</v>
      </c>
      <c r="J16" s="100"/>
      <c r="K16" s="1"/>
      <c r="L16" s="1"/>
      <c r="M16" s="1"/>
    </row>
    <row r="17" spans="1:14" ht="16.5" x14ac:dyDescent="0.25">
      <c r="A17" s="88" t="s">
        <v>136</v>
      </c>
      <c r="B17" s="2">
        <v>8</v>
      </c>
      <c r="C17" s="2">
        <v>2</v>
      </c>
      <c r="D17" s="2">
        <f t="shared" si="2"/>
        <v>16</v>
      </c>
      <c r="E17" s="2">
        <f>'Table 1'!E26</f>
        <v>5</v>
      </c>
      <c r="F17" s="2">
        <f t="shared" si="3"/>
        <v>80</v>
      </c>
      <c r="G17" s="2">
        <f t="shared" si="4"/>
        <v>4</v>
      </c>
      <c r="H17" s="2">
        <f t="shared" si="5"/>
        <v>8</v>
      </c>
      <c r="I17" s="97">
        <f t="shared" si="6"/>
        <v>4890.6400000000003</v>
      </c>
      <c r="J17" s="103"/>
      <c r="K17" s="1"/>
      <c r="L17" s="1"/>
      <c r="M17" s="104"/>
    </row>
    <row r="18" spans="1:14" ht="16.5" x14ac:dyDescent="0.25">
      <c r="A18" s="88" t="s">
        <v>137</v>
      </c>
      <c r="B18" s="2">
        <v>2</v>
      </c>
      <c r="C18" s="2">
        <v>2</v>
      </c>
      <c r="D18" s="2">
        <f t="shared" si="2"/>
        <v>4</v>
      </c>
      <c r="E18" s="2">
        <f>'Table 1'!E27</f>
        <v>43</v>
      </c>
      <c r="F18" s="2">
        <f t="shared" si="3"/>
        <v>172</v>
      </c>
      <c r="G18" s="2">
        <f t="shared" si="4"/>
        <v>8.6</v>
      </c>
      <c r="H18" s="2">
        <f t="shared" si="5"/>
        <v>17.2</v>
      </c>
      <c r="I18" s="97">
        <f t="shared" si="6"/>
        <v>10514.875999999998</v>
      </c>
      <c r="J18" s="103"/>
      <c r="K18" s="1"/>
      <c r="L18" s="1"/>
      <c r="M18" s="104"/>
    </row>
    <row r="19" spans="1:14" x14ac:dyDescent="0.25">
      <c r="A19" s="88" t="s">
        <v>138</v>
      </c>
      <c r="B19" s="2" t="s">
        <v>76</v>
      </c>
      <c r="C19" s="2"/>
      <c r="D19" s="2"/>
      <c r="E19" s="2"/>
      <c r="F19" s="10"/>
      <c r="G19" s="10"/>
      <c r="H19" s="10"/>
      <c r="I19" s="11"/>
      <c r="J19" s="101"/>
      <c r="K19" s="1"/>
      <c r="L19" s="1"/>
      <c r="M19" s="104"/>
    </row>
    <row r="20" spans="1:14" ht="16.5" x14ac:dyDescent="0.25">
      <c r="A20" s="88" t="s">
        <v>139</v>
      </c>
      <c r="B20" s="2">
        <v>2</v>
      </c>
      <c r="C20" s="2">
        <v>2</v>
      </c>
      <c r="D20" s="2">
        <f>B20*C20</f>
        <v>4</v>
      </c>
      <c r="E20" s="2">
        <f>'Table 1'!E28</f>
        <v>0</v>
      </c>
      <c r="F20" s="10">
        <f t="shared" ref="F20:F21" si="7">D20*E20</f>
        <v>0</v>
      </c>
      <c r="G20" s="10">
        <f t="shared" ref="G20:G21" si="8">F20*0.05</f>
        <v>0</v>
      </c>
      <c r="H20" s="10">
        <f t="shared" ref="H20:H21" si="9">F20*0.1</f>
        <v>0</v>
      </c>
      <c r="I20" s="97">
        <f t="shared" ref="I20:I21" si="10">F20*$L$8+G20*$L$7+H20*$L$9</f>
        <v>0</v>
      </c>
      <c r="J20" s="103"/>
      <c r="K20" s="1"/>
      <c r="L20" s="1"/>
      <c r="M20" s="104"/>
    </row>
    <row r="21" spans="1:14" ht="13.15" customHeight="1" x14ac:dyDescent="0.25">
      <c r="A21" s="92" t="s">
        <v>140</v>
      </c>
      <c r="B21" s="2">
        <v>2</v>
      </c>
      <c r="C21" s="2">
        <v>2</v>
      </c>
      <c r="D21" s="2">
        <f>B21*C21</f>
        <v>4</v>
      </c>
      <c r="E21" s="2">
        <v>0</v>
      </c>
      <c r="F21" s="10">
        <f t="shared" si="7"/>
        <v>0</v>
      </c>
      <c r="G21" s="10">
        <f t="shared" si="8"/>
        <v>0</v>
      </c>
      <c r="H21" s="10">
        <f t="shared" si="9"/>
        <v>0</v>
      </c>
      <c r="I21" s="97">
        <f t="shared" si="10"/>
        <v>0</v>
      </c>
      <c r="J21" s="101"/>
      <c r="K21" s="1"/>
      <c r="L21" s="1"/>
      <c r="M21" s="1"/>
    </row>
    <row r="22" spans="1:14" ht="15" customHeight="1" x14ac:dyDescent="0.25">
      <c r="A22" s="42" t="s">
        <v>34</v>
      </c>
      <c r="B22" s="144"/>
      <c r="C22" s="144"/>
      <c r="D22" s="144"/>
      <c r="E22" s="144"/>
      <c r="F22" s="145">
        <f>ROUND(SUM(F4:H21), 0)</f>
        <v>351</v>
      </c>
      <c r="G22" s="145"/>
      <c r="H22" s="145"/>
      <c r="I22" s="73">
        <f>ROUND(SUM(I4:I21), -2)</f>
        <v>18600</v>
      </c>
      <c r="J22" s="102"/>
      <c r="K22" s="1"/>
      <c r="L22" s="1"/>
      <c r="M22" s="1"/>
      <c r="N22" s="116"/>
    </row>
    <row r="23" spans="1:14" ht="9.75" customHeight="1" x14ac:dyDescent="0.25">
      <c r="A23" s="148"/>
      <c r="B23" s="148"/>
      <c r="C23" s="148"/>
      <c r="D23" s="148"/>
      <c r="E23" s="148"/>
      <c r="F23" s="148"/>
      <c r="G23" s="148"/>
      <c r="H23" s="148"/>
      <c r="I23" s="148"/>
      <c r="J23" s="98"/>
      <c r="K23" s="1"/>
      <c r="L23" s="1"/>
      <c r="M23" s="1"/>
    </row>
    <row r="24" spans="1:14" ht="18.75" customHeight="1" x14ac:dyDescent="0.25">
      <c r="A24" s="147" t="s">
        <v>24</v>
      </c>
      <c r="B24" s="147"/>
      <c r="C24" s="147"/>
      <c r="D24" s="147"/>
      <c r="E24" s="147"/>
      <c r="F24" s="147"/>
      <c r="G24" s="147"/>
      <c r="H24" s="147"/>
      <c r="I24" s="147"/>
      <c r="J24" s="79"/>
      <c r="K24" s="1"/>
      <c r="L24" s="1"/>
      <c r="M24" s="1"/>
    </row>
    <row r="25" spans="1:14" ht="32.25" customHeight="1" x14ac:dyDescent="0.25">
      <c r="A25" s="118" t="s">
        <v>64</v>
      </c>
      <c r="B25" s="118"/>
      <c r="C25" s="118"/>
      <c r="D25" s="118"/>
      <c r="E25" s="118"/>
      <c r="F25" s="118"/>
      <c r="G25" s="118"/>
      <c r="H25" s="118"/>
      <c r="I25" s="118"/>
      <c r="J25" s="80"/>
      <c r="K25" s="111"/>
      <c r="L25" s="1"/>
      <c r="M25" s="1"/>
    </row>
    <row r="26" spans="1:14" ht="43.9" customHeight="1" x14ac:dyDescent="0.25">
      <c r="A26" s="146" t="s">
        <v>66</v>
      </c>
      <c r="B26" s="146"/>
      <c r="C26" s="146"/>
      <c r="D26" s="146"/>
      <c r="E26" s="146"/>
      <c r="F26" s="146"/>
      <c r="G26" s="146"/>
      <c r="H26" s="146"/>
      <c r="I26" s="146"/>
      <c r="J26" s="78"/>
      <c r="K26" s="1"/>
      <c r="L26" s="1"/>
      <c r="M26" s="1"/>
    </row>
    <row r="27" spans="1:14" ht="17.45" customHeight="1" x14ac:dyDescent="0.25">
      <c r="A27" s="122" t="s">
        <v>142</v>
      </c>
      <c r="B27" s="122"/>
      <c r="C27" s="122"/>
      <c r="D27" s="122"/>
      <c r="E27" s="122"/>
      <c r="F27" s="122"/>
      <c r="G27" s="122"/>
      <c r="H27" s="122"/>
      <c r="I27" s="122"/>
      <c r="J27" s="77"/>
      <c r="K27" s="1"/>
      <c r="L27" s="1"/>
      <c r="M27" s="1"/>
    </row>
    <row r="28" spans="1:14" ht="45.6" customHeight="1" x14ac:dyDescent="0.25">
      <c r="A28" s="122" t="s">
        <v>155</v>
      </c>
      <c r="B28" s="122"/>
      <c r="C28" s="122"/>
      <c r="D28" s="122"/>
      <c r="E28" s="122"/>
      <c r="F28" s="122"/>
      <c r="G28" s="122"/>
      <c r="H28" s="122"/>
      <c r="I28" s="122"/>
      <c r="J28" s="77"/>
      <c r="K28" s="1"/>
      <c r="L28" s="1"/>
      <c r="M28" s="1"/>
    </row>
    <row r="29" spans="1:14" ht="18" customHeight="1" x14ac:dyDescent="0.25">
      <c r="A29" s="122" t="s">
        <v>143</v>
      </c>
      <c r="B29" s="122"/>
      <c r="C29" s="122"/>
      <c r="D29" s="122"/>
      <c r="E29" s="122"/>
      <c r="F29" s="122"/>
      <c r="G29" s="122"/>
      <c r="H29" s="122"/>
      <c r="I29" s="122"/>
      <c r="J29" s="77"/>
      <c r="K29" s="1"/>
      <c r="L29" s="1"/>
      <c r="M29" s="1"/>
    </row>
    <row r="30" spans="1:14" ht="18.600000000000001" customHeight="1" x14ac:dyDescent="0.25">
      <c r="A30" s="141" t="s">
        <v>144</v>
      </c>
      <c r="B30" s="141"/>
      <c r="C30" s="141"/>
      <c r="D30" s="141"/>
      <c r="E30" s="141"/>
      <c r="F30" s="141"/>
      <c r="G30" s="141"/>
      <c r="H30" s="141"/>
      <c r="I30" s="141"/>
      <c r="J30" s="95"/>
      <c r="K30" s="1"/>
      <c r="L30" s="1"/>
      <c r="M30" s="1"/>
    </row>
    <row r="31" spans="1:14" ht="18" customHeight="1" x14ac:dyDescent="0.25">
      <c r="A31" s="141" t="s">
        <v>145</v>
      </c>
      <c r="B31" s="141"/>
      <c r="C31" s="141"/>
      <c r="D31" s="141"/>
      <c r="E31" s="141"/>
      <c r="F31" s="141"/>
      <c r="G31" s="141"/>
      <c r="H31" s="141"/>
      <c r="I31" s="141"/>
      <c r="J31" s="95"/>
      <c r="K31" s="1"/>
      <c r="L31" s="1"/>
      <c r="M31" s="1"/>
    </row>
    <row r="32" spans="1:14" ht="15.75" x14ac:dyDescent="0.25">
      <c r="A32" s="142" t="s">
        <v>146</v>
      </c>
      <c r="B32" s="142"/>
      <c r="C32" s="142"/>
      <c r="D32" s="142"/>
      <c r="E32" s="142"/>
      <c r="F32" s="142"/>
      <c r="G32" s="142"/>
      <c r="H32" s="142"/>
      <c r="I32" s="142"/>
      <c r="J32" s="98"/>
      <c r="K32" s="1"/>
      <c r="L32" s="1"/>
      <c r="M32" s="1"/>
    </row>
    <row r="33" spans="1:10" ht="30" customHeight="1" x14ac:dyDescent="0.25">
      <c r="A33" s="122" t="s">
        <v>154</v>
      </c>
      <c r="B33" s="122"/>
      <c r="C33" s="122"/>
      <c r="D33" s="122"/>
      <c r="E33" s="122"/>
      <c r="F33" s="122"/>
      <c r="G33" s="122"/>
      <c r="H33" s="122"/>
      <c r="I33" s="122"/>
      <c r="J33" s="95"/>
    </row>
    <row r="34" spans="1:10" ht="15.75" x14ac:dyDescent="0.25">
      <c r="A34" s="143" t="s">
        <v>152</v>
      </c>
      <c r="B34" s="143"/>
      <c r="C34" s="143"/>
      <c r="D34" s="143"/>
      <c r="E34" s="143"/>
      <c r="F34" s="143"/>
      <c r="G34" s="143"/>
      <c r="H34" s="143"/>
      <c r="I34" s="143"/>
      <c r="J34" s="105"/>
    </row>
    <row r="35" spans="1:10" ht="15.75" x14ac:dyDescent="0.25">
      <c r="A35" s="141" t="s">
        <v>147</v>
      </c>
      <c r="B35" s="141"/>
      <c r="C35" s="141"/>
      <c r="D35" s="141"/>
      <c r="E35" s="141"/>
      <c r="F35" s="141"/>
      <c r="G35" s="141"/>
      <c r="H35" s="141"/>
      <c r="I35" s="141"/>
      <c r="J35" s="95"/>
    </row>
  </sheetData>
  <mergeCells count="16">
    <mergeCell ref="A32:I32"/>
    <mergeCell ref="A33:I33"/>
    <mergeCell ref="A34:I34"/>
    <mergeCell ref="A35:I35"/>
    <mergeCell ref="K6:L6"/>
    <mergeCell ref="A27:I27"/>
    <mergeCell ref="A28:I28"/>
    <mergeCell ref="A29:I29"/>
    <mergeCell ref="A30:I30"/>
    <mergeCell ref="A31:I31"/>
    <mergeCell ref="B22:E22"/>
    <mergeCell ref="F22:H22"/>
    <mergeCell ref="A25:I25"/>
    <mergeCell ref="A26:I26"/>
    <mergeCell ref="A24:I24"/>
    <mergeCell ref="A23:I23"/>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I10"/>
  <sheetViews>
    <sheetView zoomScale="90" zoomScaleNormal="90" workbookViewId="0"/>
  </sheetViews>
  <sheetFormatPr defaultColWidth="22" defaultRowHeight="12.75" x14ac:dyDescent="0.2"/>
  <cols>
    <col min="1" max="1" width="22" style="18"/>
    <col min="2" max="2" width="15.28515625" style="18" customWidth="1"/>
    <col min="3" max="3" width="17.28515625" style="18" customWidth="1"/>
    <col min="4" max="4" width="22" style="18"/>
    <col min="5" max="5" width="19.85546875" style="18" customWidth="1"/>
    <col min="6" max="7" width="16.85546875" style="18" customWidth="1"/>
    <col min="8" max="8" width="6" style="18" customWidth="1"/>
    <col min="9" max="16384" width="22" style="18"/>
  </cols>
  <sheetData>
    <row r="1" spans="1:9" x14ac:dyDescent="0.2">
      <c r="A1" s="5"/>
      <c r="B1" s="6"/>
      <c r="C1" s="6"/>
    </row>
    <row r="2" spans="1:9" x14ac:dyDescent="0.2">
      <c r="A2" s="150" t="s">
        <v>35</v>
      </c>
      <c r="B2" s="150"/>
      <c r="C2" s="150"/>
      <c r="D2" s="150"/>
      <c r="E2" s="150"/>
      <c r="F2" s="150"/>
      <c r="G2" s="151"/>
      <c r="H2" s="24"/>
      <c r="I2" s="107"/>
    </row>
    <row r="3" spans="1:9" x14ac:dyDescent="0.2">
      <c r="A3" s="23" t="s">
        <v>36</v>
      </c>
      <c r="B3" s="23" t="s">
        <v>37</v>
      </c>
      <c r="C3" s="23" t="s">
        <v>38</v>
      </c>
      <c r="D3" s="23" t="s">
        <v>39</v>
      </c>
      <c r="E3" s="23" t="s">
        <v>40</v>
      </c>
      <c r="F3" s="23" t="s">
        <v>41</v>
      </c>
      <c r="G3" s="23" t="s">
        <v>42</v>
      </c>
      <c r="H3" s="24"/>
    </row>
    <row r="4" spans="1:9" ht="46.5" customHeight="1" x14ac:dyDescent="0.2">
      <c r="A4" s="23" t="s">
        <v>164</v>
      </c>
      <c r="B4" s="23" t="s">
        <v>166</v>
      </c>
      <c r="C4" s="23" t="s">
        <v>1</v>
      </c>
      <c r="D4" s="23" t="s">
        <v>43</v>
      </c>
      <c r="E4" s="23" t="s">
        <v>44</v>
      </c>
      <c r="F4" s="23" t="s">
        <v>110</v>
      </c>
      <c r="G4" s="23" t="s">
        <v>45</v>
      </c>
      <c r="H4" s="24"/>
    </row>
    <row r="5" spans="1:9" s="106" customFormat="1" ht="46.5" customHeight="1" x14ac:dyDescent="0.2">
      <c r="A5" s="29" t="s">
        <v>159</v>
      </c>
      <c r="B5" s="112">
        <v>0</v>
      </c>
      <c r="C5" s="29">
        <v>0</v>
      </c>
      <c r="D5" s="112">
        <f>B5*C5</f>
        <v>0</v>
      </c>
      <c r="E5" s="112">
        <v>1200</v>
      </c>
      <c r="F5" s="29">
        <f>Respondents!F8</f>
        <v>48</v>
      </c>
      <c r="G5" s="112">
        <f>E5*F5</f>
        <v>57600</v>
      </c>
      <c r="H5" s="108"/>
    </row>
    <row r="6" spans="1:9" ht="31.9" customHeight="1" x14ac:dyDescent="0.2">
      <c r="A6" s="29" t="s">
        <v>161</v>
      </c>
      <c r="B6" s="112" t="s">
        <v>160</v>
      </c>
      <c r="C6" s="29">
        <f>'Table 1'!E25</f>
        <v>4.41</v>
      </c>
      <c r="D6" s="112">
        <f>((9*32813)+(12*18750)+(21*0.05*18750))/5</f>
        <v>108000.9</v>
      </c>
      <c r="E6" s="112">
        <v>0</v>
      </c>
      <c r="F6" s="19">
        <v>0</v>
      </c>
      <c r="G6" s="112">
        <v>0</v>
      </c>
    </row>
    <row r="7" spans="1:9" ht="31.9" customHeight="1" x14ac:dyDescent="0.2">
      <c r="A7" s="29" t="s">
        <v>162</v>
      </c>
      <c r="B7" s="29"/>
      <c r="C7" s="29"/>
      <c r="D7" s="113">
        <f>ROUND(SUM(D5:D6),-3)</f>
        <v>108000</v>
      </c>
      <c r="E7" s="110"/>
      <c r="F7" s="110"/>
      <c r="G7" s="113">
        <f>SUM(G5:G6)</f>
        <v>57600</v>
      </c>
      <c r="H7" s="114"/>
      <c r="I7" s="115">
        <f>ROUND(D7+G7,-3)</f>
        <v>166000</v>
      </c>
    </row>
    <row r="8" spans="1:9" ht="31.9" customHeight="1" x14ac:dyDescent="0.2">
      <c r="A8" s="149" t="s">
        <v>148</v>
      </c>
      <c r="B8" s="149"/>
      <c r="C8" s="149"/>
      <c r="D8" s="149"/>
      <c r="E8" s="149"/>
      <c r="F8" s="149"/>
      <c r="G8" s="149"/>
      <c r="I8" s="64"/>
    </row>
    <row r="9" spans="1:9" ht="57.75" customHeight="1" x14ac:dyDescent="0.2">
      <c r="A9" s="152" t="s">
        <v>165</v>
      </c>
      <c r="B9" s="152"/>
      <c r="C9" s="152"/>
      <c r="D9" s="152"/>
      <c r="E9" s="152"/>
      <c r="F9" s="152"/>
      <c r="G9" s="152"/>
    </row>
    <row r="10" spans="1:9" ht="27.6" customHeight="1" x14ac:dyDescent="0.2">
      <c r="A10" s="149" t="s">
        <v>149</v>
      </c>
      <c r="B10" s="149"/>
      <c r="C10" s="149"/>
      <c r="D10" s="149"/>
      <c r="E10" s="149"/>
      <c r="F10" s="149"/>
      <c r="G10" s="149"/>
    </row>
  </sheetData>
  <mergeCells count="4">
    <mergeCell ref="A10:G10"/>
    <mergeCell ref="A2:G2"/>
    <mergeCell ref="A9:G9"/>
    <mergeCell ref="A8:G8"/>
  </mergeCells>
  <phoneticPr fontId="25" type="noConversion"/>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G9"/>
  <sheetViews>
    <sheetView zoomScale="90" zoomScaleNormal="90" workbookViewId="0">
      <selection activeCell="A2" sqref="A2"/>
    </sheetView>
  </sheetViews>
  <sheetFormatPr defaultColWidth="17.7109375" defaultRowHeight="31.9" customHeight="1" x14ac:dyDescent="0.25"/>
  <sheetData>
    <row r="1" spans="1:7" s="18" customFormat="1" ht="31.9" customHeight="1" x14ac:dyDescent="0.2">
      <c r="A1" s="153" t="s">
        <v>1</v>
      </c>
      <c r="B1" s="153"/>
      <c r="C1" s="153"/>
      <c r="D1" s="153"/>
      <c r="E1" s="153"/>
      <c r="F1" s="153"/>
    </row>
    <row r="2" spans="1:7" s="18" customFormat="1" ht="31.9" customHeight="1" x14ac:dyDescent="0.2">
      <c r="A2" s="25"/>
      <c r="B2" s="154" t="s">
        <v>52</v>
      </c>
      <c r="C2" s="154"/>
      <c r="D2" s="25" t="s">
        <v>53</v>
      </c>
      <c r="E2" s="154"/>
      <c r="F2" s="154"/>
    </row>
    <row r="3" spans="1:7" s="18" customFormat="1" ht="31.9" customHeight="1" x14ac:dyDescent="0.2">
      <c r="A3" s="25"/>
      <c r="B3" s="26" t="s">
        <v>36</v>
      </c>
      <c r="C3" s="26" t="s">
        <v>37</v>
      </c>
      <c r="D3" s="26" t="s">
        <v>38</v>
      </c>
      <c r="E3" s="26" t="s">
        <v>39</v>
      </c>
      <c r="F3" s="26" t="s">
        <v>40</v>
      </c>
    </row>
    <row r="4" spans="1:7" s="18" customFormat="1" ht="70.900000000000006" customHeight="1" x14ac:dyDescent="0.2">
      <c r="A4" s="26" t="s">
        <v>54</v>
      </c>
      <c r="B4" s="25" t="s">
        <v>55</v>
      </c>
      <c r="C4" s="25" t="s">
        <v>56</v>
      </c>
      <c r="D4" s="25" t="s">
        <v>57</v>
      </c>
      <c r="E4" s="25" t="s">
        <v>58</v>
      </c>
      <c r="F4" s="25" t="s">
        <v>59</v>
      </c>
    </row>
    <row r="5" spans="1:7" s="18" customFormat="1" ht="31.9" customHeight="1" x14ac:dyDescent="0.2">
      <c r="A5" s="19">
        <v>1</v>
      </c>
      <c r="B5" s="29">
        <v>0</v>
      </c>
      <c r="C5" s="29">
        <v>48</v>
      </c>
      <c r="D5" s="29">
        <v>0</v>
      </c>
      <c r="E5" s="29">
        <v>0</v>
      </c>
      <c r="F5" s="29">
        <f>B5+C5+D5-E5</f>
        <v>48</v>
      </c>
      <c r="G5" s="106"/>
    </row>
    <row r="6" spans="1:7" s="18" customFormat="1" ht="31.9" customHeight="1" x14ac:dyDescent="0.2">
      <c r="A6" s="19">
        <v>2</v>
      </c>
      <c r="B6" s="29">
        <v>0</v>
      </c>
      <c r="C6" s="29">
        <v>48</v>
      </c>
      <c r="D6" s="29">
        <v>0</v>
      </c>
      <c r="E6" s="29">
        <v>0</v>
      </c>
      <c r="F6" s="29">
        <f>B6+C6+D6-E6</f>
        <v>48</v>
      </c>
    </row>
    <row r="7" spans="1:7" s="18" customFormat="1" ht="31.9" customHeight="1" x14ac:dyDescent="0.2">
      <c r="A7" s="19">
        <v>3</v>
      </c>
      <c r="B7" s="29">
        <v>0</v>
      </c>
      <c r="C7" s="29">
        <v>48</v>
      </c>
      <c r="D7" s="29">
        <v>0</v>
      </c>
      <c r="E7" s="29">
        <v>0</v>
      </c>
      <c r="F7" s="29">
        <f>B7+C7+D7-E7</f>
        <v>48</v>
      </c>
    </row>
    <row r="8" spans="1:7" s="18" customFormat="1" ht="31.9" customHeight="1" x14ac:dyDescent="0.2">
      <c r="A8" s="19" t="s">
        <v>60</v>
      </c>
      <c r="B8" s="29">
        <f>AVERAGE(B5:B7)</f>
        <v>0</v>
      </c>
      <c r="C8" s="29">
        <f>AVERAGE(C5:C7)</f>
        <v>48</v>
      </c>
      <c r="D8" s="29">
        <v>0</v>
      </c>
      <c r="E8" s="29">
        <f>AVERAGE(E5:E7)</f>
        <v>0</v>
      </c>
      <c r="F8" s="110">
        <f>AVERAGE(F5:F7)</f>
        <v>48</v>
      </c>
    </row>
    <row r="9" spans="1:7" s="18" customFormat="1" ht="20.45" customHeight="1" x14ac:dyDescent="0.2">
      <c r="A9" s="21" t="s">
        <v>61</v>
      </c>
    </row>
  </sheetData>
  <mergeCells count="3">
    <mergeCell ref="A1:F1"/>
    <mergeCell ref="B2:C2"/>
    <mergeCell ref="E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4"/>
  <sheetViews>
    <sheetView zoomScaleNormal="100" workbookViewId="0">
      <selection activeCell="I15" sqref="I15"/>
    </sheetView>
  </sheetViews>
  <sheetFormatPr defaultRowHeight="15" x14ac:dyDescent="0.25"/>
  <cols>
    <col min="1" max="1" width="29.5703125" customWidth="1"/>
    <col min="2" max="2" width="11.85546875" customWidth="1"/>
    <col min="3" max="3" width="12.7109375" customWidth="1"/>
    <col min="4" max="4" width="11.42578125" customWidth="1"/>
    <col min="5" max="5" width="14.7109375" customWidth="1"/>
  </cols>
  <sheetData>
    <row r="1" spans="1:5" s="18" customFormat="1" ht="15.75" x14ac:dyDescent="0.2">
      <c r="A1" s="153" t="s">
        <v>5</v>
      </c>
      <c r="B1" s="153"/>
      <c r="C1" s="153"/>
      <c r="D1" s="153"/>
      <c r="E1" s="153"/>
    </row>
    <row r="2" spans="1:5" s="18" customFormat="1" ht="12.75" x14ac:dyDescent="0.2">
      <c r="A2" s="19" t="s">
        <v>36</v>
      </c>
      <c r="B2" s="19" t="s">
        <v>37</v>
      </c>
      <c r="C2" s="19" t="s">
        <v>38</v>
      </c>
      <c r="D2" s="19" t="s">
        <v>39</v>
      </c>
      <c r="E2" s="19" t="s">
        <v>40</v>
      </c>
    </row>
    <row r="3" spans="1:5" s="18" customFormat="1" ht="102" x14ac:dyDescent="0.2">
      <c r="A3" s="19" t="s">
        <v>46</v>
      </c>
      <c r="B3" s="19" t="s">
        <v>1</v>
      </c>
      <c r="C3" s="19" t="s">
        <v>47</v>
      </c>
      <c r="D3" s="19" t="s">
        <v>48</v>
      </c>
      <c r="E3" s="19" t="s">
        <v>49</v>
      </c>
    </row>
    <row r="4" spans="1:5" s="18" customFormat="1" ht="12.75" x14ac:dyDescent="0.2">
      <c r="A4" s="22" t="s">
        <v>67</v>
      </c>
      <c r="B4" s="20">
        <v>0</v>
      </c>
      <c r="C4" s="20">
        <v>1</v>
      </c>
      <c r="D4" s="20">
        <v>0</v>
      </c>
      <c r="E4" s="20">
        <f t="shared" ref="E4:E12" si="0">(B4*C4)+D4</f>
        <v>0</v>
      </c>
    </row>
    <row r="5" spans="1:5" s="18" customFormat="1" ht="25.5" x14ac:dyDescent="0.2">
      <c r="A5" s="22" t="s">
        <v>68</v>
      </c>
      <c r="B5" s="20">
        <v>0</v>
      </c>
      <c r="C5" s="20">
        <v>1</v>
      </c>
      <c r="D5" s="20">
        <v>0</v>
      </c>
      <c r="E5" s="20">
        <f t="shared" si="0"/>
        <v>0</v>
      </c>
    </row>
    <row r="6" spans="1:5" s="18" customFormat="1" ht="12.75" x14ac:dyDescent="0.2">
      <c r="A6" s="22" t="s">
        <v>69</v>
      </c>
      <c r="B6" s="20">
        <v>0</v>
      </c>
      <c r="C6" s="20">
        <v>1</v>
      </c>
      <c r="D6" s="20">
        <v>0</v>
      </c>
      <c r="E6" s="20">
        <f t="shared" si="0"/>
        <v>0</v>
      </c>
    </row>
    <row r="7" spans="1:5" s="18" customFormat="1" ht="12.75" x14ac:dyDescent="0.2">
      <c r="A7" s="22" t="s">
        <v>50</v>
      </c>
      <c r="B7" s="20">
        <v>0</v>
      </c>
      <c r="C7" s="20">
        <v>1</v>
      </c>
      <c r="D7" s="20">
        <v>0</v>
      </c>
      <c r="E7" s="20">
        <f t="shared" si="0"/>
        <v>0</v>
      </c>
    </row>
    <row r="8" spans="1:5" s="18" customFormat="1" ht="12.75" x14ac:dyDescent="0.2">
      <c r="A8" s="22" t="s">
        <v>70</v>
      </c>
      <c r="B8" s="20">
        <f>'Table 1'!E24</f>
        <v>4.41</v>
      </c>
      <c r="C8" s="20">
        <v>1</v>
      </c>
      <c r="D8" s="20">
        <v>0</v>
      </c>
      <c r="E8" s="20">
        <f t="shared" si="0"/>
        <v>4.41</v>
      </c>
    </row>
    <row r="9" spans="1:5" s="18" customFormat="1" ht="12.75" x14ac:dyDescent="0.2">
      <c r="A9" s="22" t="s">
        <v>71</v>
      </c>
      <c r="B9" s="20">
        <f>'Table 1'!E25</f>
        <v>4.41</v>
      </c>
      <c r="C9" s="20">
        <v>1</v>
      </c>
      <c r="D9" s="20">
        <v>0</v>
      </c>
      <c r="E9" s="20">
        <f t="shared" si="0"/>
        <v>4.41</v>
      </c>
    </row>
    <row r="10" spans="1:5" s="18" customFormat="1" ht="12.75" x14ac:dyDescent="0.2">
      <c r="A10" s="22" t="s">
        <v>72</v>
      </c>
      <c r="B10" s="20">
        <v>5</v>
      </c>
      <c r="C10" s="20">
        <v>2</v>
      </c>
      <c r="D10" s="20">
        <v>0</v>
      </c>
      <c r="E10" s="20">
        <f t="shared" si="0"/>
        <v>10</v>
      </c>
    </row>
    <row r="11" spans="1:5" s="18" customFormat="1" ht="25.5" x14ac:dyDescent="0.2">
      <c r="A11" s="22" t="s">
        <v>73</v>
      </c>
      <c r="B11" s="20">
        <v>43</v>
      </c>
      <c r="C11" s="20">
        <v>2</v>
      </c>
      <c r="D11" s="20">
        <v>0</v>
      </c>
      <c r="E11" s="20">
        <f t="shared" si="0"/>
        <v>86</v>
      </c>
    </row>
    <row r="12" spans="1:5" s="18" customFormat="1" ht="25.5" x14ac:dyDescent="0.2">
      <c r="A12" s="22" t="s">
        <v>74</v>
      </c>
      <c r="B12" s="20">
        <f>'Table 1'!E28</f>
        <v>0</v>
      </c>
      <c r="C12" s="20">
        <v>2</v>
      </c>
      <c r="D12" s="20">
        <v>0</v>
      </c>
      <c r="E12" s="20">
        <f t="shared" si="0"/>
        <v>0</v>
      </c>
    </row>
    <row r="13" spans="1:5" s="18" customFormat="1" ht="12.75" x14ac:dyDescent="0.2">
      <c r="A13" s="22"/>
      <c r="B13" s="20"/>
      <c r="C13" s="20"/>
      <c r="D13" s="23" t="s">
        <v>51</v>
      </c>
      <c r="E13" s="63">
        <f>SUM(E4:E12)</f>
        <v>104.82</v>
      </c>
    </row>
    <row r="14" spans="1:5" s="18" customFormat="1" ht="9.75" customHeight="1" x14ac:dyDescent="0.2">
      <c r="A14" s="65"/>
      <c r="B14" s="66"/>
      <c r="C14" s="66"/>
      <c r="D14" s="67"/>
      <c r="E14" s="68"/>
    </row>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2024-10-27T23:47:27+00:00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788708A-52BB-4D0F-B232-80F9E123F193}">
  <ds:schemaRefs>
    <ds:schemaRef ds:uri="http://schemas.microsoft.com/office/infopath/2007/PartnerControls"/>
    <ds:schemaRef ds:uri="1891fcec-84c2-4840-9468-b51a784ab0d1"/>
    <ds:schemaRef ds:uri="http://purl.org/dc/dcmitype/"/>
    <ds:schemaRef ds:uri="http://schemas.openxmlformats.org/package/2006/metadata/core-properties"/>
    <ds:schemaRef ds:uri="http://purl.org/dc/elements/1.1/"/>
    <ds:schemaRef ds:uri="4d6aed1e-57d3-46e3-9aba-f706adbce63b"/>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90368BE-FF30-4DFF-B50A-21C4FB921452}"/>
</file>

<file path=customXml/itemProps4.xml><?xml version="1.0" encoding="utf-8"?>
<ds:datastoreItem xmlns:ds="http://schemas.openxmlformats.org/officeDocument/2006/customXml" ds:itemID="{E155AB9F-8982-4148-A947-05110F43B4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2024-04-08T15:12:51Z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