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2032.12 Hydrochloric Acid Production NESHAP\Drafts\Send to EPA\"/>
    </mc:Choice>
  </mc:AlternateContent>
  <xr:revisionPtr revIDLastSave="0" documentId="13_ncr:1_{39597272-4D79-49F5-A5A4-185CBEA807D5}"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1" l="1"/>
  <c r="E24" i="1"/>
  <c r="B10" i="5"/>
  <c r="E10" i="5" l="1"/>
  <c r="E11" i="5"/>
  <c r="B6" i="5"/>
  <c r="E13" i="1" s="1"/>
  <c r="E6" i="2" s="1"/>
  <c r="I35" i="1"/>
  <c r="I36" i="1"/>
  <c r="I34" i="1"/>
  <c r="I31" i="1"/>
  <c r="I32" i="1"/>
  <c r="I30" i="1"/>
  <c r="I29" i="1"/>
  <c r="I18" i="1"/>
  <c r="I15" i="1"/>
  <c r="I14" i="1"/>
  <c r="I12" i="1"/>
  <c r="I8" i="1"/>
  <c r="I41" i="1" l="1"/>
  <c r="B5" i="3"/>
  <c r="E6" i="3"/>
  <c r="E5" i="3"/>
  <c r="E9" i="5" l="1"/>
  <c r="E6" i="5"/>
  <c r="E12" i="5" s="1"/>
  <c r="I5" i="2" l="1"/>
  <c r="I7" i="2"/>
  <c r="I8" i="2"/>
  <c r="I9" i="2"/>
  <c r="I10" i="2"/>
  <c r="I11" i="2"/>
  <c r="I12" i="2"/>
  <c r="I4" i="2"/>
  <c r="G6" i="3"/>
  <c r="G5" i="3"/>
  <c r="D5" i="3"/>
  <c r="D12" i="2"/>
  <c r="F12" i="2" s="1"/>
  <c r="D11" i="2"/>
  <c r="F11" i="2" s="1"/>
  <c r="H11" i="2" s="1"/>
  <c r="D10" i="2"/>
  <c r="F10" i="2" s="1"/>
  <c r="D9" i="2"/>
  <c r="F9" i="2" s="1"/>
  <c r="D8" i="2"/>
  <c r="F8" i="2" s="1"/>
  <c r="D7" i="2"/>
  <c r="F7" i="2" s="1"/>
  <c r="D6" i="2"/>
  <c r="F6" i="2" s="1"/>
  <c r="D5" i="2"/>
  <c r="F5" i="2" s="1"/>
  <c r="D4" i="2"/>
  <c r="F4" i="2" s="1"/>
  <c r="D38" i="1"/>
  <c r="F38" i="1" s="1"/>
  <c r="D37" i="1"/>
  <c r="F37" i="1" s="1"/>
  <c r="D36" i="1"/>
  <c r="F36" i="1" s="1"/>
  <c r="D35" i="1"/>
  <c r="F35" i="1" s="1"/>
  <c r="H34" i="1"/>
  <c r="G34" i="1"/>
  <c r="D34" i="1"/>
  <c r="D33" i="1"/>
  <c r="F33" i="1" s="1"/>
  <c r="D32" i="1"/>
  <c r="F32" i="1" s="1"/>
  <c r="D31" i="1"/>
  <c r="F31" i="1" s="1"/>
  <c r="D30" i="1"/>
  <c r="F30" i="1" s="1"/>
  <c r="D29" i="1"/>
  <c r="F29" i="1" s="1"/>
  <c r="D27" i="1"/>
  <c r="F27" i="1" s="1"/>
  <c r="D26" i="1"/>
  <c r="F26" i="1" s="1"/>
  <c r="D25" i="1"/>
  <c r="F25" i="1" s="1"/>
  <c r="D24" i="1"/>
  <c r="D23" i="1"/>
  <c r="F23" i="1" s="1"/>
  <c r="D21" i="1"/>
  <c r="F21" i="1" s="1"/>
  <c r="D18" i="1"/>
  <c r="F18" i="1" s="1"/>
  <c r="D17" i="1"/>
  <c r="F17" i="1" s="1"/>
  <c r="D16" i="1"/>
  <c r="F16" i="1" s="1"/>
  <c r="D15" i="1"/>
  <c r="F15" i="1" s="1"/>
  <c r="D14" i="1"/>
  <c r="F14" i="1" s="1"/>
  <c r="D13" i="1"/>
  <c r="D12" i="1"/>
  <c r="F12" i="1" s="1"/>
  <c r="D11" i="1"/>
  <c r="F11" i="1" s="1"/>
  <c r="D9" i="1"/>
  <c r="F9" i="1" s="1"/>
  <c r="D8" i="1"/>
  <c r="F8" i="1" s="1"/>
  <c r="G7" i="3" l="1"/>
  <c r="F24" i="1"/>
  <c r="H24" i="1" s="1"/>
  <c r="H18" i="1"/>
  <c r="H36" i="1"/>
  <c r="F13" i="1"/>
  <c r="G13" i="1" s="1"/>
  <c r="H31" i="1"/>
  <c r="H6" i="2"/>
  <c r="G6" i="2"/>
  <c r="G7" i="2"/>
  <c r="H7" i="2"/>
  <c r="G8" i="2"/>
  <c r="H8" i="2"/>
  <c r="H9" i="2"/>
  <c r="G9" i="2"/>
  <c r="H5" i="2"/>
  <c r="G5" i="2"/>
  <c r="G10" i="2"/>
  <c r="H10" i="2"/>
  <c r="G4" i="2"/>
  <c r="G12" i="2"/>
  <c r="H4" i="2"/>
  <c r="H12" i="2"/>
  <c r="G11" i="2"/>
  <c r="G27" i="1"/>
  <c r="H27" i="1"/>
  <c r="H17" i="1"/>
  <c r="G17" i="1"/>
  <c r="H32" i="1"/>
  <c r="G32" i="1"/>
  <c r="H38" i="1"/>
  <c r="G38" i="1"/>
  <c r="H30" i="1"/>
  <c r="G30" i="1"/>
  <c r="H35" i="1"/>
  <c r="G35" i="1"/>
  <c r="H25" i="1"/>
  <c r="G25" i="1"/>
  <c r="G12" i="1"/>
  <c r="H12" i="1"/>
  <c r="H21" i="1"/>
  <c r="G21" i="1"/>
  <c r="G29" i="1"/>
  <c r="H29" i="1"/>
  <c r="H8" i="1"/>
  <c r="G8" i="1"/>
  <c r="H9" i="1"/>
  <c r="G9" i="1"/>
  <c r="G15" i="1"/>
  <c r="H15" i="1"/>
  <c r="H37" i="1"/>
  <c r="G37" i="1"/>
  <c r="H33" i="1"/>
  <c r="G33" i="1"/>
  <c r="I33" i="1" s="1"/>
  <c r="H16" i="1"/>
  <c r="G16" i="1"/>
  <c r="G36" i="1"/>
  <c r="G14" i="1"/>
  <c r="G11" i="1"/>
  <c r="G23" i="1"/>
  <c r="G26" i="1"/>
  <c r="H11" i="1"/>
  <c r="H14" i="1"/>
  <c r="H23" i="1"/>
  <c r="H26" i="1"/>
  <c r="G18" i="1"/>
  <c r="G31" i="1"/>
  <c r="I6" i="2" l="1"/>
  <c r="I13" i="2" s="1"/>
  <c r="I17" i="1"/>
  <c r="I38" i="1"/>
  <c r="G24" i="1"/>
  <c r="F39" i="1" s="1"/>
  <c r="I11" i="1"/>
  <c r="I25" i="1"/>
  <c r="I16" i="1"/>
  <c r="I21" i="1"/>
  <c r="I27" i="1"/>
  <c r="I26" i="1"/>
  <c r="I23" i="1"/>
  <c r="I37" i="1"/>
  <c r="H13" i="1"/>
  <c r="F19" i="1" s="1"/>
  <c r="I9" i="1"/>
  <c r="F13" i="2"/>
  <c r="I24" i="1" l="1"/>
  <c r="F40" i="1"/>
  <c r="B4" i="6" s="1"/>
  <c r="I39" i="1"/>
  <c r="I13" i="1"/>
  <c r="I19" i="1" s="1"/>
  <c r="I40" i="1" l="1"/>
  <c r="I42" i="1" l="1"/>
  <c r="B5" i="6" s="1"/>
  <c r="C8" i="4"/>
  <c r="B8" i="4"/>
  <c r="F7" i="4"/>
  <c r="F6" i="4"/>
  <c r="F5" i="4"/>
  <c r="F8" i="4" l="1"/>
  <c r="B3" i="6" s="1"/>
  <c r="K40" i="1" l="1"/>
  <c r="D7" i="3" l="1"/>
  <c r="I7" i="3" l="1"/>
  <c r="B6" i="6" s="1"/>
  <c r="B2" i="6" l="1"/>
</calcChain>
</file>

<file path=xl/sharedStrings.xml><?xml version="1.0" encoding="utf-8"?>
<sst xmlns="http://schemas.openxmlformats.org/spreadsheetml/2006/main" count="179" uniqueCount="155">
  <si>
    <t>ICR Summary Information</t>
  </si>
  <si>
    <t>Number of Respondents</t>
  </si>
  <si>
    <t>Total Estimated Burden Hours</t>
  </si>
  <si>
    <t>Total Estimated Costs</t>
  </si>
  <si>
    <t>Annualized Capital O&amp;M</t>
  </si>
  <si>
    <t>Total Annual Responses</t>
  </si>
  <si>
    <t>Form Number</t>
  </si>
  <si>
    <t>Labor Rates</t>
  </si>
  <si>
    <t>Management</t>
  </si>
  <si>
    <t>Technical</t>
  </si>
  <si>
    <t>Clerical</t>
  </si>
  <si>
    <t>Subtotal for Reporting Requirements</t>
  </si>
  <si>
    <t>hr/response</t>
  </si>
  <si>
    <t>Assumptions:</t>
  </si>
  <si>
    <t>Burden item</t>
  </si>
  <si>
    <t>(B) 
No. of occurrences per respondent per year</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</si>
  <si>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</si>
  <si>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</si>
  <si>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</si>
  <si>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</si>
  <si>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</si>
  <si>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</si>
  <si>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</si>
  <si>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</si>
  <si>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</si>
  <si>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</si>
  <si>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</si>
  <si>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r>
      <t>Number of Respondents with O&amp;M</t>
    </r>
    <r>
      <rPr>
        <b/>
        <vertAlign val="superscript"/>
        <sz val="10"/>
        <color theme="1"/>
        <rFont val="Times New Roman"/>
        <family val="1"/>
      </rPr>
      <t xml:space="preserve"> b</t>
    </r>
  </si>
  <si>
    <t>Total O&amp;M, 
(E X F)</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</si>
  <si>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</si>
  <si>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</si>
  <si>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</si>
  <si>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</si>
  <si>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</si>
  <si>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</si>
  <si>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</si>
  <si>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</si>
  <si>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</si>
  <si>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</si>
  <si>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</si>
  <si>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</si>
  <si>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</si>
  <si>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</si>
  <si>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</si>
  <si>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</si>
  <si>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</si>
  <si>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 xml:space="preserve">        </t>
  </si>
  <si>
    <t>(A) 
Person-hours per occurrence</t>
  </si>
  <si>
    <t>(C)
 Person-hours per respondent per year (C=AxB)</t>
  </si>
  <si>
    <r>
      <t xml:space="preserve">(D) Respondents per year </t>
    </r>
    <r>
      <rPr>
        <b/>
        <vertAlign val="superscript"/>
        <sz val="10"/>
        <color rgb="FF000000"/>
        <rFont val="Times New Roman"/>
        <family val="1"/>
      </rPr>
      <t>a</t>
    </r>
  </si>
  <si>
    <t>(E) Technical Person-hours per year (E=CxD)</t>
  </si>
  <si>
    <t>(F) Management person-hours per year (Ex0.05)</t>
  </si>
  <si>
    <t>(G) Clerical person-hours per year (Ex0.1)</t>
  </si>
  <si>
    <r>
      <t xml:space="preserve">(H) 
Cost, $ </t>
    </r>
    <r>
      <rPr>
        <b/>
        <vertAlign val="superscript"/>
        <sz val="10"/>
        <color rgb="FF000000"/>
        <rFont val="Times New Roman"/>
        <family val="1"/>
      </rPr>
      <t>b</t>
    </r>
  </si>
  <si>
    <t>1.  Applications</t>
  </si>
  <si>
    <t>N/A</t>
  </si>
  <si>
    <t>2.  Survey and Studies</t>
  </si>
  <si>
    <t>3.  Reporting Requirements</t>
  </si>
  <si>
    <r>
      <t xml:space="preserve">   A.  Familiarize with rule requirements </t>
    </r>
    <r>
      <rPr>
        <vertAlign val="superscript"/>
        <sz val="12"/>
        <color rgb="FF000000"/>
        <rFont val="Times New Roman"/>
        <family val="1"/>
      </rPr>
      <t>c</t>
    </r>
  </si>
  <si>
    <r>
      <t xml:space="preserve">   B.  Gather information </t>
    </r>
    <r>
      <rPr>
        <vertAlign val="superscript"/>
        <sz val="12"/>
        <color rgb="FF000000"/>
        <rFont val="Times New Roman"/>
        <family val="1"/>
      </rPr>
      <t>c</t>
    </r>
  </si>
  <si>
    <t xml:space="preserve">   C.  Write reports</t>
  </si>
  <si>
    <r>
      <t xml:space="preserve">      Initial notification </t>
    </r>
    <r>
      <rPr>
        <vertAlign val="superscript"/>
        <sz val="12"/>
        <color rgb="FF000000"/>
        <rFont val="Times New Roman"/>
        <family val="1"/>
      </rPr>
      <t>c</t>
    </r>
  </si>
  <si>
    <r>
      <t xml:space="preserve">      Application for construction </t>
    </r>
    <r>
      <rPr>
        <vertAlign val="superscript"/>
        <sz val="12"/>
        <color rgb="FF000000"/>
        <rFont val="Times New Roman"/>
        <family val="1"/>
      </rPr>
      <t>c</t>
    </r>
  </si>
  <si>
    <t xml:space="preserve">      Notification of intent to conduct               performance test </t>
  </si>
  <si>
    <r>
      <t xml:space="preserve">      Notification of compliance status </t>
    </r>
    <r>
      <rPr>
        <vertAlign val="superscript"/>
        <sz val="12"/>
        <color rgb="FF000000"/>
        <rFont val="Times New Roman"/>
        <family val="1"/>
      </rPr>
      <t>c</t>
    </r>
  </si>
  <si>
    <r>
      <t xml:space="preserve">      First compliance report </t>
    </r>
    <r>
      <rPr>
        <vertAlign val="superscript"/>
        <sz val="12"/>
        <color rgb="FF000000"/>
        <rFont val="Times New Roman"/>
        <family val="1"/>
      </rPr>
      <t>c, d</t>
    </r>
  </si>
  <si>
    <r>
      <t xml:space="preserve">      Semiannual compliance report </t>
    </r>
    <r>
      <rPr>
        <vertAlign val="superscript"/>
        <sz val="12"/>
        <color rgb="FF000000"/>
        <rFont val="Times New Roman"/>
        <family val="1"/>
      </rPr>
      <t>e</t>
    </r>
  </si>
  <si>
    <r>
      <t xml:space="preserve">      Subsequent performance test reports </t>
    </r>
    <r>
      <rPr>
        <vertAlign val="superscript"/>
        <sz val="12"/>
        <color rgb="FF000000"/>
        <rFont val="Times New Roman"/>
        <family val="1"/>
      </rPr>
      <t>f</t>
    </r>
  </si>
  <si>
    <r>
      <t xml:space="preserve">      Startup, shutdown, malfunction report </t>
    </r>
    <r>
      <rPr>
        <vertAlign val="superscript"/>
        <sz val="12"/>
        <color rgb="FF000000"/>
        <rFont val="Times New Roman"/>
        <family val="1"/>
      </rPr>
      <t>g</t>
    </r>
  </si>
  <si>
    <t>4.  Recordkeeping Requirements</t>
  </si>
  <si>
    <r>
      <t xml:space="preserve">    A.  Plan activities </t>
    </r>
    <r>
      <rPr>
        <vertAlign val="superscript"/>
        <sz val="12"/>
        <color rgb="FF000000"/>
        <rFont val="Times New Roman"/>
        <family val="1"/>
      </rPr>
      <t>c, h</t>
    </r>
  </si>
  <si>
    <t xml:space="preserve">    B.  Implement activities </t>
  </si>
  <si>
    <r>
      <t xml:space="preserve">      Record startups, shutdown, malfunctions </t>
    </r>
    <r>
      <rPr>
        <vertAlign val="superscript"/>
        <sz val="12"/>
        <color rgb="FF000000"/>
        <rFont val="Times New Roman"/>
        <family val="1"/>
      </rPr>
      <t>i</t>
    </r>
  </si>
  <si>
    <t xml:space="preserve">      Conduct performance test</t>
  </si>
  <si>
    <r>
      <t xml:space="preserve">      Record CPMS measurements </t>
    </r>
    <r>
      <rPr>
        <vertAlign val="superscript"/>
        <sz val="12"/>
        <color rgb="FF000000"/>
        <rFont val="Times New Roman"/>
        <family val="1"/>
      </rPr>
      <t>j</t>
    </r>
  </si>
  <si>
    <r>
      <t xml:space="preserve">      CMPS calibration and maintenance </t>
    </r>
    <r>
      <rPr>
        <vertAlign val="superscript"/>
        <sz val="12"/>
        <color rgb="FF000000"/>
        <rFont val="Times New Roman"/>
        <family val="1"/>
      </rPr>
      <t>k</t>
    </r>
  </si>
  <si>
    <r>
      <t xml:space="preserve">      Check for and repair leaks </t>
    </r>
    <r>
      <rPr>
        <vertAlign val="superscript"/>
        <sz val="12"/>
        <color rgb="FF000000"/>
        <rFont val="Times New Roman"/>
        <family val="1"/>
      </rPr>
      <t>l</t>
    </r>
  </si>
  <si>
    <t xml:space="preserve">    C.  Develop record system</t>
  </si>
  <si>
    <r>
      <t xml:space="preserve">      Startup, shutdown, malfunction plan </t>
    </r>
    <r>
      <rPr>
        <vertAlign val="superscript"/>
        <sz val="12"/>
        <color rgb="FF000000"/>
        <rFont val="Times New Roman"/>
        <family val="1"/>
      </rPr>
      <t xml:space="preserve">c </t>
    </r>
  </si>
  <si>
    <r>
      <t xml:space="preserve">      Site-specific monitoring plan </t>
    </r>
    <r>
      <rPr>
        <vertAlign val="superscript"/>
        <sz val="12"/>
        <color rgb="FF000000"/>
        <rFont val="Times New Roman"/>
        <family val="1"/>
      </rPr>
      <t>c</t>
    </r>
  </si>
  <si>
    <r>
      <t xml:space="preserve">      Site-specific test plan </t>
    </r>
    <r>
      <rPr>
        <vertAlign val="superscript"/>
        <sz val="12"/>
        <color rgb="FF000000"/>
        <rFont val="Times New Roman"/>
        <family val="1"/>
      </rPr>
      <t>c</t>
    </r>
  </si>
  <si>
    <r>
      <t xml:space="preserve">      Leak detection and repair plan </t>
    </r>
    <r>
      <rPr>
        <vertAlign val="superscript"/>
        <sz val="12"/>
        <color rgb="FF000000"/>
        <rFont val="Times New Roman"/>
        <family val="1"/>
      </rPr>
      <t xml:space="preserve">c </t>
    </r>
    <r>
      <rPr>
        <sz val="10"/>
        <color rgb="FF000000"/>
        <rFont val="Times New Roman"/>
        <family val="1"/>
      </rPr>
      <t xml:space="preserve">    </t>
    </r>
  </si>
  <si>
    <t xml:space="preserve">    D.  Time to train personnel</t>
  </si>
  <si>
    <r>
      <t xml:space="preserve">      CPMS acquisition and installation </t>
    </r>
    <r>
      <rPr>
        <vertAlign val="superscript"/>
        <sz val="12"/>
        <color rgb="FF000000"/>
        <rFont val="Times New Roman"/>
        <family val="1"/>
      </rPr>
      <t>c</t>
    </r>
  </si>
  <si>
    <r>
      <t xml:space="preserve">      CPMS inspection and monitoring </t>
    </r>
    <r>
      <rPr>
        <vertAlign val="superscript"/>
        <sz val="12"/>
        <color rgb="FF000000"/>
        <rFont val="Times New Roman"/>
        <family val="1"/>
      </rPr>
      <t>c</t>
    </r>
  </si>
  <si>
    <r>
      <t xml:space="preserve">    E. Store, file, and maintain records </t>
    </r>
    <r>
      <rPr>
        <vertAlign val="superscript"/>
        <sz val="12"/>
        <color rgb="FF000000"/>
        <rFont val="Times New Roman"/>
        <family val="1"/>
      </rPr>
      <t>m</t>
    </r>
  </si>
  <si>
    <t>Subtotal for Recordkeeping Requirements</t>
  </si>
  <si>
    <t>TOTAL LABOR BURDEN AND COST (rounded)</t>
  </si>
  <si>
    <r>
      <t>Capital and O&amp;M Cost</t>
    </r>
    <r>
      <rPr>
        <b/>
        <vertAlign val="superscript"/>
        <sz val="10"/>
        <rFont val="Times New Roman"/>
        <family val="1"/>
      </rPr>
      <t>p</t>
    </r>
  </si>
  <si>
    <r>
      <t>Grand TOTAL</t>
    </r>
    <r>
      <rPr>
        <b/>
        <vertAlign val="superscript"/>
        <sz val="10"/>
        <rFont val="Times New Roman"/>
        <family val="1"/>
      </rPr>
      <t>p</t>
    </r>
  </si>
  <si>
    <r>
      <t xml:space="preserve">  </t>
    </r>
    <r>
      <rPr>
        <b/>
        <sz val="10"/>
        <color theme="1"/>
        <rFont val="Times New Roman"/>
        <family val="1"/>
      </rPr>
      <t>Assumptions:</t>
    </r>
  </si>
  <si>
    <t xml:space="preserve">     </t>
  </si>
  <si>
    <t>Activity</t>
  </si>
  <si>
    <t>(A)
 Person-hours per occurrence</t>
  </si>
  <si>
    <t>(C) 
Person-hours per respondent per year (C=AxB)</t>
  </si>
  <si>
    <r>
      <t xml:space="preserve">   Review initial notification </t>
    </r>
    <r>
      <rPr>
        <vertAlign val="superscript"/>
        <sz val="12"/>
        <color rgb="FF000000"/>
        <rFont val="Times New Roman"/>
        <family val="1"/>
      </rPr>
      <t>c</t>
    </r>
  </si>
  <si>
    <r>
      <t xml:space="preserve">   Review application for construction </t>
    </r>
    <r>
      <rPr>
        <vertAlign val="superscript"/>
        <sz val="12"/>
        <color rgb="FF000000"/>
        <rFont val="Times New Roman"/>
        <family val="1"/>
      </rPr>
      <t>c</t>
    </r>
  </si>
  <si>
    <r>
      <t xml:space="preserve">   Review notification of intent to conduct test </t>
    </r>
    <r>
      <rPr>
        <vertAlign val="superscript"/>
        <sz val="12"/>
        <color rgb="FF000000"/>
        <rFont val="Times New Roman"/>
        <family val="1"/>
      </rPr>
      <t>d</t>
    </r>
  </si>
  <si>
    <r>
      <t xml:space="preserve">   Review notification of compliance status </t>
    </r>
    <r>
      <rPr>
        <vertAlign val="superscript"/>
        <sz val="12"/>
        <color rgb="FF000000"/>
        <rFont val="Times New Roman"/>
        <family val="1"/>
      </rPr>
      <t>c</t>
    </r>
  </si>
  <si>
    <r>
      <t xml:space="preserve">   Review subsequent performance test report </t>
    </r>
    <r>
      <rPr>
        <vertAlign val="superscript"/>
        <sz val="12"/>
        <color rgb="FF000000"/>
        <rFont val="Times New Roman"/>
        <family val="1"/>
      </rPr>
      <t>f</t>
    </r>
  </si>
  <si>
    <t xml:space="preserve">   Attend performance test</t>
  </si>
  <si>
    <t>Notification of 5-year performance test/retest</t>
  </si>
  <si>
    <t>Semiannual compliance reports</t>
  </si>
  <si>
    <t>Continuous monitoring systems (CMS)</t>
  </si>
  <si>
    <t>19 (existing)</t>
  </si>
  <si>
    <t>0 (new)</t>
  </si>
  <si>
    <r>
      <rPr>
        <vertAlign val="superscript"/>
        <sz val="11"/>
        <color theme="1"/>
        <rFont val="Times New Roman"/>
        <family val="1"/>
      </rPr>
      <t>b</t>
    </r>
    <r>
      <rPr>
        <sz val="11"/>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</si>
  <si>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$73.456 (GS-13, Step 5, $45.91 + 60%), Technical rate of $54.512 (GS-12, Step 1, $34.07 + 60%), and Clerical rate of $29.504 (GS-6, Step 3, $18.44 + 60%).  These rates are from the Office of Personnel Management (OPM), 2023 General Schedule, which excludes locality, rates of pay. The rates have been increased by 60 percent to account for the benefit packages available to government employees. </t>
    </r>
  </si>
  <si>
    <r>
      <t>c</t>
    </r>
    <r>
      <rPr>
        <sz val="10"/>
        <rFont val="Times New Roman"/>
        <family val="1"/>
      </rPr>
      <t xml:space="preserve">  This is a one-time only activity for each facility and only sources that started up prior to April 17, 2003 are required to submit initial notification.</t>
    </r>
  </si>
  <si>
    <r>
      <t>d</t>
    </r>
    <r>
      <rPr>
        <sz val="10"/>
        <color theme="1"/>
        <rFont val="Times New Roman"/>
        <family val="1"/>
      </rPr>
      <t xml:space="preserve">  We have assumed that each respondent will take 4 hours to review notification of intent to conduct test.</t>
    </r>
  </si>
  <si>
    <r>
      <t xml:space="preserve">g </t>
    </r>
    <r>
      <rPr>
        <sz val="10"/>
        <color theme="1"/>
        <rFont val="Times New Roman"/>
        <family val="1"/>
      </rPr>
      <t xml:space="preserve"> We have assumed that it will take each new respondents eight hours to review the SSM report. </t>
    </r>
  </si>
  <si>
    <r>
      <t>h</t>
    </r>
    <r>
      <rPr>
        <sz val="10"/>
        <color theme="1"/>
        <rFont val="Times New Roman"/>
        <family val="1"/>
      </rPr>
      <t xml:space="preserve">  Totals have been rounded to 3 significant figures. Figures may not add exactly due to rounding.</t>
    </r>
  </si>
  <si>
    <r>
      <t>f</t>
    </r>
    <r>
      <rPr>
        <sz val="10"/>
        <rFont val="Times New Roman"/>
        <family val="1"/>
      </rPr>
      <t xml:space="preserve">  We have assumed that no facilities will perform tests after the initial compliance determination.</t>
    </r>
  </si>
  <si>
    <r>
      <t>d</t>
    </r>
    <r>
      <rPr>
        <sz val="10"/>
        <color theme="1"/>
        <rFont val="Times New Roman"/>
        <family val="1"/>
      </rPr>
      <t xml:space="preserve">  We have assumed that no new respondents will prepare the first compliance report.</t>
    </r>
  </si>
  <si>
    <r>
      <t>e</t>
    </r>
    <r>
      <rPr>
        <sz val="10"/>
        <color theme="1"/>
        <rFont val="Times New Roman"/>
        <family val="1"/>
      </rPr>
      <t xml:space="preserve">  We have assumed that it will take each respondent 4.5 hours two times per-year to prepare the semiannual compliance report.</t>
    </r>
  </si>
  <si>
    <r>
      <t xml:space="preserve">g </t>
    </r>
    <r>
      <rPr>
        <sz val="10"/>
        <color theme="1"/>
        <rFont val="Times New Roman"/>
        <family val="1"/>
      </rPr>
      <t xml:space="preserve"> We have assumed that it will take each new respondents two hours ten times a year to prepare a SSM report.</t>
    </r>
  </si>
  <si>
    <r>
      <t>h</t>
    </r>
    <r>
      <rPr>
        <sz val="10"/>
        <color theme="1"/>
        <rFont val="Times New Roman"/>
        <family val="1"/>
      </rPr>
      <t xml:space="preserve">  We have assumed that it will take each respondent 10 hours to record plan activities.</t>
    </r>
  </si>
  <si>
    <r>
      <t>i</t>
    </r>
    <r>
      <rPr>
        <sz val="10"/>
        <color theme="1"/>
        <rFont val="Times New Roman"/>
        <family val="1"/>
      </rPr>
      <t xml:space="preserve">  We have assumed that each respondent will have to implement SSM activities 10 times per-year.</t>
    </r>
  </si>
  <si>
    <r>
      <t>j</t>
    </r>
    <r>
      <rPr>
        <sz val="10"/>
        <color theme="1"/>
        <rFont val="Times New Roman"/>
        <family val="1"/>
      </rPr>
      <t xml:space="preserve">  We have assumed that respondents will  have to record CPMS measurements 365 time per year.</t>
    </r>
  </si>
  <si>
    <r>
      <t>k</t>
    </r>
    <r>
      <rPr>
        <sz val="10"/>
        <color theme="1"/>
        <rFont val="Times New Roman"/>
        <family val="1"/>
      </rPr>
      <t xml:space="preserve">  We have assumed that respondents will have to implement CPMS calibration and maintenance activities 50 times per year.</t>
    </r>
  </si>
  <si>
    <r>
      <t>l</t>
    </r>
    <r>
      <rPr>
        <sz val="10"/>
        <color theme="1"/>
        <rFont val="Times New Roman"/>
        <family val="1"/>
      </rPr>
      <t xml:space="preserve">  We have assumed that respondents are required to check for and repair leaks 365 times per-year.</t>
    </r>
  </si>
  <si>
    <r>
      <t xml:space="preserve">p </t>
    </r>
    <r>
      <rPr>
        <sz val="10"/>
        <color theme="1"/>
        <rFont val="Times New Roman"/>
        <family val="1"/>
      </rPr>
      <t>Totals have been rounded to 3 significant figures. Figures may not round exactly due to rounding.</t>
    </r>
  </si>
  <si>
    <r>
      <t>a</t>
    </r>
    <r>
      <rPr>
        <sz val="10"/>
        <color theme="1"/>
        <rFont val="Times New Roman"/>
        <family val="1"/>
      </rPr>
      <t xml:space="preserve">  We have assumed that the average number of respondents that will be subject to the rule will be 19.  There will be no additional new sources that will become subject to the rule over the three-year period of this ICR.</t>
    </r>
  </si>
  <si>
    <r>
      <t>e</t>
    </r>
    <r>
      <rPr>
        <sz val="10"/>
        <rFont val="Times New Roman"/>
        <family val="1"/>
      </rPr>
      <t xml:space="preserve">  We have assumed that it will take each respondent 20 hours to review compliance reports.</t>
    </r>
  </si>
  <si>
    <r>
      <t xml:space="preserve">   Review first compliance report </t>
    </r>
    <r>
      <rPr>
        <vertAlign val="superscript"/>
        <sz val="12"/>
        <rFont val="Times New Roman"/>
        <family val="1"/>
      </rPr>
      <t>e</t>
    </r>
  </si>
  <si>
    <r>
      <t xml:space="preserve">   Review semiannual compliance report </t>
    </r>
    <r>
      <rPr>
        <vertAlign val="superscript"/>
        <sz val="12"/>
        <rFont val="Times New Roman"/>
        <family val="1"/>
      </rPr>
      <t>e</t>
    </r>
  </si>
  <si>
    <r>
      <t>TOTAL ANNUAL BURDEN AND COST (rounded</t>
    </r>
    <r>
      <rPr>
        <b/>
        <sz val="10"/>
        <rFont val="Times New Roman"/>
        <family val="1"/>
      </rPr>
      <t xml:space="preserve">) </t>
    </r>
    <r>
      <rPr>
        <b/>
        <vertAlign val="superscript"/>
        <sz val="10"/>
        <rFont val="Times New Roman"/>
        <family val="1"/>
      </rPr>
      <t>h</t>
    </r>
  </si>
  <si>
    <r>
      <t xml:space="preserve">   Review startup, shutdown, malfunction report </t>
    </r>
    <r>
      <rPr>
        <vertAlign val="superscript"/>
        <sz val="10"/>
        <rFont val="Times New Roman"/>
        <family val="1"/>
      </rPr>
      <t>g</t>
    </r>
  </si>
  <si>
    <r>
      <t>c</t>
    </r>
    <r>
      <rPr>
        <sz val="10"/>
        <color theme="1"/>
        <rFont val="Times New Roman"/>
        <family val="1"/>
      </rPr>
      <t xml:space="preserve">  This is a one-time only activity for each facility and only sources that started up prior to April 17, 2003 are required to submit initial notification</t>
    </r>
    <r>
      <rPr>
        <vertAlign val="superscript"/>
        <sz val="12"/>
        <color theme="1"/>
        <rFont val="Times New Roman"/>
        <family val="1"/>
      </rPr>
      <t>.</t>
    </r>
  </si>
  <si>
    <t>Initial notification</t>
  </si>
  <si>
    <t>Application for construction</t>
  </si>
  <si>
    <t>Notification of compliance status</t>
  </si>
  <si>
    <t>First compliance report</t>
  </si>
  <si>
    <t>Subsequent performance test report</t>
  </si>
  <si>
    <t>Startup, shutdown, malfunction report</t>
  </si>
  <si>
    <t xml:space="preserve">    F. Retrieve records/reports o</t>
  </si>
  <si>
    <r>
      <t>n</t>
    </r>
    <r>
      <rPr>
        <sz val="10"/>
        <color theme="1"/>
        <rFont val="Times New Roman"/>
        <family val="1"/>
      </rPr>
      <t xml:space="preserve">  We have assumed that each respondent will take 20 hours once per-year to store, file and maintain records. </t>
    </r>
  </si>
  <si>
    <r>
      <rPr>
        <vertAlign val="superscript"/>
        <sz val="10"/>
        <color theme="1"/>
        <rFont val="Times New Roman"/>
        <family val="1"/>
      </rPr>
      <t>o</t>
    </r>
    <r>
      <rPr>
        <sz val="10"/>
        <color theme="1"/>
        <rFont val="Times New Roman"/>
        <family val="1"/>
      </rPr>
      <t xml:space="preserve"> We have assumed that it will take respondent 20 hours to retrieve records/reports once per-year.</t>
    </r>
  </si>
  <si>
    <r>
      <t xml:space="preserve">m  </t>
    </r>
    <r>
      <rPr>
        <sz val="10"/>
        <color theme="1"/>
        <rFont val="Times New Roman"/>
        <family val="1"/>
      </rPr>
      <t>We have assumed respondents will average 4 maintenance activities per year based on comments submitted by industry. See EPA-HQ-OAR-2018-0417-0134 at pages 19-20.</t>
    </r>
  </si>
  <si>
    <t>2022 CEPCI CE Index</t>
  </si>
  <si>
    <t>2019 CEPCI CE Index</t>
  </si>
  <si>
    <r>
      <t xml:space="preserve">Annual O&amp;M Costs for One Respondent </t>
    </r>
    <r>
      <rPr>
        <b/>
        <vertAlign val="superscript"/>
        <sz val="10"/>
        <color theme="1"/>
        <rFont val="Times New Roman"/>
        <family val="1"/>
      </rPr>
      <t>a</t>
    </r>
  </si>
  <si>
    <r>
      <t xml:space="preserve">Number of New  Respondents </t>
    </r>
    <r>
      <rPr>
        <b/>
        <vertAlign val="superscript"/>
        <sz val="10"/>
        <color theme="1"/>
        <rFont val="Times New Roman"/>
        <family val="1"/>
      </rPr>
      <t>b</t>
    </r>
  </si>
  <si>
    <r>
      <rPr>
        <vertAlign val="superscript"/>
        <sz val="10"/>
        <color theme="1"/>
        <rFont val="Times New Roman"/>
        <family val="1"/>
      </rPr>
      <t>a</t>
    </r>
    <r>
      <rPr>
        <sz val="10"/>
        <color theme="1"/>
        <rFont val="Times New Roman"/>
        <family val="1"/>
      </rPr>
      <t xml:space="preserve"> Capital/startup costs and O&amp;M costs have been updated from 2019 dollars to 2022 dollars using the CEPCI CE Index. [2019 CEPCI = 607.5; 2022 CEPCI = 816]</t>
    </r>
  </si>
  <si>
    <r>
      <t>b</t>
    </r>
    <r>
      <rPr>
        <sz val="10"/>
        <color theme="1"/>
        <rFont val="Times New Roman"/>
        <family val="1"/>
      </rPr>
      <t xml:space="preserve"> We have assumed that the average number of respondents that will be subject to the rule will be 19.  There will be no additional new sources that will become subject to the rule over the three-year period of this ICR.</t>
    </r>
  </si>
  <si>
    <r>
      <t>c</t>
    </r>
    <r>
      <rPr>
        <sz val="10"/>
        <color theme="1"/>
        <rFont val="Times New Roman"/>
        <family val="1"/>
      </rPr>
      <t xml:space="preserve"> Totals have been rounded to 3 significant figures. Figures may not add exactly due to rounding.</t>
    </r>
  </si>
  <si>
    <r>
      <t xml:space="preserve">Capital/Startup Cost for One Respondent </t>
    </r>
    <r>
      <rPr>
        <b/>
        <vertAlign val="superscript"/>
        <sz val="10"/>
        <color theme="1"/>
        <rFont val="Times New Roman"/>
        <family val="1"/>
      </rPr>
      <t>a</t>
    </r>
  </si>
  <si>
    <r>
      <t xml:space="preserve">Record maintenance activities </t>
    </r>
    <r>
      <rPr>
        <vertAlign val="superscript"/>
        <sz val="10"/>
        <color rgb="FF000000"/>
        <rFont val="Times New Roman"/>
        <family val="1"/>
      </rPr>
      <t>m</t>
    </r>
  </si>
  <si>
    <r>
      <rPr>
        <vertAlign val="superscript"/>
        <sz val="10"/>
        <color theme="1"/>
        <rFont val="Times New Roman"/>
        <family val="1"/>
      </rPr>
      <t xml:space="preserve">a </t>
    </r>
    <r>
      <rPr>
        <sz val="10"/>
        <color theme="1"/>
        <rFont val="Times New Roman"/>
        <family val="1"/>
      </rPr>
      <t>We assume 3.8 respondents per year are re-testing based on each respondent conducting a performance test on a 5-year basis with their renewal.</t>
    </r>
  </si>
  <si>
    <r>
      <t>f</t>
    </r>
    <r>
      <rPr>
        <sz val="10"/>
        <color theme="1"/>
        <rFont val="Times New Roman"/>
        <family val="1"/>
      </rPr>
      <t xml:space="preserve">  We have assumed that approximately 4 facilities will take 4 hours to perform tests after the initial compliance determination , by either bringing a new product on line or</t>
    </r>
    <r>
      <rPr>
        <vertAlign val="superscript"/>
        <sz val="10"/>
        <color theme="1"/>
        <rFont val="Times New Roman"/>
        <family val="1"/>
      </rPr>
      <t xml:space="preserve"> </t>
    </r>
    <r>
      <rPr>
        <sz val="10"/>
        <color theme="1"/>
        <rFont val="Times New Roman"/>
        <family val="1"/>
      </rPr>
      <t>by significantly increasing its production.</t>
    </r>
  </si>
  <si>
    <r>
      <t xml:space="preserve">a </t>
    </r>
    <r>
      <rPr>
        <sz val="10"/>
        <rFont val="Times New Roman"/>
        <family val="1"/>
      </rPr>
      <t xml:space="preserve"> We have assumed that the average number of respondents that will be subject to the rule will be 19.  There will be no additional new sources per year that</t>
    </r>
    <r>
      <rPr>
        <vertAlign val="superscript"/>
        <sz val="10"/>
        <rFont val="Times New Roman"/>
        <family val="1"/>
      </rPr>
      <t xml:space="preserve"> </t>
    </r>
    <r>
      <rPr>
        <sz val="10"/>
        <rFont val="Times New Roman"/>
        <family val="1"/>
      </rPr>
      <t xml:space="preserve">will become subject to the rule over the three-year period of this ICR. </t>
    </r>
  </si>
  <si>
    <t>Table 1: Annual Respondent Burden and Cost – NESHAP for Hydrochloric Acid Production (40 CFR Part 63, Subpart NNNNN) (Renewal)</t>
  </si>
  <si>
    <t>Table 2: Average Annual EPA Burden and Cost – NESHAP for Hydrochloric Acid Production (40 CFR Part 63, Subpart NNNNN) (Renewal)</t>
  </si>
  <si>
    <t>Hours per Response</t>
  </si>
  <si>
    <t>5900-598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</si>
</sst>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164" formatCode="General_)"/>
    <numFmt numFmtId="165" formatCode="&quot;$&quot;#,##0.00"/>
    <numFmt numFmtId="166" formatCode="&quot;$&quot;#,##0"/>
    <numFmt numFmtId="167" formatCode="0.0"/>
    <numFmt numFmtId="168" formatCode="#,##0.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1"/>
      <color rgb="FFFF0000"/>
      <name val="Calibri"/>
      <family val="2"/>
      <scheme val="minor"/>
    </font>
    <font>
      <vertAlign val="superscript"/>
      <sz val="12"/>
      <color rgb="FF000000"/>
      <name val="Times New Roman"/>
      <family val="1"/>
    </font>
    <font>
      <sz val="12"/>
      <color rgb="FFFF0000"/>
      <name val="Times New Roman"/>
      <family val="1"/>
    </font>
    <font>
      <vertAlign val="superscript"/>
      <sz val="12"/>
      <color theme="1"/>
      <name val="Times New Roman"/>
      <family val="1"/>
    </font>
    <font>
      <vertAlign val="superscript"/>
      <sz val="12"/>
      <name val="Times New Roman"/>
      <family val="1"/>
    </font>
    <font>
      <sz val="11"/>
      <color theme="1"/>
      <name val="Times New Roman"/>
      <family val="1"/>
    </font>
    <font>
      <vertAlign val="superscript"/>
      <sz val="11"/>
      <color theme="1"/>
      <name val="Times New Roman"/>
      <family val="1"/>
    </font>
    <font>
      <sz val="10"/>
      <color rgb="FF7030A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164" fontId="10" fillId="0" borderId="0"/>
  </cellStyleXfs>
  <cellXfs count="119">
    <xf numFmtId="0" fontId="0" fillId="0" borderId="0" xfId="0"/>
    <xf numFmtId="0" fontId="2" fillId="0" borderId="0" xfId="0" applyFont="1"/>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2" fillId="0" borderId="0" xfId="0" applyFont="1" applyAlignment="1">
      <alignment horizontal="right"/>
    </xf>
    <xf numFmtId="0" fontId="8" fillId="0" borderId="0" xfId="0" applyFont="1" applyAlignment="1">
      <alignment wrapText="1"/>
    </xf>
    <xf numFmtId="0" fontId="17" fillId="0" borderId="0" xfId="0" applyFont="1"/>
    <xf numFmtId="0" fontId="17" fillId="0" borderId="3" xfId="0" applyFont="1" applyBorder="1"/>
    <xf numFmtId="0" fontId="14" fillId="0" borderId="1" xfId="0" applyFont="1" applyBorder="1"/>
    <xf numFmtId="41" fontId="17" fillId="0" borderId="0" xfId="0" applyNumberFormat="1" applyFont="1"/>
    <xf numFmtId="0" fontId="17" fillId="0" borderId="3" xfId="0" applyFont="1" applyBorder="1" applyAlignment="1">
      <alignment horizontal="center"/>
    </xf>
    <xf numFmtId="41" fontId="17" fillId="0" borderId="3" xfId="0" applyNumberFormat="1" applyFont="1" applyBorder="1"/>
    <xf numFmtId="164" fontId="12" fillId="0" borderId="0" xfId="1" applyFont="1" applyAlignment="1">
      <alignment wrapText="1"/>
    </xf>
    <xf numFmtId="0" fontId="22"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1" fillId="0" borderId="0" xfId="0" applyFont="1"/>
    <xf numFmtId="0" fontId="3" fillId="0" borderId="0" xfId="0" applyFont="1"/>
    <xf numFmtId="0" fontId="23" fillId="0" borderId="0" xfId="0" applyFont="1" applyAlignment="1">
      <alignment vertical="top" wrapText="1"/>
    </xf>
    <xf numFmtId="41" fontId="9" fillId="0" borderId="0" xfId="0" applyNumberFormat="1" applyFont="1"/>
    <xf numFmtId="3" fontId="8" fillId="0" borderId="0" xfId="0" applyNumberFormat="1" applyFont="1"/>
    <xf numFmtId="0" fontId="20"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4" fillId="0" borderId="0" xfId="0" applyFont="1" applyAlignment="1">
      <alignment vertical="top"/>
    </xf>
    <xf numFmtId="164" fontId="8" fillId="0" borderId="0" xfId="1" applyFont="1" applyAlignment="1">
      <alignment vertical="center"/>
    </xf>
    <xf numFmtId="164" fontId="8" fillId="0" borderId="0" xfId="1" applyFont="1"/>
    <xf numFmtId="1" fontId="3"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22" fillId="0" borderId="0" xfId="0" applyNumberFormat="1" applyFont="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164" fontId="8" fillId="0" borderId="0" xfId="1" applyFont="1" applyAlignment="1">
      <alignment horizontal="left" vertical="center"/>
    </xf>
    <xf numFmtId="41" fontId="0" fillId="0" borderId="0" xfId="0" applyNumberFormat="1"/>
    <xf numFmtId="3" fontId="0" fillId="0" borderId="0" xfId="0" applyNumberFormat="1"/>
    <xf numFmtId="6" fontId="0" fillId="0" borderId="0" xfId="0" applyNumberFormat="1"/>
    <xf numFmtId="0" fontId="9"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right" vertical="center"/>
    </xf>
    <xf numFmtId="0" fontId="9" fillId="0" borderId="1" xfId="0" applyFont="1" applyBorder="1" applyAlignment="1">
      <alignment horizontal="center" vertical="center"/>
    </xf>
    <xf numFmtId="165" fontId="9" fillId="0" borderId="1" xfId="0" applyNumberFormat="1" applyFont="1" applyBorder="1" applyAlignment="1">
      <alignment horizontal="right" vertical="center"/>
    </xf>
    <xf numFmtId="165" fontId="14" fillId="0" borderId="1" xfId="0" applyNumberFormat="1" applyFont="1" applyBorder="1" applyAlignment="1">
      <alignment horizontal="right" vertical="center"/>
    </xf>
    <xf numFmtId="0" fontId="2" fillId="0" borderId="1" xfId="0" applyFont="1" applyBorder="1" applyAlignment="1">
      <alignment vertical="center"/>
    </xf>
    <xf numFmtId="166" fontId="15" fillId="0" borderId="1" xfId="0" applyNumberFormat="1" applyFont="1" applyBorder="1" applyAlignment="1">
      <alignment horizontal="right" vertical="center"/>
    </xf>
    <xf numFmtId="3" fontId="14" fillId="0" borderId="1" xfId="0" applyNumberFormat="1" applyFont="1" applyBorder="1" applyAlignment="1">
      <alignment horizontal="center" vertical="center"/>
    </xf>
    <xf numFmtId="168"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3" fontId="15" fillId="0" borderId="1" xfId="0" applyNumberFormat="1" applyFont="1" applyBorder="1" applyAlignment="1">
      <alignment horizontal="center" vertical="center"/>
    </xf>
    <xf numFmtId="166" fontId="3" fillId="0" borderId="1" xfId="0" applyNumberFormat="1" applyFont="1" applyBorder="1" applyAlignment="1">
      <alignment vertical="center"/>
    </xf>
    <xf numFmtId="0" fontId="15" fillId="0" borderId="5" xfId="0" applyFont="1" applyBorder="1" applyAlignment="1">
      <alignment vertical="center" wrapText="1"/>
    </xf>
    <xf numFmtId="0" fontId="11" fillId="0" borderId="1" xfId="0" applyFont="1" applyBorder="1" applyAlignment="1">
      <alignment vertical="center" wrapText="1"/>
    </xf>
    <xf numFmtId="0" fontId="27" fillId="0" borderId="0" xfId="0" applyFont="1" applyAlignment="1">
      <alignment vertical="center"/>
    </xf>
    <xf numFmtId="0" fontId="28" fillId="0" borderId="0" xfId="0" applyFont="1" applyAlignment="1">
      <alignment vertical="center"/>
    </xf>
    <xf numFmtId="0" fontId="1" fillId="0" borderId="0" xfId="0" applyFont="1" applyAlignment="1">
      <alignment vertical="center"/>
    </xf>
    <xf numFmtId="6" fontId="14" fillId="0" borderId="1" xfId="0" applyNumberFormat="1" applyFont="1" applyBorder="1" applyAlignment="1">
      <alignment horizontal="right" vertical="center"/>
    </xf>
    <xf numFmtId="0" fontId="29" fillId="0" borderId="0" xfId="0" applyFont="1"/>
    <xf numFmtId="0" fontId="25" fillId="0" borderId="0" xfId="0" applyFont="1"/>
    <xf numFmtId="0" fontId="3" fillId="0" borderId="5" xfId="0" applyFont="1" applyBorder="1" applyAlignment="1">
      <alignment horizontal="center" vertical="center" wrapText="1"/>
    </xf>
    <xf numFmtId="0" fontId="2" fillId="0" borderId="5" xfId="0" applyFont="1" applyBorder="1" applyAlignment="1">
      <alignment vertical="center"/>
    </xf>
    <xf numFmtId="166" fontId="15" fillId="0" borderId="5" xfId="0" applyNumberFormat="1" applyFont="1" applyBorder="1" applyAlignment="1">
      <alignment vertical="center"/>
    </xf>
    <xf numFmtId="0" fontId="5" fillId="0" borderId="0" xfId="0" applyFont="1"/>
    <xf numFmtId="0" fontId="18" fillId="0" borderId="0" xfId="0" applyFont="1" applyAlignment="1">
      <alignment vertical="center"/>
    </xf>
    <xf numFmtId="0" fontId="5" fillId="0" borderId="0" xfId="0" applyFont="1" applyAlignment="1">
      <alignment vertical="center"/>
    </xf>
    <xf numFmtId="0" fontId="9"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horizontal="right"/>
    </xf>
    <xf numFmtId="0" fontId="32" fillId="0" borderId="0" xfId="0" applyFont="1"/>
    <xf numFmtId="166" fontId="9" fillId="0" borderId="1" xfId="0" applyNumberFormat="1" applyFont="1" applyBorder="1" applyAlignment="1">
      <alignment horizontal="right" vertical="center"/>
    </xf>
    <xf numFmtId="0" fontId="18" fillId="0" borderId="0" xfId="0" applyFont="1"/>
    <xf numFmtId="0" fontId="0" fillId="0" borderId="0" xfId="0" applyAlignment="1">
      <alignment horizontal="center"/>
    </xf>
    <xf numFmtId="0" fontId="15" fillId="0" borderId="5" xfId="0" applyFont="1" applyBorder="1" applyAlignment="1">
      <alignment horizontal="center" vertical="center" wrapText="1"/>
    </xf>
    <xf numFmtId="0" fontId="0" fillId="0" borderId="6" xfId="0" applyBorder="1" applyAlignment="1">
      <alignment horizontal="center" vertical="center" wrapText="1"/>
    </xf>
    <xf numFmtId="1" fontId="15" fillId="0" borderId="1" xfId="0" applyNumberFormat="1" applyFont="1" applyBorder="1" applyAlignment="1">
      <alignment horizontal="center" vertical="center"/>
    </xf>
    <xf numFmtId="0" fontId="14" fillId="0" borderId="1" xfId="0" applyFont="1" applyBorder="1" applyAlignment="1">
      <alignment horizontal="center"/>
    </xf>
    <xf numFmtId="0" fontId="30" fillId="0" borderId="0" xfId="0" applyFont="1" applyAlignment="1">
      <alignment vertical="center" wrapText="1"/>
    </xf>
    <xf numFmtId="0" fontId="15" fillId="0" borderId="1" xfId="0" applyFont="1" applyBorder="1" applyAlignment="1">
      <alignment horizontal="center" vertical="center" wrapText="1"/>
    </xf>
    <xf numFmtId="3" fontId="15" fillId="0" borderId="7" xfId="0" applyNumberFormat="1" applyFont="1" applyBorder="1" applyAlignment="1">
      <alignment horizontal="center" vertical="center"/>
    </xf>
    <xf numFmtId="3" fontId="15" fillId="0" borderId="4" xfId="0" applyNumberFormat="1" applyFont="1" applyBorder="1" applyAlignment="1">
      <alignment horizontal="center" vertical="center"/>
    </xf>
    <xf numFmtId="3" fontId="15" fillId="0" borderId="8"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9" fillId="0" borderId="0" xfId="0" applyFont="1" applyAlignment="1">
      <alignment wrapText="1"/>
    </xf>
    <xf numFmtId="0" fontId="15" fillId="0" borderId="5" xfId="0" applyFont="1" applyBorder="1" applyAlignment="1">
      <alignment vertical="center" wrapText="1"/>
    </xf>
    <xf numFmtId="0" fontId="0" fillId="0" borderId="6" xfId="0" applyBorder="1" applyAlignment="1">
      <alignment vertical="center" wrapText="1"/>
    </xf>
    <xf numFmtId="0" fontId="14" fillId="0" borderId="1" xfId="0" applyFont="1" applyBorder="1" applyAlignment="1">
      <alignment horizontal="center" vertical="center"/>
    </xf>
    <xf numFmtId="6" fontId="15"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C1" sqref="C1"/>
    </sheetView>
  </sheetViews>
  <sheetFormatPr defaultRowHeight="15" x14ac:dyDescent="0.25"/>
  <cols>
    <col min="1" max="1" width="27.85546875" bestFit="1" customWidth="1"/>
    <col min="2" max="2" width="14.28515625" bestFit="1" customWidth="1"/>
  </cols>
  <sheetData>
    <row r="1" spans="1:2" x14ac:dyDescent="0.25">
      <c r="A1" s="98" t="s">
        <v>0</v>
      </c>
      <c r="B1" s="98"/>
    </row>
    <row r="2" spans="1:2" x14ac:dyDescent="0.25">
      <c r="A2" t="s">
        <v>153</v>
      </c>
      <c r="B2" s="59">
        <f>'Table 1'!K40</f>
        <v>480.26315789473688</v>
      </c>
    </row>
    <row r="3" spans="1:2" x14ac:dyDescent="0.25">
      <c r="A3" t="s">
        <v>1</v>
      </c>
      <c r="B3">
        <f>Respondents!F8</f>
        <v>19</v>
      </c>
    </row>
    <row r="4" spans="1:2" x14ac:dyDescent="0.25">
      <c r="A4" t="s">
        <v>2</v>
      </c>
      <c r="B4" s="60">
        <f>'Table 1'!F40</f>
        <v>21900</v>
      </c>
    </row>
    <row r="5" spans="1:2" x14ac:dyDescent="0.25">
      <c r="A5" t="s">
        <v>3</v>
      </c>
      <c r="B5" s="61">
        <f>'Table 1'!I42</f>
        <v>2980000</v>
      </c>
    </row>
    <row r="6" spans="1:2" x14ac:dyDescent="0.25">
      <c r="A6" t="s">
        <v>4</v>
      </c>
      <c r="B6" s="61">
        <f>'Capital O&amp;M'!I7</f>
        <v>216000</v>
      </c>
    </row>
    <row r="7" spans="1:2" x14ac:dyDescent="0.25">
      <c r="A7" t="s">
        <v>6</v>
      </c>
      <c r="B7" s="94" t="s">
        <v>154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5"/>
  <sheetViews>
    <sheetView zoomScale="87" zoomScaleNormal="87" workbookViewId="0">
      <selection activeCell="A2" sqref="A2"/>
    </sheetView>
  </sheetViews>
  <sheetFormatPr defaultRowHeight="15" x14ac:dyDescent="0.25"/>
  <cols>
    <col min="1" max="1" width="38.85546875" customWidth="1"/>
    <col min="2" max="2" width="11.42578125" customWidth="1"/>
    <col min="3" max="3" width="12.140625" customWidth="1"/>
    <col min="4" max="4" width="11.28515625" customWidth="1"/>
    <col min="5" max="5" width="13.28515625" customWidth="1"/>
    <col min="6" max="6" width="10" customWidth="1"/>
    <col min="7" max="7" width="13.140625" customWidth="1"/>
    <col min="8" max="8" width="13.5703125" customWidth="1"/>
    <col min="9" max="9" width="15.2851562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1" t="s">
        <v>151</v>
      </c>
      <c r="B1" s="1"/>
      <c r="C1" s="1"/>
      <c r="D1" s="1"/>
      <c r="E1" s="1"/>
      <c r="F1" s="1"/>
      <c r="G1" s="1"/>
      <c r="H1" s="1"/>
      <c r="I1" s="6"/>
      <c r="J1" s="2"/>
      <c r="K1" s="1"/>
      <c r="L1" s="1"/>
      <c r="M1" s="36"/>
      <c r="N1" s="8"/>
    </row>
    <row r="2" spans="1:21" s="1" customFormat="1" ht="15.75" x14ac:dyDescent="0.25">
      <c r="A2" s="31" t="s">
        <v>46</v>
      </c>
      <c r="B2"/>
      <c r="C2"/>
      <c r="D2"/>
      <c r="E2"/>
      <c r="F2"/>
      <c r="G2"/>
      <c r="H2"/>
      <c r="I2"/>
      <c r="J2" s="2"/>
    </row>
    <row r="3" spans="1:21" s="1" customFormat="1" ht="12.75" x14ac:dyDescent="0.2">
      <c r="A3" s="104" t="s">
        <v>14</v>
      </c>
      <c r="B3" s="99" t="s">
        <v>47</v>
      </c>
      <c r="C3" s="99" t="s">
        <v>15</v>
      </c>
      <c r="D3" s="99" t="s">
        <v>48</v>
      </c>
      <c r="E3" s="99" t="s">
        <v>49</v>
      </c>
      <c r="F3" s="99" t="s">
        <v>50</v>
      </c>
      <c r="G3" s="99" t="s">
        <v>51</v>
      </c>
      <c r="H3" s="99" t="s">
        <v>52</v>
      </c>
      <c r="I3" s="99" t="s">
        <v>53</v>
      </c>
      <c r="J3" s="2"/>
      <c r="M3" s="37"/>
      <c r="N3" s="37"/>
      <c r="O3" s="37"/>
      <c r="P3" s="37"/>
      <c r="Q3" s="37"/>
      <c r="R3" s="37"/>
      <c r="S3" s="37"/>
      <c r="T3" s="37"/>
      <c r="U3" s="37"/>
    </row>
    <row r="4" spans="1:21" s="1" customFormat="1" ht="12.75" x14ac:dyDescent="0.2">
      <c r="A4" s="104"/>
      <c r="B4" s="100"/>
      <c r="C4" s="100"/>
      <c r="D4" s="100"/>
      <c r="E4" s="100"/>
      <c r="F4" s="100"/>
      <c r="G4" s="100"/>
      <c r="H4" s="100"/>
      <c r="I4" s="100"/>
      <c r="J4" s="2"/>
      <c r="K4" s="102" t="s">
        <v>7</v>
      </c>
      <c r="L4" s="102"/>
      <c r="O4" s="39"/>
      <c r="P4" s="39"/>
      <c r="Q4" s="39"/>
      <c r="R4" s="39"/>
      <c r="S4" s="39"/>
      <c r="T4" s="39"/>
      <c r="U4" s="40"/>
    </row>
    <row r="5" spans="1:21" s="1" customFormat="1" ht="12.75" x14ac:dyDescent="0.2">
      <c r="A5" s="63" t="s">
        <v>54</v>
      </c>
      <c r="B5" s="64" t="s">
        <v>55</v>
      </c>
      <c r="C5" s="65"/>
      <c r="D5" s="64"/>
      <c r="E5" s="64"/>
      <c r="F5" s="64"/>
      <c r="G5" s="64"/>
      <c r="H5" s="64"/>
      <c r="I5" s="66"/>
      <c r="J5" s="7"/>
      <c r="K5" s="10" t="s">
        <v>8</v>
      </c>
      <c r="L5" s="30">
        <v>163.16999999999999</v>
      </c>
      <c r="M5" s="38"/>
      <c r="N5" s="39"/>
      <c r="O5" s="39"/>
      <c r="P5" s="39"/>
      <c r="Q5" s="39"/>
      <c r="R5" s="41"/>
      <c r="S5" s="39"/>
      <c r="T5" s="39"/>
      <c r="U5" s="42"/>
    </row>
    <row r="6" spans="1:21" s="1" customFormat="1" ht="12.75" x14ac:dyDescent="0.2">
      <c r="A6" s="63" t="s">
        <v>56</v>
      </c>
      <c r="B6" s="64" t="s">
        <v>55</v>
      </c>
      <c r="C6" s="65"/>
      <c r="D6" s="64"/>
      <c r="E6" s="64"/>
      <c r="F6" s="64"/>
      <c r="G6" s="64"/>
      <c r="H6" s="64"/>
      <c r="I6" s="66"/>
      <c r="J6" s="2"/>
      <c r="K6" s="10" t="s">
        <v>9</v>
      </c>
      <c r="L6" s="30">
        <v>130.28</v>
      </c>
      <c r="M6" s="38"/>
      <c r="N6" s="39"/>
      <c r="O6" s="39"/>
      <c r="P6" s="39"/>
      <c r="Q6" s="39"/>
      <c r="R6" s="39"/>
      <c r="S6" s="39"/>
      <c r="T6" s="39"/>
      <c r="U6" s="42"/>
    </row>
    <row r="7" spans="1:21" s="1" customFormat="1" ht="12.75" x14ac:dyDescent="0.2">
      <c r="A7" s="63" t="s">
        <v>57</v>
      </c>
      <c r="B7" s="64"/>
      <c r="C7" s="65"/>
      <c r="D7" s="64"/>
      <c r="E7" s="64"/>
      <c r="F7" s="64"/>
      <c r="G7" s="64"/>
      <c r="H7" s="64"/>
      <c r="I7" s="66"/>
      <c r="J7" s="2"/>
      <c r="K7" s="10" t="s">
        <v>10</v>
      </c>
      <c r="L7" s="30">
        <v>65.709999999999994</v>
      </c>
      <c r="M7" s="38"/>
      <c r="N7" s="39"/>
      <c r="O7" s="39"/>
      <c r="P7" s="39"/>
      <c r="Q7" s="39"/>
      <c r="R7" s="39"/>
      <c r="S7" s="39"/>
      <c r="T7" s="39"/>
      <c r="U7" s="42"/>
    </row>
    <row r="8" spans="1:21" s="1" customFormat="1" ht="18.75" x14ac:dyDescent="0.2">
      <c r="A8" s="63" t="s">
        <v>58</v>
      </c>
      <c r="B8" s="64">
        <v>4</v>
      </c>
      <c r="C8" s="64">
        <v>1</v>
      </c>
      <c r="D8" s="64">
        <f>B8*C8</f>
        <v>4</v>
      </c>
      <c r="E8" s="67">
        <v>19</v>
      </c>
      <c r="F8" s="67">
        <f>D8*E8</f>
        <v>76</v>
      </c>
      <c r="G8" s="67">
        <f>F8*0.05</f>
        <v>3.8000000000000003</v>
      </c>
      <c r="H8" s="67">
        <f>F8*0.1</f>
        <v>7.6000000000000005</v>
      </c>
      <c r="I8" s="68">
        <f>F8*$L$6+G8*$L$5+H8*$L$7</f>
        <v>11020.722000000002</v>
      </c>
      <c r="J8" s="2"/>
      <c r="K8" s="51"/>
      <c r="L8" s="14"/>
      <c r="M8" s="38"/>
      <c r="N8" s="39"/>
      <c r="O8" s="39"/>
      <c r="P8" s="39"/>
      <c r="Q8" s="43"/>
      <c r="R8" s="43"/>
      <c r="S8" s="43"/>
      <c r="T8" s="43"/>
      <c r="U8" s="42"/>
    </row>
    <row r="9" spans="1:21" s="1" customFormat="1" ht="18.75" x14ac:dyDescent="0.2">
      <c r="A9" s="63" t="s">
        <v>59</v>
      </c>
      <c r="B9" s="64">
        <v>4</v>
      </c>
      <c r="C9" s="64">
        <v>1</v>
      </c>
      <c r="D9" s="64">
        <f t="shared" ref="D9:D38" si="0">B9*C9</f>
        <v>4</v>
      </c>
      <c r="E9" s="64">
        <v>0</v>
      </c>
      <c r="F9" s="64">
        <f>D9*E9</f>
        <v>0</v>
      </c>
      <c r="G9" s="64">
        <f t="shared" ref="G9:G18" si="1">F9*0.05</f>
        <v>0</v>
      </c>
      <c r="H9" s="64">
        <f t="shared" ref="H9:H18" si="2">F9*0.1</f>
        <v>0</v>
      </c>
      <c r="I9" s="96">
        <f>F9*$L$6+G9*$L$5+H9*$L$7</f>
        <v>0</v>
      </c>
      <c r="J9" s="2"/>
      <c r="K9" s="58"/>
      <c r="L9" s="3"/>
      <c r="M9" s="38"/>
      <c r="N9" s="39"/>
      <c r="O9" s="39"/>
      <c r="P9" s="39"/>
      <c r="Q9" s="43"/>
      <c r="R9" s="43"/>
      <c r="S9" s="43"/>
      <c r="T9" s="43"/>
      <c r="U9" s="42"/>
    </row>
    <row r="10" spans="1:21" s="1" customFormat="1" ht="12.75" x14ac:dyDescent="0.2">
      <c r="A10" s="63" t="s">
        <v>60</v>
      </c>
      <c r="B10" s="70"/>
      <c r="C10" s="70"/>
      <c r="D10" s="64"/>
      <c r="E10" s="70"/>
      <c r="F10" s="70"/>
      <c r="G10" s="64"/>
      <c r="H10" s="64"/>
      <c r="I10" s="69"/>
      <c r="J10" s="2"/>
      <c r="K10" s="3"/>
      <c r="L10" s="3"/>
      <c r="M10" s="38"/>
      <c r="N10" s="39"/>
      <c r="O10" s="39"/>
      <c r="P10" s="39"/>
      <c r="Q10" s="43"/>
      <c r="R10" s="43"/>
      <c r="S10" s="43"/>
      <c r="T10" s="43"/>
      <c r="U10" s="42"/>
    </row>
    <row r="11" spans="1:21" s="1" customFormat="1" ht="18.75" x14ac:dyDescent="0.2">
      <c r="A11" s="63" t="s">
        <v>61</v>
      </c>
      <c r="B11" s="64">
        <v>2</v>
      </c>
      <c r="C11" s="64">
        <v>1</v>
      </c>
      <c r="D11" s="64">
        <f t="shared" si="0"/>
        <v>2</v>
      </c>
      <c r="E11" s="67">
        <v>0</v>
      </c>
      <c r="F11" s="67">
        <f>D11*E11</f>
        <v>0</v>
      </c>
      <c r="G11" s="67">
        <f t="shared" si="1"/>
        <v>0</v>
      </c>
      <c r="H11" s="67">
        <f t="shared" si="2"/>
        <v>0</v>
      </c>
      <c r="I11" s="96">
        <f>F11*$L$6+G11*$L$5+H11*$L$7</f>
        <v>0</v>
      </c>
      <c r="J11" s="2"/>
      <c r="K11" s="4"/>
      <c r="L11" s="5"/>
      <c r="M11" s="38"/>
      <c r="N11" s="39"/>
      <c r="O11" s="39"/>
      <c r="P11" s="39"/>
      <c r="Q11" s="43"/>
      <c r="R11" s="43"/>
      <c r="S11" s="44"/>
      <c r="T11" s="44"/>
      <c r="U11" s="42"/>
    </row>
    <row r="12" spans="1:21" s="1" customFormat="1" ht="18.75" x14ac:dyDescent="0.2">
      <c r="A12" s="63" t="s">
        <v>62</v>
      </c>
      <c r="B12" s="64">
        <v>2</v>
      </c>
      <c r="C12" s="64">
        <v>1</v>
      </c>
      <c r="D12" s="64">
        <f t="shared" si="0"/>
        <v>2</v>
      </c>
      <c r="E12" s="64">
        <v>0</v>
      </c>
      <c r="F12" s="64">
        <f>D12*E12</f>
        <v>0</v>
      </c>
      <c r="G12" s="64">
        <f t="shared" si="1"/>
        <v>0</v>
      </c>
      <c r="H12" s="64">
        <f t="shared" si="2"/>
        <v>0</v>
      </c>
      <c r="I12" s="96">
        <f>F12*$L$6+G12*$L$5+H12*$L$7</f>
        <v>0</v>
      </c>
      <c r="J12" s="2"/>
      <c r="K12" s="4"/>
      <c r="L12" s="5"/>
      <c r="M12" s="38"/>
      <c r="N12" s="39"/>
      <c r="O12" s="39"/>
      <c r="P12" s="39"/>
      <c r="Q12" s="43"/>
      <c r="R12" s="43"/>
      <c r="S12" s="44"/>
      <c r="T12" s="44"/>
      <c r="U12" s="42"/>
    </row>
    <row r="13" spans="1:21" s="1" customFormat="1" ht="25.5" x14ac:dyDescent="0.2">
      <c r="A13" s="63" t="s">
        <v>63</v>
      </c>
      <c r="B13" s="64">
        <v>2</v>
      </c>
      <c r="C13" s="64">
        <v>1</v>
      </c>
      <c r="D13" s="64">
        <f t="shared" si="0"/>
        <v>2</v>
      </c>
      <c r="E13" s="64">
        <f>Responses!B6</f>
        <v>3.8</v>
      </c>
      <c r="F13" s="64">
        <f>D13*E13</f>
        <v>7.6</v>
      </c>
      <c r="G13" s="64">
        <f t="shared" si="1"/>
        <v>0.38</v>
      </c>
      <c r="H13" s="64">
        <f t="shared" si="2"/>
        <v>0.76</v>
      </c>
      <c r="I13" s="68">
        <f t="shared" ref="I13:I16" si="3">F13*$L$6+G13*$L$5+H13*$L$7</f>
        <v>1102.0721999999998</v>
      </c>
      <c r="J13" s="2"/>
      <c r="K13" s="4"/>
      <c r="L13" s="5"/>
      <c r="M13" s="38"/>
      <c r="N13" s="39"/>
      <c r="O13" s="39"/>
      <c r="P13" s="39"/>
      <c r="Q13" s="39"/>
      <c r="R13" s="39"/>
      <c r="S13" s="39"/>
      <c r="T13" s="39"/>
      <c r="U13" s="42"/>
    </row>
    <row r="14" spans="1:21" s="1" customFormat="1" ht="18" customHeight="1" x14ac:dyDescent="0.2">
      <c r="A14" s="63" t="s">
        <v>64</v>
      </c>
      <c r="B14" s="64">
        <v>19.5</v>
      </c>
      <c r="C14" s="64">
        <v>1</v>
      </c>
      <c r="D14" s="64">
        <f t="shared" si="0"/>
        <v>19.5</v>
      </c>
      <c r="E14" s="64">
        <v>0</v>
      </c>
      <c r="F14" s="64">
        <f t="shared" ref="F14:F18" si="4">D14*E14</f>
        <v>0</v>
      </c>
      <c r="G14" s="64">
        <f t="shared" si="1"/>
        <v>0</v>
      </c>
      <c r="H14" s="64">
        <f t="shared" si="2"/>
        <v>0</v>
      </c>
      <c r="I14" s="96">
        <f>F14*$L$6+G14*$L$5+H14*$L$7</f>
        <v>0</v>
      </c>
      <c r="J14" s="7"/>
      <c r="K14" s="50"/>
      <c r="L14" s="5"/>
      <c r="M14" s="38"/>
      <c r="N14" s="39"/>
      <c r="O14" s="39"/>
      <c r="P14" s="39"/>
      <c r="Q14" s="39"/>
      <c r="R14" s="39"/>
      <c r="S14" s="39"/>
      <c r="T14" s="39"/>
      <c r="U14" s="42"/>
    </row>
    <row r="15" spans="1:21" s="1" customFormat="1" ht="18.75" x14ac:dyDescent="0.2">
      <c r="A15" s="63" t="s">
        <v>65</v>
      </c>
      <c r="B15" s="64">
        <v>8.5</v>
      </c>
      <c r="C15" s="64">
        <v>1</v>
      </c>
      <c r="D15" s="64">
        <f t="shared" si="0"/>
        <v>8.5</v>
      </c>
      <c r="E15" s="64">
        <v>0</v>
      </c>
      <c r="F15" s="64">
        <f t="shared" si="4"/>
        <v>0</v>
      </c>
      <c r="G15" s="64">
        <f t="shared" si="1"/>
        <v>0</v>
      </c>
      <c r="H15" s="64">
        <f t="shared" si="2"/>
        <v>0</v>
      </c>
      <c r="I15" s="96">
        <f>F15*$L$6+G15*$L$5+H15*$L$7</f>
        <v>0</v>
      </c>
      <c r="J15" s="2"/>
      <c r="K15" s="50"/>
      <c r="M15" s="38"/>
      <c r="N15" s="39"/>
      <c r="O15" s="39"/>
      <c r="P15" s="39"/>
      <c r="Q15" s="39"/>
      <c r="R15" s="39"/>
      <c r="S15" s="39"/>
      <c r="T15" s="39"/>
      <c r="U15" s="42"/>
    </row>
    <row r="16" spans="1:21" s="1" customFormat="1" ht="27.75" customHeight="1" x14ac:dyDescent="0.2">
      <c r="A16" s="63" t="s">
        <v>66</v>
      </c>
      <c r="B16" s="64">
        <v>4.5</v>
      </c>
      <c r="C16" s="64">
        <v>2</v>
      </c>
      <c r="D16" s="64">
        <f t="shared" si="0"/>
        <v>9</v>
      </c>
      <c r="E16" s="64">
        <v>19</v>
      </c>
      <c r="F16" s="64">
        <f t="shared" si="4"/>
        <v>171</v>
      </c>
      <c r="G16" s="64">
        <f t="shared" si="1"/>
        <v>8.5500000000000007</v>
      </c>
      <c r="H16" s="64">
        <f t="shared" si="2"/>
        <v>17.100000000000001</v>
      </c>
      <c r="I16" s="68">
        <f t="shared" si="3"/>
        <v>24796.624500000002</v>
      </c>
      <c r="J16" s="2"/>
      <c r="K16" s="50"/>
      <c r="M16" s="38"/>
      <c r="N16" s="39"/>
      <c r="O16" s="39"/>
      <c r="P16" s="39"/>
      <c r="Q16" s="39"/>
      <c r="R16" s="39"/>
      <c r="S16" s="39"/>
      <c r="T16" s="39"/>
      <c r="U16" s="42"/>
    </row>
    <row r="17" spans="1:21" s="1" customFormat="1" ht="18.75" x14ac:dyDescent="0.2">
      <c r="A17" s="63" t="s">
        <v>67</v>
      </c>
      <c r="B17" s="64">
        <v>4</v>
      </c>
      <c r="C17" s="64">
        <v>1</v>
      </c>
      <c r="D17" s="64">
        <f t="shared" si="0"/>
        <v>4</v>
      </c>
      <c r="E17" s="64">
        <f>Responses!B10</f>
        <v>3.8</v>
      </c>
      <c r="F17" s="64">
        <f t="shared" si="4"/>
        <v>15.2</v>
      </c>
      <c r="G17" s="64">
        <f t="shared" si="1"/>
        <v>0.76</v>
      </c>
      <c r="H17" s="64">
        <f t="shared" si="2"/>
        <v>1.52</v>
      </c>
      <c r="I17" s="96">
        <f>F17*$L$6+G17*$L$5+H17*$L$7</f>
        <v>2204.1443999999997</v>
      </c>
      <c r="J17" s="2"/>
      <c r="K17" s="50"/>
      <c r="M17" s="38"/>
      <c r="N17" s="39"/>
      <c r="O17" s="39"/>
      <c r="P17" s="39"/>
      <c r="Q17" s="39"/>
      <c r="R17" s="39"/>
      <c r="S17" s="39"/>
      <c r="T17" s="39"/>
      <c r="U17" s="42"/>
    </row>
    <row r="18" spans="1:21" s="1" customFormat="1" ht="19.5" customHeight="1" x14ac:dyDescent="0.2">
      <c r="A18" s="63" t="s">
        <v>68</v>
      </c>
      <c r="B18" s="64">
        <v>2</v>
      </c>
      <c r="C18" s="64">
        <v>10</v>
      </c>
      <c r="D18" s="64">
        <f t="shared" si="0"/>
        <v>20</v>
      </c>
      <c r="E18" s="64">
        <v>0</v>
      </c>
      <c r="F18" s="64">
        <f t="shared" si="4"/>
        <v>0</v>
      </c>
      <c r="G18" s="64">
        <f t="shared" si="1"/>
        <v>0</v>
      </c>
      <c r="H18" s="64">
        <f t="shared" si="2"/>
        <v>0</v>
      </c>
      <c r="I18" s="96">
        <f>F18*$L$6+G18*$L$5+H18*$L$7</f>
        <v>0</v>
      </c>
      <c r="J18" s="2"/>
      <c r="K18" s="50"/>
      <c r="M18" s="38"/>
      <c r="N18" s="39"/>
      <c r="O18" s="39"/>
      <c r="P18" s="39"/>
      <c r="Q18" s="39"/>
      <c r="R18" s="39"/>
      <c r="S18" s="39"/>
      <c r="T18" s="39"/>
      <c r="U18" s="42"/>
    </row>
    <row r="19" spans="1:21" s="1" customFormat="1" ht="16.5" customHeight="1" x14ac:dyDescent="0.2">
      <c r="A19" s="27" t="s">
        <v>11</v>
      </c>
      <c r="B19" s="70"/>
      <c r="C19" s="70"/>
      <c r="D19" s="64"/>
      <c r="E19" s="70"/>
      <c r="F19" s="101">
        <f>SUM(F8:H18)</f>
        <v>310.27</v>
      </c>
      <c r="G19" s="101"/>
      <c r="H19" s="101"/>
      <c r="I19" s="71">
        <f>SUM(I8:I18)</f>
        <v>39123.563099999999</v>
      </c>
      <c r="J19" s="2"/>
      <c r="K19" s="2"/>
      <c r="M19" s="38"/>
      <c r="N19" s="39"/>
      <c r="O19" s="39"/>
      <c r="P19" s="39"/>
      <c r="Q19" s="39"/>
      <c r="R19" s="39"/>
      <c r="S19" s="39"/>
      <c r="T19" s="39"/>
      <c r="U19" s="42"/>
    </row>
    <row r="20" spans="1:21" s="1" customFormat="1" ht="12.75" x14ac:dyDescent="0.2">
      <c r="A20" s="63" t="s">
        <v>69</v>
      </c>
      <c r="B20" s="64"/>
      <c r="C20" s="64"/>
      <c r="D20" s="64"/>
      <c r="E20" s="64"/>
      <c r="F20" s="64"/>
      <c r="G20" s="64"/>
      <c r="H20" s="64"/>
      <c r="I20" s="69"/>
      <c r="J20" s="2"/>
      <c r="M20" s="38"/>
      <c r="N20" s="39"/>
      <c r="O20" s="39"/>
      <c r="P20" s="39"/>
      <c r="Q20" s="39"/>
      <c r="R20" s="39"/>
      <c r="S20" s="39"/>
      <c r="T20" s="39"/>
      <c r="U20" s="42"/>
    </row>
    <row r="21" spans="1:21" s="1" customFormat="1" ht="18.75" x14ac:dyDescent="0.2">
      <c r="A21" s="63" t="s">
        <v>70</v>
      </c>
      <c r="B21" s="64">
        <v>10</v>
      </c>
      <c r="C21" s="64">
        <v>1</v>
      </c>
      <c r="D21" s="64">
        <f t="shared" si="0"/>
        <v>10</v>
      </c>
      <c r="E21" s="64">
        <v>0</v>
      </c>
      <c r="F21" s="64">
        <f>D21*E21</f>
        <v>0</v>
      </c>
      <c r="G21" s="64">
        <f t="shared" ref="G21:G38" si="5">F21*0.05</f>
        <v>0</v>
      </c>
      <c r="H21" s="64">
        <f t="shared" ref="H21:H38" si="6">F21*0.1</f>
        <v>0</v>
      </c>
      <c r="I21" s="68">
        <f t="shared" ref="I21" si="7">F21*$L$6+G21*$L$5+H21*$L$7</f>
        <v>0</v>
      </c>
      <c r="J21" s="2"/>
      <c r="M21" s="38"/>
      <c r="N21" s="39"/>
      <c r="O21" s="39"/>
      <c r="P21" s="39"/>
      <c r="Q21" s="39"/>
      <c r="R21" s="41"/>
      <c r="S21" s="39"/>
      <c r="T21" s="39"/>
      <c r="U21" s="42"/>
    </row>
    <row r="22" spans="1:21" s="1" customFormat="1" ht="13.5" x14ac:dyDescent="0.25">
      <c r="A22" s="63" t="s">
        <v>71</v>
      </c>
      <c r="B22" s="70"/>
      <c r="C22" s="70"/>
      <c r="D22" s="64"/>
      <c r="E22" s="70"/>
      <c r="F22" s="70"/>
      <c r="G22" s="64"/>
      <c r="H22" s="64"/>
      <c r="I22" s="69"/>
      <c r="J22" s="2"/>
      <c r="K22" s="2"/>
      <c r="M22" s="45"/>
      <c r="N22" s="45"/>
      <c r="O22" s="45"/>
      <c r="P22" s="45"/>
      <c r="Q22" s="45"/>
      <c r="R22" s="46"/>
      <c r="S22" s="46"/>
      <c r="T22" s="46"/>
      <c r="U22" s="47"/>
    </row>
    <row r="23" spans="1:21" s="1" customFormat="1" ht="18.75" x14ac:dyDescent="0.2">
      <c r="A23" s="63" t="s">
        <v>72</v>
      </c>
      <c r="B23" s="64">
        <v>1</v>
      </c>
      <c r="C23" s="64">
        <v>10</v>
      </c>
      <c r="D23" s="64">
        <f t="shared" si="0"/>
        <v>10</v>
      </c>
      <c r="E23" s="64">
        <v>19</v>
      </c>
      <c r="F23" s="72">
        <f t="shared" ref="F23:F38" si="8">D23*E23</f>
        <v>190</v>
      </c>
      <c r="G23" s="64">
        <f t="shared" si="5"/>
        <v>9.5</v>
      </c>
      <c r="H23" s="64">
        <f t="shared" si="6"/>
        <v>19</v>
      </c>
      <c r="I23" s="68">
        <f t="shared" ref="I23:I38" si="9">F23*$L$6+G23*$L$5+H23*$L$7</f>
        <v>27551.805</v>
      </c>
      <c r="J23" s="2"/>
      <c r="K23" s="2"/>
      <c r="M23" s="38"/>
      <c r="N23" s="39"/>
      <c r="O23" s="39"/>
      <c r="P23" s="39"/>
      <c r="Q23" s="39"/>
      <c r="R23" s="39"/>
      <c r="S23" s="39"/>
      <c r="T23" s="39"/>
      <c r="U23" s="40"/>
    </row>
    <row r="24" spans="1:21" s="1" customFormat="1" ht="12.75" x14ac:dyDescent="0.2">
      <c r="A24" s="63" t="s">
        <v>73</v>
      </c>
      <c r="B24" s="64">
        <v>48.5</v>
      </c>
      <c r="C24" s="64">
        <v>1</v>
      </c>
      <c r="D24" s="64">
        <f t="shared" si="0"/>
        <v>48.5</v>
      </c>
      <c r="E24" s="64">
        <f>Responses!B6</f>
        <v>3.8</v>
      </c>
      <c r="F24" s="73">
        <f t="shared" si="8"/>
        <v>184.29999999999998</v>
      </c>
      <c r="G24" s="74">
        <f t="shared" si="5"/>
        <v>9.2149999999999999</v>
      </c>
      <c r="H24" s="64">
        <f t="shared" si="6"/>
        <v>18.43</v>
      </c>
      <c r="I24" s="68">
        <f t="shared" si="9"/>
        <v>26725.25085</v>
      </c>
      <c r="J24" s="2"/>
      <c r="K24" s="2"/>
      <c r="M24" s="38"/>
      <c r="N24" s="39"/>
      <c r="O24" s="39"/>
      <c r="P24" s="39"/>
      <c r="Q24" s="39"/>
      <c r="R24" s="39"/>
      <c r="S24" s="39"/>
      <c r="T24" s="39"/>
      <c r="U24" s="42"/>
    </row>
    <row r="25" spans="1:21" s="1" customFormat="1" ht="18.75" x14ac:dyDescent="0.2">
      <c r="A25" s="63" t="s">
        <v>74</v>
      </c>
      <c r="B25" s="64">
        <v>1</v>
      </c>
      <c r="C25" s="64">
        <v>365</v>
      </c>
      <c r="D25" s="64">
        <f t="shared" si="0"/>
        <v>365</v>
      </c>
      <c r="E25" s="64">
        <v>19</v>
      </c>
      <c r="F25" s="72">
        <f t="shared" si="8"/>
        <v>6935</v>
      </c>
      <c r="G25" s="74">
        <f t="shared" si="5"/>
        <v>346.75</v>
      </c>
      <c r="H25" s="73">
        <f t="shared" si="6"/>
        <v>693.5</v>
      </c>
      <c r="I25" s="68">
        <f t="shared" si="9"/>
        <v>1005640.8825000001</v>
      </c>
      <c r="J25" s="2"/>
      <c r="M25" s="38"/>
      <c r="N25" s="39"/>
      <c r="O25" s="39"/>
      <c r="P25" s="39"/>
      <c r="Q25" s="39"/>
      <c r="R25" s="39"/>
      <c r="S25" s="39"/>
      <c r="T25" s="39"/>
      <c r="U25" s="42"/>
    </row>
    <row r="26" spans="1:21" s="1" customFormat="1" ht="18.75" x14ac:dyDescent="0.2">
      <c r="A26" s="63" t="s">
        <v>75</v>
      </c>
      <c r="B26" s="64">
        <v>3.9</v>
      </c>
      <c r="C26" s="64">
        <v>50</v>
      </c>
      <c r="D26" s="64">
        <f t="shared" si="0"/>
        <v>195</v>
      </c>
      <c r="E26" s="64">
        <v>19</v>
      </c>
      <c r="F26" s="72">
        <f t="shared" si="8"/>
        <v>3705</v>
      </c>
      <c r="G26" s="74">
        <f t="shared" si="5"/>
        <v>185.25</v>
      </c>
      <c r="H26" s="73">
        <f t="shared" si="6"/>
        <v>370.5</v>
      </c>
      <c r="I26" s="68">
        <f t="shared" si="9"/>
        <v>537260.19750000001</v>
      </c>
      <c r="J26" s="2"/>
      <c r="K26" s="2"/>
      <c r="M26" s="38"/>
      <c r="N26" s="39"/>
      <c r="O26" s="39"/>
      <c r="P26" s="39"/>
      <c r="Q26" s="39"/>
      <c r="R26" s="41"/>
      <c r="S26" s="39"/>
      <c r="T26" s="39"/>
      <c r="U26" s="42"/>
    </row>
    <row r="27" spans="1:21" s="1" customFormat="1" ht="18" customHeight="1" x14ac:dyDescent="0.2">
      <c r="A27" s="63" t="s">
        <v>76</v>
      </c>
      <c r="B27" s="64">
        <v>1</v>
      </c>
      <c r="C27" s="64">
        <v>365</v>
      </c>
      <c r="D27" s="64">
        <f t="shared" si="0"/>
        <v>365</v>
      </c>
      <c r="E27" s="64">
        <v>19</v>
      </c>
      <c r="F27" s="72">
        <f t="shared" si="8"/>
        <v>6935</v>
      </c>
      <c r="G27" s="74">
        <f t="shared" si="5"/>
        <v>346.75</v>
      </c>
      <c r="H27" s="73">
        <f t="shared" si="6"/>
        <v>693.5</v>
      </c>
      <c r="I27" s="68">
        <f t="shared" si="9"/>
        <v>1005640.8825000001</v>
      </c>
      <c r="J27" s="2"/>
      <c r="K27" s="2"/>
      <c r="M27" s="38"/>
      <c r="N27" s="39"/>
      <c r="O27" s="39"/>
      <c r="P27" s="39"/>
      <c r="Q27" s="39"/>
      <c r="R27" s="39"/>
      <c r="S27" s="39"/>
      <c r="T27" s="39"/>
      <c r="U27" s="42"/>
    </row>
    <row r="28" spans="1:21" s="1" customFormat="1" ht="12.75" x14ac:dyDescent="0.2">
      <c r="A28" s="63" t="s">
        <v>77</v>
      </c>
      <c r="B28" s="70"/>
      <c r="C28" s="70"/>
      <c r="D28" s="64"/>
      <c r="E28" s="70"/>
      <c r="F28" s="70"/>
      <c r="G28" s="64"/>
      <c r="H28" s="64"/>
      <c r="I28" s="69"/>
      <c r="J28" s="2"/>
      <c r="K28" s="2"/>
      <c r="M28" s="38"/>
      <c r="N28" s="39"/>
      <c r="O28" s="39"/>
      <c r="P28" s="39"/>
      <c r="Q28" s="39"/>
      <c r="R28" s="39"/>
      <c r="S28" s="39"/>
      <c r="T28" s="39"/>
      <c r="U28" s="42"/>
    </row>
    <row r="29" spans="1:21" s="1" customFormat="1" ht="18.75" x14ac:dyDescent="0.2">
      <c r="A29" s="63" t="s">
        <v>78</v>
      </c>
      <c r="B29" s="64">
        <v>40</v>
      </c>
      <c r="C29" s="64">
        <v>1</v>
      </c>
      <c r="D29" s="64">
        <f t="shared" si="0"/>
        <v>40</v>
      </c>
      <c r="E29" s="64">
        <v>0</v>
      </c>
      <c r="F29" s="64">
        <f t="shared" si="8"/>
        <v>0</v>
      </c>
      <c r="G29" s="64">
        <f t="shared" si="5"/>
        <v>0</v>
      </c>
      <c r="H29" s="64">
        <f t="shared" si="6"/>
        <v>0</v>
      </c>
      <c r="I29" s="96">
        <f t="shared" ref="I29:I34" si="10">F29*$L$6+G29*$L$5+H29*$L$7</f>
        <v>0</v>
      </c>
      <c r="J29" s="2"/>
      <c r="K29" s="2"/>
      <c r="M29" s="38"/>
      <c r="N29" s="39"/>
      <c r="O29" s="39"/>
      <c r="P29" s="39"/>
      <c r="Q29" s="39"/>
      <c r="R29" s="39"/>
      <c r="S29" s="39"/>
      <c r="T29" s="39"/>
      <c r="U29" s="42"/>
    </row>
    <row r="30" spans="1:21" s="1" customFormat="1" ht="18.75" x14ac:dyDescent="0.2">
      <c r="A30" s="63" t="s">
        <v>79</v>
      </c>
      <c r="B30" s="64">
        <v>20</v>
      </c>
      <c r="C30" s="64">
        <v>1</v>
      </c>
      <c r="D30" s="64">
        <f t="shared" si="0"/>
        <v>20</v>
      </c>
      <c r="E30" s="64">
        <v>0</v>
      </c>
      <c r="F30" s="64">
        <f t="shared" si="8"/>
        <v>0</v>
      </c>
      <c r="G30" s="64">
        <f t="shared" si="5"/>
        <v>0</v>
      </c>
      <c r="H30" s="64">
        <f t="shared" si="6"/>
        <v>0</v>
      </c>
      <c r="I30" s="96">
        <f t="shared" si="10"/>
        <v>0</v>
      </c>
      <c r="J30" s="2"/>
      <c r="K30" s="2"/>
      <c r="M30" s="38"/>
      <c r="N30" s="39"/>
      <c r="O30" s="39"/>
      <c r="P30" s="39"/>
      <c r="Q30" s="39"/>
      <c r="R30" s="39"/>
      <c r="S30" s="39"/>
      <c r="T30" s="39"/>
      <c r="U30" s="42"/>
    </row>
    <row r="31" spans="1:21" s="1" customFormat="1" ht="18.75" x14ac:dyDescent="0.2">
      <c r="A31" s="63" t="s">
        <v>80</v>
      </c>
      <c r="B31" s="64">
        <v>20</v>
      </c>
      <c r="C31" s="64">
        <v>1</v>
      </c>
      <c r="D31" s="64">
        <f t="shared" si="0"/>
        <v>20</v>
      </c>
      <c r="E31" s="64">
        <v>0</v>
      </c>
      <c r="F31" s="64">
        <f t="shared" si="8"/>
        <v>0</v>
      </c>
      <c r="G31" s="64">
        <f t="shared" si="5"/>
        <v>0</v>
      </c>
      <c r="H31" s="64">
        <f t="shared" si="6"/>
        <v>0</v>
      </c>
      <c r="I31" s="96">
        <f t="shared" si="10"/>
        <v>0</v>
      </c>
      <c r="J31" s="2"/>
      <c r="K31" s="2"/>
      <c r="M31" s="38"/>
      <c r="N31" s="39"/>
      <c r="O31" s="39"/>
      <c r="P31" s="39"/>
      <c r="Q31" s="39"/>
      <c r="R31" s="39"/>
      <c r="S31" s="39"/>
      <c r="T31" s="39"/>
      <c r="U31" s="42"/>
    </row>
    <row r="32" spans="1:21" s="1" customFormat="1" ht="18.75" x14ac:dyDescent="0.2">
      <c r="A32" s="63" t="s">
        <v>81</v>
      </c>
      <c r="B32" s="64">
        <v>40</v>
      </c>
      <c r="C32" s="64">
        <v>1</v>
      </c>
      <c r="D32" s="64">
        <f t="shared" si="0"/>
        <v>40</v>
      </c>
      <c r="E32" s="64">
        <v>0</v>
      </c>
      <c r="F32" s="64">
        <f t="shared" si="8"/>
        <v>0</v>
      </c>
      <c r="G32" s="64">
        <f t="shared" si="5"/>
        <v>0</v>
      </c>
      <c r="H32" s="64">
        <f t="shared" si="6"/>
        <v>0</v>
      </c>
      <c r="I32" s="96">
        <f t="shared" si="10"/>
        <v>0</v>
      </c>
      <c r="J32" s="2"/>
      <c r="K32" s="2"/>
      <c r="M32" s="38"/>
      <c r="N32" s="39"/>
      <c r="O32" s="39"/>
      <c r="P32" s="39"/>
      <c r="Q32" s="39"/>
      <c r="R32" s="39"/>
      <c r="S32" s="39"/>
      <c r="T32" s="39"/>
      <c r="U32" s="42"/>
    </row>
    <row r="33" spans="1:21" s="1" customFormat="1" ht="19.5" customHeight="1" x14ac:dyDescent="0.2">
      <c r="A33" s="63" t="s">
        <v>147</v>
      </c>
      <c r="B33" s="64">
        <v>1</v>
      </c>
      <c r="C33" s="64">
        <v>4</v>
      </c>
      <c r="D33" s="64">
        <f t="shared" si="0"/>
        <v>4</v>
      </c>
      <c r="E33" s="64">
        <v>19</v>
      </c>
      <c r="F33" s="64">
        <f t="shared" si="8"/>
        <v>76</v>
      </c>
      <c r="G33" s="64">
        <f t="shared" si="5"/>
        <v>3.8000000000000003</v>
      </c>
      <c r="H33" s="64">
        <f t="shared" si="6"/>
        <v>7.6000000000000005</v>
      </c>
      <c r="I33" s="68">
        <f t="shared" si="10"/>
        <v>11020.722000000002</v>
      </c>
      <c r="J33" s="2"/>
      <c r="K33" s="2"/>
      <c r="M33" s="38"/>
      <c r="N33" s="39"/>
      <c r="O33" s="39"/>
      <c r="P33" s="39"/>
      <c r="Q33" s="39"/>
      <c r="R33" s="39"/>
      <c r="S33" s="39"/>
      <c r="T33" s="39"/>
      <c r="U33" s="42"/>
    </row>
    <row r="34" spans="1:21" s="1" customFormat="1" ht="12.75" x14ac:dyDescent="0.2">
      <c r="A34" s="63" t="s">
        <v>82</v>
      </c>
      <c r="B34" s="70"/>
      <c r="C34" s="70"/>
      <c r="D34" s="64">
        <f t="shared" si="0"/>
        <v>0</v>
      </c>
      <c r="E34" s="70"/>
      <c r="F34" s="70"/>
      <c r="G34" s="64">
        <f t="shared" si="5"/>
        <v>0</v>
      </c>
      <c r="H34" s="64">
        <f t="shared" si="6"/>
        <v>0</v>
      </c>
      <c r="I34" s="96">
        <f t="shared" si="10"/>
        <v>0</v>
      </c>
      <c r="J34" s="2"/>
      <c r="K34" s="2"/>
      <c r="M34" s="38"/>
      <c r="N34" s="39"/>
      <c r="O34" s="39"/>
      <c r="P34" s="39"/>
      <c r="Q34" s="39"/>
      <c r="R34" s="41"/>
      <c r="S34" s="39"/>
      <c r="T34" s="39"/>
      <c r="U34" s="42"/>
    </row>
    <row r="35" spans="1:21" s="1" customFormat="1" ht="18.75" x14ac:dyDescent="0.2">
      <c r="A35" s="63" t="s">
        <v>83</v>
      </c>
      <c r="B35" s="64">
        <v>20</v>
      </c>
      <c r="C35" s="64">
        <v>1</v>
      </c>
      <c r="D35" s="64">
        <f t="shared" si="0"/>
        <v>20</v>
      </c>
      <c r="E35" s="64">
        <v>0</v>
      </c>
      <c r="F35" s="64">
        <f t="shared" si="8"/>
        <v>0</v>
      </c>
      <c r="G35" s="64">
        <f t="shared" si="5"/>
        <v>0</v>
      </c>
      <c r="H35" s="64">
        <f t="shared" si="6"/>
        <v>0</v>
      </c>
      <c r="I35" s="96">
        <f t="shared" ref="I35:I36" si="11">F35*$L$6+G35*$L$5+H35*$L$7</f>
        <v>0</v>
      </c>
      <c r="J35" s="2"/>
      <c r="K35" s="2"/>
      <c r="M35" s="38"/>
      <c r="N35" s="39"/>
      <c r="O35" s="39"/>
      <c r="P35" s="39"/>
      <c r="Q35" s="39"/>
      <c r="R35" s="39"/>
      <c r="S35" s="39"/>
      <c r="T35" s="39"/>
      <c r="U35" s="42"/>
    </row>
    <row r="36" spans="1:21" s="1" customFormat="1" ht="18.75" customHeight="1" x14ac:dyDescent="0.2">
      <c r="A36" s="63" t="s">
        <v>84</v>
      </c>
      <c r="B36" s="64">
        <v>4</v>
      </c>
      <c r="C36" s="64">
        <v>1</v>
      </c>
      <c r="D36" s="64">
        <f t="shared" si="0"/>
        <v>4</v>
      </c>
      <c r="E36" s="64">
        <v>0</v>
      </c>
      <c r="F36" s="64">
        <f t="shared" si="8"/>
        <v>0</v>
      </c>
      <c r="G36" s="64">
        <f t="shared" si="5"/>
        <v>0</v>
      </c>
      <c r="H36" s="64">
        <f t="shared" si="6"/>
        <v>0</v>
      </c>
      <c r="I36" s="96">
        <f t="shared" si="11"/>
        <v>0</v>
      </c>
      <c r="J36" s="2"/>
      <c r="K36" s="2"/>
      <c r="M36" s="38"/>
      <c r="N36" s="39"/>
      <c r="O36" s="39"/>
      <c r="P36" s="39"/>
      <c r="Q36" s="39"/>
      <c r="R36" s="39"/>
      <c r="S36" s="39"/>
      <c r="T36" s="39"/>
      <c r="U36" s="42"/>
    </row>
    <row r="37" spans="1:21" s="1" customFormat="1" ht="18.75" x14ac:dyDescent="0.2">
      <c r="A37" s="63" t="s">
        <v>85</v>
      </c>
      <c r="B37" s="64">
        <v>20</v>
      </c>
      <c r="C37" s="64">
        <v>1</v>
      </c>
      <c r="D37" s="64">
        <f t="shared" si="0"/>
        <v>20</v>
      </c>
      <c r="E37" s="64">
        <v>19</v>
      </c>
      <c r="F37" s="72">
        <f t="shared" si="8"/>
        <v>380</v>
      </c>
      <c r="G37" s="64">
        <f t="shared" si="5"/>
        <v>19</v>
      </c>
      <c r="H37" s="64">
        <f t="shared" si="6"/>
        <v>38</v>
      </c>
      <c r="I37" s="68">
        <f t="shared" si="9"/>
        <v>55103.61</v>
      </c>
      <c r="J37" s="2"/>
      <c r="K37" s="2"/>
      <c r="M37" s="38"/>
      <c r="N37" s="39"/>
      <c r="O37" s="39"/>
      <c r="P37" s="39"/>
      <c r="Q37" s="39"/>
      <c r="R37" s="39"/>
      <c r="S37" s="39"/>
      <c r="T37" s="39"/>
      <c r="U37" s="42"/>
    </row>
    <row r="38" spans="1:21" s="1" customFormat="1" ht="12.75" x14ac:dyDescent="0.2">
      <c r="A38" s="63" t="s">
        <v>135</v>
      </c>
      <c r="B38" s="64">
        <v>20</v>
      </c>
      <c r="C38" s="64">
        <v>1</v>
      </c>
      <c r="D38" s="64">
        <f t="shared" si="0"/>
        <v>20</v>
      </c>
      <c r="E38" s="64">
        <v>19</v>
      </c>
      <c r="F38" s="72">
        <f t="shared" si="8"/>
        <v>380</v>
      </c>
      <c r="G38" s="64">
        <f t="shared" si="5"/>
        <v>19</v>
      </c>
      <c r="H38" s="64">
        <f t="shared" si="6"/>
        <v>38</v>
      </c>
      <c r="I38" s="68">
        <f t="shared" si="9"/>
        <v>55103.61</v>
      </c>
      <c r="J38" s="12"/>
      <c r="K38" s="2"/>
      <c r="M38" s="38"/>
      <c r="N38" s="39"/>
      <c r="O38" s="39"/>
      <c r="P38" s="39"/>
      <c r="Q38" s="39"/>
      <c r="R38" s="39"/>
      <c r="S38" s="39"/>
      <c r="T38" s="39"/>
      <c r="U38" s="42"/>
    </row>
    <row r="39" spans="1:21" s="1" customFormat="1" ht="12.75" x14ac:dyDescent="0.2">
      <c r="A39" s="27" t="s">
        <v>86</v>
      </c>
      <c r="B39" s="70"/>
      <c r="C39" s="70"/>
      <c r="D39" s="70"/>
      <c r="E39" s="70"/>
      <c r="F39" s="108">
        <f>SUM(F20:H38)</f>
        <v>21603.094999999998</v>
      </c>
      <c r="G39" s="108"/>
      <c r="H39" s="108"/>
      <c r="I39" s="76">
        <f>SUM(I20:I38)</f>
        <v>2724046.9603499998</v>
      </c>
      <c r="J39" s="9"/>
      <c r="K39" s="8"/>
      <c r="L39" s="2"/>
      <c r="M39" s="38"/>
      <c r="N39" s="39"/>
      <c r="O39" s="39"/>
      <c r="P39" s="39"/>
      <c r="Q39" s="39"/>
      <c r="R39" s="39"/>
      <c r="S39" s="39"/>
      <c r="T39" s="39"/>
      <c r="U39" s="42"/>
    </row>
    <row r="40" spans="1:21" s="1" customFormat="1" ht="13.15" customHeight="1" x14ac:dyDescent="0.2">
      <c r="A40" s="77" t="s">
        <v>87</v>
      </c>
      <c r="B40" s="86"/>
      <c r="C40" s="86"/>
      <c r="D40" s="86"/>
      <c r="E40" s="86"/>
      <c r="F40" s="105">
        <f>ROUND(F39+F19,-2)</f>
        <v>21900</v>
      </c>
      <c r="G40" s="106"/>
      <c r="H40" s="107"/>
      <c r="I40" s="87">
        <f>ROUND(I39+I19,-4)</f>
        <v>2760000</v>
      </c>
      <c r="J40" s="13"/>
      <c r="K40" s="34">
        <f>F40/Responses!E12</f>
        <v>480.26315789473688</v>
      </c>
      <c r="L40" s="34" t="s">
        <v>12</v>
      </c>
      <c r="M40" s="38"/>
      <c r="N40" s="39"/>
      <c r="O40" s="39"/>
      <c r="P40" s="39"/>
      <c r="Q40" s="39"/>
      <c r="R40" s="41"/>
      <c r="S40" s="39"/>
      <c r="T40" s="39"/>
      <c r="U40" s="42"/>
    </row>
    <row r="41" spans="1:21" s="1" customFormat="1" ht="13.5" customHeight="1" x14ac:dyDescent="0.2">
      <c r="A41" s="78" t="s">
        <v>88</v>
      </c>
      <c r="B41" s="70"/>
      <c r="C41" s="70"/>
      <c r="D41" s="70"/>
      <c r="E41" s="70"/>
      <c r="F41" s="75"/>
      <c r="G41" s="75"/>
      <c r="H41" s="75"/>
      <c r="I41" s="71">
        <f>'Capital O&amp;M'!I7</f>
        <v>216000</v>
      </c>
      <c r="J41" s="13"/>
      <c r="K41" s="11"/>
      <c r="L41" s="2"/>
      <c r="M41" s="38"/>
      <c r="N41" s="39"/>
      <c r="O41" s="39"/>
      <c r="P41" s="39"/>
      <c r="Q41" s="39"/>
      <c r="R41" s="39"/>
      <c r="S41" s="39"/>
      <c r="T41" s="39"/>
      <c r="U41" s="42"/>
    </row>
    <row r="42" spans="1:21" s="1" customFormat="1" ht="13.5" customHeight="1" x14ac:dyDescent="0.25">
      <c r="A42" s="78" t="s">
        <v>89</v>
      </c>
      <c r="B42" s="70"/>
      <c r="C42" s="70"/>
      <c r="D42" s="70"/>
      <c r="E42" s="70"/>
      <c r="F42" s="75"/>
      <c r="G42" s="75"/>
      <c r="H42" s="75"/>
      <c r="I42" s="71">
        <f>ROUND(I41+I40, -4)</f>
        <v>2980000</v>
      </c>
      <c r="J42" s="2"/>
      <c r="M42" s="45"/>
      <c r="N42" s="45"/>
      <c r="O42" s="45"/>
      <c r="P42" s="45"/>
      <c r="Q42" s="45"/>
      <c r="R42" s="46"/>
      <c r="S42" s="46"/>
      <c r="T42" s="46"/>
      <c r="U42" s="47"/>
    </row>
    <row r="43" spans="1:21" s="1" customFormat="1" ht="13.5" customHeight="1" x14ac:dyDescent="0.25">
      <c r="A43"/>
      <c r="B43"/>
      <c r="C43"/>
      <c r="D43"/>
      <c r="E43"/>
      <c r="F43"/>
      <c r="G43"/>
      <c r="H43"/>
      <c r="I43"/>
      <c r="J43" s="2"/>
      <c r="M43" s="48"/>
      <c r="N43" s="48"/>
      <c r="O43" s="48"/>
      <c r="P43" s="48"/>
      <c r="Q43" s="48"/>
      <c r="R43" s="46"/>
      <c r="S43" s="46"/>
      <c r="T43" s="46"/>
      <c r="U43" s="47"/>
    </row>
    <row r="44" spans="1:21" s="1" customFormat="1" ht="15.75" x14ac:dyDescent="0.25">
      <c r="A44" s="79" t="s">
        <v>90</v>
      </c>
      <c r="B44"/>
      <c r="C44"/>
      <c r="D44"/>
      <c r="E44"/>
      <c r="F44"/>
      <c r="G44"/>
      <c r="H44"/>
      <c r="I44"/>
      <c r="J44" s="2"/>
      <c r="M44" s="48"/>
      <c r="N44" s="48"/>
      <c r="O44" s="48"/>
      <c r="P44" s="48"/>
      <c r="Q44" s="48"/>
      <c r="R44" s="48"/>
      <c r="S44" s="48"/>
      <c r="T44" s="48"/>
      <c r="U44" s="47"/>
    </row>
    <row r="45" spans="1:21" s="1" customFormat="1" ht="27.6" customHeight="1" x14ac:dyDescent="0.25">
      <c r="A45" s="90" t="s">
        <v>122</v>
      </c>
      <c r="B45"/>
      <c r="C45"/>
      <c r="D45"/>
      <c r="E45"/>
      <c r="F45"/>
      <c r="G45"/>
      <c r="H45"/>
      <c r="I45"/>
      <c r="J45" s="2"/>
      <c r="M45" s="48"/>
      <c r="N45" s="48"/>
      <c r="O45" s="48"/>
      <c r="P45" s="48"/>
      <c r="Q45" s="48"/>
      <c r="R45" s="48"/>
      <c r="S45" s="48"/>
      <c r="T45" s="48"/>
      <c r="U45" s="47"/>
    </row>
    <row r="46" spans="1:21" s="1" customFormat="1" ht="78.599999999999994" customHeight="1" x14ac:dyDescent="0.2">
      <c r="A46" s="103" t="s">
        <v>106</v>
      </c>
      <c r="B46" s="103"/>
      <c r="C46" s="103"/>
      <c r="D46" s="103"/>
      <c r="E46" s="103"/>
      <c r="F46" s="103"/>
      <c r="G46" s="103"/>
      <c r="H46" s="103"/>
      <c r="I46" s="103"/>
      <c r="J46" s="2"/>
      <c r="M46" s="29"/>
      <c r="N46" s="29"/>
      <c r="O46" s="29"/>
      <c r="P46" s="29"/>
      <c r="Q46" s="29"/>
      <c r="R46" s="29"/>
      <c r="S46" s="29"/>
      <c r="T46" s="29"/>
      <c r="U46" s="29"/>
    </row>
    <row r="47" spans="1:21" s="1" customFormat="1" ht="18.75" x14ac:dyDescent="0.25">
      <c r="A47" s="80" t="s">
        <v>128</v>
      </c>
      <c r="B47"/>
      <c r="C47"/>
      <c r="D47"/>
      <c r="E47"/>
      <c r="F47"/>
      <c r="G47"/>
      <c r="H47"/>
      <c r="I47"/>
      <c r="M47" s="29"/>
      <c r="N47" s="29"/>
      <c r="O47" s="29"/>
      <c r="P47" s="29"/>
      <c r="Q47" s="29"/>
      <c r="R47" s="29"/>
      <c r="S47" s="29"/>
      <c r="T47" s="29"/>
      <c r="U47" s="29"/>
    </row>
    <row r="48" spans="1:21" s="1" customFormat="1" ht="18.75" x14ac:dyDescent="0.25">
      <c r="A48" s="80" t="s">
        <v>113</v>
      </c>
      <c r="B48"/>
      <c r="C48"/>
      <c r="D48"/>
      <c r="E48"/>
      <c r="F48"/>
      <c r="G48"/>
      <c r="H48"/>
      <c r="I48"/>
      <c r="M48" s="49"/>
      <c r="N48" s="49"/>
      <c r="O48" s="49"/>
      <c r="P48" s="49"/>
      <c r="Q48" s="49"/>
      <c r="R48" s="49"/>
      <c r="S48" s="49"/>
      <c r="T48" s="49"/>
      <c r="U48" s="49"/>
    </row>
    <row r="49" spans="1:21" s="1" customFormat="1" ht="18.75" x14ac:dyDescent="0.25">
      <c r="A49" s="80" t="s">
        <v>114</v>
      </c>
      <c r="B49"/>
      <c r="C49"/>
      <c r="D49"/>
      <c r="E49"/>
      <c r="F49"/>
      <c r="G49"/>
      <c r="H49"/>
      <c r="I49"/>
      <c r="M49" s="29"/>
      <c r="N49" s="29"/>
      <c r="O49" s="29"/>
      <c r="P49" s="29"/>
      <c r="Q49" s="29"/>
      <c r="R49" s="29"/>
      <c r="S49" s="29"/>
      <c r="T49" s="29"/>
      <c r="U49" s="29"/>
    </row>
    <row r="50" spans="1:21" s="1" customFormat="1" ht="16.899999999999999" customHeight="1" x14ac:dyDescent="0.25">
      <c r="A50" s="90" t="s">
        <v>149</v>
      </c>
      <c r="B50"/>
      <c r="C50"/>
      <c r="D50"/>
      <c r="E50"/>
      <c r="F50"/>
      <c r="G50"/>
      <c r="H50"/>
      <c r="I50"/>
      <c r="M50" s="29"/>
      <c r="N50" s="29"/>
      <c r="O50" s="29"/>
      <c r="P50" s="29"/>
      <c r="Q50" s="29"/>
      <c r="R50" s="29"/>
      <c r="S50" s="29"/>
      <c r="T50" s="29"/>
      <c r="U50" s="29"/>
    </row>
    <row r="51" spans="1:21" ht="18.75" x14ac:dyDescent="0.25">
      <c r="A51" s="80" t="s">
        <v>115</v>
      </c>
    </row>
    <row r="52" spans="1:21" ht="18.75" x14ac:dyDescent="0.25">
      <c r="A52" s="80" t="s">
        <v>116</v>
      </c>
    </row>
    <row r="53" spans="1:21" ht="18.75" x14ac:dyDescent="0.25">
      <c r="A53" s="80" t="s">
        <v>117</v>
      </c>
    </row>
    <row r="54" spans="1:21" ht="18.75" x14ac:dyDescent="0.25">
      <c r="A54" s="80" t="s">
        <v>118</v>
      </c>
    </row>
    <row r="55" spans="1:21" ht="18.75" x14ac:dyDescent="0.25">
      <c r="A55" s="80" t="s">
        <v>119</v>
      </c>
    </row>
    <row r="56" spans="1:21" ht="18.75" x14ac:dyDescent="0.25">
      <c r="A56" s="80" t="s">
        <v>120</v>
      </c>
    </row>
    <row r="57" spans="1:21" ht="15.75" x14ac:dyDescent="0.25">
      <c r="A57" s="90" t="s">
        <v>138</v>
      </c>
    </row>
    <row r="58" spans="1:21" ht="18.75" x14ac:dyDescent="0.25">
      <c r="A58" s="80" t="s">
        <v>136</v>
      </c>
    </row>
    <row r="59" spans="1:21" ht="15.75" x14ac:dyDescent="0.25">
      <c r="A59" s="93" t="s">
        <v>137</v>
      </c>
    </row>
    <row r="60" spans="1:21" ht="15.75" x14ac:dyDescent="0.25">
      <c r="A60" s="90" t="s">
        <v>121</v>
      </c>
    </row>
    <row r="64" spans="1:21" ht="15.75" customHeight="1" x14ac:dyDescent="0.25"/>
    <row r="65" ht="15" customHeight="1" x14ac:dyDescent="0.25"/>
  </sheetData>
  <sortState xmlns:xlrd2="http://schemas.microsoft.com/office/spreadsheetml/2017/richdata2" ref="A55:C70">
    <sortCondition ref="C55:C70"/>
  </sortState>
  <mergeCells count="14">
    <mergeCell ref="I3:I4"/>
    <mergeCell ref="F19:H19"/>
    <mergeCell ref="K4:L4"/>
    <mergeCell ref="A46:I46"/>
    <mergeCell ref="A3:A4"/>
    <mergeCell ref="B3:B4"/>
    <mergeCell ref="C3:C4"/>
    <mergeCell ref="D3:D4"/>
    <mergeCell ref="E3:E4"/>
    <mergeCell ref="F40:H40"/>
    <mergeCell ref="F39:H39"/>
    <mergeCell ref="F3:F4"/>
    <mergeCell ref="G3:G4"/>
    <mergeCell ref="H3:H4"/>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0"/>
  <sheetViews>
    <sheetView workbookViewId="0">
      <selection activeCell="M12" sqref="M12"/>
    </sheetView>
  </sheetViews>
  <sheetFormatPr defaultRowHeight="15" x14ac:dyDescent="0.25"/>
  <cols>
    <col min="1" max="1" width="37.42578125" customWidth="1"/>
    <col min="2" max="2" width="14.42578125" customWidth="1"/>
    <col min="3" max="4" width="14.140625" customWidth="1"/>
    <col min="5" max="5" width="14" customWidth="1"/>
    <col min="6" max="6" width="12.5703125" customWidth="1"/>
    <col min="8" max="8" width="11.7109375" customWidth="1"/>
    <col min="9" max="9" width="14.28515625" customWidth="1"/>
    <col min="10" max="10" width="8.140625" customWidth="1"/>
    <col min="11" max="11" width="11.85546875" customWidth="1"/>
  </cols>
  <sheetData>
    <row r="1" spans="1:12" ht="15.75" x14ac:dyDescent="0.25">
      <c r="A1" s="31" t="s">
        <v>152</v>
      </c>
      <c r="B1" s="1"/>
      <c r="C1" s="1"/>
      <c r="D1" s="1"/>
      <c r="E1" s="1"/>
      <c r="F1" s="1"/>
      <c r="G1" s="1"/>
      <c r="H1" s="1"/>
      <c r="I1" s="1"/>
      <c r="J1" s="84"/>
    </row>
    <row r="2" spans="1:12" ht="15.75" x14ac:dyDescent="0.25">
      <c r="A2" s="81" t="s">
        <v>91</v>
      </c>
    </row>
    <row r="3" spans="1:12" ht="76.5" x14ac:dyDescent="0.25">
      <c r="A3" s="28" t="s">
        <v>92</v>
      </c>
      <c r="B3" s="28" t="s">
        <v>93</v>
      </c>
      <c r="C3" s="28" t="s">
        <v>15</v>
      </c>
      <c r="D3" s="28" t="s">
        <v>94</v>
      </c>
      <c r="E3" s="28" t="s">
        <v>49</v>
      </c>
      <c r="F3" s="28" t="s">
        <v>50</v>
      </c>
      <c r="G3" s="28" t="s">
        <v>51</v>
      </c>
      <c r="H3" s="28" t="s">
        <v>52</v>
      </c>
      <c r="I3" s="28" t="s">
        <v>53</v>
      </c>
      <c r="J3" s="1"/>
      <c r="K3" s="1"/>
      <c r="L3" s="1"/>
    </row>
    <row r="4" spans="1:12" ht="18.75" x14ac:dyDescent="0.25">
      <c r="A4" s="63" t="s">
        <v>95</v>
      </c>
      <c r="B4" s="64">
        <v>4</v>
      </c>
      <c r="C4" s="64">
        <v>1</v>
      </c>
      <c r="D4" s="64">
        <f>B4*C4</f>
        <v>4</v>
      </c>
      <c r="E4" s="64">
        <v>0</v>
      </c>
      <c r="F4" s="64">
        <f>D4*E4</f>
        <v>0</v>
      </c>
      <c r="G4" s="64">
        <f>F4*0.05</f>
        <v>0</v>
      </c>
      <c r="H4" s="64">
        <f>F4*0.1</f>
        <v>0</v>
      </c>
      <c r="I4" s="82">
        <f>F4*$L$6+G4*$L$5+H4*$L$7</f>
        <v>0</v>
      </c>
      <c r="J4" s="1"/>
      <c r="K4" s="102" t="s">
        <v>7</v>
      </c>
      <c r="L4" s="102"/>
    </row>
    <row r="5" spans="1:12" ht="18.75" x14ac:dyDescent="0.25">
      <c r="A5" s="63" t="s">
        <v>96</v>
      </c>
      <c r="B5" s="64">
        <v>4</v>
      </c>
      <c r="C5" s="64">
        <v>1</v>
      </c>
      <c r="D5" s="64">
        <f t="shared" ref="D5:D12" si="0">B5*C5</f>
        <v>4</v>
      </c>
      <c r="E5" s="64">
        <v>0</v>
      </c>
      <c r="F5" s="64">
        <f t="shared" ref="F5:F12" si="1">D5*E5</f>
        <v>0</v>
      </c>
      <c r="G5" s="64">
        <f t="shared" ref="G5:G12" si="2">F5*0.05</f>
        <v>0</v>
      </c>
      <c r="H5" s="64">
        <f t="shared" ref="H5:H12" si="3">F5*0.1</f>
        <v>0</v>
      </c>
      <c r="I5" s="82">
        <f t="shared" ref="I5:I12" si="4">F5*$L$6+G5*$L$5+H5*$L$7</f>
        <v>0</v>
      </c>
      <c r="J5" s="1"/>
      <c r="K5" s="10" t="s">
        <v>8</v>
      </c>
      <c r="L5" s="30">
        <v>73.459999999999994</v>
      </c>
    </row>
    <row r="6" spans="1:12" ht="18.600000000000001" customHeight="1" x14ac:dyDescent="0.25">
      <c r="A6" s="63" t="s">
        <v>97</v>
      </c>
      <c r="B6" s="64">
        <v>4</v>
      </c>
      <c r="C6" s="64">
        <v>1</v>
      </c>
      <c r="D6" s="64">
        <f t="shared" si="0"/>
        <v>4</v>
      </c>
      <c r="E6" s="64">
        <f>'Table 1'!E13</f>
        <v>3.8</v>
      </c>
      <c r="F6" s="64">
        <f t="shared" si="1"/>
        <v>15.2</v>
      </c>
      <c r="G6" s="64">
        <f t="shared" si="2"/>
        <v>0.76</v>
      </c>
      <c r="H6" s="64">
        <f t="shared" si="3"/>
        <v>1.52</v>
      </c>
      <c r="I6" s="82">
        <f t="shared" si="4"/>
        <v>929.22159999999997</v>
      </c>
      <c r="J6" s="1"/>
      <c r="K6" s="10" t="s">
        <v>16</v>
      </c>
      <c r="L6" s="30">
        <v>54.51</v>
      </c>
    </row>
    <row r="7" spans="1:12" ht="18.75" x14ac:dyDescent="0.25">
      <c r="A7" s="63" t="s">
        <v>98</v>
      </c>
      <c r="B7" s="64">
        <v>20</v>
      </c>
      <c r="C7" s="64">
        <v>1</v>
      </c>
      <c r="D7" s="64">
        <f t="shared" si="0"/>
        <v>20</v>
      </c>
      <c r="E7" s="64">
        <v>0</v>
      </c>
      <c r="F7" s="64">
        <f t="shared" si="1"/>
        <v>0</v>
      </c>
      <c r="G7" s="64">
        <f t="shared" si="2"/>
        <v>0</v>
      </c>
      <c r="H7" s="64">
        <f t="shared" si="3"/>
        <v>0</v>
      </c>
      <c r="I7" s="82">
        <f t="shared" si="4"/>
        <v>0</v>
      </c>
      <c r="J7" s="1"/>
      <c r="K7" s="10" t="s">
        <v>10</v>
      </c>
      <c r="L7" s="30">
        <v>29.5</v>
      </c>
    </row>
    <row r="8" spans="1:12" ht="18.75" x14ac:dyDescent="0.25">
      <c r="A8" s="91" t="s">
        <v>124</v>
      </c>
      <c r="B8" s="64">
        <v>20</v>
      </c>
      <c r="C8" s="64">
        <v>1</v>
      </c>
      <c r="D8" s="64">
        <f t="shared" si="0"/>
        <v>20</v>
      </c>
      <c r="E8" s="64">
        <v>0</v>
      </c>
      <c r="F8" s="64">
        <f t="shared" si="1"/>
        <v>0</v>
      </c>
      <c r="G8" s="64">
        <f t="shared" si="2"/>
        <v>0</v>
      </c>
      <c r="H8" s="64">
        <f t="shared" si="3"/>
        <v>0</v>
      </c>
      <c r="I8" s="82">
        <f t="shared" si="4"/>
        <v>0</v>
      </c>
      <c r="J8" s="8"/>
      <c r="K8" s="8"/>
      <c r="L8" s="1"/>
    </row>
    <row r="9" spans="1:12" ht="18.75" x14ac:dyDescent="0.25">
      <c r="A9" s="91" t="s">
        <v>125</v>
      </c>
      <c r="B9" s="64">
        <v>20</v>
      </c>
      <c r="C9" s="64">
        <v>2</v>
      </c>
      <c r="D9" s="64">
        <f t="shared" si="0"/>
        <v>40</v>
      </c>
      <c r="E9" s="64">
        <v>19</v>
      </c>
      <c r="F9" s="64">
        <f t="shared" si="1"/>
        <v>760</v>
      </c>
      <c r="G9" s="64">
        <f t="shared" si="2"/>
        <v>38</v>
      </c>
      <c r="H9" s="64">
        <f t="shared" si="3"/>
        <v>76</v>
      </c>
      <c r="I9" s="82">
        <f t="shared" si="4"/>
        <v>46461.08</v>
      </c>
      <c r="J9" s="8"/>
      <c r="K9" s="8"/>
      <c r="L9" s="2"/>
    </row>
    <row r="10" spans="1:12" ht="18.75" x14ac:dyDescent="0.25">
      <c r="A10" s="63" t="s">
        <v>99</v>
      </c>
      <c r="B10" s="64">
        <v>10</v>
      </c>
      <c r="C10" s="64">
        <v>1</v>
      </c>
      <c r="D10" s="64">
        <f t="shared" si="0"/>
        <v>10</v>
      </c>
      <c r="E10" s="64">
        <v>0</v>
      </c>
      <c r="F10" s="64">
        <f t="shared" si="1"/>
        <v>0</v>
      </c>
      <c r="G10" s="64">
        <f t="shared" si="2"/>
        <v>0</v>
      </c>
      <c r="H10" s="64">
        <f t="shared" si="3"/>
        <v>0</v>
      </c>
      <c r="I10" s="82">
        <f t="shared" si="4"/>
        <v>0</v>
      </c>
      <c r="J10" s="11"/>
      <c r="K10" s="11"/>
      <c r="L10" s="35"/>
    </row>
    <row r="11" spans="1:12" ht="21.6" customHeight="1" x14ac:dyDescent="0.25">
      <c r="A11" s="91" t="s">
        <v>127</v>
      </c>
      <c r="B11" s="64">
        <v>8</v>
      </c>
      <c r="C11" s="64">
        <v>10</v>
      </c>
      <c r="D11" s="64">
        <f t="shared" si="0"/>
        <v>80</v>
      </c>
      <c r="E11" s="64">
        <v>0</v>
      </c>
      <c r="F11" s="64">
        <f t="shared" si="1"/>
        <v>0</v>
      </c>
      <c r="G11" s="64">
        <f t="shared" si="2"/>
        <v>0</v>
      </c>
      <c r="H11" s="64">
        <f t="shared" si="3"/>
        <v>0</v>
      </c>
      <c r="I11" s="82">
        <f t="shared" si="4"/>
        <v>0</v>
      </c>
      <c r="J11" s="1"/>
      <c r="K11" s="1"/>
      <c r="L11" s="1"/>
    </row>
    <row r="12" spans="1:12" x14ac:dyDescent="0.25">
      <c r="A12" s="63" t="s">
        <v>100</v>
      </c>
      <c r="B12" s="64">
        <v>20</v>
      </c>
      <c r="C12" s="64">
        <v>1</v>
      </c>
      <c r="D12" s="64">
        <f t="shared" si="0"/>
        <v>20</v>
      </c>
      <c r="E12" s="64">
        <v>0</v>
      </c>
      <c r="F12" s="64">
        <f t="shared" si="1"/>
        <v>0</v>
      </c>
      <c r="G12" s="64">
        <f t="shared" si="2"/>
        <v>0</v>
      </c>
      <c r="H12" s="64">
        <f t="shared" si="3"/>
        <v>0</v>
      </c>
      <c r="I12" s="82">
        <f t="shared" si="4"/>
        <v>0</v>
      </c>
      <c r="J12" s="1"/>
      <c r="K12" s="1"/>
      <c r="L12" s="1"/>
    </row>
    <row r="13" spans="1:12" x14ac:dyDescent="0.25">
      <c r="A13" s="110" t="s">
        <v>126</v>
      </c>
      <c r="B13" s="112"/>
      <c r="C13" s="112"/>
      <c r="D13" s="112"/>
      <c r="E13" s="112"/>
      <c r="F13" s="101">
        <f>SUM(F4:H12)</f>
        <v>891.48</v>
      </c>
      <c r="G13" s="101"/>
      <c r="H13" s="101"/>
      <c r="I13" s="113">
        <f>ROUND(SUM(I4:I12),-2)</f>
        <v>47400</v>
      </c>
      <c r="J13" s="1"/>
      <c r="K13" s="1"/>
      <c r="L13" s="1"/>
    </row>
    <row r="14" spans="1:12" x14ac:dyDescent="0.25">
      <c r="A14" s="111"/>
      <c r="B14" s="112"/>
      <c r="C14" s="112"/>
      <c r="D14" s="112"/>
      <c r="E14" s="112"/>
      <c r="F14" s="101"/>
      <c r="G14" s="101"/>
      <c r="H14" s="101"/>
      <c r="I14" s="113"/>
      <c r="J14" s="1"/>
      <c r="K14" s="1"/>
      <c r="L14" s="1"/>
    </row>
    <row r="15" spans="1:12" ht="18.75" customHeight="1" x14ac:dyDescent="0.25">
      <c r="A15" s="32" t="s">
        <v>13</v>
      </c>
      <c r="J15" s="1"/>
      <c r="K15" s="1"/>
      <c r="L15" s="1"/>
    </row>
    <row r="16" spans="1:12" ht="16.5" x14ac:dyDescent="0.25">
      <c r="A16" s="97" t="s">
        <v>150</v>
      </c>
      <c r="J16" s="1"/>
      <c r="K16" s="1"/>
      <c r="L16" s="1"/>
    </row>
    <row r="17" spans="1:12" ht="54.6" customHeight="1" x14ac:dyDescent="0.25">
      <c r="A17" s="109" t="s">
        <v>107</v>
      </c>
      <c r="B17" s="109"/>
      <c r="C17" s="109"/>
      <c r="D17" s="109"/>
      <c r="E17" s="109"/>
      <c r="F17" s="109"/>
      <c r="G17" s="109"/>
      <c r="H17" s="109"/>
      <c r="I17" s="109"/>
      <c r="J17" s="1"/>
      <c r="K17" s="1"/>
      <c r="L17" s="1"/>
    </row>
    <row r="18" spans="1:12" ht="14.45" customHeight="1" x14ac:dyDescent="0.25">
      <c r="A18" s="83" t="s">
        <v>108</v>
      </c>
      <c r="J18" s="1"/>
      <c r="K18" s="1"/>
      <c r="L18" s="1"/>
    </row>
    <row r="19" spans="1:12" ht="14.45" customHeight="1" x14ac:dyDescent="0.25">
      <c r="A19" s="80" t="s">
        <v>109</v>
      </c>
      <c r="J19" s="1"/>
      <c r="K19" s="1"/>
      <c r="L19" s="1"/>
    </row>
    <row r="20" spans="1:12" ht="14.45" customHeight="1" x14ac:dyDescent="0.25">
      <c r="A20" s="89" t="s">
        <v>123</v>
      </c>
      <c r="B20" s="62"/>
      <c r="C20" s="62"/>
      <c r="D20" s="62"/>
      <c r="E20" s="62"/>
      <c r="F20" s="62"/>
      <c r="G20" s="62"/>
      <c r="H20" s="62"/>
      <c r="I20" s="62"/>
      <c r="J20" s="1"/>
      <c r="K20" s="1"/>
      <c r="L20" s="1"/>
    </row>
    <row r="21" spans="1:12" ht="15.75" x14ac:dyDescent="0.25">
      <c r="A21" s="89" t="s">
        <v>112</v>
      </c>
      <c r="F21" s="84"/>
      <c r="J21" s="1"/>
      <c r="K21" s="1"/>
      <c r="L21" s="1"/>
    </row>
    <row r="22" spans="1:12" ht="15.75" x14ac:dyDescent="0.25">
      <c r="A22" s="90" t="s">
        <v>110</v>
      </c>
      <c r="J22" s="1"/>
      <c r="K22" s="1"/>
      <c r="L22" s="1"/>
    </row>
    <row r="23" spans="1:12" ht="15.75" x14ac:dyDescent="0.25">
      <c r="A23" s="90" t="s">
        <v>111</v>
      </c>
      <c r="J23" s="1"/>
      <c r="K23" s="1"/>
      <c r="L23" s="1"/>
    </row>
    <row r="24" spans="1:12" x14ac:dyDescent="0.25">
      <c r="J24" s="1"/>
      <c r="K24" s="1"/>
      <c r="L24" s="1"/>
    </row>
    <row r="25" spans="1:12" x14ac:dyDescent="0.25">
      <c r="J25" s="1"/>
      <c r="K25" s="1"/>
      <c r="L25" s="1"/>
    </row>
    <row r="26" spans="1:12" x14ac:dyDescent="0.25">
      <c r="J26" s="1"/>
      <c r="K26" s="1"/>
      <c r="L26" s="1"/>
    </row>
    <row r="27" spans="1:12" x14ac:dyDescent="0.25">
      <c r="J27" s="1"/>
      <c r="K27" s="1"/>
      <c r="L27" s="1"/>
    </row>
    <row r="28" spans="1:12" x14ac:dyDescent="0.25">
      <c r="J28" s="1"/>
      <c r="K28" s="1"/>
      <c r="L28" s="1"/>
    </row>
    <row r="29" spans="1:12" x14ac:dyDescent="0.25">
      <c r="J29" s="1"/>
      <c r="K29" s="1"/>
      <c r="L29" s="1"/>
    </row>
    <row r="30" spans="1:12" x14ac:dyDescent="0.25">
      <c r="J30" s="1"/>
      <c r="K30" s="1"/>
      <c r="L30" s="1"/>
    </row>
  </sheetData>
  <mergeCells count="9">
    <mergeCell ref="K4:L4"/>
    <mergeCell ref="A17:I17"/>
    <mergeCell ref="A13:A14"/>
    <mergeCell ref="B13:B14"/>
    <mergeCell ref="C13:C14"/>
    <mergeCell ref="D13:D14"/>
    <mergeCell ref="E13:E14"/>
    <mergeCell ref="F13:H14"/>
    <mergeCell ref="I13:I1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J11"/>
  <sheetViews>
    <sheetView zoomScale="90" zoomScaleNormal="90" workbookViewId="0">
      <selection activeCell="F17" sqref="F17"/>
    </sheetView>
  </sheetViews>
  <sheetFormatPr defaultColWidth="22" defaultRowHeight="12.75" x14ac:dyDescent="0.2"/>
  <cols>
    <col min="1" max="1" width="22" style="15"/>
    <col min="2" max="2" width="18.5703125" style="15" customWidth="1"/>
    <col min="3" max="3" width="17.28515625" style="15" customWidth="1"/>
    <col min="4" max="4" width="22" style="15"/>
    <col min="5" max="5" width="19.85546875" style="15" customWidth="1"/>
    <col min="6" max="7" width="16.85546875" style="15" customWidth="1"/>
    <col min="8" max="8" width="6" style="15" customWidth="1"/>
    <col min="9" max="16384" width="22" style="15"/>
  </cols>
  <sheetData>
    <row r="1" spans="1:10" x14ac:dyDescent="0.2">
      <c r="A1" s="4"/>
      <c r="B1" s="5"/>
      <c r="C1" s="5"/>
    </row>
    <row r="2" spans="1:10" x14ac:dyDescent="0.2">
      <c r="A2" s="114" t="s">
        <v>17</v>
      </c>
      <c r="B2" s="114"/>
      <c r="C2" s="114"/>
      <c r="D2" s="114"/>
      <c r="E2" s="114"/>
      <c r="F2" s="114"/>
      <c r="G2" s="115"/>
      <c r="H2" s="24"/>
    </row>
    <row r="3" spans="1:10" x14ac:dyDescent="0.2">
      <c r="A3" s="20" t="s">
        <v>18</v>
      </c>
      <c r="B3" s="20" t="s">
        <v>19</v>
      </c>
      <c r="C3" s="20" t="s">
        <v>20</v>
      </c>
      <c r="D3" s="20" t="s">
        <v>21</v>
      </c>
      <c r="E3" s="20" t="s">
        <v>22</v>
      </c>
      <c r="F3" s="20" t="s">
        <v>23</v>
      </c>
      <c r="G3" s="20" t="s">
        <v>24</v>
      </c>
      <c r="H3" s="24"/>
    </row>
    <row r="4" spans="1:10" ht="46.5" customHeight="1" x14ac:dyDescent="0.2">
      <c r="A4" s="85" t="s">
        <v>25</v>
      </c>
      <c r="B4" s="85" t="s">
        <v>146</v>
      </c>
      <c r="C4" s="85" t="s">
        <v>142</v>
      </c>
      <c r="D4" s="85" t="s">
        <v>26</v>
      </c>
      <c r="E4" s="85" t="s">
        <v>141</v>
      </c>
      <c r="F4" s="85" t="s">
        <v>27</v>
      </c>
      <c r="G4" s="85" t="s">
        <v>28</v>
      </c>
      <c r="H4" s="24"/>
      <c r="I4" s="1" t="s">
        <v>140</v>
      </c>
      <c r="J4" s="1">
        <v>607.5</v>
      </c>
    </row>
    <row r="5" spans="1:10" ht="36.75" customHeight="1" x14ac:dyDescent="0.2">
      <c r="A5" s="116" t="s">
        <v>103</v>
      </c>
      <c r="B5" s="21">
        <f>712*(J5/J4)</f>
        <v>956.3654320987655</v>
      </c>
      <c r="C5" s="17">
        <v>0</v>
      </c>
      <c r="D5" s="21">
        <f>B5*C5</f>
        <v>0</v>
      </c>
      <c r="E5" s="21">
        <f>8473*(J5/J4)</f>
        <v>11381.017283950618</v>
      </c>
      <c r="F5" s="17" t="s">
        <v>104</v>
      </c>
      <c r="G5" s="21">
        <f>E5*19</f>
        <v>216239.32839506175</v>
      </c>
      <c r="H5" s="25"/>
      <c r="I5" s="1" t="s">
        <v>139</v>
      </c>
      <c r="J5" s="1">
        <v>816</v>
      </c>
    </row>
    <row r="6" spans="1:10" ht="36.75" customHeight="1" x14ac:dyDescent="0.2">
      <c r="A6" s="116"/>
      <c r="B6" s="16" t="s">
        <v>55</v>
      </c>
      <c r="C6" s="16" t="s">
        <v>55</v>
      </c>
      <c r="D6" s="16" t="s">
        <v>55</v>
      </c>
      <c r="E6" s="21">
        <f>16385*(J5/J4)</f>
        <v>22008.493827160495</v>
      </c>
      <c r="F6" s="17" t="s">
        <v>105</v>
      </c>
      <c r="G6" s="21">
        <f>E6*0</f>
        <v>0</v>
      </c>
      <c r="H6" s="25"/>
    </row>
    <row r="7" spans="1:10" ht="46.5" customHeight="1" x14ac:dyDescent="0.2">
      <c r="A7" s="22" t="s">
        <v>29</v>
      </c>
      <c r="B7" s="17"/>
      <c r="C7" s="17"/>
      <c r="D7" s="23">
        <f>ROUND(SUM(D5:D6), -3)</f>
        <v>0</v>
      </c>
      <c r="E7" s="17"/>
      <c r="F7" s="17"/>
      <c r="G7" s="23">
        <f>ROUND(SUM(G5:G6), -3)</f>
        <v>216000</v>
      </c>
      <c r="I7" s="54">
        <f>D7+G7</f>
        <v>216000</v>
      </c>
    </row>
    <row r="8" spans="1:10" ht="15.75" x14ac:dyDescent="0.2">
      <c r="A8" s="1" t="s">
        <v>143</v>
      </c>
      <c r="B8" s="53"/>
      <c r="C8" s="53"/>
      <c r="D8" s="26"/>
      <c r="E8" s="53"/>
      <c r="F8" s="53"/>
      <c r="G8" s="26"/>
    </row>
    <row r="9" spans="1:10" ht="15.75" x14ac:dyDescent="0.2">
      <c r="A9" s="90" t="s">
        <v>144</v>
      </c>
      <c r="B9" s="33"/>
      <c r="C9" s="33"/>
      <c r="D9" s="33"/>
      <c r="E9" s="33"/>
      <c r="F9" s="33"/>
      <c r="G9" s="33"/>
    </row>
    <row r="10" spans="1:10" ht="15.75" x14ac:dyDescent="0.2">
      <c r="A10" s="88" t="s">
        <v>145</v>
      </c>
      <c r="I10" s="95"/>
    </row>
    <row r="11" spans="1:10" x14ac:dyDescent="0.2">
      <c r="I11" s="95"/>
    </row>
  </sheetData>
  <mergeCells count="2">
    <mergeCell ref="A2:G2"/>
    <mergeCell ref="A5:A6"/>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21"/>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15" customFormat="1" ht="15.75" x14ac:dyDescent="0.2">
      <c r="A1" s="117" t="s">
        <v>5</v>
      </c>
      <c r="B1" s="117"/>
      <c r="C1" s="117"/>
      <c r="D1" s="117"/>
      <c r="E1" s="117"/>
    </row>
    <row r="2" spans="1:5" s="15" customFormat="1" ht="12.75" x14ac:dyDescent="0.2">
      <c r="A2" s="16" t="s">
        <v>18</v>
      </c>
      <c r="B2" s="16" t="s">
        <v>19</v>
      </c>
      <c r="C2" s="16" t="s">
        <v>20</v>
      </c>
      <c r="D2" s="16" t="s">
        <v>21</v>
      </c>
      <c r="E2" s="16" t="s">
        <v>22</v>
      </c>
    </row>
    <row r="3" spans="1:5" s="15" customFormat="1" ht="102" x14ac:dyDescent="0.2">
      <c r="A3" s="16" t="s">
        <v>30</v>
      </c>
      <c r="B3" s="16" t="s">
        <v>31</v>
      </c>
      <c r="C3" s="16" t="s">
        <v>32</v>
      </c>
      <c r="D3" s="16" t="s">
        <v>33</v>
      </c>
      <c r="E3" s="16" t="s">
        <v>34</v>
      </c>
    </row>
    <row r="4" spans="1:5" s="15" customFormat="1" ht="12.75" x14ac:dyDescent="0.2">
      <c r="A4" s="19" t="s">
        <v>129</v>
      </c>
      <c r="B4" s="17">
        <v>0</v>
      </c>
      <c r="C4" s="17">
        <v>1</v>
      </c>
      <c r="D4" s="17">
        <v>0</v>
      </c>
      <c r="E4" s="17">
        <v>0</v>
      </c>
    </row>
    <row r="5" spans="1:5" s="15" customFormat="1" ht="25.5" x14ac:dyDescent="0.2">
      <c r="A5" s="19" t="s">
        <v>130</v>
      </c>
      <c r="B5" s="17">
        <v>0</v>
      </c>
      <c r="C5" s="17">
        <v>1</v>
      </c>
      <c r="D5" s="17">
        <v>0</v>
      </c>
      <c r="E5" s="17">
        <v>0</v>
      </c>
    </row>
    <row r="6" spans="1:5" s="15" customFormat="1" ht="25.5" x14ac:dyDescent="0.2">
      <c r="A6" s="19" t="s">
        <v>101</v>
      </c>
      <c r="B6" s="17">
        <f>19/5</f>
        <v>3.8</v>
      </c>
      <c r="C6" s="17">
        <v>1</v>
      </c>
      <c r="D6" s="17">
        <v>0</v>
      </c>
      <c r="E6" s="17">
        <f>B6*C6+D6</f>
        <v>3.8</v>
      </c>
    </row>
    <row r="7" spans="1:5" s="15" customFormat="1" ht="25.5" x14ac:dyDescent="0.2">
      <c r="A7" s="19" t="s">
        <v>131</v>
      </c>
      <c r="B7" s="17">
        <v>0</v>
      </c>
      <c r="C7" s="17">
        <v>1</v>
      </c>
      <c r="D7" s="17">
        <v>0</v>
      </c>
      <c r="E7" s="17">
        <v>0</v>
      </c>
    </row>
    <row r="8" spans="1:5" s="15" customFormat="1" ht="12.75" x14ac:dyDescent="0.2">
      <c r="A8" s="19" t="s">
        <v>132</v>
      </c>
      <c r="B8" s="17">
        <v>0</v>
      </c>
      <c r="C8" s="17">
        <v>1</v>
      </c>
      <c r="D8" s="17">
        <v>0</v>
      </c>
      <c r="E8" s="17">
        <v>0</v>
      </c>
    </row>
    <row r="9" spans="1:5" s="15" customFormat="1" ht="25.5" x14ac:dyDescent="0.2">
      <c r="A9" s="19" t="s">
        <v>102</v>
      </c>
      <c r="B9" s="17">
        <v>19</v>
      </c>
      <c r="C9" s="17">
        <v>2</v>
      </c>
      <c r="D9" s="17">
        <v>0</v>
      </c>
      <c r="E9" s="17">
        <f t="shared" ref="E9:E11" si="0">B9*C9+D9</f>
        <v>38</v>
      </c>
    </row>
    <row r="10" spans="1:5" s="15" customFormat="1" ht="25.5" x14ac:dyDescent="0.2">
      <c r="A10" s="19" t="s">
        <v>133</v>
      </c>
      <c r="B10" s="17">
        <f>19/5</f>
        <v>3.8</v>
      </c>
      <c r="C10" s="17">
        <v>1</v>
      </c>
      <c r="D10" s="17">
        <v>0</v>
      </c>
      <c r="E10" s="17">
        <f t="shared" si="0"/>
        <v>3.8</v>
      </c>
    </row>
    <row r="11" spans="1:5" s="15" customFormat="1" ht="25.5" x14ac:dyDescent="0.2">
      <c r="A11" s="19" t="s">
        <v>134</v>
      </c>
      <c r="B11" s="17">
        <v>0</v>
      </c>
      <c r="C11" s="17">
        <v>10</v>
      </c>
      <c r="D11" s="17">
        <v>0</v>
      </c>
      <c r="E11" s="17">
        <f t="shared" si="0"/>
        <v>0</v>
      </c>
    </row>
    <row r="12" spans="1:5" s="15" customFormat="1" ht="12.75" x14ac:dyDescent="0.2">
      <c r="A12" s="19"/>
      <c r="B12" s="17"/>
      <c r="C12" s="17"/>
      <c r="D12" s="20" t="s">
        <v>35</v>
      </c>
      <c r="E12" s="52">
        <f>SUM(E4:E11)</f>
        <v>45.599999999999994</v>
      </c>
    </row>
    <row r="13" spans="1:5" s="15" customFormat="1" ht="15.75" x14ac:dyDescent="0.2">
      <c r="A13" s="1" t="s">
        <v>148</v>
      </c>
      <c r="B13" s="55"/>
      <c r="C13" s="55"/>
      <c r="D13" s="56"/>
      <c r="E13" s="57"/>
    </row>
    <row r="14" spans="1:5" x14ac:dyDescent="0.25">
      <c r="B14" s="53"/>
      <c r="C14" s="53"/>
      <c r="D14" s="53"/>
      <c r="E14" s="53"/>
    </row>
    <row r="15" spans="1:5" x14ac:dyDescent="0.25">
      <c r="A15" s="92"/>
      <c r="B15" s="53"/>
      <c r="C15" s="53"/>
      <c r="D15" s="53"/>
      <c r="E15" s="53"/>
    </row>
    <row r="16" spans="1:5" x14ac:dyDescent="0.25">
      <c r="A16" s="92"/>
      <c r="B16" s="53"/>
      <c r="C16" s="53"/>
      <c r="D16" s="53"/>
      <c r="E16" s="53"/>
    </row>
    <row r="17" spans="1:5" x14ac:dyDescent="0.25">
      <c r="A17" s="92"/>
      <c r="B17" s="53"/>
      <c r="C17" s="53"/>
      <c r="D17" s="53"/>
      <c r="E17" s="53"/>
    </row>
    <row r="18" spans="1:5" x14ac:dyDescent="0.25">
      <c r="A18" s="92"/>
      <c r="B18" s="53"/>
      <c r="C18" s="53"/>
      <c r="D18" s="53"/>
      <c r="E18" s="53"/>
    </row>
    <row r="19" spans="1:5" x14ac:dyDescent="0.25">
      <c r="A19" s="92"/>
      <c r="B19" s="53"/>
      <c r="C19" s="53"/>
      <c r="D19" s="53"/>
      <c r="E19" s="53"/>
    </row>
    <row r="20" spans="1:5" x14ac:dyDescent="0.25">
      <c r="A20" s="92"/>
      <c r="B20" s="53"/>
      <c r="C20" s="53"/>
      <c r="D20" s="53"/>
      <c r="E20" s="53"/>
    </row>
    <row r="21" spans="1:5" x14ac:dyDescent="0.25">
      <c r="A21" s="92"/>
      <c r="B21" s="53"/>
      <c r="C21" s="53"/>
      <c r="D21" s="53"/>
      <c r="E21" s="53"/>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109375" defaultRowHeight="31.9" customHeight="1" x14ac:dyDescent="0.25"/>
  <sheetData>
    <row r="1" spans="1:6" s="15" customFormat="1" ht="31.9" customHeight="1" x14ac:dyDescent="0.2">
      <c r="A1" s="117" t="s">
        <v>1</v>
      </c>
      <c r="B1" s="117"/>
      <c r="C1" s="117"/>
      <c r="D1" s="117"/>
      <c r="E1" s="117"/>
      <c r="F1" s="117"/>
    </row>
    <row r="2" spans="1:6" s="15" customFormat="1" ht="31.9" customHeight="1" x14ac:dyDescent="0.2">
      <c r="A2" s="27"/>
      <c r="B2" s="118" t="s">
        <v>36</v>
      </c>
      <c r="C2" s="118"/>
      <c r="D2" s="27" t="s">
        <v>37</v>
      </c>
      <c r="E2" s="118"/>
      <c r="F2" s="118"/>
    </row>
    <row r="3" spans="1:6" s="15" customFormat="1" ht="31.9" customHeight="1" x14ac:dyDescent="0.2">
      <c r="A3" s="27"/>
      <c r="B3" s="28" t="s">
        <v>18</v>
      </c>
      <c r="C3" s="28" t="s">
        <v>19</v>
      </c>
      <c r="D3" s="28" t="s">
        <v>20</v>
      </c>
      <c r="E3" s="28" t="s">
        <v>21</v>
      </c>
      <c r="F3" s="28" t="s">
        <v>22</v>
      </c>
    </row>
    <row r="4" spans="1:6" s="15" customFormat="1" ht="70.900000000000006" customHeight="1" x14ac:dyDescent="0.2">
      <c r="A4" s="28" t="s">
        <v>38</v>
      </c>
      <c r="B4" s="27" t="s">
        <v>39</v>
      </c>
      <c r="C4" s="27" t="s">
        <v>40</v>
      </c>
      <c r="D4" s="27" t="s">
        <v>41</v>
      </c>
      <c r="E4" s="27" t="s">
        <v>42</v>
      </c>
      <c r="F4" s="27" t="s">
        <v>43</v>
      </c>
    </row>
    <row r="5" spans="1:6" s="15" customFormat="1" ht="31.9" customHeight="1" x14ac:dyDescent="0.2">
      <c r="A5" s="16">
        <v>1</v>
      </c>
      <c r="B5" s="17">
        <v>0</v>
      </c>
      <c r="C5" s="17">
        <v>19</v>
      </c>
      <c r="D5" s="17">
        <v>0</v>
      </c>
      <c r="E5" s="17">
        <v>0</v>
      </c>
      <c r="F5" s="17">
        <f>B5+C5+D5-E5</f>
        <v>19</v>
      </c>
    </row>
    <row r="6" spans="1:6" s="15" customFormat="1" ht="31.9" customHeight="1" x14ac:dyDescent="0.2">
      <c r="A6" s="16">
        <v>2</v>
      </c>
      <c r="B6" s="17">
        <v>0</v>
      </c>
      <c r="C6" s="17">
        <v>19</v>
      </c>
      <c r="D6" s="17">
        <v>0</v>
      </c>
      <c r="E6" s="17">
        <v>0</v>
      </c>
      <c r="F6" s="17">
        <f>B6+C6+D6-E6</f>
        <v>19</v>
      </c>
    </row>
    <row r="7" spans="1:6" s="15" customFormat="1" ht="31.9" customHeight="1" x14ac:dyDescent="0.2">
      <c r="A7" s="16">
        <v>3</v>
      </c>
      <c r="B7" s="17">
        <v>0</v>
      </c>
      <c r="C7" s="17">
        <v>19</v>
      </c>
      <c r="D7" s="17">
        <v>0</v>
      </c>
      <c r="E7" s="17">
        <v>0</v>
      </c>
      <c r="F7" s="17">
        <f>B7+C7+D7-E7</f>
        <v>19</v>
      </c>
    </row>
    <row r="8" spans="1:6" s="15" customFormat="1" ht="31.9" customHeight="1" x14ac:dyDescent="0.2">
      <c r="A8" s="16" t="s">
        <v>44</v>
      </c>
      <c r="B8" s="17">
        <f>AVERAGE(B5:B7)</f>
        <v>0</v>
      </c>
      <c r="C8" s="17">
        <f>AVERAGE(C5:C7)</f>
        <v>19</v>
      </c>
      <c r="D8" s="17">
        <v>0</v>
      </c>
      <c r="E8" s="17">
        <v>0</v>
      </c>
      <c r="F8" s="20">
        <f>AVERAGE(F5:F7)</f>
        <v>19</v>
      </c>
    </row>
    <row r="9" spans="1:6" s="15" customFormat="1" ht="20.45" customHeight="1" x14ac:dyDescent="0.2">
      <c r="A9" s="18" t="s">
        <v>45</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2024-10-28T00:14:46+00:00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3.xml><?xml version="1.0" encoding="utf-8"?>
<ds:datastoreItem xmlns:ds="http://schemas.openxmlformats.org/officeDocument/2006/customXml" ds:itemID="{42D5F788-9B5E-41B2-86E0-10DAAD64FEB3}"/>
</file>

<file path=customXml/itemProps4.xml><?xml version="1.0" encoding="utf-8"?>
<ds:datastoreItem xmlns:ds="http://schemas.openxmlformats.org/officeDocument/2006/customXml" ds:itemID="{1E0EAA89-8997-4F7E-8DE8-B7098C2A6F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2024-03-05T12:15:08Z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