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mc:AlternateContent xmlns:mc="http://schemas.openxmlformats.org/markup-compatibility/2006">
    <mc:Choice Requires="x15">
      <x15ac:absPath xmlns:x15ac="http://schemas.microsoft.com/office/spreadsheetml/2010/11/ac" url="S:\Tracy\ICRs - SPPD\FY2024\2062.10 Site Remediation NESHAP\stacie's draft files\"/>
    </mc:Choice>
  </mc:AlternateContent>
  <xr:revisionPtr revIDLastSave="0" documentId="13_ncr:1_{2E5ED36D-5E56-412E-8B72-DC7A509490AB}" xr6:coauthVersionLast="47" xr6:coauthVersionMax="47" xr10:uidLastSave="{00000000-0000-0000-0000-000000000000}"/>
  <bookViews>
    <workbookView xWindow="-120" yWindow="-120" windowWidth="20730" windowHeight="11160" xr2:uid="{00000000-000D-0000-FFFF-FFFF00000000}"/>
  </bookViews>
  <sheets>
    <sheet name="Summary" sheetId="9" r:id="rId1"/>
    <sheet name="Table 1a" sheetId="1" r:id="rId2"/>
    <sheet name="Table 1b" sheetId="4" r:id="rId3"/>
    <sheet name="Table 1c Summary" sheetId="6" r:id="rId4"/>
    <sheet name="Table 2" sheetId="2" r:id="rId5"/>
    <sheet name="Capital O&amp;M" sheetId="5" r:id="rId6"/>
    <sheet name="Respondents" sheetId="7" r:id="rId7"/>
    <sheet name="Responses" sheetId="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2" l="1"/>
  <c r="I5" i="6" l="1"/>
  <c r="B6" i="9"/>
  <c r="B4" i="9"/>
  <c r="B3" i="9"/>
  <c r="B2" i="9"/>
  <c r="I37" i="4"/>
  <c r="H5" i="6"/>
  <c r="H4" i="6"/>
  <c r="G8" i="5" l="1"/>
  <c r="G5" i="5"/>
  <c r="G6" i="5"/>
  <c r="F7" i="5"/>
  <c r="G7" i="5" s="1"/>
  <c r="D8" i="5"/>
  <c r="D7" i="5"/>
  <c r="D6" i="7"/>
  <c r="C6" i="7"/>
  <c r="D5" i="7"/>
  <c r="C5" i="7"/>
  <c r="D4" i="7"/>
  <c r="C4" i="7"/>
  <c r="I10" i="2"/>
  <c r="I9" i="2"/>
  <c r="F5" i="6"/>
  <c r="F4" i="6"/>
  <c r="F6" i="6" s="1"/>
  <c r="J6" i="6" s="1"/>
  <c r="F35" i="4"/>
  <c r="B8" i="8"/>
  <c r="C4" i="6"/>
  <c r="C6" i="6" s="1"/>
  <c r="B5" i="6"/>
  <c r="B4" i="6"/>
  <c r="C5" i="6"/>
  <c r="E27" i="1"/>
  <c r="E26" i="1"/>
  <c r="E27" i="4"/>
  <c r="E26" i="4"/>
  <c r="E32" i="4"/>
  <c r="E30" i="4"/>
  <c r="E29" i="4"/>
  <c r="E28" i="4"/>
  <c r="E25" i="4"/>
  <c r="E24" i="4"/>
  <c r="E23" i="4"/>
  <c r="E22" i="4"/>
  <c r="E22" i="1"/>
  <c r="E25" i="1"/>
  <c r="E24" i="1"/>
  <c r="E23" i="1"/>
  <c r="E14" i="1"/>
  <c r="B6" i="6" l="1"/>
  <c r="F4" i="7" l="1"/>
  <c r="E4" i="8"/>
  <c r="E5" i="8"/>
  <c r="E6" i="8"/>
  <c r="E7" i="8"/>
  <c r="D7" i="7"/>
  <c r="E7" i="7"/>
  <c r="B7" i="7"/>
  <c r="D27" i="4"/>
  <c r="F27" i="4" s="1"/>
  <c r="D26" i="4"/>
  <c r="F26" i="4" s="1"/>
  <c r="D27" i="1"/>
  <c r="F27" i="1" s="1"/>
  <c r="D26" i="1"/>
  <c r="F26" i="1" s="1"/>
  <c r="F5" i="7" l="1"/>
  <c r="F6" i="7" s="1"/>
  <c r="G26" i="4"/>
  <c r="I26" i="4" s="1"/>
  <c r="H26" i="4"/>
  <c r="H27" i="4"/>
  <c r="G27" i="4"/>
  <c r="I27" i="4"/>
  <c r="G26" i="1"/>
  <c r="H26" i="1"/>
  <c r="H27" i="1"/>
  <c r="G27" i="1"/>
  <c r="E7" i="2"/>
  <c r="E5" i="2"/>
  <c r="E13" i="1"/>
  <c r="E8" i="2" s="1"/>
  <c r="E11" i="1"/>
  <c r="E6" i="2" s="1"/>
  <c r="E9" i="1"/>
  <c r="E32" i="1"/>
  <c r="I27" i="1" l="1"/>
  <c r="I26" i="1"/>
  <c r="F7" i="7"/>
  <c r="E8" i="8" s="1"/>
  <c r="E9" i="8" s="1"/>
  <c r="C7" i="7"/>
  <c r="E28" i="1"/>
  <c r="E29" i="1"/>
  <c r="E14" i="4"/>
  <c r="E30" i="1"/>
  <c r="D30" i="4"/>
  <c r="B29" i="4"/>
  <c r="B21" i="4"/>
  <c r="B20" i="4"/>
  <c r="B10" i="4"/>
  <c r="B11" i="4"/>
  <c r="B12" i="4"/>
  <c r="B13" i="4"/>
  <c r="B14" i="4"/>
  <c r="B15" i="4"/>
  <c r="B9" i="4"/>
  <c r="D30" i="1"/>
  <c r="E9" i="2" l="1"/>
  <c r="F30" i="4"/>
  <c r="G30" i="4" s="1"/>
  <c r="F30" i="1"/>
  <c r="G30" i="1" s="1"/>
  <c r="H30" i="1" l="1"/>
  <c r="I30" i="1" s="1"/>
  <c r="H30" i="4"/>
  <c r="I30" i="4" s="1"/>
  <c r="D6" i="5"/>
  <c r="D5" i="5"/>
  <c r="F5" i="5" l="1"/>
  <c r="F6" i="5"/>
  <c r="H6" i="6" l="1"/>
  <c r="D33" i="4"/>
  <c r="F33" i="4" s="1"/>
  <c r="D32" i="4"/>
  <c r="F32" i="4" s="1"/>
  <c r="D31" i="4"/>
  <c r="F31" i="4" s="1"/>
  <c r="D29" i="4"/>
  <c r="F29" i="4" s="1"/>
  <c r="D28" i="4"/>
  <c r="F28" i="4" s="1"/>
  <c r="D25" i="4"/>
  <c r="F25" i="4" s="1"/>
  <c r="D24" i="4"/>
  <c r="F24" i="4" s="1"/>
  <c r="D23" i="4"/>
  <c r="F23" i="4" s="1"/>
  <c r="D22" i="4"/>
  <c r="F22" i="4" s="1"/>
  <c r="D21" i="4"/>
  <c r="F21" i="4" s="1"/>
  <c r="G21" i="4" s="1"/>
  <c r="D20" i="4"/>
  <c r="F20" i="4" s="1"/>
  <c r="D19" i="4"/>
  <c r="F19" i="4" s="1"/>
  <c r="D15" i="4"/>
  <c r="F15" i="4" s="1"/>
  <c r="D14" i="4"/>
  <c r="F14" i="4" s="1"/>
  <c r="D13" i="4"/>
  <c r="F13" i="4" s="1"/>
  <c r="D12" i="4"/>
  <c r="F12" i="4" s="1"/>
  <c r="G12" i="4" s="1"/>
  <c r="D11" i="4"/>
  <c r="F11" i="4" s="1"/>
  <c r="D10" i="4"/>
  <c r="F10" i="4" s="1"/>
  <c r="D9" i="4"/>
  <c r="F9" i="4" s="1"/>
  <c r="D8" i="4"/>
  <c r="F8" i="4" s="1"/>
  <c r="I7" i="4"/>
  <c r="D6" i="4"/>
  <c r="F6" i="4" s="1"/>
  <c r="I36" i="1" l="1"/>
  <c r="I36" i="4"/>
  <c r="G29" i="4"/>
  <c r="G10" i="4"/>
  <c r="H10" i="4"/>
  <c r="G6" i="4"/>
  <c r="H6" i="4"/>
  <c r="G19" i="4"/>
  <c r="H19" i="4"/>
  <c r="H32" i="4"/>
  <c r="G32" i="4"/>
  <c r="H15" i="4"/>
  <c r="G15" i="4"/>
  <c r="H22" i="4"/>
  <c r="G22" i="4"/>
  <c r="H33" i="4"/>
  <c r="G33" i="4"/>
  <c r="H24" i="4"/>
  <c r="G24" i="4"/>
  <c r="H14" i="4"/>
  <c r="G14" i="4"/>
  <c r="H23" i="4"/>
  <c r="G23" i="4"/>
  <c r="H11" i="4"/>
  <c r="G11" i="4"/>
  <c r="H20" i="4"/>
  <c r="G20" i="4"/>
  <c r="H13" i="4"/>
  <c r="G13" i="4"/>
  <c r="H31" i="4"/>
  <c r="G31" i="4"/>
  <c r="I31" i="4" s="1"/>
  <c r="G9" i="4"/>
  <c r="H12" i="4"/>
  <c r="I12" i="4" s="1"/>
  <c r="H21" i="4"/>
  <c r="I21" i="4" s="1"/>
  <c r="G28" i="4"/>
  <c r="H29" i="4"/>
  <c r="H9" i="4"/>
  <c r="H28" i="4"/>
  <c r="G8" i="4"/>
  <c r="G25" i="4"/>
  <c r="H8" i="4"/>
  <c r="H25" i="4"/>
  <c r="F16" i="4" l="1"/>
  <c r="D5" i="6" s="1"/>
  <c r="F34" i="4"/>
  <c r="I33" i="4"/>
  <c r="I32" i="4"/>
  <c r="I29" i="4"/>
  <c r="I11" i="4"/>
  <c r="I13" i="4"/>
  <c r="I14" i="4"/>
  <c r="I22" i="4"/>
  <c r="I6" i="4"/>
  <c r="I10" i="4"/>
  <c r="I25" i="4"/>
  <c r="I9" i="4"/>
  <c r="I28" i="4"/>
  <c r="I24" i="4"/>
  <c r="I20" i="4"/>
  <c r="I15" i="4"/>
  <c r="I19" i="4"/>
  <c r="I23" i="4"/>
  <c r="I8" i="4"/>
  <c r="I16" i="4" l="1"/>
  <c r="I34" i="4"/>
  <c r="E5" i="6"/>
  <c r="I35" i="4" l="1"/>
  <c r="D6" i="2"/>
  <c r="F6" i="2" s="1"/>
  <c r="D7" i="2"/>
  <c r="F7" i="2" s="1"/>
  <c r="D8" i="2"/>
  <c r="F8" i="2" s="1"/>
  <c r="D9" i="2"/>
  <c r="F9" i="2" s="1"/>
  <c r="D5" i="2"/>
  <c r="F5" i="2" s="1"/>
  <c r="H5" i="2" s="1"/>
  <c r="D8" i="1"/>
  <c r="F8" i="1" s="1"/>
  <c r="D9" i="1"/>
  <c r="F9" i="1" s="1"/>
  <c r="D10" i="1"/>
  <c r="F10" i="1" s="1"/>
  <c r="G10" i="1" s="1"/>
  <c r="D11" i="1"/>
  <c r="F11" i="1" s="1"/>
  <c r="G11" i="1" s="1"/>
  <c r="D12" i="1"/>
  <c r="F12" i="1" s="1"/>
  <c r="D13" i="1"/>
  <c r="F13" i="1" s="1"/>
  <c r="D14" i="1"/>
  <c r="F14" i="1" s="1"/>
  <c r="D15" i="1"/>
  <c r="F15" i="1" s="1"/>
  <c r="G15" i="1" s="1"/>
  <c r="D19" i="1"/>
  <c r="F19" i="1" s="1"/>
  <c r="D20" i="1"/>
  <c r="F20" i="1" s="1"/>
  <c r="G20" i="1" s="1"/>
  <c r="D21" i="1"/>
  <c r="F21" i="1" s="1"/>
  <c r="G21" i="1" s="1"/>
  <c r="D22" i="1"/>
  <c r="F22" i="1" s="1"/>
  <c r="D23" i="1"/>
  <c r="F23" i="1" s="1"/>
  <c r="G23" i="1" s="1"/>
  <c r="D24" i="1"/>
  <c r="F24" i="1" s="1"/>
  <c r="D25" i="1"/>
  <c r="F25" i="1" s="1"/>
  <c r="G25" i="1" s="1"/>
  <c r="D28" i="1"/>
  <c r="F28" i="1" s="1"/>
  <c r="G28" i="1" s="1"/>
  <c r="D29" i="1"/>
  <c r="F29" i="1" s="1"/>
  <c r="G29" i="1" s="1"/>
  <c r="D31" i="1"/>
  <c r="F31" i="1" s="1"/>
  <c r="G31" i="1" s="1"/>
  <c r="D32" i="1"/>
  <c r="F32" i="1" s="1"/>
  <c r="G32" i="1" s="1"/>
  <c r="D33" i="1"/>
  <c r="F33" i="1" s="1"/>
  <c r="G33" i="1" s="1"/>
  <c r="D6" i="1"/>
  <c r="F6" i="1" s="1"/>
  <c r="G22" i="1" l="1"/>
  <c r="G5" i="6"/>
  <c r="G9" i="2"/>
  <c r="G24" i="1"/>
  <c r="G14" i="1"/>
  <c r="G6" i="2"/>
  <c r="H6" i="2"/>
  <c r="G7" i="2"/>
  <c r="H7" i="2"/>
  <c r="G8" i="2"/>
  <c r="H8" i="2"/>
  <c r="H9" i="2"/>
  <c r="G5" i="2"/>
  <c r="I5" i="2" s="1"/>
  <c r="H6" i="1"/>
  <c r="G6" i="1"/>
  <c r="H12" i="1"/>
  <c r="G12" i="1"/>
  <c r="H8" i="1"/>
  <c r="G8" i="1"/>
  <c r="H13" i="1"/>
  <c r="G13" i="1"/>
  <c r="H9" i="1"/>
  <c r="G9" i="1"/>
  <c r="H14" i="1"/>
  <c r="H10" i="1"/>
  <c r="I10" i="1" s="1"/>
  <c r="H15" i="1"/>
  <c r="I15" i="1" s="1"/>
  <c r="H11" i="1"/>
  <c r="I11" i="1" s="1"/>
  <c r="H33" i="1"/>
  <c r="I33" i="1" s="1"/>
  <c r="H32" i="1"/>
  <c r="I32" i="1" s="1"/>
  <c r="H31" i="1"/>
  <c r="I31" i="1" s="1"/>
  <c r="H29" i="1"/>
  <c r="I29" i="1" s="1"/>
  <c r="H28" i="1"/>
  <c r="I28" i="1" s="1"/>
  <c r="H25" i="1"/>
  <c r="I25" i="1" s="1"/>
  <c r="H24" i="1"/>
  <c r="H23" i="1"/>
  <c r="I23" i="1" s="1"/>
  <c r="H22" i="1"/>
  <c r="H21" i="1"/>
  <c r="I21" i="1" s="1"/>
  <c r="H20" i="1"/>
  <c r="I20" i="1" s="1"/>
  <c r="G19" i="1"/>
  <c r="H19" i="1"/>
  <c r="F16" i="1" l="1"/>
  <c r="F34" i="1"/>
  <c r="F35" i="1" s="1"/>
  <c r="I22" i="1"/>
  <c r="I24" i="1"/>
  <c r="I6" i="1"/>
  <c r="I7" i="2"/>
  <c r="I8" i="2"/>
  <c r="I6" i="2"/>
  <c r="I14" i="1"/>
  <c r="I8" i="1"/>
  <c r="I9" i="1"/>
  <c r="I12" i="1"/>
  <c r="I13" i="1"/>
  <c r="I19" i="1"/>
  <c r="E4" i="6" l="1"/>
  <c r="E6" i="6" s="1"/>
  <c r="I34" i="1"/>
  <c r="I35" i="1" s="1"/>
  <c r="I37" i="1" s="1"/>
  <c r="I16" i="1"/>
  <c r="D4" i="6"/>
  <c r="D6" i="6" s="1"/>
  <c r="G4" i="6" l="1"/>
  <c r="G6" i="6" s="1"/>
  <c r="I4" i="6" l="1"/>
  <c r="I6" i="6" s="1"/>
  <c r="B5" i="9" s="1"/>
</calcChain>
</file>

<file path=xl/sharedStrings.xml><?xml version="1.0" encoding="utf-8"?>
<sst xmlns="http://schemas.openxmlformats.org/spreadsheetml/2006/main" count="242" uniqueCount="159">
  <si>
    <t>ICR Summary Information</t>
  </si>
  <si>
    <t>Hours per Response</t>
  </si>
  <si>
    <t>Number of Respondents</t>
  </si>
  <si>
    <t>Total Estimated Burden Hours</t>
  </si>
  <si>
    <t>Total Estimated Costs</t>
  </si>
  <si>
    <t>Annualized Capital O&amp;M</t>
  </si>
  <si>
    <t>Form Number</t>
  </si>
  <si>
    <t>5900-706</t>
  </si>
  <si>
    <t>Table 1a: Annual Respondent Burden and Cost for Private Sector – NESHAP for Site Remediation (40 CFR Part 63, Subpart GGGGG) (Renewal)</t>
  </si>
  <si>
    <t>Burden Item</t>
  </si>
  <si>
    <t>(A) 
Person hours per occurrence</t>
  </si>
  <si>
    <t>(B) 
Number of occurrences per year</t>
  </si>
  <si>
    <t>(C) 
Person hrs per respondent per year 
(C=AxB)</t>
  </si>
  <si>
    <r>
      <t xml:space="preserve">(D) 
Respondents per year </t>
    </r>
    <r>
      <rPr>
        <b/>
        <vertAlign val="superscript"/>
        <sz val="10"/>
        <color rgb="FF000000"/>
        <rFont val="Times New Roman"/>
        <family val="1"/>
      </rPr>
      <t>a</t>
    </r>
    <r>
      <rPr>
        <b/>
        <sz val="10"/>
        <color rgb="FF000000"/>
        <rFont val="Times New Roman"/>
        <family val="1"/>
      </rPr>
      <t xml:space="preserve"> </t>
    </r>
  </si>
  <si>
    <t>(E) 
Technical person hrs per year 
(E=CxD)</t>
  </si>
  <si>
    <t>(F) 
Management person hrs per year 
(F=Ex0.05)</t>
  </si>
  <si>
    <t>(G) 
Clerical person hrs per year 
(G=Ex0.1)</t>
  </si>
  <si>
    <r>
      <t xml:space="preserve">(H)
Total Cost per year ($) </t>
    </r>
    <r>
      <rPr>
        <b/>
        <vertAlign val="superscript"/>
        <sz val="10"/>
        <color rgb="FF000000"/>
        <rFont val="Times New Roman"/>
        <family val="1"/>
      </rPr>
      <t>b</t>
    </r>
  </si>
  <si>
    <t>1. Applications</t>
  </si>
  <si>
    <t>NA</t>
  </si>
  <si>
    <t>Labor Rates</t>
  </si>
  <si>
    <t>2. Surveys and Studies</t>
  </si>
  <si>
    <t>Management</t>
  </si>
  <si>
    <r>
      <t xml:space="preserve">3. Parametric Monitoring System </t>
    </r>
    <r>
      <rPr>
        <vertAlign val="superscript"/>
        <sz val="10"/>
        <color rgb="FF000000"/>
        <rFont val="Times New Roman"/>
        <family val="1"/>
      </rPr>
      <t>c</t>
    </r>
  </si>
  <si>
    <t>Technical</t>
  </si>
  <si>
    <t>4. Reporting Requirements</t>
  </si>
  <si>
    <t>Clerical</t>
  </si>
  <si>
    <r>
      <t xml:space="preserve">  A. Familiarize with regulatory requirements </t>
    </r>
    <r>
      <rPr>
        <vertAlign val="superscript"/>
        <sz val="10"/>
        <color rgb="FF000000"/>
        <rFont val="Times New Roman"/>
        <family val="1"/>
      </rPr>
      <t>d</t>
    </r>
  </si>
  <si>
    <r>
      <t xml:space="preserve">  B. Conduct performance test </t>
    </r>
    <r>
      <rPr>
        <vertAlign val="superscript"/>
        <sz val="10"/>
        <color rgb="FF000000"/>
        <rFont val="Times New Roman"/>
        <family val="1"/>
      </rPr>
      <t>c</t>
    </r>
  </si>
  <si>
    <r>
      <t xml:space="preserve">  C. Initial notification </t>
    </r>
    <r>
      <rPr>
        <vertAlign val="superscript"/>
        <sz val="10"/>
        <color rgb="FF000000"/>
        <rFont val="Times New Roman"/>
        <family val="1"/>
      </rPr>
      <t>e</t>
    </r>
  </si>
  <si>
    <r>
      <t xml:space="preserve">  D. Performance test notification </t>
    </r>
    <r>
      <rPr>
        <vertAlign val="superscript"/>
        <sz val="10"/>
        <color rgb="FF000000"/>
        <rFont val="Times New Roman"/>
        <family val="1"/>
      </rPr>
      <t>c</t>
    </r>
  </si>
  <si>
    <r>
      <t xml:space="preserve">  E. Initial compliance determination </t>
    </r>
    <r>
      <rPr>
        <vertAlign val="superscript"/>
        <sz val="10"/>
        <color rgb="FF000000"/>
        <rFont val="Times New Roman"/>
        <family val="1"/>
      </rPr>
      <t>c, e</t>
    </r>
  </si>
  <si>
    <r>
      <t xml:space="preserve">  F. Performance test report </t>
    </r>
    <r>
      <rPr>
        <vertAlign val="superscript"/>
        <sz val="10"/>
        <color rgb="FF000000"/>
        <rFont val="Times New Roman"/>
        <family val="1"/>
      </rPr>
      <t>c</t>
    </r>
  </si>
  <si>
    <r>
      <t xml:space="preserve">  G. Semiannual report </t>
    </r>
    <r>
      <rPr>
        <vertAlign val="superscript"/>
        <sz val="10"/>
        <color rgb="FF000000"/>
        <rFont val="Times New Roman"/>
        <family val="1"/>
      </rPr>
      <t>f</t>
    </r>
  </si>
  <si>
    <r>
      <t xml:space="preserve">  H. SSM report </t>
    </r>
    <r>
      <rPr>
        <vertAlign val="superscript"/>
        <sz val="10"/>
        <color rgb="FF000000"/>
        <rFont val="Times New Roman"/>
        <family val="1"/>
      </rPr>
      <t>g</t>
    </r>
  </si>
  <si>
    <t>Subtotal Reporting Requirements</t>
  </si>
  <si>
    <t>5. Recordkeeping Requirements</t>
  </si>
  <si>
    <t xml:space="preserve">  A. Familiarize with regulatory requirements </t>
  </si>
  <si>
    <t>See 4A</t>
  </si>
  <si>
    <r>
      <t xml:space="preserve">  B. Plan compliance activities </t>
    </r>
    <r>
      <rPr>
        <vertAlign val="superscript"/>
        <sz val="10"/>
        <color rgb="FF000000"/>
        <rFont val="Times New Roman"/>
        <family val="1"/>
      </rPr>
      <t>h</t>
    </r>
  </si>
  <si>
    <r>
      <t xml:space="preserve">  C. Prepare SSM plan </t>
    </r>
    <r>
      <rPr>
        <vertAlign val="superscript"/>
        <sz val="10"/>
        <color rgb="FF000000"/>
        <rFont val="Times New Roman"/>
        <family val="1"/>
      </rPr>
      <t>g</t>
    </r>
  </si>
  <si>
    <r>
      <t xml:space="preserve">  D. Prepare documentation for exempted sources </t>
    </r>
    <r>
      <rPr>
        <vertAlign val="superscript"/>
        <sz val="10"/>
        <color rgb="FF000000"/>
        <rFont val="Times New Roman"/>
        <family val="1"/>
      </rPr>
      <t>i</t>
    </r>
  </si>
  <si>
    <r>
      <t xml:space="preserve">  E. In-situ process vents parametric monitoring </t>
    </r>
    <r>
      <rPr>
        <vertAlign val="superscript"/>
        <sz val="10"/>
        <color rgb="FF000000"/>
        <rFont val="Times New Roman"/>
        <family val="1"/>
      </rPr>
      <t>j</t>
    </r>
  </si>
  <si>
    <r>
      <t xml:space="preserve">  F. Ex-situ process vents parametric monitoring </t>
    </r>
    <r>
      <rPr>
        <vertAlign val="superscript"/>
        <sz val="10"/>
        <color rgb="FF000000"/>
        <rFont val="Times New Roman"/>
        <family val="1"/>
      </rPr>
      <t>k</t>
    </r>
  </si>
  <si>
    <r>
      <t xml:space="preserve">  G. Inspect tank covers </t>
    </r>
    <r>
      <rPr>
        <vertAlign val="superscript"/>
        <sz val="10"/>
        <color rgb="FF000000"/>
        <rFont val="Times New Roman"/>
        <family val="1"/>
      </rPr>
      <t>l</t>
    </r>
  </si>
  <si>
    <r>
      <t xml:space="preserve">  H. Inspect container covers </t>
    </r>
    <r>
      <rPr>
        <vertAlign val="superscript"/>
        <sz val="10"/>
        <color rgb="FF000000"/>
        <rFont val="Times New Roman"/>
        <family val="1"/>
      </rPr>
      <t>l</t>
    </r>
  </si>
  <si>
    <r>
      <t xml:space="preserve">  I. Inspect surface impoundment covers </t>
    </r>
    <r>
      <rPr>
        <vertAlign val="superscript"/>
        <sz val="10"/>
        <color rgb="FF000000"/>
        <rFont val="Times New Roman"/>
        <family val="1"/>
      </rPr>
      <t>m</t>
    </r>
  </si>
  <si>
    <r>
      <t xml:space="preserve">  J. Inspect separator covers </t>
    </r>
    <r>
      <rPr>
        <vertAlign val="superscript"/>
        <sz val="10"/>
        <color rgb="FF000000"/>
        <rFont val="Times New Roman"/>
        <family val="1"/>
      </rPr>
      <t>n</t>
    </r>
  </si>
  <si>
    <r>
      <t xml:space="preserve">  K. Inspect transfer system covers </t>
    </r>
    <r>
      <rPr>
        <vertAlign val="superscript"/>
        <sz val="10"/>
        <color rgb="FF000000"/>
        <rFont val="Times New Roman"/>
        <family val="1"/>
      </rPr>
      <t>l</t>
    </r>
  </si>
  <si>
    <r>
      <t xml:space="preserve">  L. Leak detection and repair program </t>
    </r>
    <r>
      <rPr>
        <vertAlign val="superscript"/>
        <sz val="10"/>
        <color rgb="FF000000"/>
        <rFont val="Times New Roman"/>
        <family val="1"/>
      </rPr>
      <t>o</t>
    </r>
  </si>
  <si>
    <t xml:space="preserve">  M. PRD release analysis and corrective action</t>
  </si>
  <si>
    <r>
      <t xml:space="preserve">  N. Develop record system </t>
    </r>
    <r>
      <rPr>
        <vertAlign val="superscript"/>
        <sz val="10"/>
        <color rgb="FF000000"/>
        <rFont val="Times New Roman"/>
        <family val="1"/>
      </rPr>
      <t>h</t>
    </r>
  </si>
  <si>
    <r>
      <t xml:space="preserve">  O. Enter information </t>
    </r>
    <r>
      <rPr>
        <vertAlign val="superscript"/>
        <sz val="10"/>
        <color rgb="FF000000"/>
        <rFont val="Times New Roman"/>
        <family val="1"/>
      </rPr>
      <t>p</t>
    </r>
  </si>
  <si>
    <r>
      <t xml:space="preserve">  P. Personnel training </t>
    </r>
    <r>
      <rPr>
        <vertAlign val="superscript"/>
        <sz val="10"/>
        <color rgb="FF000000"/>
        <rFont val="Times New Roman"/>
        <family val="1"/>
      </rPr>
      <t>q</t>
    </r>
  </si>
  <si>
    <t>Subtotal Recordkeeping Requirements</t>
  </si>
  <si>
    <r>
      <t xml:space="preserve">Total Labor Burden and Costs (rounded) </t>
    </r>
    <r>
      <rPr>
        <b/>
        <vertAlign val="superscript"/>
        <sz val="10"/>
        <color rgb="FF000000"/>
        <rFont val="Times New Roman"/>
        <family val="1"/>
      </rPr>
      <t>r</t>
    </r>
  </si>
  <si>
    <r>
      <t xml:space="preserve">Total Capital and O&amp;M Cost (rounded) </t>
    </r>
    <r>
      <rPr>
        <b/>
        <vertAlign val="superscript"/>
        <sz val="10"/>
        <color rgb="FF000000"/>
        <rFont val="Times New Roman"/>
        <family val="1"/>
      </rPr>
      <t>r</t>
    </r>
  </si>
  <si>
    <r>
      <t xml:space="preserve">Grand Total (rounded) </t>
    </r>
    <r>
      <rPr>
        <b/>
        <vertAlign val="superscript"/>
        <sz val="10"/>
        <color rgb="FF000000"/>
        <rFont val="Times New Roman"/>
        <family val="1"/>
      </rPr>
      <t>r</t>
    </r>
  </si>
  <si>
    <t>Assumptions:</t>
  </si>
  <si>
    <r>
      <t xml:space="preserve">a  </t>
    </r>
    <r>
      <rPr>
        <sz val="10"/>
        <color theme="1"/>
        <rFont val="Times New Roman"/>
        <family val="1"/>
      </rPr>
      <t xml:space="preserve"> We assume that there are approximately 104 respondents, with no additional new sources becoming subject to the rule over the three-year period of this ICR. Of these 104 respondents, 84 are from the private sector and 20 are from the Federal government.</t>
    </r>
  </si>
  <si>
    <r>
      <rPr>
        <vertAlign val="superscript"/>
        <sz val="10"/>
        <color theme="1"/>
        <rFont val="Times New Roman"/>
        <family val="1"/>
      </rPr>
      <t>b</t>
    </r>
    <r>
      <rPr>
        <sz val="10"/>
        <color theme="1"/>
        <rFont val="Times New Roman"/>
        <family val="1"/>
      </rPr>
      <t xml:space="preserve">  This ICR uses the following labor rates for privately-owned sources: $163.17 for managerial, $130.28 for technical,  and $65.71 for clerical labor.  These rates are from the United States Department of Labor, Bureau of Labor Statistics, September 2022,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 </t>
    </r>
  </si>
  <si>
    <r>
      <rPr>
        <vertAlign val="superscript"/>
        <sz val="10"/>
        <color theme="1"/>
        <rFont val="Times New Roman"/>
        <family val="1"/>
      </rPr>
      <t xml:space="preserve">c </t>
    </r>
    <r>
      <rPr>
        <sz val="10"/>
        <color theme="1"/>
        <rFont val="Times New Roman"/>
        <family val="1"/>
      </rPr>
      <t xml:space="preserve"> We have assumed there will be no respondents that will require a new parametric monitoring system or performance test.</t>
    </r>
  </si>
  <si>
    <r>
      <rPr>
        <vertAlign val="superscript"/>
        <sz val="10"/>
        <color theme="1"/>
        <rFont val="Times New Roman"/>
        <family val="1"/>
      </rPr>
      <t>d</t>
    </r>
    <r>
      <rPr>
        <sz val="10"/>
        <color theme="1"/>
        <rFont val="Times New Roman"/>
        <family val="1"/>
      </rPr>
      <t xml:space="preserve">  We have assumed that each respondent subject to control, monitoring, and reporting requirements will have to familiarize with regulatory requirements each year.</t>
    </r>
  </si>
  <si>
    <r>
      <rPr>
        <vertAlign val="superscript"/>
        <sz val="10"/>
        <color theme="1"/>
        <rFont val="Times New Roman"/>
        <family val="1"/>
      </rPr>
      <t>e</t>
    </r>
    <r>
      <rPr>
        <sz val="10"/>
        <color theme="1"/>
        <rFont val="Times New Roman"/>
        <family val="1"/>
      </rPr>
      <t xml:space="preserve">  We have assumed there will be no additional facilities becoming subject to the rule over the next three years.</t>
    </r>
  </si>
  <si>
    <r>
      <rPr>
        <vertAlign val="superscript"/>
        <sz val="10"/>
        <color theme="1"/>
        <rFont val="Times New Roman"/>
        <family val="1"/>
      </rPr>
      <t>f</t>
    </r>
    <r>
      <rPr>
        <sz val="10"/>
        <color theme="1"/>
        <rFont val="Times New Roman"/>
        <family val="1"/>
      </rPr>
      <t xml:space="preserve">  We assume that 62 out of the 84 private sector facilities will submit semiannual reports. We assume that the remaining private sector facilities are exempt from reporting requirements.</t>
    </r>
  </si>
  <si>
    <r>
      <rPr>
        <vertAlign val="superscript"/>
        <sz val="10"/>
        <color theme="1"/>
        <rFont val="Times New Roman"/>
        <family val="1"/>
      </rPr>
      <t>g</t>
    </r>
    <r>
      <rPr>
        <sz val="10"/>
        <color theme="1"/>
        <rFont val="Times New Roman"/>
        <family val="1"/>
      </rPr>
      <t xml:space="preserve">  We assume no respondents will prepare an SSM report. A SSM plan is not required after January 6, 2021.</t>
    </r>
  </si>
  <si>
    <r>
      <rPr>
        <vertAlign val="superscript"/>
        <sz val="10"/>
        <color theme="1"/>
        <rFont val="Times New Roman"/>
        <family val="1"/>
      </rPr>
      <t>h</t>
    </r>
    <r>
      <rPr>
        <sz val="10"/>
        <color theme="1"/>
        <rFont val="Times New Roman"/>
        <family val="1"/>
      </rPr>
      <t xml:space="preserve">  Only new sources will require time to plan compliance activities and develop a record system. </t>
    </r>
  </si>
  <si>
    <r>
      <rPr>
        <vertAlign val="superscript"/>
        <sz val="10"/>
        <color theme="1"/>
        <rFont val="Times New Roman"/>
        <family val="1"/>
      </rPr>
      <t>i</t>
    </r>
    <r>
      <rPr>
        <sz val="10"/>
        <color theme="1"/>
        <rFont val="Times New Roman"/>
        <family val="1"/>
      </rPr>
      <t xml:space="preserve">  The 32 respondents that are exempt from the reporting requirements are required under §63.7881(c) to prepare and maintain written documentation to support the determination of exemption. Existing sources have already completed this activity. </t>
    </r>
  </si>
  <si>
    <r>
      <t>j</t>
    </r>
    <r>
      <rPr>
        <sz val="10"/>
        <color rgb="FF000000"/>
        <rFont val="Times New Roman"/>
        <family val="1"/>
      </rPr>
      <t xml:space="preserve">  We assume that 10 percent of the respondents subject to control, monitoring, and reporting requirements will use an on-site in-situ treatment process. At each of these sites, it is assumed that a control device is required on the process vent. We assume that it will take 0.5 hours each day to keep records of parametric monitoring of in-situ process vents.</t>
    </r>
  </si>
  <si>
    <r>
      <t>k</t>
    </r>
    <r>
      <rPr>
        <sz val="10"/>
        <color rgb="FF000000"/>
        <rFont val="Times New Roman"/>
        <family val="1"/>
      </rPr>
      <t xml:space="preserve">  We assume that 90% of respondents subject to control, monitoring, and reporting requirements will use an on-site ex-situ treatment process. We assume that it will take 0.5 hours each day to keep records of parametric monitoring of ex-situ process vents. </t>
    </r>
  </si>
  <si>
    <r>
      <t xml:space="preserve">l  </t>
    </r>
    <r>
      <rPr>
        <sz val="10"/>
        <color rgb="FF000000"/>
        <rFont val="Times New Roman"/>
        <family val="1"/>
      </rPr>
      <t>We assume that 50 percent of the respondents subject to control, monitoring, and reporting requirements have tanks, containers, and transfer systems at their facilities. We assume that tank, container, and transfer system covers will be inspected once per month.</t>
    </r>
  </si>
  <si>
    <r>
      <rPr>
        <vertAlign val="superscript"/>
        <sz val="10"/>
        <color rgb="FF000000"/>
        <rFont val="Times New Roman"/>
        <family val="1"/>
      </rPr>
      <t>m</t>
    </r>
    <r>
      <rPr>
        <sz val="10"/>
        <color rgb="FF000000"/>
        <rFont val="Times New Roman"/>
        <family val="1"/>
      </rPr>
      <t xml:space="preserve">  We assume that each respondent will take 2 hours once per month to inspect surface impoundment covers. It is assumed that 10% of facilities with onsite treatment will use a surface impoundment (6 sources in the private sector and 1 federal facility).</t>
    </r>
  </si>
  <si>
    <r>
      <rPr>
        <vertAlign val="superscript"/>
        <sz val="10"/>
        <color rgb="FF000000"/>
        <rFont val="Times New Roman"/>
        <family val="1"/>
      </rPr>
      <t>n</t>
    </r>
    <r>
      <rPr>
        <sz val="10"/>
        <color rgb="FF000000"/>
        <rFont val="Times New Roman"/>
        <family val="1"/>
      </rPr>
      <t xml:space="preserve">  We assume that each respondent will take 2 hours once per month to inspect separator covers. It is assumed that 10% of facilities with onsite treatment will have separators (6 sources in the private sector and 1 federal facility).</t>
    </r>
  </si>
  <si>
    <r>
      <rPr>
        <vertAlign val="superscript"/>
        <sz val="10"/>
        <color rgb="FF000000"/>
        <rFont val="Times New Roman"/>
        <family val="1"/>
      </rPr>
      <t>o</t>
    </r>
    <r>
      <rPr>
        <sz val="10"/>
        <color rgb="FF000000"/>
        <rFont val="Times New Roman"/>
        <family val="1"/>
      </rPr>
      <t xml:space="preserve">  We assume that all respondents subject to control, monitoring, and reporting requirements will implement an LDAR program. </t>
    </r>
  </si>
  <si>
    <r>
      <rPr>
        <vertAlign val="superscript"/>
        <sz val="10"/>
        <color rgb="FF000000"/>
        <rFont val="Times New Roman"/>
        <family val="1"/>
      </rPr>
      <t>p</t>
    </r>
    <r>
      <rPr>
        <sz val="10"/>
        <color rgb="FF000000"/>
        <rFont val="Times New Roman"/>
        <family val="1"/>
      </rPr>
      <t xml:space="preserve">  We assume that all respondents subject to control, monitoring, and reporting requirements will take 2 hours each week to enter the information required for semi-annual reports. </t>
    </r>
  </si>
  <si>
    <r>
      <rPr>
        <vertAlign val="superscript"/>
        <sz val="10"/>
        <color rgb="FF000000"/>
        <rFont val="Times New Roman"/>
        <family val="1"/>
      </rPr>
      <t>q</t>
    </r>
    <r>
      <rPr>
        <sz val="10"/>
        <color rgb="FF000000"/>
        <rFont val="Times New Roman"/>
        <family val="1"/>
      </rPr>
      <t xml:space="preserve">  We have assumed that all new sources will train personnel to operate the control and monitoring system and record data.</t>
    </r>
  </si>
  <si>
    <r>
      <rPr>
        <vertAlign val="superscript"/>
        <sz val="10"/>
        <color rgb="FF000000"/>
        <rFont val="Times New Roman"/>
        <family val="1"/>
      </rPr>
      <t>r</t>
    </r>
    <r>
      <rPr>
        <sz val="10"/>
        <color rgb="FF000000"/>
        <rFont val="Times New Roman"/>
        <family val="1"/>
      </rPr>
      <t xml:space="preserve"> Totals have been rounded to 3 significant figures. Figures may not add exactly due to rounding.</t>
    </r>
  </si>
  <si>
    <t>Table 1b: Annual Respondent Burden and Cost for Federal Government – NESHAP for Site Remediation (40 CFR Part 63, Subpart GGGGG) (Renewal)</t>
  </si>
  <si>
    <r>
      <rPr>
        <vertAlign val="superscript"/>
        <sz val="10"/>
        <color theme="1"/>
        <rFont val="Times New Roman"/>
        <family val="1"/>
      </rPr>
      <t>b</t>
    </r>
    <r>
      <rPr>
        <sz val="10"/>
        <color theme="1"/>
        <rFont val="Times New Roman"/>
        <family val="1"/>
      </rPr>
      <t xml:space="preserve">  This ICR uses the following labor rates:  $73.46 for managerial, $54.51 for technical,  and $29.50 for clerical labor.   These rates are from the Office of Personnel Management (OPM), 2023 General Schedule, which excludes locality rates of pay.  The rates have been increased by 60 percent to account for the benefit packages available to government employees.</t>
    </r>
  </si>
  <si>
    <r>
      <rPr>
        <vertAlign val="superscript"/>
        <sz val="10"/>
        <color theme="1"/>
        <rFont val="Times New Roman"/>
        <family val="1"/>
      </rPr>
      <t>f</t>
    </r>
    <r>
      <rPr>
        <sz val="10"/>
        <color theme="1"/>
        <rFont val="Times New Roman"/>
        <family val="1"/>
      </rPr>
      <t xml:space="preserve">  We assume that 11 out of the 20 Federal government facilities will submit semiannual reports. We assume that the remaining Federal government facilities are exempt from reporting requirements.</t>
    </r>
  </si>
  <si>
    <r>
      <rPr>
        <vertAlign val="superscript"/>
        <sz val="10"/>
        <color theme="1"/>
        <rFont val="Times New Roman"/>
        <family val="1"/>
      </rPr>
      <t>i</t>
    </r>
    <r>
      <rPr>
        <sz val="10"/>
        <color theme="1"/>
        <rFont val="Times New Roman"/>
        <family val="1"/>
      </rPr>
      <t xml:space="preserve">  The respondents that are exempt from the reporting requirements are required under §63.7881(c) to prepare and maintain written documentation to support the determination of exemption. Existing sources have already completed this activity. </t>
    </r>
  </si>
  <si>
    <t>Table 1c: Summary of Average Annual Respondent Burden and Cost - NESHAP for Site Remediation (40 CFR Part 63, Subpart GGGGG) (Renewal)</t>
  </si>
  <si>
    <t>Affected Sector</t>
  </si>
  <si>
    <r>
      <t xml:space="preserve">Number of Respondents </t>
    </r>
    <r>
      <rPr>
        <vertAlign val="superscript"/>
        <sz val="10"/>
        <rFont val="Calibri"/>
        <family val="2"/>
        <scheme val="minor"/>
      </rPr>
      <t>a</t>
    </r>
  </si>
  <si>
    <t>Number of Responses</t>
  </si>
  <si>
    <t>Reporting Hours</t>
  </si>
  <si>
    <t>Recordkeeping Hours</t>
  </si>
  <si>
    <r>
      <t xml:space="preserve">Total Hours </t>
    </r>
    <r>
      <rPr>
        <vertAlign val="superscript"/>
        <sz val="10"/>
        <rFont val="Calibri"/>
        <family val="2"/>
        <scheme val="minor"/>
      </rPr>
      <t>b</t>
    </r>
  </si>
  <si>
    <t>Labor Costs</t>
  </si>
  <si>
    <t>Non-Labor (Capital/Startup and O&amp;M) Costs</t>
  </si>
  <si>
    <r>
      <t xml:space="preserve">Total Costs </t>
    </r>
    <r>
      <rPr>
        <vertAlign val="superscript"/>
        <sz val="10"/>
        <rFont val="Calibri"/>
        <family val="2"/>
        <scheme val="minor"/>
      </rPr>
      <t>b</t>
    </r>
  </si>
  <si>
    <t>Private</t>
  </si>
  <si>
    <t>Public</t>
  </si>
  <si>
    <t>Total</t>
  </si>
  <si>
    <r>
      <rPr>
        <vertAlign val="superscript"/>
        <sz val="10"/>
        <color rgb="FF000000"/>
        <rFont val="Calibri"/>
        <family val="2"/>
        <scheme val="minor"/>
      </rPr>
      <t>a</t>
    </r>
    <r>
      <rPr>
        <sz val="10"/>
        <color rgb="FF000000"/>
        <rFont val="Calibri"/>
        <family val="2"/>
        <scheme val="minor"/>
      </rPr>
      <t xml:space="preserve"> We assume that there are approximately 104 respondents, with no additional new sources becoming subject to the rule over the three-year period of this ICR. Of these 104 respondents, 84 are from the private sector and 20 are from the Federal government. We have further assumed that 62 out of 84 private sector facilities and 11 out of 20 Federal government facilities are subject to control, monitoring, and reporting requirements (73 facilities, total) while the remaining 22 private and 9 Federal government facilities (31 total) are exempt from reporting requirements. </t>
    </r>
  </si>
  <si>
    <r>
      <rPr>
        <vertAlign val="superscript"/>
        <sz val="10"/>
        <color rgb="FF000000"/>
        <rFont val="Calibri"/>
        <family val="2"/>
        <scheme val="minor"/>
      </rPr>
      <t>b</t>
    </r>
    <r>
      <rPr>
        <sz val="10"/>
        <color rgb="FF000000"/>
        <rFont val="Calibri"/>
        <family val="2"/>
        <scheme val="minor"/>
      </rPr>
      <t xml:space="preserve"> Totals have been rounded to 3 significant figures. Figures may not add exactly due to rounding.</t>
    </r>
  </si>
  <si>
    <t>Table 2: Average Annual EPA Burden and Cost – NESHAP for Site Remediation (40 CFR Part 63, Subpart GGGGG) (Renewal)</t>
  </si>
  <si>
    <t>(A)
Person hours per occurrence</t>
  </si>
  <si>
    <t>(C)
Person hrs per respondent per year 
(C=AxB)</t>
  </si>
  <si>
    <r>
      <t xml:space="preserve">(D) 
Respondents per year </t>
    </r>
    <r>
      <rPr>
        <b/>
        <vertAlign val="superscript"/>
        <sz val="9"/>
        <color rgb="FF000000"/>
        <rFont val="Times New Roman"/>
        <family val="1"/>
      </rPr>
      <t>a</t>
    </r>
    <r>
      <rPr>
        <b/>
        <sz val="9"/>
        <color rgb="FF000000"/>
        <rFont val="Times New Roman"/>
        <family val="1"/>
      </rPr>
      <t xml:space="preserve"> </t>
    </r>
  </si>
  <si>
    <t>(F)
Management person hrs per year 
(F=Ex0.05)</t>
  </si>
  <si>
    <t>(G)
Clerical person hrs per year 
(G=Ex0.1)</t>
  </si>
  <si>
    <r>
      <t xml:space="preserve">(H)
Cost per year ($) </t>
    </r>
    <r>
      <rPr>
        <b/>
        <vertAlign val="superscript"/>
        <sz val="9"/>
        <color rgb="FF000000"/>
        <rFont val="Times New Roman"/>
        <family val="1"/>
      </rPr>
      <t>b</t>
    </r>
  </si>
  <si>
    <t>Report Review</t>
  </si>
  <si>
    <t>a.  Initial notification</t>
  </si>
  <si>
    <t>b.  Performance test notification</t>
  </si>
  <si>
    <t>c.  Initial compliance determination</t>
  </si>
  <si>
    <t>d.  Performance test reports</t>
  </si>
  <si>
    <r>
      <t xml:space="preserve">e.  Semiannual report </t>
    </r>
    <r>
      <rPr>
        <vertAlign val="superscript"/>
        <sz val="9"/>
        <color rgb="FF000000"/>
        <rFont val="Times New Roman"/>
        <family val="1"/>
      </rPr>
      <t>c</t>
    </r>
  </si>
  <si>
    <r>
      <t xml:space="preserve">Total Annual Burden and Cost (rounded) </t>
    </r>
    <r>
      <rPr>
        <b/>
        <vertAlign val="superscript"/>
        <sz val="9"/>
        <color rgb="FF000000"/>
        <rFont val="Times New Roman"/>
        <family val="1"/>
      </rPr>
      <t>d</t>
    </r>
  </si>
  <si>
    <r>
      <t xml:space="preserve">a  </t>
    </r>
    <r>
      <rPr>
        <sz val="10"/>
        <color theme="1"/>
        <rFont val="Times New Roman"/>
        <family val="1"/>
      </rPr>
      <t>We assume that there are approximately 62 respondents, with no additional new sources becoming subject to the rule over the three-year period of this ICR. 32 of the 62 respondents have only recordkeeping requirements and are exempt from reporting requirements under §63.7881(c). 30 respondents have control, monitoring, reporting, and recordkeeping requirements under the rule. Of these 30 respondents, 29 are from the private sector and one is from the Federal government.</t>
    </r>
  </si>
  <si>
    <r>
      <t xml:space="preserve">b  </t>
    </r>
    <r>
      <rPr>
        <sz val="10"/>
        <color theme="1"/>
        <rFont val="Times New Roman"/>
        <family val="1"/>
      </rPr>
      <t>This ICR uses the following labor rates:  $73.46 for managerial, $54.51 for technical,  and $29.50 for clerical labor.   These rates are from the Office of Personnel Management (OPM), 2023 General Schedule, which excludes locality rates of pay.  The rates have been increased by 60 percent to account for the benefit packages available to government employees.</t>
    </r>
  </si>
  <si>
    <r>
      <t xml:space="preserve">c  </t>
    </r>
    <r>
      <rPr>
        <sz val="10"/>
        <color theme="1"/>
        <rFont val="Times New Roman"/>
        <family val="1"/>
      </rPr>
      <t>We have assumed that it will take eight hours twice per year to review each respondent's semiannual report.</t>
    </r>
  </si>
  <si>
    <r>
      <rPr>
        <vertAlign val="superscript"/>
        <sz val="10"/>
        <color rgb="FF000000"/>
        <rFont val="Times New Roman"/>
        <family val="1"/>
      </rPr>
      <t>d</t>
    </r>
    <r>
      <rPr>
        <sz val="10"/>
        <color rgb="FF000000"/>
        <rFont val="Times New Roman"/>
        <family val="1"/>
      </rPr>
      <t xml:space="preserve"> Totals have been rounded to 3 significant figures. Figures may not add exactly due to rounding.</t>
    </r>
  </si>
  <si>
    <t xml:space="preserve"> </t>
  </si>
  <si>
    <t>Capital/Startup vs. Operation and Maintenance (O&amp;M) Costs</t>
  </si>
  <si>
    <t>(A)</t>
  </si>
  <si>
    <t>(B)</t>
  </si>
  <si>
    <t>(C)</t>
  </si>
  <si>
    <t>(D)</t>
  </si>
  <si>
    <t>(E)</t>
  </si>
  <si>
    <t>(F)</t>
  </si>
  <si>
    <t>(G)</t>
  </si>
  <si>
    <t>Continuous Monitoring Device</t>
  </si>
  <si>
    <t>Capital/Startup Cost for One Respondent</t>
  </si>
  <si>
    <t xml:space="preserve">Number of New Respondents </t>
  </si>
  <si>
    <t>Total Capital/Startup Cost, (B X C)</t>
  </si>
  <si>
    <t>Annual O&amp;M Costs for One Respondent</t>
  </si>
  <si>
    <t>Number of Respondents with O&amp;M</t>
  </si>
  <si>
    <t>Total O&amp;M, 
(E X F)</t>
  </si>
  <si>
    <t>Parametric system</t>
  </si>
  <si>
    <t>Leak detection</t>
  </si>
  <si>
    <t>PRD Monitors</t>
  </si>
  <si>
    <t>Note: Totals have been rounded to 3 significant figures. Figures may not add exactly due to rounding.</t>
  </si>
  <si>
    <t xml:space="preserve">Year </t>
  </si>
  <si>
    <t xml:space="preserve">(A) </t>
  </si>
  <si>
    <t xml:space="preserve">(B) </t>
  </si>
  <si>
    <t xml:space="preserve">(C) </t>
  </si>
  <si>
    <t xml:space="preserve">(D) </t>
  </si>
  <si>
    <t xml:space="preserve">(E) </t>
  </si>
  <si>
    <t>Number of New Respondents</t>
  </si>
  <si>
    <t xml:space="preserve">Number of Existing Respondents </t>
  </si>
  <si>
    <t xml:space="preserve">Number of Existing Respondents that Keep Records but Do Not Submit Reports </t>
  </si>
  <si>
    <t xml:space="preserve">Number of New Respondents that Will Keep Records but Not Submit Reports </t>
  </si>
  <si>
    <r>
      <t xml:space="preserve">Number of Respondents (E=A+B+C-D) </t>
    </r>
    <r>
      <rPr>
        <vertAlign val="superscript"/>
        <sz val="12"/>
        <color rgb="FF000000"/>
        <rFont val="Calibri"/>
        <family val="2"/>
        <scheme val="minor"/>
      </rPr>
      <t>1</t>
    </r>
  </si>
  <si>
    <t xml:space="preserve">Average </t>
  </si>
  <si>
    <r>
      <rPr>
        <vertAlign val="superscript"/>
        <sz val="12"/>
        <color theme="1"/>
        <rFont val="Calibri"/>
        <family val="2"/>
        <scheme val="minor"/>
      </rPr>
      <t xml:space="preserve">1 </t>
    </r>
    <r>
      <rPr>
        <sz val="12"/>
        <color theme="1"/>
        <rFont val="Calibri"/>
        <family val="2"/>
        <scheme val="minor"/>
      </rPr>
      <t xml:space="preserve">The average Number of Respondents over the three year period of this ICR is 104. Of these 104 respondents, 84 are from the private sector and 20 are from the Federal government. We have further assumed that 62 out of 84 private sector facilities and 11 out of 20 Federal government facilities are subject to control, monitoring, and reporting requirements (73 facilities, total) while the remaining 22 private and 9 Federal government facilities (31 total) are exempt from reporting requirements. </t>
    </r>
  </si>
  <si>
    <t xml:space="preserve">Total Annual Responses </t>
  </si>
  <si>
    <t xml:space="preserve">Information Collection Activity </t>
  </si>
  <si>
    <t xml:space="preserve">Average Number of Respondents </t>
  </si>
  <si>
    <t xml:space="preserve">Average Annual Number of Respondents That Keep Records but Do Not Submit Reports </t>
  </si>
  <si>
    <t xml:space="preserve">Number of Responses </t>
  </si>
  <si>
    <t xml:space="preserve">Total (Average) Annual Responses E=((B-C)*D) </t>
  </si>
  <si>
    <t>Initial notification</t>
  </si>
  <si>
    <t>Performance test notification</t>
  </si>
  <si>
    <t xml:space="preserve">Initial compliance determination </t>
  </si>
  <si>
    <t>Performance test report</t>
  </si>
  <si>
    <t xml:space="preserve">Semiannual reports </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</si>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</sst>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164" formatCode="&quot;$&quot;#,##0.00"/>
    <numFmt numFmtId="165" formatCode="&quot;$&quot;#,##0"/>
    <numFmt numFmtId="166" formatCode="0.0"/>
    <numFmt numFmtId="167" formatCode="General_)"/>
    <numFmt numFmtId="168" formatCode="0.0%"/>
    <numFmt numFmtId="169" formatCode="0.000%"/>
  </numFmts>
  <fonts count="33">
    <font>
      <sz val="11"/>
      <color theme="1"/>
      <name val="Calibri"/>
      <family val="2"/>
      <scheme val="minor"/>
    </font>
    <font>
      <sz val="10"/>
      <color theme="1"/>
      <name val="Times New Roman"/>
      <family val="1"/>
    </font>
    <font>
      <sz val="9"/>
      <color rgb="FF000000"/>
      <name val="Times New Roman"/>
      <family val="1"/>
    </font>
    <font>
      <vertAlign val="superscript"/>
      <sz val="9"/>
      <color rgb="FF000000"/>
      <name val="Times New Roman"/>
      <family val="1"/>
    </font>
    <font>
      <b/>
      <sz val="9"/>
      <color rgb="FF000000"/>
      <name val="Times New Roman"/>
      <family val="1"/>
    </font>
    <font>
      <b/>
      <vertAlign val="superscript"/>
      <sz val="9"/>
      <color rgb="FF000000"/>
      <name val="Times New Roman"/>
      <family val="1"/>
    </font>
    <font>
      <b/>
      <u/>
      <sz val="9"/>
      <color theme="1"/>
      <name val="Times New Roman"/>
      <family val="1"/>
    </font>
    <font>
      <sz val="9"/>
      <color theme="1"/>
      <name val="Times New Roman"/>
      <family val="1"/>
    </font>
    <font>
      <vertAlign val="superscript"/>
      <sz val="10"/>
      <color theme="1"/>
      <name val="Times New Roman"/>
      <family val="1"/>
    </font>
    <font>
      <b/>
      <u/>
      <sz val="10"/>
      <color theme="1"/>
      <name val="Times New Roman"/>
      <family val="1"/>
    </font>
    <font>
      <sz val="10"/>
      <color rgb="FF000000"/>
      <name val="Times New Roman"/>
      <family val="1"/>
    </font>
    <font>
      <vertAlign val="superscript"/>
      <sz val="10"/>
      <color rgb="FF000000"/>
      <name val="Times New Roman"/>
      <family val="1"/>
    </font>
    <font>
      <b/>
      <sz val="12"/>
      <color rgb="FF000000"/>
      <name val="Times New Roman"/>
      <family val="1"/>
    </font>
    <font>
      <sz val="10"/>
      <name val="Times New Roman"/>
      <family val="1"/>
    </font>
    <font>
      <sz val="11"/>
      <color theme="1"/>
      <name val="Calibri"/>
      <family val="2"/>
      <scheme val="minor"/>
    </font>
    <font>
      <b/>
      <sz val="10"/>
      <color rgb="FF000000"/>
      <name val="Times New Roman"/>
      <family val="1"/>
    </font>
    <font>
      <b/>
      <vertAlign val="superscript"/>
      <sz val="10"/>
      <color rgb="FF000000"/>
      <name val="Times New Roman"/>
      <family val="1"/>
    </font>
    <font>
      <b/>
      <i/>
      <sz val="10"/>
      <color rgb="FF000000"/>
      <name val="Times New Roman"/>
      <family val="1"/>
    </font>
    <font>
      <sz val="10"/>
      <color theme="1"/>
      <name val="Calibri"/>
      <family val="2"/>
      <scheme val="minor"/>
    </font>
    <font>
      <b/>
      <sz val="12"/>
      <name val="Times New Roman"/>
      <family val="1"/>
    </font>
    <font>
      <sz val="10"/>
      <color rgb="FF000000"/>
      <name val="Calibri"/>
      <family val="2"/>
      <scheme val="minor"/>
    </font>
    <font>
      <b/>
      <sz val="10"/>
      <color rgb="FF000000"/>
      <name val="Calibri"/>
      <family val="2"/>
      <scheme val="minor"/>
    </font>
    <font>
      <b/>
      <sz val="12"/>
      <color theme="1"/>
      <name val="Calibri"/>
      <family val="2"/>
      <scheme val="minor"/>
    </font>
    <font>
      <sz val="12"/>
      <color theme="1"/>
      <name val="Calibri"/>
      <family val="2"/>
      <scheme val="minor"/>
    </font>
    <font>
      <sz val="12"/>
      <color rgb="FF000000"/>
      <name val="Calibri"/>
      <family val="2"/>
      <scheme val="minor"/>
    </font>
    <font>
      <b/>
      <sz val="12"/>
      <color rgb="FF000000"/>
      <name val="Calibri"/>
      <family val="2"/>
      <scheme val="minor"/>
    </font>
    <font>
      <vertAlign val="superscript"/>
      <sz val="12"/>
      <color rgb="FF000000"/>
      <name val="Calibri"/>
      <family val="2"/>
      <scheme val="minor"/>
    </font>
    <font>
      <vertAlign val="superscript"/>
      <sz val="12"/>
      <color theme="1"/>
      <name val="Calibri"/>
      <family val="2"/>
      <scheme val="minor"/>
    </font>
    <font>
      <sz val="10"/>
      <name val="Calibri"/>
      <family val="2"/>
      <scheme val="minor"/>
    </font>
    <font>
      <vertAlign val="superscript"/>
      <sz val="10"/>
      <name val="Calibri"/>
      <family val="2"/>
      <scheme val="minor"/>
    </font>
    <font>
      <vertAlign val="superscript"/>
      <sz val="10"/>
      <color rgb="FF000000"/>
      <name val="Calibri"/>
      <family val="2"/>
      <scheme val="minor"/>
    </font>
    <font>
      <sz val="8"/>
      <color theme="1"/>
      <name val="Calibri"/>
      <family val="2"/>
      <scheme val="minor"/>
    </font>
    <font>
      <sz val="11"/>
      <color rgb="FF000000"/>
      <name val="Calibri"/>
      <family val="2"/>
      <scheme val="minor"/>
    </font>
  </fonts>
  <fills count="3">
    <fill>
      <patternFill patternType="none"/>
    </fill>
    <fill>
      <patternFill patternType="gray125"/>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xf numFmtId="9" fontId="14" fillId="0" borderId="0" applyFont="0" applyFill="0" applyBorder="0" applyAlignment="0" applyProtection="0"/>
  </cellStyleXfs>
  <cellXfs count="105">
    <xf numFmtId="0" fontId="0" fillId="0" borderId="0" xfId="0"/>
    <xf numFmtId="0" fontId="0" fillId="0" borderId="0" xfId="0" applyAlignment="1">
      <alignment horizontal="center" vertical="center"/>
    </xf>
    <xf numFmtId="0" fontId="2" fillId="0" borderId="1" xfId="0" applyFont="1" applyBorder="1" applyAlignment="1">
      <alignment horizontal="center" vertical="center" wrapText="1"/>
    </xf>
    <xf numFmtId="0" fontId="4" fillId="0" borderId="1" xfId="0" applyFont="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1" fillId="0" borderId="1" xfId="0" applyFont="1" applyBorder="1"/>
    <xf numFmtId="3" fontId="2"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6" fontId="4" fillId="0" borderId="1" xfId="0" applyNumberFormat="1" applyFont="1" applyBorder="1" applyAlignment="1">
      <alignment horizontal="right" vertical="center"/>
    </xf>
    <xf numFmtId="0" fontId="2" fillId="0" borderId="1" xfId="0" applyFont="1" applyBorder="1" applyAlignment="1">
      <alignment vertical="center" wrapText="1"/>
    </xf>
    <xf numFmtId="0" fontId="1" fillId="0" borderId="1" xfId="0" applyFont="1" applyBorder="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164" fontId="2" fillId="0" borderId="1" xfId="0" applyNumberFormat="1" applyFont="1" applyBorder="1" applyAlignment="1">
      <alignment horizontal="right" vertical="center"/>
    </xf>
    <xf numFmtId="165" fontId="2" fillId="0" borderId="1" xfId="0" applyNumberFormat="1" applyFont="1" applyBorder="1" applyAlignment="1">
      <alignment horizontal="right" vertical="center"/>
    </xf>
    <xf numFmtId="0" fontId="12" fillId="0" borderId="0" xfId="0" applyFont="1" applyAlignment="1">
      <alignment vertical="center"/>
    </xf>
    <xf numFmtId="0" fontId="4" fillId="0" borderId="2" xfId="0" applyFont="1" applyBorder="1" applyAlignment="1">
      <alignment horizontal="center" vertical="center"/>
    </xf>
    <xf numFmtId="0" fontId="13" fillId="0" borderId="1" xfId="0" applyFont="1" applyBorder="1" applyAlignment="1">
      <alignment vertical="center"/>
    </xf>
    <xf numFmtId="164" fontId="1" fillId="0" borderId="1" xfId="0" applyNumberFormat="1" applyFont="1" applyBorder="1"/>
    <xf numFmtId="0" fontId="10" fillId="0" borderId="1" xfId="0" applyFont="1" applyBorder="1" applyAlignment="1">
      <alignment horizontal="center" vertical="center" wrapText="1"/>
    </xf>
    <xf numFmtId="0" fontId="10" fillId="0" borderId="1" xfId="0" applyFont="1" applyBorder="1" applyAlignment="1">
      <alignment vertical="center" wrapText="1"/>
    </xf>
    <xf numFmtId="168" fontId="0" fillId="0" borderId="0" xfId="1" applyNumberFormat="1" applyFont="1"/>
    <xf numFmtId="3" fontId="2" fillId="0" borderId="1" xfId="0" applyNumberFormat="1"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8" fillId="0" borderId="0" xfId="0" applyFont="1"/>
    <xf numFmtId="0" fontId="10" fillId="0" borderId="1" xfId="0" applyFont="1" applyBorder="1" applyAlignment="1">
      <alignment vertical="center"/>
    </xf>
    <xf numFmtId="0" fontId="10" fillId="0" borderId="1" xfId="0" applyFont="1" applyBorder="1" applyAlignment="1">
      <alignment horizontal="center" vertical="center"/>
    </xf>
    <xf numFmtId="165" fontId="10" fillId="0" borderId="1" xfId="0" applyNumberFormat="1" applyFont="1" applyBorder="1" applyAlignment="1">
      <alignment horizontal="right" vertical="center"/>
    </xf>
    <xf numFmtId="3" fontId="10" fillId="0" borderId="1" xfId="0" applyNumberFormat="1" applyFont="1" applyBorder="1" applyAlignment="1">
      <alignment horizontal="center" vertical="center" wrapText="1"/>
    </xf>
    <xf numFmtId="164" fontId="10" fillId="0" borderId="1" xfId="0" applyNumberFormat="1" applyFont="1" applyBorder="1" applyAlignment="1">
      <alignment horizontal="right" vertical="center"/>
    </xf>
    <xf numFmtId="3" fontId="10" fillId="0" borderId="1" xfId="0" applyNumberFormat="1" applyFont="1" applyBorder="1" applyAlignment="1">
      <alignment horizontal="center" vertical="center"/>
    </xf>
    <xf numFmtId="0" fontId="17" fillId="0" borderId="1" xfId="0" applyFont="1" applyBorder="1" applyAlignment="1">
      <alignment vertical="center"/>
    </xf>
    <xf numFmtId="6" fontId="17" fillId="0" borderId="1" xfId="0" applyNumberFormat="1" applyFont="1" applyBorder="1" applyAlignment="1">
      <alignment horizontal="right" vertical="center"/>
    </xf>
    <xf numFmtId="0" fontId="10" fillId="0" borderId="1" xfId="0" applyFont="1" applyBorder="1" applyAlignment="1">
      <alignment horizontal="right" vertical="center"/>
    </xf>
    <xf numFmtId="1" fontId="10" fillId="0" borderId="1" xfId="0" applyNumberFormat="1" applyFont="1" applyBorder="1" applyAlignment="1">
      <alignment horizontal="center" vertical="center"/>
    </xf>
    <xf numFmtId="169" fontId="18" fillId="0" borderId="0" xfId="1" applyNumberFormat="1" applyFont="1"/>
    <xf numFmtId="166" fontId="10" fillId="0" borderId="1" xfId="0" applyNumberFormat="1" applyFont="1" applyBorder="1" applyAlignment="1">
      <alignment horizontal="center" vertical="center"/>
    </xf>
    <xf numFmtId="168" fontId="18" fillId="0" borderId="0" xfId="1" applyNumberFormat="1" applyFont="1"/>
    <xf numFmtId="0" fontId="15" fillId="0" borderId="1" xfId="0" applyFont="1" applyBorder="1" applyAlignment="1">
      <alignment vertical="center"/>
    </xf>
    <xf numFmtId="6" fontId="15" fillId="0" borderId="1" xfId="0" applyNumberFormat="1" applyFont="1" applyBorder="1" applyAlignment="1">
      <alignment horizontal="right" vertical="center"/>
    </xf>
    <xf numFmtId="0" fontId="18" fillId="0" borderId="1" xfId="0" applyFont="1" applyBorder="1" applyAlignment="1">
      <alignment horizontal="center" vertical="center"/>
    </xf>
    <xf numFmtId="0" fontId="18" fillId="0" borderId="1" xfId="0" applyFont="1" applyBorder="1"/>
    <xf numFmtId="0" fontId="18" fillId="0" borderId="0" xfId="0" applyFont="1" applyAlignment="1">
      <alignment horizontal="center" vertical="center"/>
    </xf>
    <xf numFmtId="0" fontId="23" fillId="0" borderId="0" xfId="0" applyFont="1"/>
    <xf numFmtId="0" fontId="24" fillId="0" borderId="0" xfId="0" applyFont="1" applyAlignment="1">
      <alignment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1" xfId="0" applyFont="1" applyBorder="1" applyAlignment="1">
      <alignment vertical="center" wrapText="1"/>
    </xf>
    <xf numFmtId="0" fontId="25" fillId="0" borderId="1" xfId="0" applyFont="1" applyBorder="1" applyAlignment="1">
      <alignment vertical="center" wrapText="1"/>
    </xf>
    <xf numFmtId="0" fontId="24" fillId="0" borderId="1" xfId="0" applyFont="1" applyBorder="1" applyAlignment="1">
      <alignment horizontal="center" vertical="center" wrapText="1"/>
    </xf>
    <xf numFmtId="0" fontId="24" fillId="0" borderId="1" xfId="0" applyFont="1" applyBorder="1" applyAlignment="1">
      <alignment horizontal="left" vertical="center" wrapText="1"/>
    </xf>
    <xf numFmtId="0" fontId="20" fillId="0" borderId="0" xfId="0" applyFont="1" applyAlignment="1">
      <alignment vertical="center"/>
    </xf>
    <xf numFmtId="0" fontId="20" fillId="0" borderId="0" xfId="0" applyFont="1"/>
    <xf numFmtId="167" fontId="28" fillId="2" borderId="4" xfId="0" applyNumberFormat="1" applyFont="1" applyFill="1" applyBorder="1" applyAlignment="1">
      <alignment horizontal="center" vertical="center" wrapText="1"/>
    </xf>
    <xf numFmtId="167" fontId="28" fillId="2" borderId="3" xfId="0" applyNumberFormat="1" applyFont="1" applyFill="1" applyBorder="1" applyAlignment="1">
      <alignment horizontal="center" vertical="center" wrapText="1"/>
    </xf>
    <xf numFmtId="3" fontId="28" fillId="0" borderId="3" xfId="0" applyNumberFormat="1" applyFont="1" applyBorder="1" applyAlignment="1">
      <alignment horizontal="center"/>
    </xf>
    <xf numFmtId="3" fontId="28" fillId="0" borderId="3" xfId="0" quotePrefix="1" applyNumberFormat="1" applyFont="1" applyBorder="1" applyAlignment="1">
      <alignment horizontal="center"/>
    </xf>
    <xf numFmtId="165" fontId="28" fillId="2" borderId="3" xfId="0" applyNumberFormat="1" applyFont="1" applyFill="1" applyBorder="1" applyAlignment="1">
      <alignment horizontal="center"/>
    </xf>
    <xf numFmtId="3" fontId="28" fillId="0" borderId="4" xfId="0" applyNumberFormat="1" applyFont="1" applyBorder="1" applyAlignment="1">
      <alignment horizontal="center"/>
    </xf>
    <xf numFmtId="165" fontId="28" fillId="2" borderId="4" xfId="0" applyNumberFormat="1" applyFont="1" applyFill="1" applyBorder="1" applyAlignment="1">
      <alignment horizontal="center"/>
    </xf>
    <xf numFmtId="167" fontId="28" fillId="2" borderId="3" xfId="0" applyNumberFormat="1" applyFont="1" applyFill="1" applyBorder="1" applyAlignment="1">
      <alignment horizontal="center" vertical="center"/>
    </xf>
    <xf numFmtId="3" fontId="28" fillId="2" borderId="3" xfId="0" applyNumberFormat="1" applyFont="1" applyFill="1" applyBorder="1" applyAlignment="1">
      <alignment horizontal="center"/>
    </xf>
    <xf numFmtId="165" fontId="20" fillId="0" borderId="0" xfId="0" applyNumberFormat="1" applyFont="1" applyAlignment="1">
      <alignment horizontal="center"/>
    </xf>
    <xf numFmtId="3" fontId="24"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vertical="center" wrapText="1"/>
    </xf>
    <xf numFmtId="6" fontId="20" fillId="0" borderId="1" xfId="0" applyNumberFormat="1" applyFont="1" applyBorder="1" applyAlignment="1">
      <alignment horizontal="center" vertical="center" wrapText="1"/>
    </xf>
    <xf numFmtId="3" fontId="20" fillId="0" borderId="1" xfId="0" applyNumberFormat="1" applyFont="1" applyBorder="1" applyAlignment="1">
      <alignment horizontal="center" vertical="center" wrapText="1"/>
    </xf>
    <xf numFmtId="0" fontId="18" fillId="0" borderId="0" xfId="0" applyFont="1" applyAlignment="1">
      <alignment vertical="center"/>
    </xf>
    <xf numFmtId="6" fontId="0" fillId="0" borderId="0" xfId="0" applyNumberFormat="1"/>
    <xf numFmtId="0" fontId="31" fillId="0" borderId="0" xfId="0" applyFont="1" applyAlignment="1">
      <alignment vertical="center"/>
    </xf>
    <xf numFmtId="0" fontId="21" fillId="0" borderId="1" xfId="0" applyFont="1" applyBorder="1" applyAlignment="1">
      <alignment vertical="center" wrapText="1"/>
    </xf>
    <xf numFmtId="6" fontId="21" fillId="0" borderId="1" xfId="0" applyNumberFormat="1" applyFont="1" applyBorder="1" applyAlignment="1">
      <alignment horizontal="center" vertical="center" wrapText="1"/>
    </xf>
    <xf numFmtId="0" fontId="32" fillId="0" borderId="0" xfId="0" applyFont="1"/>
    <xf numFmtId="1" fontId="32" fillId="0" borderId="0" xfId="0" applyNumberFormat="1" applyFont="1"/>
    <xf numFmtId="3" fontId="32" fillId="0" borderId="0" xfId="0" applyNumberFormat="1" applyFont="1"/>
    <xf numFmtId="6" fontId="32" fillId="0" borderId="0" xfId="0" applyNumberFormat="1" applyFont="1"/>
    <xf numFmtId="6" fontId="32" fillId="0" borderId="0" xfId="0" applyNumberFormat="1" applyFont="1" applyAlignment="1">
      <alignment horizontal="right"/>
    </xf>
    <xf numFmtId="0" fontId="25" fillId="0" borderId="1" xfId="0" applyFont="1" applyBorder="1" applyAlignment="1">
      <alignment horizontal="center" vertical="center" wrapText="1"/>
    </xf>
    <xf numFmtId="0" fontId="32" fillId="0" borderId="0" xfId="0" applyFont="1" applyAlignment="1">
      <alignment horizontal="right"/>
    </xf>
    <xf numFmtId="0" fontId="32" fillId="0" borderId="0" xfId="0" applyFont="1" applyAlignment="1">
      <alignment horizontal="center"/>
    </xf>
    <xf numFmtId="0" fontId="10" fillId="0" borderId="0" xfId="0" applyFont="1" applyAlignment="1">
      <alignment horizontal="left" vertical="top" wrapText="1"/>
    </xf>
    <xf numFmtId="0" fontId="8" fillId="0" borderId="0" xfId="0" applyFont="1" applyAlignment="1">
      <alignment horizontal="left" vertical="top" wrapText="1"/>
    </xf>
    <xf numFmtId="0" fontId="1" fillId="0" borderId="0" xfId="0" applyFont="1" applyAlignment="1">
      <alignment horizontal="left" vertical="top" wrapText="1"/>
    </xf>
    <xf numFmtId="0" fontId="13" fillId="0" borderId="1" xfId="0" applyFont="1" applyBorder="1" applyAlignment="1">
      <alignment horizontal="center"/>
    </xf>
    <xf numFmtId="0" fontId="12" fillId="0" borderId="0" xfId="0" applyFont="1" applyAlignment="1">
      <alignment horizontal="left" vertical="top" wrapText="1"/>
    </xf>
    <xf numFmtId="3" fontId="17" fillId="0" borderId="1" xfId="0" applyNumberFormat="1" applyFont="1" applyBorder="1" applyAlignment="1">
      <alignment horizontal="center" vertical="center"/>
    </xf>
    <xf numFmtId="3" fontId="15" fillId="0" borderId="1" xfId="0" applyNumberFormat="1" applyFont="1" applyBorder="1" applyAlignment="1">
      <alignment horizontal="center" vertical="center"/>
    </xf>
    <xf numFmtId="0" fontId="11" fillId="0" borderId="0" xfId="0" applyFont="1" applyAlignment="1">
      <alignment vertical="center" wrapText="1"/>
    </xf>
    <xf numFmtId="0" fontId="11" fillId="0" borderId="0" xfId="0" applyFont="1" applyAlignment="1">
      <alignment horizontal="left" vertical="top" wrapText="1"/>
    </xf>
    <xf numFmtId="0" fontId="19" fillId="0" borderId="0" xfId="0" applyFont="1" applyAlignment="1">
      <alignment horizontal="left" vertical="top" wrapText="1"/>
    </xf>
    <xf numFmtId="0" fontId="25" fillId="0" borderId="0" xfId="0" applyFont="1" applyAlignment="1">
      <alignment horizontal="left" vertical="top" wrapText="1"/>
    </xf>
    <xf numFmtId="0" fontId="20" fillId="0" borderId="0" xfId="0" applyFont="1" applyAlignment="1">
      <alignment horizontal="left" vertical="top" wrapText="1"/>
    </xf>
    <xf numFmtId="0" fontId="20" fillId="0" borderId="0" xfId="0" applyFont="1" applyAlignment="1">
      <alignment horizontal="left" vertical="top"/>
    </xf>
    <xf numFmtId="3" fontId="4" fillId="0" borderId="1" xfId="0" applyNumberFormat="1" applyFont="1" applyBorder="1" applyAlignment="1">
      <alignment horizontal="center" vertical="center"/>
    </xf>
    <xf numFmtId="0" fontId="12" fillId="0" borderId="0" xfId="0" applyFont="1" applyAlignment="1">
      <alignment horizontal="left" wrapText="1"/>
    </xf>
    <xf numFmtId="0" fontId="25" fillId="0" borderId="1" xfId="0" applyFont="1" applyBorder="1" applyAlignment="1">
      <alignment horizontal="center" vertical="center" wrapText="1"/>
    </xf>
    <xf numFmtId="0" fontId="24" fillId="0" borderId="2" xfId="0" applyFont="1" applyBorder="1" applyAlignment="1">
      <alignment vertical="center" wrapText="1"/>
    </xf>
    <xf numFmtId="0" fontId="25" fillId="0" borderId="3" xfId="0" applyFont="1" applyBorder="1" applyAlignment="1">
      <alignment vertical="center" wrapText="1"/>
    </xf>
    <xf numFmtId="0" fontId="22" fillId="0" borderId="1" xfId="0" applyFont="1" applyBorder="1" applyAlignment="1">
      <alignment horizontal="center"/>
    </xf>
    <xf numFmtId="0" fontId="23" fillId="0" borderId="0" xfId="0" applyFont="1" applyAlignment="1">
      <alignment horizontal="lef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99078-5D25-4D65-B4BA-BC3D4352B442}">
  <dimension ref="A1:B7"/>
  <sheetViews>
    <sheetView tabSelected="1" workbookViewId="0">
      <selection activeCell="F14" sqref="F14"/>
    </sheetView>
  </sheetViews>
  <sheetFormatPr defaultRowHeight="15"/>
  <cols>
    <col min="1" max="1" width="27.7109375" bestFit="1" customWidth="1"/>
    <col min="2" max="2" width="14.28515625" bestFit="1" customWidth="1"/>
  </cols>
  <sheetData>
    <row r="1" spans="1:2">
      <c r="A1" s="84" t="s">
        <v>0</v>
      </c>
      <c r="B1" s="84"/>
    </row>
    <row r="2" spans="1:2">
      <c r="A2" s="77" t="s">
        <v>1</v>
      </c>
      <c r="B2" s="78">
        <f>'Table 1c Summary'!J6</f>
        <v>322.60273972602738</v>
      </c>
    </row>
    <row r="3" spans="1:2">
      <c r="A3" s="77" t="s">
        <v>2</v>
      </c>
      <c r="B3" s="77">
        <f>Respondents!F7</f>
        <v>104</v>
      </c>
    </row>
    <row r="4" spans="1:2">
      <c r="A4" s="77" t="s">
        <v>3</v>
      </c>
      <c r="B4" s="79">
        <f>'Table 1c Summary'!F6</f>
        <v>47100</v>
      </c>
    </row>
    <row r="5" spans="1:2">
      <c r="A5" s="77" t="s">
        <v>4</v>
      </c>
      <c r="B5" s="80">
        <f>'Table 1c Summary'!I6</f>
        <v>5670000</v>
      </c>
    </row>
    <row r="6" spans="1:2">
      <c r="A6" s="77" t="s">
        <v>5</v>
      </c>
      <c r="B6" s="81">
        <f>'Capital O&amp;M'!G8</f>
        <v>256000</v>
      </c>
    </row>
    <row r="7" spans="1:2">
      <c r="A7" s="77" t="s">
        <v>6</v>
      </c>
      <c r="B7" s="83" t="s">
        <v>7</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9"/>
  <sheetViews>
    <sheetView zoomScaleNormal="100" workbookViewId="0">
      <selection activeCell="A12" sqref="A12"/>
    </sheetView>
  </sheetViews>
  <sheetFormatPr defaultRowHeight="15"/>
  <cols>
    <col min="1" max="1" width="40.5703125" customWidth="1"/>
    <col min="2" max="2" width="12" style="1" customWidth="1"/>
    <col min="3" max="3" width="9.85546875" customWidth="1"/>
    <col min="4" max="4" width="11" customWidth="1"/>
    <col min="5" max="5" width="12.140625" customWidth="1"/>
    <col min="6" max="6" width="12.28515625" customWidth="1"/>
    <col min="7" max="7" width="14.140625" customWidth="1"/>
    <col min="8" max="8" width="11.7109375" customWidth="1"/>
    <col min="9" max="9" width="14.7109375" customWidth="1"/>
    <col min="10" max="10" width="3" customWidth="1"/>
    <col min="11" max="11" width="11" bestFit="1" customWidth="1"/>
    <col min="13" max="13" width="2.42578125" customWidth="1"/>
  </cols>
  <sheetData>
    <row r="1" spans="1:12" ht="31.5" customHeight="1">
      <c r="A1" s="89" t="s">
        <v>8</v>
      </c>
      <c r="B1" s="89"/>
      <c r="C1" s="89"/>
      <c r="D1" s="89"/>
      <c r="E1" s="89"/>
      <c r="F1" s="89"/>
      <c r="G1" s="89"/>
      <c r="H1" s="89"/>
      <c r="I1" s="89"/>
    </row>
    <row r="2" spans="1:12" ht="15.75">
      <c r="A2" s="18"/>
    </row>
    <row r="3" spans="1:12" ht="76.5">
      <c r="A3" s="26" t="s">
        <v>9</v>
      </c>
      <c r="B3" s="27" t="s">
        <v>10</v>
      </c>
      <c r="C3" s="27" t="s">
        <v>11</v>
      </c>
      <c r="D3" s="27" t="s">
        <v>12</v>
      </c>
      <c r="E3" s="27" t="s">
        <v>13</v>
      </c>
      <c r="F3" s="27" t="s">
        <v>14</v>
      </c>
      <c r="G3" s="27" t="s">
        <v>15</v>
      </c>
      <c r="H3" s="27" t="s">
        <v>16</v>
      </c>
      <c r="I3" s="27" t="s">
        <v>17</v>
      </c>
      <c r="J3" s="28"/>
      <c r="K3" s="28"/>
      <c r="L3" s="28"/>
    </row>
    <row r="4" spans="1:12">
      <c r="A4" s="29" t="s">
        <v>18</v>
      </c>
      <c r="B4" s="30" t="s">
        <v>19</v>
      </c>
      <c r="C4" s="30"/>
      <c r="D4" s="29"/>
      <c r="E4" s="30"/>
      <c r="F4" s="29"/>
      <c r="G4" s="29"/>
      <c r="H4" s="29"/>
      <c r="I4" s="29"/>
      <c r="J4" s="28"/>
      <c r="K4" s="88" t="s">
        <v>20</v>
      </c>
      <c r="L4" s="88"/>
    </row>
    <row r="5" spans="1:12">
      <c r="A5" s="29" t="s">
        <v>21</v>
      </c>
      <c r="B5" s="30" t="s">
        <v>19</v>
      </c>
      <c r="C5" s="30"/>
      <c r="D5" s="29"/>
      <c r="E5" s="30"/>
      <c r="F5" s="29"/>
      <c r="G5" s="29"/>
      <c r="H5" s="29"/>
      <c r="I5" s="29"/>
      <c r="J5" s="28"/>
      <c r="K5" s="20" t="s">
        <v>22</v>
      </c>
      <c r="L5" s="21">
        <v>163.16999999999999</v>
      </c>
    </row>
    <row r="6" spans="1:12" ht="15.75">
      <c r="A6" s="29" t="s">
        <v>23</v>
      </c>
      <c r="B6" s="30">
        <v>40</v>
      </c>
      <c r="C6" s="30">
        <v>1</v>
      </c>
      <c r="D6" s="30">
        <f>+B6*C6</f>
        <v>40</v>
      </c>
      <c r="E6" s="30">
        <v>0</v>
      </c>
      <c r="F6" s="34">
        <f>D6*E6</f>
        <v>0</v>
      </c>
      <c r="G6" s="30">
        <f>+F6*0.05</f>
        <v>0</v>
      </c>
      <c r="H6" s="30">
        <f>+F6*0.1</f>
        <v>0</v>
      </c>
      <c r="I6" s="33">
        <f>+$L$6*F6+$L$5*G6+$L$7*H6</f>
        <v>0</v>
      </c>
      <c r="J6" s="28"/>
      <c r="K6" s="20" t="s">
        <v>24</v>
      </c>
      <c r="L6" s="21">
        <v>130.28</v>
      </c>
    </row>
    <row r="7" spans="1:12">
      <c r="A7" s="29" t="s">
        <v>25</v>
      </c>
      <c r="B7" s="12"/>
      <c r="C7" s="6"/>
      <c r="D7" s="30"/>
      <c r="E7" s="6"/>
      <c r="F7" s="30"/>
      <c r="G7" s="30"/>
      <c r="H7" s="30"/>
      <c r="I7" s="33"/>
      <c r="J7" s="28"/>
      <c r="K7" s="20" t="s">
        <v>26</v>
      </c>
      <c r="L7" s="21">
        <v>65.709999999999994</v>
      </c>
    </row>
    <row r="8" spans="1:12" ht="15.75">
      <c r="A8" s="29" t="s">
        <v>27</v>
      </c>
      <c r="B8" s="30">
        <v>16</v>
      </c>
      <c r="C8" s="30">
        <v>1</v>
      </c>
      <c r="D8" s="30">
        <f t="shared" ref="D8:D33" si="0">+B8*C8</f>
        <v>16</v>
      </c>
      <c r="E8" s="34">
        <v>62</v>
      </c>
      <c r="F8" s="34">
        <f>D8*E8</f>
        <v>992</v>
      </c>
      <c r="G8" s="40">
        <f t="shared" ref="G8:G15" si="1">+F8*0.05</f>
        <v>49.6</v>
      </c>
      <c r="H8" s="40">
        <f t="shared" ref="H8:H15" si="2">+F8*0.1</f>
        <v>99.2</v>
      </c>
      <c r="I8" s="33">
        <f t="shared" ref="I8:I15" si="3">+$L$6*F8+$L$5*G8+$L$7*H8</f>
        <v>143849.424</v>
      </c>
      <c r="J8" s="28"/>
      <c r="K8" s="28"/>
      <c r="L8" s="28"/>
    </row>
    <row r="9" spans="1:12" ht="15.75">
      <c r="A9" s="29" t="s">
        <v>28</v>
      </c>
      <c r="B9" s="30">
        <v>136</v>
      </c>
      <c r="C9" s="30">
        <v>1</v>
      </c>
      <c r="D9" s="30">
        <f t="shared" si="0"/>
        <v>136</v>
      </c>
      <c r="E9" s="30">
        <f>E6</f>
        <v>0</v>
      </c>
      <c r="F9" s="30">
        <f t="shared" ref="F9:F15" si="4">D9*E9</f>
        <v>0</v>
      </c>
      <c r="G9" s="30">
        <f t="shared" si="1"/>
        <v>0</v>
      </c>
      <c r="H9" s="30">
        <f t="shared" si="2"/>
        <v>0</v>
      </c>
      <c r="I9" s="33">
        <f t="shared" si="3"/>
        <v>0</v>
      </c>
      <c r="J9" s="28"/>
      <c r="K9" s="28"/>
      <c r="L9" s="28"/>
    </row>
    <row r="10" spans="1:12" ht="15.75">
      <c r="A10" s="29" t="s">
        <v>29</v>
      </c>
      <c r="B10" s="30">
        <v>14</v>
      </c>
      <c r="C10" s="30">
        <v>1</v>
      </c>
      <c r="D10" s="30">
        <f t="shared" si="0"/>
        <v>14</v>
      </c>
      <c r="E10" s="30">
        <v>0</v>
      </c>
      <c r="F10" s="30">
        <f t="shared" si="4"/>
        <v>0</v>
      </c>
      <c r="G10" s="30">
        <f t="shared" si="1"/>
        <v>0</v>
      </c>
      <c r="H10" s="30">
        <f t="shared" si="2"/>
        <v>0</v>
      </c>
      <c r="I10" s="31">
        <f t="shared" si="3"/>
        <v>0</v>
      </c>
      <c r="J10" s="28"/>
      <c r="K10" s="28"/>
      <c r="L10" s="28"/>
    </row>
    <row r="11" spans="1:12" ht="15.75">
      <c r="A11" s="29" t="s">
        <v>30</v>
      </c>
      <c r="B11" s="30">
        <v>3</v>
      </c>
      <c r="C11" s="30">
        <v>1</v>
      </c>
      <c r="D11" s="30">
        <f t="shared" si="0"/>
        <v>3</v>
      </c>
      <c r="E11" s="30">
        <f>E6</f>
        <v>0</v>
      </c>
      <c r="F11" s="30">
        <f t="shared" si="4"/>
        <v>0</v>
      </c>
      <c r="G11" s="30">
        <f t="shared" si="1"/>
        <v>0</v>
      </c>
      <c r="H11" s="30">
        <f t="shared" si="2"/>
        <v>0</v>
      </c>
      <c r="I11" s="33">
        <f t="shared" si="3"/>
        <v>0</v>
      </c>
      <c r="J11" s="28"/>
      <c r="K11" s="28"/>
      <c r="L11" s="28"/>
    </row>
    <row r="12" spans="1:12" ht="15.75">
      <c r="A12" s="29" t="s">
        <v>31</v>
      </c>
      <c r="B12" s="30">
        <v>60</v>
      </c>
      <c r="C12" s="30">
        <v>1</v>
      </c>
      <c r="D12" s="30">
        <f t="shared" si="0"/>
        <v>60</v>
      </c>
      <c r="E12" s="30">
        <v>0</v>
      </c>
      <c r="F12" s="30">
        <f t="shared" si="4"/>
        <v>0</v>
      </c>
      <c r="G12" s="30">
        <f t="shared" si="1"/>
        <v>0</v>
      </c>
      <c r="H12" s="30">
        <f t="shared" si="2"/>
        <v>0</v>
      </c>
      <c r="I12" s="31">
        <f t="shared" si="3"/>
        <v>0</v>
      </c>
      <c r="J12" s="28"/>
      <c r="K12" s="28"/>
      <c r="L12" s="28"/>
    </row>
    <row r="13" spans="1:12" ht="15.75">
      <c r="A13" s="29" t="s">
        <v>32</v>
      </c>
      <c r="B13" s="30">
        <v>108</v>
      </c>
      <c r="C13" s="30">
        <v>1</v>
      </c>
      <c r="D13" s="30">
        <f t="shared" si="0"/>
        <v>108</v>
      </c>
      <c r="E13" s="30">
        <f>E6</f>
        <v>0</v>
      </c>
      <c r="F13" s="30">
        <f t="shared" si="4"/>
        <v>0</v>
      </c>
      <c r="G13" s="30">
        <f t="shared" si="1"/>
        <v>0</v>
      </c>
      <c r="H13" s="30">
        <f t="shared" si="2"/>
        <v>0</v>
      </c>
      <c r="I13" s="33">
        <f t="shared" si="3"/>
        <v>0</v>
      </c>
      <c r="J13" s="28"/>
      <c r="K13" s="28"/>
      <c r="L13" s="28"/>
    </row>
    <row r="14" spans="1:12" ht="15.75">
      <c r="A14" s="29" t="s">
        <v>33</v>
      </c>
      <c r="B14" s="30">
        <v>56</v>
      </c>
      <c r="C14" s="30">
        <v>2</v>
      </c>
      <c r="D14" s="30">
        <f t="shared" si="0"/>
        <v>112</v>
      </c>
      <c r="E14" s="34">
        <f>29+33</f>
        <v>62</v>
      </c>
      <c r="F14" s="34">
        <f t="shared" si="4"/>
        <v>6944</v>
      </c>
      <c r="G14" s="38">
        <f t="shared" si="1"/>
        <v>347.20000000000005</v>
      </c>
      <c r="H14" s="34">
        <f t="shared" si="2"/>
        <v>694.40000000000009</v>
      </c>
      <c r="I14" s="33">
        <f t="shared" si="3"/>
        <v>1006945.968</v>
      </c>
      <c r="J14" s="28"/>
      <c r="K14" s="28"/>
      <c r="L14" s="28"/>
    </row>
    <row r="15" spans="1:12" ht="15.75">
      <c r="A15" s="29" t="s">
        <v>34</v>
      </c>
      <c r="B15" s="30">
        <v>10</v>
      </c>
      <c r="C15" s="30">
        <v>0</v>
      </c>
      <c r="D15" s="30">
        <f t="shared" si="0"/>
        <v>0</v>
      </c>
      <c r="E15" s="30">
        <v>0</v>
      </c>
      <c r="F15" s="30">
        <f t="shared" si="4"/>
        <v>0</v>
      </c>
      <c r="G15" s="30">
        <f t="shared" si="1"/>
        <v>0</v>
      </c>
      <c r="H15" s="30">
        <f t="shared" si="2"/>
        <v>0</v>
      </c>
      <c r="I15" s="31">
        <f t="shared" si="3"/>
        <v>0</v>
      </c>
      <c r="J15" s="28"/>
      <c r="K15" s="28"/>
      <c r="L15" s="28"/>
    </row>
    <row r="16" spans="1:12">
      <c r="A16" s="35" t="s">
        <v>35</v>
      </c>
      <c r="B16" s="12"/>
      <c r="C16" s="6"/>
      <c r="D16" s="30"/>
      <c r="E16" s="6"/>
      <c r="F16" s="90">
        <f>+SUM(F6:H15)</f>
        <v>9126.4</v>
      </c>
      <c r="G16" s="90"/>
      <c r="H16" s="90"/>
      <c r="I16" s="36">
        <f>+SUM(I6:I15)</f>
        <v>1150795.392</v>
      </c>
      <c r="J16" s="28"/>
      <c r="K16" s="28"/>
      <c r="L16" s="28"/>
    </row>
    <row r="17" spans="1:13">
      <c r="A17" s="29" t="s">
        <v>36</v>
      </c>
      <c r="B17" s="12"/>
      <c r="C17" s="6"/>
      <c r="D17" s="30"/>
      <c r="E17" s="6"/>
      <c r="F17" s="6"/>
      <c r="G17" s="6"/>
      <c r="H17" s="6"/>
      <c r="I17" s="29"/>
      <c r="J17" s="28"/>
      <c r="K17" s="28"/>
      <c r="L17" s="28"/>
    </row>
    <row r="18" spans="1:13">
      <c r="A18" s="29" t="s">
        <v>37</v>
      </c>
      <c r="B18" s="30" t="s">
        <v>38</v>
      </c>
      <c r="C18" s="30"/>
      <c r="D18" s="30"/>
      <c r="E18" s="30"/>
      <c r="F18" s="30"/>
      <c r="G18" s="30"/>
      <c r="H18" s="30"/>
      <c r="I18" s="37"/>
      <c r="J18" s="28"/>
      <c r="K18" s="28"/>
      <c r="L18" s="28"/>
    </row>
    <row r="19" spans="1:13" ht="15.75">
      <c r="A19" s="29" t="s">
        <v>39</v>
      </c>
      <c r="B19" s="30">
        <v>100</v>
      </c>
      <c r="C19" s="30">
        <v>1</v>
      </c>
      <c r="D19" s="30">
        <f t="shared" si="0"/>
        <v>100</v>
      </c>
      <c r="E19" s="30">
        <v>0</v>
      </c>
      <c r="F19" s="30">
        <f t="shared" ref="F19" si="5">D19*E19</f>
        <v>0</v>
      </c>
      <c r="G19" s="30">
        <f t="shared" ref="G19:G33" si="6">+F19*0.05</f>
        <v>0</v>
      </c>
      <c r="H19" s="30">
        <f t="shared" ref="H19" si="7">+F19*0.1</f>
        <v>0</v>
      </c>
      <c r="I19" s="31">
        <f t="shared" ref="I19:I33" si="8">+$L$6*F19+$L$5*G19+$L$7*H19</f>
        <v>0</v>
      </c>
      <c r="J19" s="28"/>
      <c r="K19" s="28"/>
      <c r="L19" s="28"/>
    </row>
    <row r="20" spans="1:13" ht="15.75">
      <c r="A20" s="29" t="s">
        <v>40</v>
      </c>
      <c r="B20" s="30">
        <v>112</v>
      </c>
      <c r="C20" s="30">
        <v>1</v>
      </c>
      <c r="D20" s="30">
        <f t="shared" si="0"/>
        <v>112</v>
      </c>
      <c r="E20" s="30">
        <v>0</v>
      </c>
      <c r="F20" s="30">
        <f t="shared" ref="F20:F33" si="9">D20*E20</f>
        <v>0</v>
      </c>
      <c r="G20" s="30">
        <f t="shared" si="6"/>
        <v>0</v>
      </c>
      <c r="H20" s="30">
        <f t="shared" ref="H20:H33" si="10">+F20*0.1</f>
        <v>0</v>
      </c>
      <c r="I20" s="31">
        <f t="shared" si="8"/>
        <v>0</v>
      </c>
      <c r="J20" s="28"/>
      <c r="K20" s="28"/>
      <c r="L20" s="28"/>
    </row>
    <row r="21" spans="1:13" ht="24.75" customHeight="1">
      <c r="A21" s="23" t="s">
        <v>41</v>
      </c>
      <c r="B21" s="30">
        <v>112</v>
      </c>
      <c r="C21" s="30">
        <v>1</v>
      </c>
      <c r="D21" s="30">
        <f t="shared" si="0"/>
        <v>112</v>
      </c>
      <c r="E21" s="38">
        <v>0</v>
      </c>
      <c r="F21" s="34">
        <f t="shared" si="9"/>
        <v>0</v>
      </c>
      <c r="G21" s="34">
        <f t="shared" si="6"/>
        <v>0</v>
      </c>
      <c r="H21" s="34">
        <f t="shared" si="10"/>
        <v>0</v>
      </c>
      <c r="I21" s="31">
        <f t="shared" si="8"/>
        <v>0</v>
      </c>
      <c r="J21" s="28"/>
      <c r="K21" s="41"/>
      <c r="L21" s="41"/>
      <c r="M21" s="24"/>
    </row>
    <row r="22" spans="1:13" ht="15.75">
      <c r="A22" s="29" t="s">
        <v>42</v>
      </c>
      <c r="B22" s="30">
        <v>0.5</v>
      </c>
      <c r="C22" s="30">
        <v>365</v>
      </c>
      <c r="D22" s="30">
        <f t="shared" si="0"/>
        <v>182.5</v>
      </c>
      <c r="E22" s="38">
        <f>0.1*E14</f>
        <v>6.2</v>
      </c>
      <c r="F22" s="34">
        <f t="shared" si="9"/>
        <v>1131.5</v>
      </c>
      <c r="G22" s="34">
        <f t="shared" si="6"/>
        <v>56.575000000000003</v>
      </c>
      <c r="H22" s="34">
        <f t="shared" si="10"/>
        <v>113.15</v>
      </c>
      <c r="I22" s="33">
        <f t="shared" si="8"/>
        <v>164078.24925000002</v>
      </c>
      <c r="J22" s="28"/>
      <c r="K22" s="41"/>
      <c r="L22" s="41"/>
      <c r="M22" s="24"/>
    </row>
    <row r="23" spans="1:13" ht="15.75">
      <c r="A23" s="29" t="s">
        <v>43</v>
      </c>
      <c r="B23" s="30">
        <v>0.5</v>
      </c>
      <c r="C23" s="30">
        <v>365</v>
      </c>
      <c r="D23" s="30">
        <f t="shared" si="0"/>
        <v>182.5</v>
      </c>
      <c r="E23" s="38">
        <f>0.9*E14</f>
        <v>55.800000000000004</v>
      </c>
      <c r="F23" s="34">
        <f t="shared" si="9"/>
        <v>10183.5</v>
      </c>
      <c r="G23" s="34">
        <f t="shared" si="6"/>
        <v>509.17500000000001</v>
      </c>
      <c r="H23" s="34">
        <f t="shared" si="10"/>
        <v>1018.35</v>
      </c>
      <c r="I23" s="33">
        <f t="shared" si="8"/>
        <v>1476704.2432500001</v>
      </c>
      <c r="J23" s="28"/>
      <c r="K23" s="41"/>
      <c r="L23" s="41"/>
      <c r="M23" s="24"/>
    </row>
    <row r="24" spans="1:13" ht="15.75">
      <c r="A24" s="29" t="s">
        <v>44</v>
      </c>
      <c r="B24" s="30">
        <v>2</v>
      </c>
      <c r="C24" s="30">
        <v>12</v>
      </c>
      <c r="D24" s="30">
        <f t="shared" si="0"/>
        <v>24</v>
      </c>
      <c r="E24" s="38">
        <f>E14*0.5</f>
        <v>31</v>
      </c>
      <c r="F24" s="34">
        <f t="shared" si="9"/>
        <v>744</v>
      </c>
      <c r="G24" s="34">
        <f t="shared" si="6"/>
        <v>37.200000000000003</v>
      </c>
      <c r="H24" s="34">
        <f t="shared" si="10"/>
        <v>74.400000000000006</v>
      </c>
      <c r="I24" s="33">
        <f t="shared" si="8"/>
        <v>107887.068</v>
      </c>
      <c r="J24" s="28"/>
      <c r="K24" s="41"/>
      <c r="L24" s="41"/>
      <c r="M24" s="24"/>
    </row>
    <row r="25" spans="1:13" ht="15.75">
      <c r="A25" s="29" t="s">
        <v>45</v>
      </c>
      <c r="B25" s="30">
        <v>0.5</v>
      </c>
      <c r="C25" s="30">
        <v>12</v>
      </c>
      <c r="D25" s="30">
        <f t="shared" si="0"/>
        <v>6</v>
      </c>
      <c r="E25" s="38">
        <f>E14*0.5</f>
        <v>31</v>
      </c>
      <c r="F25" s="34">
        <f t="shared" si="9"/>
        <v>186</v>
      </c>
      <c r="G25" s="34">
        <f t="shared" si="6"/>
        <v>9.3000000000000007</v>
      </c>
      <c r="H25" s="34">
        <f t="shared" si="10"/>
        <v>18.600000000000001</v>
      </c>
      <c r="I25" s="33">
        <f t="shared" si="8"/>
        <v>26971.767</v>
      </c>
      <c r="J25" s="28"/>
      <c r="K25" s="41"/>
      <c r="L25" s="41"/>
      <c r="M25" s="24"/>
    </row>
    <row r="26" spans="1:13" ht="15.75">
      <c r="A26" s="29" t="s">
        <v>46</v>
      </c>
      <c r="B26" s="30">
        <v>2</v>
      </c>
      <c r="C26" s="30">
        <v>12</v>
      </c>
      <c r="D26" s="30">
        <f t="shared" ref="D26:D27" si="11">+B26*C26</f>
        <v>24</v>
      </c>
      <c r="E26" s="38">
        <f>0.1*E14</f>
        <v>6.2</v>
      </c>
      <c r="F26" s="34">
        <f t="shared" ref="F26:F27" si="12">D26*E26</f>
        <v>148.80000000000001</v>
      </c>
      <c r="G26" s="34">
        <f t="shared" ref="G26:G27" si="13">+F26*0.05</f>
        <v>7.4400000000000013</v>
      </c>
      <c r="H26" s="34">
        <f t="shared" ref="H26:H27" si="14">+F26*0.1</f>
        <v>14.880000000000003</v>
      </c>
      <c r="I26" s="33">
        <f t="shared" ref="I26:I27" si="15">+$L$6*F26+$L$5*G26+$L$7*H26</f>
        <v>21577.413600000003</v>
      </c>
      <c r="J26" s="28"/>
      <c r="K26" s="41"/>
      <c r="L26" s="41"/>
      <c r="M26" s="24"/>
    </row>
    <row r="27" spans="1:13" ht="15.75">
      <c r="A27" s="29" t="s">
        <v>47</v>
      </c>
      <c r="B27" s="30">
        <v>2</v>
      </c>
      <c r="C27" s="30">
        <v>12</v>
      </c>
      <c r="D27" s="30">
        <f t="shared" si="11"/>
        <v>24</v>
      </c>
      <c r="E27" s="38">
        <f>0.1*E14</f>
        <v>6.2</v>
      </c>
      <c r="F27" s="34">
        <f t="shared" si="12"/>
        <v>148.80000000000001</v>
      </c>
      <c r="G27" s="34">
        <f t="shared" si="13"/>
        <v>7.4400000000000013</v>
      </c>
      <c r="H27" s="34">
        <f t="shared" si="14"/>
        <v>14.880000000000003</v>
      </c>
      <c r="I27" s="33">
        <f t="shared" si="15"/>
        <v>21577.413600000003</v>
      </c>
      <c r="J27" s="28"/>
      <c r="K27" s="41"/>
      <c r="L27" s="41"/>
      <c r="M27" s="24"/>
    </row>
    <row r="28" spans="1:13" ht="15.75">
      <c r="A28" s="29" t="s">
        <v>48</v>
      </c>
      <c r="B28" s="30">
        <v>0.5</v>
      </c>
      <c r="C28" s="30">
        <v>12</v>
      </c>
      <c r="D28" s="30">
        <f>+B28*C28</f>
        <v>6</v>
      </c>
      <c r="E28" s="38">
        <f>E8*0.5</f>
        <v>31</v>
      </c>
      <c r="F28" s="34">
        <f>D28*E28</f>
        <v>186</v>
      </c>
      <c r="G28" s="34">
        <f>+F28*0.05</f>
        <v>9.3000000000000007</v>
      </c>
      <c r="H28" s="34">
        <f>+F28*0.1</f>
        <v>18.600000000000001</v>
      </c>
      <c r="I28" s="33">
        <f>+$L$6*F28+$L$5*G28+$L$7*H28</f>
        <v>26971.767</v>
      </c>
      <c r="J28" s="28"/>
      <c r="K28" s="41"/>
      <c r="L28" s="41"/>
      <c r="M28" s="24"/>
    </row>
    <row r="29" spans="1:13" ht="15.75">
      <c r="A29" s="29" t="s">
        <v>49</v>
      </c>
      <c r="B29" s="30">
        <v>116</v>
      </c>
      <c r="C29" s="30">
        <v>1</v>
      </c>
      <c r="D29" s="30">
        <f t="shared" si="0"/>
        <v>116</v>
      </c>
      <c r="E29" s="38">
        <f>E8</f>
        <v>62</v>
      </c>
      <c r="F29" s="34">
        <f t="shared" si="9"/>
        <v>7192</v>
      </c>
      <c r="G29" s="34">
        <f t="shared" si="6"/>
        <v>359.6</v>
      </c>
      <c r="H29" s="34">
        <f t="shared" si="10"/>
        <v>719.2</v>
      </c>
      <c r="I29" s="33">
        <f t="shared" si="8"/>
        <v>1042908.324</v>
      </c>
      <c r="J29" s="28"/>
      <c r="K29" s="41"/>
      <c r="L29" s="41"/>
      <c r="M29" s="24"/>
    </row>
    <row r="30" spans="1:13">
      <c r="A30" s="29" t="s">
        <v>50</v>
      </c>
      <c r="B30" s="30">
        <v>20</v>
      </c>
      <c r="C30" s="30">
        <v>0.3</v>
      </c>
      <c r="D30" s="30">
        <f t="shared" si="0"/>
        <v>6</v>
      </c>
      <c r="E30" s="38">
        <f>E8</f>
        <v>62</v>
      </c>
      <c r="F30" s="34">
        <f t="shared" ref="F30" si="16">D30*E30</f>
        <v>372</v>
      </c>
      <c r="G30" s="34">
        <f t="shared" ref="G30" si="17">+F30*0.05</f>
        <v>18.600000000000001</v>
      </c>
      <c r="H30" s="34">
        <f t="shared" ref="H30" si="18">+F30*0.1</f>
        <v>37.200000000000003</v>
      </c>
      <c r="I30" s="33">
        <f t="shared" ref="I30" si="19">+$L$6*F30+$L$5*G30+$L$7*H30</f>
        <v>53943.534</v>
      </c>
      <c r="J30" s="28"/>
      <c r="K30" s="41"/>
      <c r="L30" s="41"/>
      <c r="M30" s="24"/>
    </row>
    <row r="31" spans="1:13" ht="15.75">
      <c r="A31" s="29" t="s">
        <v>51</v>
      </c>
      <c r="B31" s="30">
        <v>100</v>
      </c>
      <c r="C31" s="30">
        <v>1</v>
      </c>
      <c r="D31" s="30">
        <f t="shared" si="0"/>
        <v>100</v>
      </c>
      <c r="E31" s="30">
        <v>0</v>
      </c>
      <c r="F31" s="34">
        <f t="shared" si="9"/>
        <v>0</v>
      </c>
      <c r="G31" s="34">
        <f t="shared" si="6"/>
        <v>0</v>
      </c>
      <c r="H31" s="34">
        <f t="shared" si="10"/>
        <v>0</v>
      </c>
      <c r="I31" s="31">
        <f t="shared" si="8"/>
        <v>0</v>
      </c>
      <c r="J31" s="28"/>
      <c r="K31" s="41"/>
      <c r="L31" s="41"/>
      <c r="M31" s="24"/>
    </row>
    <row r="32" spans="1:13" ht="15.75">
      <c r="A32" s="29" t="s">
        <v>52</v>
      </c>
      <c r="B32" s="30">
        <v>2</v>
      </c>
      <c r="C32" s="30">
        <v>52</v>
      </c>
      <c r="D32" s="30">
        <f t="shared" si="0"/>
        <v>104</v>
      </c>
      <c r="E32" s="34">
        <f>E8</f>
        <v>62</v>
      </c>
      <c r="F32" s="34">
        <f t="shared" si="9"/>
        <v>6448</v>
      </c>
      <c r="G32" s="34">
        <f t="shared" si="6"/>
        <v>322.40000000000003</v>
      </c>
      <c r="H32" s="34">
        <f t="shared" si="10"/>
        <v>644.80000000000007</v>
      </c>
      <c r="I32" s="33">
        <f t="shared" si="8"/>
        <v>935021.25600000005</v>
      </c>
      <c r="J32" s="28"/>
      <c r="K32" s="41"/>
      <c r="L32" s="41"/>
      <c r="M32" s="24"/>
    </row>
    <row r="33" spans="1:12" ht="15.75">
      <c r="A33" s="29" t="s">
        <v>53</v>
      </c>
      <c r="B33" s="30">
        <v>20</v>
      </c>
      <c r="C33" s="30">
        <v>1</v>
      </c>
      <c r="D33" s="30">
        <f t="shared" si="0"/>
        <v>20</v>
      </c>
      <c r="E33" s="30">
        <v>0</v>
      </c>
      <c r="F33" s="34">
        <f t="shared" si="9"/>
        <v>0</v>
      </c>
      <c r="G33" s="34">
        <f t="shared" si="6"/>
        <v>0</v>
      </c>
      <c r="H33" s="34">
        <f t="shared" si="10"/>
        <v>0</v>
      </c>
      <c r="I33" s="31">
        <f t="shared" si="8"/>
        <v>0</v>
      </c>
      <c r="J33" s="28"/>
      <c r="K33" s="28"/>
      <c r="L33" s="28"/>
    </row>
    <row r="34" spans="1:12">
      <c r="A34" s="35" t="s">
        <v>54</v>
      </c>
      <c r="B34" s="26"/>
      <c r="C34" s="26"/>
      <c r="D34" s="42"/>
      <c r="E34" s="26"/>
      <c r="F34" s="90">
        <f>+SUM(F19:H33)</f>
        <v>30751.69</v>
      </c>
      <c r="G34" s="90"/>
      <c r="H34" s="90"/>
      <c r="I34" s="36">
        <f>+SUM(I19:I33)</f>
        <v>3877641.0357000004</v>
      </c>
      <c r="J34" s="28"/>
      <c r="K34" s="28"/>
      <c r="L34" s="28"/>
    </row>
    <row r="35" spans="1:12" ht="15.75">
      <c r="A35" s="42" t="s">
        <v>55</v>
      </c>
      <c r="B35" s="30"/>
      <c r="C35" s="30"/>
      <c r="D35" s="29"/>
      <c r="E35" s="30"/>
      <c r="F35" s="91">
        <f>ROUND(F16+F34,-2)</f>
        <v>39900</v>
      </c>
      <c r="G35" s="91"/>
      <c r="H35" s="91"/>
      <c r="I35" s="43">
        <f>+ROUND(I16+I34,-4)</f>
        <v>5030000</v>
      </c>
      <c r="J35" s="28"/>
      <c r="K35" s="28"/>
      <c r="L35" s="28"/>
    </row>
    <row r="36" spans="1:12" ht="15.75">
      <c r="A36" s="42" t="s">
        <v>56</v>
      </c>
      <c r="B36" s="44"/>
      <c r="C36" s="45"/>
      <c r="D36" s="45"/>
      <c r="E36" s="45"/>
      <c r="F36" s="45"/>
      <c r="G36" s="45"/>
      <c r="H36" s="45"/>
      <c r="I36" s="43">
        <f>'Table 1c Summary'!H4</f>
        <v>217000</v>
      </c>
      <c r="J36" s="28"/>
      <c r="K36" s="28"/>
      <c r="L36" s="28"/>
    </row>
    <row r="37" spans="1:12" ht="15.75">
      <c r="A37" s="42" t="s">
        <v>57</v>
      </c>
      <c r="B37" s="44"/>
      <c r="C37" s="45"/>
      <c r="D37" s="45"/>
      <c r="E37" s="45"/>
      <c r="F37" s="45"/>
      <c r="G37" s="45"/>
      <c r="H37" s="45"/>
      <c r="I37" s="43">
        <f>ROUND(+I35+I36,-4)</f>
        <v>5250000</v>
      </c>
      <c r="J37" s="28"/>
      <c r="K37" s="28"/>
      <c r="L37" s="28"/>
    </row>
    <row r="38" spans="1:12">
      <c r="A38" s="28"/>
      <c r="B38" s="46"/>
      <c r="C38" s="28"/>
      <c r="D38" s="28"/>
      <c r="E38" s="28"/>
      <c r="F38" s="28"/>
      <c r="G38" s="28"/>
      <c r="H38" s="28"/>
      <c r="I38" s="28"/>
      <c r="J38" s="28"/>
      <c r="K38" s="28"/>
      <c r="L38" s="28"/>
    </row>
    <row r="39" spans="1:12" ht="18" customHeight="1">
      <c r="A39" s="15" t="s">
        <v>58</v>
      </c>
      <c r="B39" s="46"/>
      <c r="C39" s="28"/>
      <c r="D39" s="28"/>
      <c r="E39" s="28"/>
      <c r="F39" s="28"/>
      <c r="G39" s="28"/>
      <c r="H39" s="28"/>
      <c r="I39" s="28"/>
      <c r="J39" s="28"/>
      <c r="K39" s="28"/>
      <c r="L39" s="28"/>
    </row>
    <row r="40" spans="1:12" ht="36.75" customHeight="1">
      <c r="A40" s="86" t="s">
        <v>59</v>
      </c>
      <c r="B40" s="86"/>
      <c r="C40" s="86"/>
      <c r="D40" s="86"/>
      <c r="E40" s="86"/>
      <c r="F40" s="86"/>
      <c r="G40" s="86"/>
      <c r="H40" s="86"/>
      <c r="I40" s="86"/>
      <c r="J40" s="28"/>
      <c r="K40" s="28"/>
      <c r="L40" s="28"/>
    </row>
    <row r="41" spans="1:12" ht="60.75" customHeight="1">
      <c r="A41" s="87" t="s">
        <v>60</v>
      </c>
      <c r="B41" s="87"/>
      <c r="C41" s="87"/>
      <c r="D41" s="87"/>
      <c r="E41" s="87"/>
      <c r="F41" s="87"/>
      <c r="G41" s="87"/>
      <c r="H41" s="87"/>
      <c r="I41" s="87"/>
      <c r="J41" s="28"/>
      <c r="K41" s="28"/>
      <c r="L41" s="28"/>
    </row>
    <row r="42" spans="1:12" ht="21.75" customHeight="1">
      <c r="A42" s="87" t="s">
        <v>61</v>
      </c>
      <c r="B42" s="87"/>
      <c r="C42" s="87"/>
      <c r="D42" s="87"/>
      <c r="E42" s="87"/>
      <c r="F42" s="87"/>
      <c r="G42" s="87"/>
      <c r="H42" s="87"/>
      <c r="I42" s="87"/>
      <c r="J42" s="28"/>
      <c r="K42" s="28"/>
      <c r="L42" s="28"/>
    </row>
    <row r="43" spans="1:12" ht="21.75" customHeight="1">
      <c r="A43" s="87" t="s">
        <v>62</v>
      </c>
      <c r="B43" s="87"/>
      <c r="C43" s="87"/>
      <c r="D43" s="87"/>
      <c r="E43" s="87"/>
      <c r="F43" s="87"/>
      <c r="G43" s="87"/>
      <c r="H43" s="87"/>
      <c r="I43" s="87"/>
      <c r="J43" s="28"/>
      <c r="K43" s="28"/>
      <c r="L43" s="28"/>
    </row>
    <row r="44" spans="1:12" ht="20.25" customHeight="1">
      <c r="A44" s="87" t="s">
        <v>63</v>
      </c>
      <c r="B44" s="87"/>
      <c r="C44" s="87"/>
      <c r="D44" s="87"/>
      <c r="E44" s="87"/>
      <c r="F44" s="87"/>
      <c r="G44" s="87"/>
      <c r="H44" s="87"/>
      <c r="I44" s="87"/>
      <c r="J44" s="28"/>
      <c r="K44" s="28"/>
      <c r="L44" s="28"/>
    </row>
    <row r="45" spans="1:12" ht="30.75" customHeight="1">
      <c r="A45" s="87" t="s">
        <v>64</v>
      </c>
      <c r="B45" s="87"/>
      <c r="C45" s="87"/>
      <c r="D45" s="87"/>
      <c r="E45" s="87"/>
      <c r="F45" s="87"/>
      <c r="G45" s="87"/>
      <c r="H45" s="87"/>
      <c r="I45" s="87"/>
      <c r="J45" s="28"/>
      <c r="K45" s="28"/>
      <c r="L45" s="28"/>
    </row>
    <row r="46" spans="1:12" ht="20.25" customHeight="1">
      <c r="A46" s="87" t="s">
        <v>65</v>
      </c>
      <c r="B46" s="87"/>
      <c r="C46" s="87"/>
      <c r="D46" s="87"/>
      <c r="E46" s="87"/>
      <c r="F46" s="87"/>
      <c r="G46" s="87"/>
      <c r="H46" s="87"/>
      <c r="I46" s="87"/>
      <c r="J46" s="28"/>
      <c r="K46" s="28"/>
      <c r="L46" s="28"/>
    </row>
    <row r="47" spans="1:12">
      <c r="A47" s="87" t="s">
        <v>66</v>
      </c>
      <c r="B47" s="87"/>
      <c r="C47" s="87"/>
      <c r="D47" s="87"/>
      <c r="E47" s="87"/>
      <c r="F47" s="87"/>
      <c r="G47" s="87"/>
      <c r="H47" s="87"/>
      <c r="I47" s="87"/>
      <c r="J47" s="28"/>
      <c r="K47" s="28"/>
      <c r="L47" s="28"/>
    </row>
    <row r="48" spans="1:12" ht="33.75" customHeight="1">
      <c r="A48" s="87" t="s">
        <v>67</v>
      </c>
      <c r="B48" s="87"/>
      <c r="C48" s="87"/>
      <c r="D48" s="87"/>
      <c r="E48" s="87"/>
      <c r="F48" s="87"/>
      <c r="G48" s="87"/>
      <c r="H48" s="87"/>
      <c r="I48" s="87"/>
      <c r="J48" s="28"/>
      <c r="K48" s="28"/>
      <c r="L48" s="28"/>
    </row>
    <row r="49" spans="1:12" ht="41.25" customHeight="1">
      <c r="A49" s="92" t="s">
        <v>68</v>
      </c>
      <c r="B49" s="92"/>
      <c r="C49" s="92"/>
      <c r="D49" s="92"/>
      <c r="E49" s="92"/>
      <c r="F49" s="92"/>
      <c r="G49" s="92"/>
      <c r="H49" s="92"/>
      <c r="I49" s="92"/>
      <c r="J49" s="28"/>
      <c r="K49" s="28"/>
      <c r="L49" s="28"/>
    </row>
    <row r="50" spans="1:12" ht="31.5" customHeight="1">
      <c r="A50" s="92" t="s">
        <v>69</v>
      </c>
      <c r="B50" s="92"/>
      <c r="C50" s="92"/>
      <c r="D50" s="92"/>
      <c r="E50" s="92"/>
      <c r="F50" s="92"/>
      <c r="G50" s="92"/>
      <c r="H50" s="92"/>
      <c r="I50" s="92"/>
      <c r="J50" s="28"/>
      <c r="K50" s="28"/>
      <c r="L50" s="28"/>
    </row>
    <row r="51" spans="1:12" ht="31.5" customHeight="1">
      <c r="A51" s="93" t="s">
        <v>70</v>
      </c>
      <c r="B51" s="93"/>
      <c r="C51" s="93"/>
      <c r="D51" s="93"/>
      <c r="E51" s="93"/>
      <c r="F51" s="93"/>
      <c r="G51" s="93"/>
      <c r="H51" s="93"/>
      <c r="I51" s="93"/>
      <c r="J51" s="28"/>
      <c r="K51" s="28"/>
      <c r="L51" s="28"/>
    </row>
    <row r="52" spans="1:12" ht="33.75" customHeight="1">
      <c r="A52" s="85" t="s">
        <v>71</v>
      </c>
      <c r="B52" s="85"/>
      <c r="C52" s="85"/>
      <c r="D52" s="85"/>
      <c r="E52" s="85"/>
      <c r="F52" s="85"/>
      <c r="G52" s="85"/>
      <c r="H52" s="85"/>
      <c r="I52" s="85"/>
      <c r="J52" s="28"/>
      <c r="K52" s="28"/>
      <c r="L52" s="28"/>
    </row>
    <row r="53" spans="1:12" ht="33.75" customHeight="1">
      <c r="A53" s="85" t="s">
        <v>72</v>
      </c>
      <c r="B53" s="85"/>
      <c r="C53" s="85"/>
      <c r="D53" s="85"/>
      <c r="E53" s="85"/>
      <c r="F53" s="85"/>
      <c r="G53" s="85"/>
      <c r="H53" s="85"/>
      <c r="I53" s="85"/>
      <c r="J53" s="28"/>
      <c r="K53" s="28"/>
      <c r="L53" s="28"/>
    </row>
    <row r="54" spans="1:12" ht="23.25" customHeight="1">
      <c r="A54" s="85" t="s">
        <v>73</v>
      </c>
      <c r="B54" s="85"/>
      <c r="C54" s="85"/>
      <c r="D54" s="85"/>
      <c r="E54" s="85"/>
      <c r="F54" s="85"/>
      <c r="G54" s="85"/>
      <c r="H54" s="85"/>
      <c r="I54" s="85"/>
      <c r="J54" s="28"/>
      <c r="K54" s="28"/>
      <c r="L54" s="28"/>
    </row>
    <row r="55" spans="1:12" ht="23.25" customHeight="1">
      <c r="A55" s="85" t="s">
        <v>74</v>
      </c>
      <c r="B55" s="85"/>
      <c r="C55" s="85"/>
      <c r="D55" s="85"/>
      <c r="E55" s="85"/>
      <c r="F55" s="85"/>
      <c r="G55" s="85"/>
      <c r="H55" s="85"/>
      <c r="I55" s="85"/>
      <c r="J55" s="28"/>
      <c r="K55" s="28"/>
      <c r="L55" s="28"/>
    </row>
    <row r="56" spans="1:12" ht="21.75" customHeight="1">
      <c r="A56" s="85" t="s">
        <v>75</v>
      </c>
      <c r="B56" s="85"/>
      <c r="C56" s="85"/>
      <c r="D56" s="85"/>
      <c r="E56" s="85"/>
      <c r="F56" s="85"/>
      <c r="G56" s="85"/>
      <c r="H56" s="85"/>
      <c r="I56" s="85"/>
      <c r="J56" s="28"/>
      <c r="K56" s="28"/>
      <c r="L56" s="28"/>
    </row>
    <row r="57" spans="1:12">
      <c r="A57" s="85" t="s">
        <v>76</v>
      </c>
      <c r="B57" s="85"/>
      <c r="C57" s="85"/>
      <c r="D57" s="85"/>
      <c r="E57" s="85"/>
      <c r="F57" s="85"/>
      <c r="G57" s="85"/>
      <c r="H57" s="85"/>
      <c r="I57" s="85"/>
      <c r="J57" s="28"/>
      <c r="K57" s="28"/>
      <c r="L57" s="28"/>
    </row>
    <row r="58" spans="1:12">
      <c r="A58" s="28"/>
      <c r="B58" s="46"/>
      <c r="C58" s="28"/>
      <c r="D58" s="28"/>
      <c r="E58" s="28"/>
      <c r="F58" s="28"/>
      <c r="G58" s="28"/>
      <c r="H58" s="28"/>
      <c r="I58" s="28"/>
      <c r="J58" s="28"/>
      <c r="K58" s="28"/>
      <c r="L58" s="28"/>
    </row>
    <row r="59" spans="1:12">
      <c r="A59" s="28"/>
      <c r="B59" s="46"/>
      <c r="C59" s="28"/>
      <c r="D59" s="28"/>
      <c r="E59" s="28"/>
      <c r="F59" s="28"/>
      <c r="G59" s="28"/>
      <c r="H59" s="28"/>
      <c r="I59" s="28"/>
      <c r="J59" s="28"/>
      <c r="K59" s="28"/>
      <c r="L59" s="28"/>
    </row>
  </sheetData>
  <mergeCells count="23">
    <mergeCell ref="A52:I52"/>
    <mergeCell ref="A51:I51"/>
    <mergeCell ref="A42:I42"/>
    <mergeCell ref="A44:I44"/>
    <mergeCell ref="A46:I46"/>
    <mergeCell ref="A47:I47"/>
    <mergeCell ref="A48:I48"/>
    <mergeCell ref="A57:I57"/>
    <mergeCell ref="A40:I40"/>
    <mergeCell ref="A41:I41"/>
    <mergeCell ref="K4:L4"/>
    <mergeCell ref="A1:I1"/>
    <mergeCell ref="F16:H16"/>
    <mergeCell ref="F34:H34"/>
    <mergeCell ref="F35:H35"/>
    <mergeCell ref="A53:I53"/>
    <mergeCell ref="A54:I54"/>
    <mergeCell ref="A55:I55"/>
    <mergeCell ref="A56:I56"/>
    <mergeCell ref="A43:I43"/>
    <mergeCell ref="A45:I45"/>
    <mergeCell ref="A49:I49"/>
    <mergeCell ref="A50:I5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DD810-66E8-442F-B76C-958BA902666B}">
  <dimension ref="A1:L57"/>
  <sheetViews>
    <sheetView zoomScaleNormal="100" workbookViewId="0">
      <selection activeCell="A8" sqref="A8"/>
    </sheetView>
  </sheetViews>
  <sheetFormatPr defaultRowHeight="15"/>
  <cols>
    <col min="1" max="1" width="42.140625" customWidth="1"/>
    <col min="2" max="2" width="12.140625" style="1" customWidth="1"/>
    <col min="3" max="3" width="9.85546875" customWidth="1"/>
    <col min="4" max="4" width="9.7109375" customWidth="1"/>
    <col min="5" max="5" width="12.42578125" customWidth="1"/>
    <col min="6" max="6" width="11" customWidth="1"/>
    <col min="7" max="7" width="14" customWidth="1"/>
    <col min="8" max="8" width="10.140625" customWidth="1"/>
    <col min="9" max="9" width="12.28515625" bestFit="1" customWidth="1"/>
    <col min="10" max="10" width="3.7109375" customWidth="1"/>
    <col min="11" max="11" width="11" bestFit="1" customWidth="1"/>
    <col min="13" max="13" width="3.28515625" customWidth="1"/>
  </cols>
  <sheetData>
    <row r="1" spans="1:12" ht="31.5" customHeight="1">
      <c r="A1" s="94" t="s">
        <v>77</v>
      </c>
      <c r="B1" s="94"/>
      <c r="C1" s="94"/>
      <c r="D1" s="94"/>
      <c r="E1" s="94"/>
      <c r="F1" s="94"/>
      <c r="G1" s="94"/>
      <c r="H1" s="94"/>
      <c r="I1" s="94"/>
    </row>
    <row r="2" spans="1:12" ht="15.75">
      <c r="A2" s="18"/>
    </row>
    <row r="3" spans="1:12" ht="76.5">
      <c r="A3" s="26" t="s">
        <v>9</v>
      </c>
      <c r="B3" s="27" t="s">
        <v>10</v>
      </c>
      <c r="C3" s="27" t="s">
        <v>11</v>
      </c>
      <c r="D3" s="27" t="s">
        <v>12</v>
      </c>
      <c r="E3" s="27" t="s">
        <v>13</v>
      </c>
      <c r="F3" s="27" t="s">
        <v>14</v>
      </c>
      <c r="G3" s="27" t="s">
        <v>15</v>
      </c>
      <c r="H3" s="27" t="s">
        <v>16</v>
      </c>
      <c r="I3" s="27" t="s">
        <v>17</v>
      </c>
      <c r="J3" s="28"/>
      <c r="K3" s="28"/>
      <c r="L3" s="28"/>
    </row>
    <row r="4" spans="1:12">
      <c r="A4" s="29" t="s">
        <v>18</v>
      </c>
      <c r="B4" s="22" t="s">
        <v>19</v>
      </c>
      <c r="C4" s="22"/>
      <c r="D4" s="30"/>
      <c r="E4" s="22"/>
      <c r="F4" s="30"/>
      <c r="G4" s="30"/>
      <c r="H4" s="30"/>
      <c r="I4" s="30"/>
      <c r="J4" s="28"/>
      <c r="K4" s="88" t="s">
        <v>20</v>
      </c>
      <c r="L4" s="88"/>
    </row>
    <row r="5" spans="1:12">
      <c r="A5" s="29" t="s">
        <v>21</v>
      </c>
      <c r="B5" s="22" t="s">
        <v>19</v>
      </c>
      <c r="C5" s="22"/>
      <c r="D5" s="30"/>
      <c r="E5" s="22"/>
      <c r="F5" s="30"/>
      <c r="G5" s="30"/>
      <c r="H5" s="30"/>
      <c r="I5" s="30"/>
      <c r="J5" s="28"/>
      <c r="K5" s="20" t="s">
        <v>22</v>
      </c>
      <c r="L5" s="21">
        <v>73.459999999999994</v>
      </c>
    </row>
    <row r="6" spans="1:12" ht="15.75">
      <c r="A6" s="29" t="s">
        <v>23</v>
      </c>
      <c r="B6" s="22">
        <v>40</v>
      </c>
      <c r="C6" s="22">
        <v>1</v>
      </c>
      <c r="D6" s="30">
        <f t="shared" ref="D6:D33" si="0">+B6*C6</f>
        <v>40</v>
      </c>
      <c r="E6" s="22">
        <v>0</v>
      </c>
      <c r="F6" s="30">
        <f t="shared" ref="F6" si="1">D6*E6</f>
        <v>0</v>
      </c>
      <c r="G6" s="30">
        <f t="shared" ref="G6:G15" si="2">+F6*0.05</f>
        <v>0</v>
      </c>
      <c r="H6" s="30">
        <f t="shared" ref="H6" si="3">+F6*0.1</f>
        <v>0</v>
      </c>
      <c r="I6" s="31">
        <f t="shared" ref="I6:I15" si="4">+$L$6*F6+$L$5*G6+$L$7*H6</f>
        <v>0</v>
      </c>
      <c r="J6" s="28"/>
      <c r="K6" s="20" t="s">
        <v>24</v>
      </c>
      <c r="L6" s="21">
        <v>54.51</v>
      </c>
    </row>
    <row r="7" spans="1:12">
      <c r="A7" s="29" t="s">
        <v>25</v>
      </c>
      <c r="B7" s="22"/>
      <c r="C7" s="22"/>
      <c r="D7" s="30"/>
      <c r="E7" s="22"/>
      <c r="F7" s="30"/>
      <c r="G7" s="30"/>
      <c r="H7" s="30"/>
      <c r="I7" s="31">
        <f t="shared" si="4"/>
        <v>0</v>
      </c>
      <c r="J7" s="28"/>
      <c r="K7" s="20" t="s">
        <v>26</v>
      </c>
      <c r="L7" s="21">
        <v>29.5</v>
      </c>
    </row>
    <row r="8" spans="1:12" ht="15.75">
      <c r="A8" s="29" t="s">
        <v>27</v>
      </c>
      <c r="B8" s="22">
        <v>16</v>
      </c>
      <c r="C8" s="22">
        <v>1</v>
      </c>
      <c r="D8" s="30">
        <f t="shared" si="0"/>
        <v>16</v>
      </c>
      <c r="E8" s="32">
        <v>11</v>
      </c>
      <c r="F8" s="30">
        <f>D8*E8</f>
        <v>176</v>
      </c>
      <c r="G8" s="30">
        <f t="shared" si="2"/>
        <v>8.8000000000000007</v>
      </c>
      <c r="H8" s="30">
        <f t="shared" ref="H8:H15" si="5">+F8*0.1</f>
        <v>17.600000000000001</v>
      </c>
      <c r="I8" s="33">
        <f t="shared" si="4"/>
        <v>10759.408000000001</v>
      </c>
      <c r="J8" s="28"/>
      <c r="K8" s="28"/>
      <c r="L8" s="28"/>
    </row>
    <row r="9" spans="1:12" ht="15.75">
      <c r="A9" s="29" t="s">
        <v>28</v>
      </c>
      <c r="B9" s="22">
        <f>'Table 1a'!B9</f>
        <v>136</v>
      </c>
      <c r="C9" s="22">
        <v>1</v>
      </c>
      <c r="D9" s="30">
        <f t="shared" si="0"/>
        <v>136</v>
      </c>
      <c r="E9" s="22">
        <v>0</v>
      </c>
      <c r="F9" s="30">
        <f t="shared" ref="F9:F15" si="6">D9*E9</f>
        <v>0</v>
      </c>
      <c r="G9" s="30">
        <f t="shared" si="2"/>
        <v>0</v>
      </c>
      <c r="H9" s="30">
        <f t="shared" si="5"/>
        <v>0</v>
      </c>
      <c r="I9" s="31">
        <f t="shared" si="4"/>
        <v>0</v>
      </c>
      <c r="J9" s="28"/>
      <c r="K9" s="28"/>
      <c r="L9" s="28"/>
    </row>
    <row r="10" spans="1:12" ht="15.75">
      <c r="A10" s="29" t="s">
        <v>29</v>
      </c>
      <c r="B10" s="22">
        <f>'Table 1a'!B10</f>
        <v>14</v>
      </c>
      <c r="C10" s="22">
        <v>1</v>
      </c>
      <c r="D10" s="30">
        <f t="shared" si="0"/>
        <v>14</v>
      </c>
      <c r="E10" s="22">
        <v>0</v>
      </c>
      <c r="F10" s="30">
        <f t="shared" si="6"/>
        <v>0</v>
      </c>
      <c r="G10" s="30">
        <f t="shared" si="2"/>
        <v>0</v>
      </c>
      <c r="H10" s="30">
        <f t="shared" si="5"/>
        <v>0</v>
      </c>
      <c r="I10" s="31">
        <f t="shared" si="4"/>
        <v>0</v>
      </c>
      <c r="J10" s="28"/>
      <c r="K10" s="28"/>
      <c r="L10" s="28"/>
    </row>
    <row r="11" spans="1:12" ht="15.75">
      <c r="A11" s="29" t="s">
        <v>30</v>
      </c>
      <c r="B11" s="22">
        <f>'Table 1a'!B11</f>
        <v>3</v>
      </c>
      <c r="C11" s="22">
        <v>1</v>
      </c>
      <c r="D11" s="30">
        <f t="shared" si="0"/>
        <v>3</v>
      </c>
      <c r="E11" s="22">
        <v>0</v>
      </c>
      <c r="F11" s="30">
        <f t="shared" si="6"/>
        <v>0</v>
      </c>
      <c r="G11" s="30">
        <f t="shared" si="2"/>
        <v>0</v>
      </c>
      <c r="H11" s="30">
        <f t="shared" si="5"/>
        <v>0</v>
      </c>
      <c r="I11" s="31">
        <f t="shared" si="4"/>
        <v>0</v>
      </c>
      <c r="J11" s="28"/>
      <c r="K11" s="28"/>
      <c r="L11" s="28"/>
    </row>
    <row r="12" spans="1:12" ht="15.75">
      <c r="A12" s="29" t="s">
        <v>31</v>
      </c>
      <c r="B12" s="22">
        <f>'Table 1a'!B12</f>
        <v>60</v>
      </c>
      <c r="C12" s="22">
        <v>1</v>
      </c>
      <c r="D12" s="30">
        <f t="shared" si="0"/>
        <v>60</v>
      </c>
      <c r="E12" s="22">
        <v>0</v>
      </c>
      <c r="F12" s="30">
        <f t="shared" si="6"/>
        <v>0</v>
      </c>
      <c r="G12" s="30">
        <f t="shared" si="2"/>
        <v>0</v>
      </c>
      <c r="H12" s="30">
        <f t="shared" si="5"/>
        <v>0</v>
      </c>
      <c r="I12" s="31">
        <f t="shared" si="4"/>
        <v>0</v>
      </c>
      <c r="J12" s="28"/>
      <c r="K12" s="28"/>
      <c r="L12" s="28"/>
    </row>
    <row r="13" spans="1:12" ht="15.75">
      <c r="A13" s="29" t="s">
        <v>32</v>
      </c>
      <c r="B13" s="22">
        <f>'Table 1a'!B13</f>
        <v>108</v>
      </c>
      <c r="C13" s="22">
        <v>1</v>
      </c>
      <c r="D13" s="30">
        <f t="shared" si="0"/>
        <v>108</v>
      </c>
      <c r="E13" s="22">
        <v>0</v>
      </c>
      <c r="F13" s="30">
        <f t="shared" si="6"/>
        <v>0</v>
      </c>
      <c r="G13" s="30">
        <f t="shared" si="2"/>
        <v>0</v>
      </c>
      <c r="H13" s="30">
        <f t="shared" si="5"/>
        <v>0</v>
      </c>
      <c r="I13" s="31">
        <f t="shared" si="4"/>
        <v>0</v>
      </c>
      <c r="J13" s="28"/>
      <c r="K13" s="28"/>
      <c r="L13" s="28"/>
    </row>
    <row r="14" spans="1:12" ht="15.75">
      <c r="A14" s="29" t="s">
        <v>33</v>
      </c>
      <c r="B14" s="22">
        <f>'Table 1a'!B14</f>
        <v>56</v>
      </c>
      <c r="C14" s="22">
        <v>2</v>
      </c>
      <c r="D14" s="30">
        <f t="shared" si="0"/>
        <v>112</v>
      </c>
      <c r="E14" s="32">
        <f>E8</f>
        <v>11</v>
      </c>
      <c r="F14" s="34">
        <f>D14*E14</f>
        <v>1232</v>
      </c>
      <c r="G14" s="30">
        <f t="shared" si="2"/>
        <v>61.6</v>
      </c>
      <c r="H14" s="30">
        <f t="shared" si="5"/>
        <v>123.2</v>
      </c>
      <c r="I14" s="33">
        <f t="shared" si="4"/>
        <v>75315.855999999985</v>
      </c>
      <c r="J14" s="28"/>
      <c r="K14" s="28"/>
      <c r="L14" s="28"/>
    </row>
    <row r="15" spans="1:12" ht="15.75">
      <c r="A15" s="29" t="s">
        <v>34</v>
      </c>
      <c r="B15" s="22">
        <f>'Table 1a'!B15</f>
        <v>10</v>
      </c>
      <c r="C15" s="22">
        <v>0</v>
      </c>
      <c r="D15" s="30">
        <f t="shared" si="0"/>
        <v>0</v>
      </c>
      <c r="E15" s="22">
        <v>0</v>
      </c>
      <c r="F15" s="30">
        <f t="shared" si="6"/>
        <v>0</v>
      </c>
      <c r="G15" s="30">
        <f t="shared" si="2"/>
        <v>0</v>
      </c>
      <c r="H15" s="30">
        <f t="shared" si="5"/>
        <v>0</v>
      </c>
      <c r="I15" s="31">
        <f t="shared" si="4"/>
        <v>0</v>
      </c>
      <c r="J15" s="28"/>
      <c r="K15" s="28"/>
      <c r="L15" s="28"/>
    </row>
    <row r="16" spans="1:12">
      <c r="A16" s="35" t="s">
        <v>35</v>
      </c>
      <c r="B16" s="27"/>
      <c r="C16" s="27"/>
      <c r="D16" s="30"/>
      <c r="E16" s="27"/>
      <c r="F16" s="90">
        <f>+SUM(F6:H15)</f>
        <v>1619.2</v>
      </c>
      <c r="G16" s="90"/>
      <c r="H16" s="90"/>
      <c r="I16" s="36">
        <f>+SUM(I6:I15)</f>
        <v>86075.263999999981</v>
      </c>
      <c r="J16" s="28"/>
      <c r="K16" s="28"/>
      <c r="L16" s="28"/>
    </row>
    <row r="17" spans="1:12">
      <c r="A17" s="29" t="s">
        <v>36</v>
      </c>
      <c r="B17" s="22"/>
      <c r="C17" s="22"/>
      <c r="D17" s="30"/>
      <c r="E17" s="22"/>
      <c r="F17" s="30"/>
      <c r="G17" s="30"/>
      <c r="H17" s="30"/>
      <c r="I17" s="37"/>
      <c r="J17" s="28"/>
      <c r="K17" s="28"/>
      <c r="L17" s="28"/>
    </row>
    <row r="18" spans="1:12">
      <c r="A18" s="29" t="s">
        <v>37</v>
      </c>
      <c r="B18" s="22" t="s">
        <v>38</v>
      </c>
      <c r="C18" s="22"/>
      <c r="D18" s="30"/>
      <c r="E18" s="22"/>
      <c r="F18" s="30"/>
      <c r="G18" s="30"/>
      <c r="H18" s="30"/>
      <c r="I18" s="37"/>
      <c r="J18" s="28"/>
      <c r="K18" s="28"/>
      <c r="L18" s="28"/>
    </row>
    <row r="19" spans="1:12" ht="15.75">
      <c r="A19" s="29" t="s">
        <v>39</v>
      </c>
      <c r="B19" s="22">
        <v>100</v>
      </c>
      <c r="C19" s="22">
        <v>1</v>
      </c>
      <c r="D19" s="30">
        <f t="shared" si="0"/>
        <v>100</v>
      </c>
      <c r="E19" s="30">
        <v>0</v>
      </c>
      <c r="F19" s="34">
        <f t="shared" ref="F19:F33" si="7">D19*E19</f>
        <v>0</v>
      </c>
      <c r="G19" s="34">
        <f t="shared" ref="G19:G33" si="8">+F19*0.05</f>
        <v>0</v>
      </c>
      <c r="H19" s="34">
        <f t="shared" ref="H19:H33" si="9">+F19*0.1</f>
        <v>0</v>
      </c>
      <c r="I19" s="31">
        <f t="shared" ref="I19:I33" si="10">+$L$6*F19+$L$5*G19+$L$7*H19</f>
        <v>0</v>
      </c>
      <c r="J19" s="28"/>
      <c r="K19" s="28"/>
      <c r="L19" s="28"/>
    </row>
    <row r="20" spans="1:12" ht="15.75">
      <c r="A20" s="29" t="s">
        <v>40</v>
      </c>
      <c r="B20" s="22">
        <f>'Table 1a'!B20</f>
        <v>112</v>
      </c>
      <c r="C20" s="22">
        <v>1</v>
      </c>
      <c r="D20" s="30">
        <f t="shared" si="0"/>
        <v>112</v>
      </c>
      <c r="E20" s="30">
        <v>0</v>
      </c>
      <c r="F20" s="34">
        <f t="shared" si="7"/>
        <v>0</v>
      </c>
      <c r="G20" s="34">
        <f t="shared" si="8"/>
        <v>0</v>
      </c>
      <c r="H20" s="34">
        <f t="shared" si="9"/>
        <v>0</v>
      </c>
      <c r="I20" s="31">
        <f t="shared" si="10"/>
        <v>0</v>
      </c>
      <c r="J20" s="28"/>
      <c r="K20" s="28"/>
      <c r="L20" s="28"/>
    </row>
    <row r="21" spans="1:12" ht="15.75">
      <c r="A21" s="23" t="s">
        <v>41</v>
      </c>
      <c r="B21" s="22">
        <f>'Table 1a'!B21</f>
        <v>112</v>
      </c>
      <c r="C21" s="22">
        <v>1</v>
      </c>
      <c r="D21" s="30">
        <f t="shared" si="0"/>
        <v>112</v>
      </c>
      <c r="E21" s="38">
        <v>0</v>
      </c>
      <c r="F21" s="34">
        <f t="shared" si="7"/>
        <v>0</v>
      </c>
      <c r="G21" s="34">
        <f t="shared" si="8"/>
        <v>0</v>
      </c>
      <c r="H21" s="34">
        <f t="shared" si="9"/>
        <v>0</v>
      </c>
      <c r="I21" s="31">
        <f t="shared" si="10"/>
        <v>0</v>
      </c>
      <c r="J21" s="28"/>
      <c r="K21" s="39"/>
      <c r="L21" s="28"/>
    </row>
    <row r="22" spans="1:12" ht="15.75">
      <c r="A22" s="29" t="s">
        <v>42</v>
      </c>
      <c r="B22" s="22">
        <v>0.5</v>
      </c>
      <c r="C22" s="22">
        <v>365</v>
      </c>
      <c r="D22" s="30">
        <f t="shared" si="0"/>
        <v>182.5</v>
      </c>
      <c r="E22" s="38">
        <f>0.1*E14</f>
        <v>1.1000000000000001</v>
      </c>
      <c r="F22" s="34">
        <f t="shared" si="7"/>
        <v>200.75000000000003</v>
      </c>
      <c r="G22" s="34">
        <f t="shared" si="8"/>
        <v>10.037500000000001</v>
      </c>
      <c r="H22" s="34">
        <f t="shared" si="9"/>
        <v>20.075000000000003</v>
      </c>
      <c r="I22" s="33">
        <f t="shared" si="10"/>
        <v>12272.449750000002</v>
      </c>
      <c r="J22" s="28"/>
      <c r="K22" s="41"/>
      <c r="L22" s="28"/>
    </row>
    <row r="23" spans="1:12" ht="15.75">
      <c r="A23" s="29" t="s">
        <v>43</v>
      </c>
      <c r="B23" s="22">
        <v>0.5</v>
      </c>
      <c r="C23" s="22">
        <v>365</v>
      </c>
      <c r="D23" s="30">
        <f t="shared" si="0"/>
        <v>182.5</v>
      </c>
      <c r="E23" s="38">
        <f>0.9*E14</f>
        <v>9.9</v>
      </c>
      <c r="F23" s="34">
        <f t="shared" si="7"/>
        <v>1806.75</v>
      </c>
      <c r="G23" s="34">
        <f t="shared" si="8"/>
        <v>90.337500000000006</v>
      </c>
      <c r="H23" s="34">
        <f t="shared" si="9"/>
        <v>180.67500000000001</v>
      </c>
      <c r="I23" s="33">
        <f t="shared" si="10"/>
        <v>110452.04775</v>
      </c>
      <c r="J23" s="28"/>
      <c r="K23" s="41"/>
      <c r="L23" s="28"/>
    </row>
    <row r="24" spans="1:12" ht="15.75">
      <c r="A24" s="29" t="s">
        <v>44</v>
      </c>
      <c r="B24" s="22">
        <v>2</v>
      </c>
      <c r="C24" s="22">
        <v>12</v>
      </c>
      <c r="D24" s="30">
        <f t="shared" si="0"/>
        <v>24</v>
      </c>
      <c r="E24" s="38">
        <f>E14*0.5</f>
        <v>5.5</v>
      </c>
      <c r="F24" s="34">
        <f t="shared" si="7"/>
        <v>132</v>
      </c>
      <c r="G24" s="34">
        <f t="shared" si="8"/>
        <v>6.6000000000000005</v>
      </c>
      <c r="H24" s="34">
        <f t="shared" si="9"/>
        <v>13.200000000000001</v>
      </c>
      <c r="I24" s="33">
        <f t="shared" si="10"/>
        <v>8069.5559999999996</v>
      </c>
      <c r="J24" s="28"/>
      <c r="K24" s="41"/>
      <c r="L24" s="28"/>
    </row>
    <row r="25" spans="1:12" ht="15.75">
      <c r="A25" s="29" t="s">
        <v>45</v>
      </c>
      <c r="B25" s="22">
        <v>0.5</v>
      </c>
      <c r="C25" s="22">
        <v>12</v>
      </c>
      <c r="D25" s="30">
        <f t="shared" si="0"/>
        <v>6</v>
      </c>
      <c r="E25" s="38">
        <f>E14*0.5</f>
        <v>5.5</v>
      </c>
      <c r="F25" s="34">
        <f t="shared" si="7"/>
        <v>33</v>
      </c>
      <c r="G25" s="34">
        <f t="shared" si="8"/>
        <v>1.6500000000000001</v>
      </c>
      <c r="H25" s="34">
        <f t="shared" si="9"/>
        <v>3.3000000000000003</v>
      </c>
      <c r="I25" s="33">
        <f t="shared" si="10"/>
        <v>2017.3889999999999</v>
      </c>
      <c r="J25" s="28"/>
      <c r="K25" s="41"/>
      <c r="L25" s="28"/>
    </row>
    <row r="26" spans="1:12" ht="15.75">
      <c r="A26" s="29" t="s">
        <v>46</v>
      </c>
      <c r="B26" s="22">
        <v>2</v>
      </c>
      <c r="C26" s="22">
        <v>12</v>
      </c>
      <c r="D26" s="30">
        <f t="shared" ref="D26:D27" si="11">+B26*C26</f>
        <v>24</v>
      </c>
      <c r="E26" s="38">
        <f>0.1*E14</f>
        <v>1.1000000000000001</v>
      </c>
      <c r="F26" s="34">
        <f t="shared" ref="F26:F27" si="12">D26*E26</f>
        <v>26.400000000000002</v>
      </c>
      <c r="G26" s="34">
        <f t="shared" ref="G26:G27" si="13">+F26*0.05</f>
        <v>1.3200000000000003</v>
      </c>
      <c r="H26" s="34">
        <f t="shared" ref="H26:H27" si="14">+F26*0.1</f>
        <v>2.6400000000000006</v>
      </c>
      <c r="I26" s="33">
        <f t="shared" ref="I26:I27" si="15">+$L$6*F26+$L$5*G26+$L$7*H26</f>
        <v>1613.9112000000002</v>
      </c>
      <c r="J26" s="28"/>
      <c r="K26" s="41"/>
      <c r="L26" s="28"/>
    </row>
    <row r="27" spans="1:12" ht="15.75">
      <c r="A27" s="29" t="s">
        <v>47</v>
      </c>
      <c r="B27" s="22">
        <v>0.5</v>
      </c>
      <c r="C27" s="22">
        <v>12</v>
      </c>
      <c r="D27" s="30">
        <f t="shared" si="11"/>
        <v>6</v>
      </c>
      <c r="E27" s="38">
        <f>0.1*E14</f>
        <v>1.1000000000000001</v>
      </c>
      <c r="F27" s="34">
        <f t="shared" si="12"/>
        <v>6.6000000000000005</v>
      </c>
      <c r="G27" s="34">
        <f t="shared" si="13"/>
        <v>0.33000000000000007</v>
      </c>
      <c r="H27" s="34">
        <f t="shared" si="14"/>
        <v>0.66000000000000014</v>
      </c>
      <c r="I27" s="33">
        <f t="shared" si="15"/>
        <v>403.47780000000006</v>
      </c>
      <c r="J27" s="28"/>
      <c r="K27" s="41"/>
      <c r="L27" s="28"/>
    </row>
    <row r="28" spans="1:12" ht="15.75">
      <c r="A28" s="29" t="s">
        <v>48</v>
      </c>
      <c r="B28" s="22">
        <v>2</v>
      </c>
      <c r="C28" s="22">
        <v>12</v>
      </c>
      <c r="D28" s="30">
        <f t="shared" si="0"/>
        <v>24</v>
      </c>
      <c r="E28" s="38">
        <f>E8*0.5</f>
        <v>5.5</v>
      </c>
      <c r="F28" s="34">
        <f t="shared" si="7"/>
        <v>132</v>
      </c>
      <c r="G28" s="34">
        <f t="shared" si="8"/>
        <v>6.6000000000000005</v>
      </c>
      <c r="H28" s="34">
        <f t="shared" si="9"/>
        <v>13.200000000000001</v>
      </c>
      <c r="I28" s="33">
        <f t="shared" si="10"/>
        <v>8069.5559999999996</v>
      </c>
      <c r="J28" s="28"/>
      <c r="K28" s="41"/>
      <c r="L28" s="28"/>
    </row>
    <row r="29" spans="1:12" ht="15.75">
      <c r="A29" s="29" t="s">
        <v>49</v>
      </c>
      <c r="B29" s="22">
        <f>'Table 1a'!B29</f>
        <v>116</v>
      </c>
      <c r="C29" s="22">
        <v>1</v>
      </c>
      <c r="D29" s="30">
        <f t="shared" si="0"/>
        <v>116</v>
      </c>
      <c r="E29" s="38">
        <f>E8</f>
        <v>11</v>
      </c>
      <c r="F29" s="34">
        <f t="shared" si="7"/>
        <v>1276</v>
      </c>
      <c r="G29" s="34">
        <f t="shared" si="8"/>
        <v>63.800000000000004</v>
      </c>
      <c r="H29" s="34">
        <f t="shared" si="9"/>
        <v>127.60000000000001</v>
      </c>
      <c r="I29" s="33">
        <f>+$L$6*F29+$L$5*G29+$L$7*H29</f>
        <v>78005.707999999999</v>
      </c>
      <c r="J29" s="28"/>
      <c r="K29" s="41"/>
      <c r="L29" s="28"/>
    </row>
    <row r="30" spans="1:12">
      <c r="A30" s="29" t="s">
        <v>50</v>
      </c>
      <c r="B30" s="30">
        <v>20</v>
      </c>
      <c r="C30" s="30">
        <v>0.3</v>
      </c>
      <c r="D30" s="30">
        <f t="shared" si="0"/>
        <v>6</v>
      </c>
      <c r="E30" s="38">
        <f>E8</f>
        <v>11</v>
      </c>
      <c r="F30" s="34">
        <f t="shared" ref="F30" si="16">D30*E30</f>
        <v>66</v>
      </c>
      <c r="G30" s="34">
        <f t="shared" ref="G30" si="17">+F30*0.05</f>
        <v>3.3000000000000003</v>
      </c>
      <c r="H30" s="34">
        <f t="shared" ref="H30" si="18">+F30*0.1</f>
        <v>6.6000000000000005</v>
      </c>
      <c r="I30" s="33">
        <f t="shared" ref="I30" si="19">+$L$6*F30+$L$5*G30+$L$7*H30</f>
        <v>4034.7779999999998</v>
      </c>
      <c r="J30" s="28"/>
      <c r="K30" s="41"/>
      <c r="L30" s="28"/>
    </row>
    <row r="31" spans="1:12" ht="15.75">
      <c r="A31" s="29" t="s">
        <v>51</v>
      </c>
      <c r="B31" s="22">
        <v>100</v>
      </c>
      <c r="C31" s="22">
        <v>1</v>
      </c>
      <c r="D31" s="30">
        <f t="shared" si="0"/>
        <v>100</v>
      </c>
      <c r="E31" s="30">
        <v>0</v>
      </c>
      <c r="F31" s="34">
        <f t="shared" si="7"/>
        <v>0</v>
      </c>
      <c r="G31" s="34">
        <f t="shared" si="8"/>
        <v>0</v>
      </c>
      <c r="H31" s="34">
        <f t="shared" si="9"/>
        <v>0</v>
      </c>
      <c r="I31" s="31">
        <f t="shared" si="10"/>
        <v>0</v>
      </c>
      <c r="J31" s="28"/>
      <c r="K31" s="41"/>
      <c r="L31" s="28"/>
    </row>
    <row r="32" spans="1:12" ht="15.75">
      <c r="A32" s="29" t="s">
        <v>52</v>
      </c>
      <c r="B32" s="22">
        <v>2</v>
      </c>
      <c r="C32" s="22">
        <v>52</v>
      </c>
      <c r="D32" s="30">
        <f t="shared" si="0"/>
        <v>104</v>
      </c>
      <c r="E32" s="34">
        <f>E8</f>
        <v>11</v>
      </c>
      <c r="F32" s="34">
        <f t="shared" si="7"/>
        <v>1144</v>
      </c>
      <c r="G32" s="34">
        <f t="shared" si="8"/>
        <v>57.2</v>
      </c>
      <c r="H32" s="34">
        <f t="shared" si="9"/>
        <v>114.4</v>
      </c>
      <c r="I32" s="33">
        <f t="shared" si="10"/>
        <v>69936.152000000002</v>
      </c>
      <c r="J32" s="28"/>
      <c r="K32" s="41"/>
      <c r="L32" s="28"/>
    </row>
    <row r="33" spans="1:12" ht="15.75">
      <c r="A33" s="29" t="s">
        <v>53</v>
      </c>
      <c r="B33" s="22">
        <v>20</v>
      </c>
      <c r="C33" s="22">
        <v>0</v>
      </c>
      <c r="D33" s="30">
        <f t="shared" si="0"/>
        <v>0</v>
      </c>
      <c r="E33" s="30">
        <v>0</v>
      </c>
      <c r="F33" s="34">
        <f t="shared" si="7"/>
        <v>0</v>
      </c>
      <c r="G33" s="34">
        <f t="shared" si="8"/>
        <v>0</v>
      </c>
      <c r="H33" s="34">
        <f t="shared" si="9"/>
        <v>0</v>
      </c>
      <c r="I33" s="31">
        <f t="shared" si="10"/>
        <v>0</v>
      </c>
      <c r="J33" s="28"/>
      <c r="K33" s="28"/>
      <c r="L33" s="28"/>
    </row>
    <row r="34" spans="1:12">
      <c r="A34" s="35" t="s">
        <v>54</v>
      </c>
      <c r="B34" s="27"/>
      <c r="C34" s="27"/>
      <c r="D34" s="26"/>
      <c r="E34" s="27"/>
      <c r="F34" s="90">
        <f>+SUM(F19:H33)</f>
        <v>5547.0249999999996</v>
      </c>
      <c r="G34" s="90"/>
      <c r="H34" s="90"/>
      <c r="I34" s="36">
        <f>+SUM(I19:I33)</f>
        <v>294875.02549999999</v>
      </c>
      <c r="J34" s="28"/>
      <c r="K34" s="28"/>
      <c r="L34" s="28"/>
    </row>
    <row r="35" spans="1:12" ht="15.75">
      <c r="A35" s="42" t="s">
        <v>55</v>
      </c>
      <c r="B35" s="30"/>
      <c r="C35" s="30"/>
      <c r="D35" s="29"/>
      <c r="E35" s="30"/>
      <c r="F35" s="91">
        <f>ROUND(F16+F34,-1)</f>
        <v>7170</v>
      </c>
      <c r="G35" s="91"/>
      <c r="H35" s="91"/>
      <c r="I35" s="43">
        <f>+ROUND(I16+I34,-2)</f>
        <v>381000</v>
      </c>
      <c r="J35" s="28"/>
      <c r="K35" s="28"/>
      <c r="L35" s="28"/>
    </row>
    <row r="36" spans="1:12" ht="15.75">
      <c r="A36" s="42" t="s">
        <v>56</v>
      </c>
      <c r="B36" s="44"/>
      <c r="C36" s="45"/>
      <c r="D36" s="45"/>
      <c r="E36" s="45"/>
      <c r="F36" s="45"/>
      <c r="G36" s="45"/>
      <c r="H36" s="45"/>
      <c r="I36" s="43">
        <f>'Table 1c Summary'!H5</f>
        <v>38600</v>
      </c>
      <c r="J36" s="28"/>
      <c r="K36" s="28"/>
      <c r="L36" s="28"/>
    </row>
    <row r="37" spans="1:12" ht="15.75">
      <c r="A37" s="42" t="s">
        <v>57</v>
      </c>
      <c r="B37" s="44"/>
      <c r="C37" s="45"/>
      <c r="D37" s="45"/>
      <c r="E37" s="45"/>
      <c r="F37" s="45"/>
      <c r="G37" s="45"/>
      <c r="H37" s="45"/>
      <c r="I37" s="43">
        <f>ROUND(+I35+I36,-3)</f>
        <v>420000</v>
      </c>
      <c r="J37" s="28"/>
      <c r="K37" s="28"/>
      <c r="L37" s="28"/>
    </row>
    <row r="38" spans="1:12">
      <c r="A38" s="28"/>
      <c r="B38" s="46"/>
      <c r="C38" s="28"/>
      <c r="D38" s="28"/>
      <c r="E38" s="28"/>
      <c r="F38" s="28"/>
      <c r="G38" s="28"/>
      <c r="H38" s="28"/>
      <c r="I38" s="28"/>
      <c r="J38" s="28"/>
      <c r="K38" s="28"/>
      <c r="L38" s="28"/>
    </row>
    <row r="39" spans="1:12" ht="15" customHeight="1">
      <c r="A39" s="15" t="s">
        <v>58</v>
      </c>
      <c r="B39" s="46"/>
      <c r="C39" s="28"/>
      <c r="D39" s="28"/>
      <c r="E39" s="28"/>
      <c r="F39" s="28"/>
      <c r="G39" s="28"/>
      <c r="H39" s="28"/>
      <c r="I39" s="28"/>
      <c r="J39" s="28"/>
      <c r="K39" s="28"/>
      <c r="L39" s="28"/>
    </row>
    <row r="40" spans="1:12" ht="37.5" customHeight="1">
      <c r="A40" s="86" t="s">
        <v>59</v>
      </c>
      <c r="B40" s="86"/>
      <c r="C40" s="86"/>
      <c r="D40" s="86"/>
      <c r="E40" s="86"/>
      <c r="F40" s="86"/>
      <c r="G40" s="86"/>
      <c r="H40" s="86"/>
      <c r="I40" s="86"/>
      <c r="J40" s="28"/>
      <c r="K40" s="28"/>
      <c r="L40" s="28"/>
    </row>
    <row r="41" spans="1:12" ht="42.75" customHeight="1">
      <c r="A41" s="87" t="s">
        <v>78</v>
      </c>
      <c r="B41" s="87"/>
      <c r="C41" s="87"/>
      <c r="D41" s="87"/>
      <c r="E41" s="87"/>
      <c r="F41" s="87"/>
      <c r="G41" s="87"/>
      <c r="H41" s="87"/>
      <c r="I41" s="87"/>
      <c r="J41" s="28"/>
      <c r="K41" s="28"/>
      <c r="L41" s="28"/>
    </row>
    <row r="42" spans="1:12" ht="29.25" customHeight="1">
      <c r="A42" s="87" t="s">
        <v>61</v>
      </c>
      <c r="B42" s="87"/>
      <c r="C42" s="87"/>
      <c r="D42" s="87"/>
      <c r="E42" s="87"/>
      <c r="F42" s="87"/>
      <c r="G42" s="87"/>
      <c r="H42" s="87"/>
      <c r="I42" s="87"/>
      <c r="J42" s="28"/>
      <c r="K42" s="28"/>
      <c r="L42" s="28"/>
    </row>
    <row r="43" spans="1:12" ht="21.75" customHeight="1">
      <c r="A43" s="87" t="s">
        <v>62</v>
      </c>
      <c r="B43" s="87"/>
      <c r="C43" s="87"/>
      <c r="D43" s="87"/>
      <c r="E43" s="87"/>
      <c r="F43" s="87"/>
      <c r="G43" s="87"/>
      <c r="H43" s="87"/>
      <c r="I43" s="87"/>
      <c r="J43" s="28"/>
      <c r="K43" s="28"/>
      <c r="L43" s="28"/>
    </row>
    <row r="44" spans="1:12" ht="21" customHeight="1">
      <c r="A44" s="87" t="s">
        <v>63</v>
      </c>
      <c r="B44" s="87"/>
      <c r="C44" s="87"/>
      <c r="D44" s="87"/>
      <c r="E44" s="87"/>
      <c r="F44" s="87"/>
      <c r="G44" s="87"/>
      <c r="H44" s="87"/>
      <c r="I44" s="87"/>
      <c r="J44" s="28"/>
      <c r="K44" s="28"/>
      <c r="L44" s="28"/>
    </row>
    <row r="45" spans="1:12" ht="29.25" customHeight="1">
      <c r="A45" s="87" t="s">
        <v>79</v>
      </c>
      <c r="B45" s="87"/>
      <c r="C45" s="87"/>
      <c r="D45" s="87"/>
      <c r="E45" s="87"/>
      <c r="F45" s="87"/>
      <c r="G45" s="87"/>
      <c r="H45" s="87"/>
      <c r="I45" s="87"/>
      <c r="J45" s="28"/>
      <c r="K45" s="28"/>
      <c r="L45" s="28"/>
    </row>
    <row r="46" spans="1:12" ht="21" customHeight="1">
      <c r="A46" s="87" t="s">
        <v>65</v>
      </c>
      <c r="B46" s="87"/>
      <c r="C46" s="87"/>
      <c r="D46" s="87"/>
      <c r="E46" s="87"/>
      <c r="F46" s="87"/>
      <c r="G46" s="87"/>
      <c r="H46" s="87"/>
      <c r="I46" s="87"/>
      <c r="J46" s="28"/>
      <c r="K46" s="28"/>
      <c r="L46" s="28"/>
    </row>
    <row r="47" spans="1:12" ht="20.25" customHeight="1">
      <c r="A47" s="87" t="s">
        <v>66</v>
      </c>
      <c r="B47" s="87"/>
      <c r="C47" s="87"/>
      <c r="D47" s="87"/>
      <c r="E47" s="87"/>
      <c r="F47" s="87"/>
      <c r="G47" s="87"/>
      <c r="H47" s="87"/>
      <c r="I47" s="87"/>
      <c r="J47" s="28"/>
      <c r="K47" s="28"/>
      <c r="L47" s="28"/>
    </row>
    <row r="48" spans="1:12" ht="29.25" customHeight="1">
      <c r="A48" s="87" t="s">
        <v>80</v>
      </c>
      <c r="B48" s="87"/>
      <c r="C48" s="87"/>
      <c r="D48" s="87"/>
      <c r="E48" s="87"/>
      <c r="F48" s="87"/>
      <c r="G48" s="87"/>
      <c r="H48" s="87"/>
      <c r="I48" s="87"/>
      <c r="J48" s="28"/>
      <c r="K48" s="28"/>
      <c r="L48" s="28"/>
    </row>
    <row r="49" spans="1:12" ht="48" customHeight="1">
      <c r="A49" s="92" t="s">
        <v>68</v>
      </c>
      <c r="B49" s="92"/>
      <c r="C49" s="92"/>
      <c r="D49" s="92"/>
      <c r="E49" s="92"/>
      <c r="F49" s="92"/>
      <c r="G49" s="92"/>
      <c r="H49" s="92"/>
      <c r="I49" s="92"/>
      <c r="J49" s="28"/>
      <c r="K49" s="28"/>
      <c r="L49" s="28"/>
    </row>
    <row r="50" spans="1:12" ht="29.25" customHeight="1">
      <c r="A50" s="92" t="s">
        <v>69</v>
      </c>
      <c r="B50" s="92"/>
      <c r="C50" s="92"/>
      <c r="D50" s="92"/>
      <c r="E50" s="92"/>
      <c r="F50" s="92"/>
      <c r="G50" s="92"/>
      <c r="H50" s="92"/>
      <c r="I50" s="92"/>
      <c r="J50" s="28"/>
      <c r="K50" s="28"/>
      <c r="L50" s="28"/>
    </row>
    <row r="51" spans="1:12" ht="29.25" customHeight="1">
      <c r="A51" s="93" t="s">
        <v>70</v>
      </c>
      <c r="B51" s="93"/>
      <c r="C51" s="93"/>
      <c r="D51" s="93"/>
      <c r="E51" s="93"/>
      <c r="F51" s="93"/>
      <c r="G51" s="93"/>
      <c r="H51" s="93"/>
      <c r="I51" s="93"/>
      <c r="J51" s="28"/>
      <c r="K51" s="28"/>
      <c r="L51" s="28"/>
    </row>
    <row r="52" spans="1:12" ht="29.25" customHeight="1">
      <c r="A52" s="85" t="s">
        <v>71</v>
      </c>
      <c r="B52" s="85"/>
      <c r="C52" s="85"/>
      <c r="D52" s="85"/>
      <c r="E52" s="85"/>
      <c r="F52" s="85"/>
      <c r="G52" s="85"/>
      <c r="H52" s="85"/>
      <c r="I52" s="85"/>
      <c r="J52" s="28"/>
      <c r="K52" s="28"/>
      <c r="L52" s="28"/>
    </row>
    <row r="53" spans="1:12" ht="29.25" customHeight="1">
      <c r="A53" s="85" t="s">
        <v>72</v>
      </c>
      <c r="B53" s="85"/>
      <c r="C53" s="85"/>
      <c r="D53" s="85"/>
      <c r="E53" s="85"/>
      <c r="F53" s="85"/>
      <c r="G53" s="85"/>
      <c r="H53" s="85"/>
      <c r="I53" s="85"/>
      <c r="J53" s="28"/>
      <c r="K53" s="28"/>
      <c r="L53" s="28"/>
    </row>
    <row r="54" spans="1:12" ht="29.25" customHeight="1">
      <c r="A54" s="85" t="s">
        <v>73</v>
      </c>
      <c r="B54" s="85"/>
      <c r="C54" s="85"/>
      <c r="D54" s="85"/>
      <c r="E54" s="85"/>
      <c r="F54" s="85"/>
      <c r="G54" s="85"/>
      <c r="H54" s="85"/>
      <c r="I54" s="85"/>
      <c r="J54" s="28"/>
      <c r="K54" s="28"/>
      <c r="L54" s="28"/>
    </row>
    <row r="55" spans="1:12" ht="29.25" customHeight="1">
      <c r="A55" s="85" t="s">
        <v>74</v>
      </c>
      <c r="B55" s="85"/>
      <c r="C55" s="85"/>
      <c r="D55" s="85"/>
      <c r="E55" s="85"/>
      <c r="F55" s="85"/>
      <c r="G55" s="85"/>
      <c r="H55" s="85"/>
      <c r="I55" s="85"/>
      <c r="J55" s="28"/>
      <c r="K55" s="28"/>
      <c r="L55" s="28"/>
    </row>
    <row r="56" spans="1:12" ht="29.25" customHeight="1">
      <c r="A56" s="85" t="s">
        <v>75</v>
      </c>
      <c r="B56" s="85"/>
      <c r="C56" s="85"/>
      <c r="D56" s="85"/>
      <c r="E56" s="85"/>
      <c r="F56" s="85"/>
      <c r="G56" s="85"/>
      <c r="H56" s="85"/>
      <c r="I56" s="85"/>
      <c r="J56" s="28"/>
      <c r="K56" s="28"/>
      <c r="L56" s="28"/>
    </row>
    <row r="57" spans="1:12" ht="29.25" customHeight="1">
      <c r="A57" s="85" t="s">
        <v>76</v>
      </c>
      <c r="B57" s="85"/>
      <c r="C57" s="85"/>
      <c r="D57" s="85"/>
      <c r="E57" s="85"/>
      <c r="F57" s="85"/>
      <c r="G57" s="85"/>
      <c r="H57" s="85"/>
      <c r="I57" s="85"/>
      <c r="J57" s="28"/>
      <c r="K57" s="28"/>
      <c r="L57" s="28"/>
    </row>
  </sheetData>
  <mergeCells count="23">
    <mergeCell ref="A1:I1"/>
    <mergeCell ref="F16:H16"/>
    <mergeCell ref="K4:L4"/>
    <mergeCell ref="A49:I49"/>
    <mergeCell ref="A50:I50"/>
    <mergeCell ref="F34:H34"/>
    <mergeCell ref="F35:H35"/>
    <mergeCell ref="A46:I46"/>
    <mergeCell ref="A47:I47"/>
    <mergeCell ref="A48:I48"/>
    <mergeCell ref="A42:I42"/>
    <mergeCell ref="A43:I43"/>
    <mergeCell ref="A44:I44"/>
    <mergeCell ref="A45:I45"/>
    <mergeCell ref="A40:I40"/>
    <mergeCell ref="A41:I41"/>
    <mergeCell ref="A56:I56"/>
    <mergeCell ref="A57:I57"/>
    <mergeCell ref="A51:I51"/>
    <mergeCell ref="A52:I52"/>
    <mergeCell ref="A53:I53"/>
    <mergeCell ref="A54:I54"/>
    <mergeCell ref="A55:I5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98D63-1326-4DE6-9AEE-103CED5ECA11}">
  <dimension ref="A1:J9"/>
  <sheetViews>
    <sheetView zoomScale="87" zoomScaleNormal="87" workbookViewId="0">
      <selection sqref="A1:J9"/>
    </sheetView>
  </sheetViews>
  <sheetFormatPr defaultRowHeight="15"/>
  <cols>
    <col min="1" max="1" width="14.140625" customWidth="1"/>
    <col min="2" max="2" width="13.85546875" customWidth="1"/>
    <col min="3" max="3" width="12.28515625" customWidth="1"/>
    <col min="4" max="4" width="10.7109375" customWidth="1"/>
    <col min="5" max="5" width="14.140625" customWidth="1"/>
    <col min="6" max="6" width="11" customWidth="1"/>
    <col min="7" max="7" width="12.85546875" customWidth="1"/>
    <col min="8" max="8" width="16.5703125" customWidth="1"/>
    <col min="9" max="9" width="12.85546875" customWidth="1"/>
    <col min="10" max="10" width="10.28515625" customWidth="1"/>
  </cols>
  <sheetData>
    <row r="1" spans="1:10" ht="33.75" customHeight="1">
      <c r="A1" s="95" t="s">
        <v>81</v>
      </c>
      <c r="B1" s="95"/>
      <c r="C1" s="95"/>
      <c r="D1" s="95"/>
      <c r="E1" s="95"/>
      <c r="F1" s="95"/>
      <c r="G1" s="95"/>
      <c r="H1" s="95"/>
      <c r="I1" s="95"/>
    </row>
    <row r="2" spans="1:10">
      <c r="A2" s="55"/>
      <c r="B2" s="56"/>
      <c r="C2" s="56"/>
      <c r="D2" s="56"/>
      <c r="E2" s="56"/>
      <c r="F2" s="56"/>
      <c r="G2" s="56"/>
      <c r="H2" s="56"/>
    </row>
    <row r="3" spans="1:10" ht="51.75" customHeight="1" thickBot="1">
      <c r="A3" s="57" t="s">
        <v>82</v>
      </c>
      <c r="B3" s="57" t="s">
        <v>83</v>
      </c>
      <c r="C3" s="57" t="s">
        <v>84</v>
      </c>
      <c r="D3" s="57" t="s">
        <v>85</v>
      </c>
      <c r="E3" s="57" t="s">
        <v>86</v>
      </c>
      <c r="F3" s="57" t="s">
        <v>87</v>
      </c>
      <c r="G3" s="57" t="s">
        <v>88</v>
      </c>
      <c r="H3" s="57" t="s">
        <v>89</v>
      </c>
      <c r="I3" s="57" t="s">
        <v>90</v>
      </c>
      <c r="J3" s="57" t="s">
        <v>1</v>
      </c>
    </row>
    <row r="4" spans="1:10" ht="15.75" thickTop="1">
      <c r="A4" s="58" t="s">
        <v>91</v>
      </c>
      <c r="B4" s="59">
        <f>'Table 1a'!E14</f>
        <v>62</v>
      </c>
      <c r="C4" s="60">
        <f>'Table 1a'!C14*'Table 1a'!E14+'Table 1a'!C11*'Table 1a'!E11+'Table 1a'!C13*'Table 1a'!E13</f>
        <v>124</v>
      </c>
      <c r="D4" s="59">
        <f>'Table 1a'!F16</f>
        <v>9126.4</v>
      </c>
      <c r="E4" s="59">
        <f>'Table 1a'!F34</f>
        <v>30751.69</v>
      </c>
      <c r="F4" s="59">
        <f>'Table 1a'!F35</f>
        <v>39900</v>
      </c>
      <c r="G4" s="61">
        <f>'Table 1a'!I35</f>
        <v>5030000</v>
      </c>
      <c r="H4" s="61">
        <f>ROUND(H6*B4/B6,-3)</f>
        <v>217000</v>
      </c>
      <c r="I4" s="61">
        <f>ROUND(G4+H4,-4)</f>
        <v>5250000</v>
      </c>
      <c r="J4" s="59"/>
    </row>
    <row r="5" spans="1:10" ht="15.75" thickBot="1">
      <c r="A5" s="57" t="s">
        <v>92</v>
      </c>
      <c r="B5" s="62">
        <f>'Table 1b'!E14</f>
        <v>11</v>
      </c>
      <c r="C5" s="62">
        <f>'Table 1b'!C14*'Table 1b'!E14</f>
        <v>22</v>
      </c>
      <c r="D5" s="62">
        <f>'Table 1b'!F16</f>
        <v>1619.2</v>
      </c>
      <c r="E5" s="62">
        <f>'Table 1b'!F34</f>
        <v>5547.0249999999996</v>
      </c>
      <c r="F5" s="62">
        <f>'Table 1b'!F35</f>
        <v>7170</v>
      </c>
      <c r="G5" s="63">
        <f>'Table 1b'!I35</f>
        <v>381000</v>
      </c>
      <c r="H5" s="63">
        <f>ROUND(H6*B5/B6,-2)</f>
        <v>38600</v>
      </c>
      <c r="I5" s="63">
        <f>ROUND(G5+H5,-3)</f>
        <v>420000</v>
      </c>
      <c r="J5" s="62"/>
    </row>
    <row r="6" spans="1:10" ht="15.75" thickTop="1">
      <c r="A6" s="64" t="s">
        <v>93</v>
      </c>
      <c r="B6" s="65">
        <f>SUM(B4:B5)</f>
        <v>73</v>
      </c>
      <c r="C6" s="65">
        <f>SUM(C4:C5)</f>
        <v>146</v>
      </c>
      <c r="D6" s="65">
        <f>SUM(D4:D5)</f>
        <v>10745.6</v>
      </c>
      <c r="E6" s="65">
        <f>SUM(E4:E5)</f>
        <v>36298.714999999997</v>
      </c>
      <c r="F6" s="65">
        <f>ROUND(SUM(F4:F5),-2)</f>
        <v>47100</v>
      </c>
      <c r="G6" s="61">
        <f>ROUND(SUM(G4:G5),-4)</f>
        <v>5410000</v>
      </c>
      <c r="H6" s="61">
        <f>'Capital O&amp;M'!G8</f>
        <v>256000</v>
      </c>
      <c r="I6" s="61">
        <f>ROUND(SUM(I4:I5),-4)</f>
        <v>5670000</v>
      </c>
      <c r="J6" s="65">
        <f>F6/C6</f>
        <v>322.60273972602738</v>
      </c>
    </row>
    <row r="7" spans="1:10">
      <c r="A7" s="56"/>
      <c r="B7" s="56"/>
      <c r="C7" s="56"/>
      <c r="D7" s="56"/>
      <c r="E7" s="56"/>
      <c r="F7" s="66"/>
      <c r="G7" s="56"/>
      <c r="H7" s="56"/>
      <c r="I7" s="56"/>
    </row>
    <row r="8" spans="1:10" ht="67.5" customHeight="1">
      <c r="A8" s="96" t="s">
        <v>94</v>
      </c>
      <c r="B8" s="96"/>
      <c r="C8" s="96"/>
      <c r="D8" s="96"/>
      <c r="E8" s="96"/>
      <c r="F8" s="96"/>
      <c r="G8" s="96"/>
      <c r="H8" s="96"/>
      <c r="I8" s="96"/>
      <c r="J8" s="96"/>
    </row>
    <row r="9" spans="1:10" ht="20.25" customHeight="1">
      <c r="A9" s="97" t="s">
        <v>95</v>
      </c>
      <c r="B9" s="97"/>
      <c r="C9" s="97"/>
      <c r="D9" s="97"/>
      <c r="E9" s="97"/>
      <c r="F9" s="97"/>
      <c r="G9" s="97"/>
      <c r="H9" s="97"/>
      <c r="I9" s="97"/>
      <c r="J9" s="97"/>
    </row>
  </sheetData>
  <mergeCells count="3">
    <mergeCell ref="A1:I1"/>
    <mergeCell ref="A8:J8"/>
    <mergeCell ref="A9:J9"/>
  </mergeCells>
  <pageMargins left="0.7" right="0.7" top="0.75" bottom="0.75" header="0.3" footer="0.3"/>
  <pageSetup orientation="portrait" horizontalDpi="4294967293" verticalDpi="0" r:id="rId1"/>
  <ignoredErrors>
    <ignoredError sqref="H6"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7"/>
  <sheetViews>
    <sheetView topLeftCell="A3" workbookViewId="0">
      <selection sqref="A1:I16"/>
    </sheetView>
  </sheetViews>
  <sheetFormatPr defaultRowHeight="15"/>
  <cols>
    <col min="1" max="1" width="32.85546875" customWidth="1"/>
    <col min="3" max="3" width="10" customWidth="1"/>
    <col min="4" max="4" width="9.140625" customWidth="1"/>
    <col min="5" max="6" width="10.28515625" customWidth="1"/>
    <col min="7" max="7" width="10.5703125" customWidth="1"/>
    <col min="9" max="9" width="10.140625" bestFit="1" customWidth="1"/>
    <col min="10" max="10" width="3.28515625" customWidth="1"/>
    <col min="11" max="11" width="11" bestFit="1" customWidth="1"/>
  </cols>
  <sheetData>
    <row r="1" spans="1:12" ht="30" customHeight="1">
      <c r="A1" s="99" t="s">
        <v>96</v>
      </c>
      <c r="B1" s="99"/>
      <c r="C1" s="99"/>
      <c r="D1" s="99"/>
      <c r="E1" s="99"/>
      <c r="F1" s="99"/>
      <c r="G1" s="99"/>
      <c r="H1" s="99"/>
      <c r="I1" s="99"/>
    </row>
    <row r="3" spans="1:12" ht="72">
      <c r="A3" s="19" t="s">
        <v>9</v>
      </c>
      <c r="B3" s="9" t="s">
        <v>97</v>
      </c>
      <c r="C3" s="9" t="s">
        <v>11</v>
      </c>
      <c r="D3" s="9" t="s">
        <v>98</v>
      </c>
      <c r="E3" s="9" t="s">
        <v>99</v>
      </c>
      <c r="F3" s="9" t="s">
        <v>14</v>
      </c>
      <c r="G3" s="9" t="s">
        <v>100</v>
      </c>
      <c r="H3" s="9" t="s">
        <v>101</v>
      </c>
      <c r="I3" s="9" t="s">
        <v>102</v>
      </c>
    </row>
    <row r="4" spans="1:12">
      <c r="A4" s="5" t="s">
        <v>103</v>
      </c>
      <c r="B4" s="2"/>
      <c r="C4" s="11"/>
      <c r="D4" s="5"/>
      <c r="E4" s="11"/>
      <c r="F4" s="5"/>
      <c r="G4" s="5"/>
      <c r="H4" s="5"/>
      <c r="I4" s="5"/>
      <c r="K4" s="88" t="s">
        <v>20</v>
      </c>
      <c r="L4" s="88"/>
    </row>
    <row r="5" spans="1:12">
      <c r="A5" s="5" t="s">
        <v>104</v>
      </c>
      <c r="B5" s="2">
        <v>4</v>
      </c>
      <c r="C5" s="2">
        <v>0</v>
      </c>
      <c r="D5" s="4">
        <f>+B5*C5</f>
        <v>0</v>
      </c>
      <c r="E5" s="2">
        <f>'Table 1a'!E10</f>
        <v>0</v>
      </c>
      <c r="F5" s="4">
        <f>+D5*E5</f>
        <v>0</v>
      </c>
      <c r="G5" s="4">
        <f>+F5*0.05</f>
        <v>0</v>
      </c>
      <c r="H5" s="4">
        <f>+F5*0.1</f>
        <v>0</v>
      </c>
      <c r="I5" s="17">
        <f>+$L$6*F5+$L$5*G5+$L$7*H5</f>
        <v>0</v>
      </c>
      <c r="K5" s="20" t="s">
        <v>22</v>
      </c>
      <c r="L5" s="21">
        <v>73.459999999999994</v>
      </c>
    </row>
    <row r="6" spans="1:12">
      <c r="A6" s="5" t="s">
        <v>105</v>
      </c>
      <c r="B6" s="2">
        <v>2</v>
      </c>
      <c r="C6" s="2">
        <v>1</v>
      </c>
      <c r="D6" s="4">
        <f t="shared" ref="D6:D9" si="0">+B6*C6</f>
        <v>2</v>
      </c>
      <c r="E6" s="2">
        <f>'Table 1a'!E11</f>
        <v>0</v>
      </c>
      <c r="F6" s="4">
        <f t="shared" ref="F6:F8" si="1">+D6*E6</f>
        <v>0</v>
      </c>
      <c r="G6" s="4">
        <f t="shared" ref="G6:G9" si="2">+F6*0.05</f>
        <v>0</v>
      </c>
      <c r="H6" s="4">
        <f t="shared" ref="H6:H9" si="3">+F6*0.1</f>
        <v>0</v>
      </c>
      <c r="I6" s="17">
        <f>+$L$6*F6+$L$5*G6+$L$7*H6</f>
        <v>0</v>
      </c>
      <c r="K6" s="20" t="s">
        <v>24</v>
      </c>
      <c r="L6" s="21">
        <v>54.51</v>
      </c>
    </row>
    <row r="7" spans="1:12">
      <c r="A7" s="5" t="s">
        <v>106</v>
      </c>
      <c r="B7" s="2">
        <v>24</v>
      </c>
      <c r="C7" s="2">
        <v>0</v>
      </c>
      <c r="D7" s="4">
        <f t="shared" si="0"/>
        <v>0</v>
      </c>
      <c r="E7" s="2">
        <f>'Table 1a'!E12</f>
        <v>0</v>
      </c>
      <c r="F7" s="4">
        <f t="shared" si="1"/>
        <v>0</v>
      </c>
      <c r="G7" s="4">
        <f t="shared" si="2"/>
        <v>0</v>
      </c>
      <c r="H7" s="4">
        <f t="shared" si="3"/>
        <v>0</v>
      </c>
      <c r="I7" s="17">
        <f>+$L$6*F7+$L$5*G7+$L$7*H7</f>
        <v>0</v>
      </c>
      <c r="K7" s="20" t="s">
        <v>26</v>
      </c>
      <c r="L7" s="21">
        <v>29.5</v>
      </c>
    </row>
    <row r="8" spans="1:12">
      <c r="A8" s="5" t="s">
        <v>107</v>
      </c>
      <c r="B8" s="2">
        <v>24</v>
      </c>
      <c r="C8" s="2">
        <v>1</v>
      </c>
      <c r="D8" s="4">
        <f t="shared" si="0"/>
        <v>24</v>
      </c>
      <c r="E8" s="2">
        <f>'Table 1a'!E13</f>
        <v>0</v>
      </c>
      <c r="F8" s="4">
        <f t="shared" si="1"/>
        <v>0</v>
      </c>
      <c r="G8" s="4">
        <f t="shared" si="2"/>
        <v>0</v>
      </c>
      <c r="H8" s="4">
        <f t="shared" si="3"/>
        <v>0</v>
      </c>
      <c r="I8" s="17">
        <f>+$L$6*F8+$L$5*G8+$L$7*H8</f>
        <v>0</v>
      </c>
    </row>
    <row r="9" spans="1:12">
      <c r="A9" s="5" t="s">
        <v>108</v>
      </c>
      <c r="B9" s="2">
        <v>8</v>
      </c>
      <c r="C9" s="2">
        <v>2</v>
      </c>
      <c r="D9" s="4">
        <f t="shared" si="0"/>
        <v>16</v>
      </c>
      <c r="E9" s="25">
        <f>'Table 1a'!E14+'Table 1b'!E14</f>
        <v>73</v>
      </c>
      <c r="F9" s="7">
        <f>+D9*E9</f>
        <v>1168</v>
      </c>
      <c r="G9" s="7">
        <f t="shared" si="2"/>
        <v>58.400000000000006</v>
      </c>
      <c r="H9" s="7">
        <f t="shared" si="3"/>
        <v>116.80000000000001</v>
      </c>
      <c r="I9" s="16">
        <f>+$L$6*F9+$L$5*G9+$L$7*H9</f>
        <v>71403.344000000012</v>
      </c>
    </row>
    <row r="10" spans="1:12">
      <c r="A10" s="3" t="s">
        <v>109</v>
      </c>
      <c r="B10" s="9"/>
      <c r="C10" s="9"/>
      <c r="D10" s="8"/>
      <c r="E10" s="9"/>
      <c r="F10" s="98">
        <f>ROUND(+SUM(F5:H9),-1)</f>
        <v>1340</v>
      </c>
      <c r="G10" s="98"/>
      <c r="H10" s="98"/>
      <c r="I10" s="10">
        <f>ROUND(+SUM(I5:I9),-2)</f>
        <v>71400</v>
      </c>
    </row>
    <row r="12" spans="1:12">
      <c r="A12" s="13" t="s">
        <v>58</v>
      </c>
    </row>
    <row r="13" spans="1:12" ht="62.25" customHeight="1">
      <c r="A13" s="86" t="s">
        <v>110</v>
      </c>
      <c r="B13" s="86"/>
      <c r="C13" s="86"/>
      <c r="D13" s="86"/>
      <c r="E13" s="86"/>
      <c r="F13" s="86"/>
      <c r="G13" s="86"/>
      <c r="H13" s="86"/>
      <c r="I13" s="86"/>
    </row>
    <row r="14" spans="1:12" ht="47.25" customHeight="1">
      <c r="A14" s="86" t="s">
        <v>111</v>
      </c>
      <c r="B14" s="86"/>
      <c r="C14" s="86"/>
      <c r="D14" s="86"/>
      <c r="E14" s="86"/>
      <c r="F14" s="86"/>
      <c r="G14" s="86"/>
      <c r="H14" s="86"/>
      <c r="I14" s="86"/>
    </row>
    <row r="15" spans="1:12" ht="15.75">
      <c r="A15" s="86" t="s">
        <v>112</v>
      </c>
      <c r="B15" s="86"/>
      <c r="C15" s="86"/>
      <c r="D15" s="86"/>
      <c r="E15" s="86"/>
      <c r="F15" s="86"/>
      <c r="G15" s="86"/>
      <c r="H15" s="86"/>
      <c r="I15" s="86"/>
    </row>
    <row r="16" spans="1:12">
      <c r="A16" s="85" t="s">
        <v>113</v>
      </c>
      <c r="B16" s="85"/>
      <c r="C16" s="85"/>
      <c r="D16" s="85"/>
      <c r="E16" s="85"/>
      <c r="F16" s="85"/>
      <c r="G16" s="85"/>
      <c r="H16" s="85"/>
      <c r="I16" s="85"/>
    </row>
    <row r="17" spans="1:1">
      <c r="A17" s="14" t="s">
        <v>114</v>
      </c>
    </row>
  </sheetData>
  <mergeCells count="7">
    <mergeCell ref="A15:I15"/>
    <mergeCell ref="A16:I16"/>
    <mergeCell ref="F10:H10"/>
    <mergeCell ref="K4:L4"/>
    <mergeCell ref="A1:I1"/>
    <mergeCell ref="A13:I13"/>
    <mergeCell ref="A14:I14"/>
  </mergeCells>
  <pageMargins left="0.7" right="0.7" top="0.75" bottom="0.75" header="0.3" footer="0.3"/>
  <ignoredErrors>
    <ignoredError sqref="E5 E6:E9"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84AD5-DF3E-44B9-A913-21209630927A}">
  <dimension ref="A1:L10"/>
  <sheetViews>
    <sheetView workbookViewId="0">
      <selection activeCell="K4" sqref="K4"/>
    </sheetView>
  </sheetViews>
  <sheetFormatPr defaultRowHeight="15"/>
  <cols>
    <col min="1" max="1" width="12.42578125" customWidth="1"/>
    <col min="2" max="2" width="13.28515625" customWidth="1"/>
    <col min="3" max="3" width="12.42578125" customWidth="1"/>
    <col min="4" max="4" width="13.5703125" customWidth="1"/>
    <col min="5" max="7" width="12.42578125" customWidth="1"/>
    <col min="9" max="9" width="11.85546875" bestFit="1" customWidth="1"/>
  </cols>
  <sheetData>
    <row r="1" spans="1:12" ht="15.75">
      <c r="A1" s="48"/>
      <c r="B1" s="48"/>
      <c r="C1" s="48"/>
      <c r="D1" s="48"/>
      <c r="E1" s="48"/>
      <c r="F1" s="48"/>
      <c r="G1" s="48"/>
    </row>
    <row r="2" spans="1:12" ht="15.75">
      <c r="A2" s="100" t="s">
        <v>115</v>
      </c>
      <c r="B2" s="100"/>
      <c r="C2" s="100"/>
      <c r="D2" s="100"/>
      <c r="E2" s="100"/>
      <c r="F2" s="100"/>
      <c r="G2" s="100"/>
    </row>
    <row r="3" spans="1:12">
      <c r="A3" s="68" t="s">
        <v>116</v>
      </c>
      <c r="B3" s="68" t="s">
        <v>117</v>
      </c>
      <c r="C3" s="68" t="s">
        <v>118</v>
      </c>
      <c r="D3" s="68" t="s">
        <v>119</v>
      </c>
      <c r="E3" s="68" t="s">
        <v>120</v>
      </c>
      <c r="F3" s="68" t="s">
        <v>121</v>
      </c>
      <c r="G3" s="68" t="s">
        <v>122</v>
      </c>
    </row>
    <row r="4" spans="1:12" ht="38.25">
      <c r="A4" s="68" t="s">
        <v>123</v>
      </c>
      <c r="B4" s="68" t="s">
        <v>124</v>
      </c>
      <c r="C4" s="68" t="s">
        <v>125</v>
      </c>
      <c r="D4" s="68" t="s">
        <v>126</v>
      </c>
      <c r="E4" s="68" t="s">
        <v>127</v>
      </c>
      <c r="F4" s="68" t="s">
        <v>128</v>
      </c>
      <c r="G4" s="68" t="s">
        <v>129</v>
      </c>
    </row>
    <row r="5" spans="1:12" ht="25.5">
      <c r="A5" s="69" t="s">
        <v>130</v>
      </c>
      <c r="B5" s="70">
        <v>13000</v>
      </c>
      <c r="C5" s="68">
        <v>0</v>
      </c>
      <c r="D5" s="70">
        <f>B5*C5</f>
        <v>0</v>
      </c>
      <c r="E5" s="70">
        <v>2500</v>
      </c>
      <c r="F5" s="71">
        <f>'Table 1c Summary'!B6</f>
        <v>73</v>
      </c>
      <c r="G5" s="70">
        <f>E5*F5</f>
        <v>182500</v>
      </c>
    </row>
    <row r="6" spans="1:12">
      <c r="A6" s="69" t="s">
        <v>131</v>
      </c>
      <c r="B6" s="70">
        <v>1000</v>
      </c>
      <c r="C6" s="68">
        <v>0</v>
      </c>
      <c r="D6" s="70">
        <f>B6*C6</f>
        <v>0</v>
      </c>
      <c r="E6" s="70">
        <v>1000</v>
      </c>
      <c r="F6" s="71">
        <f>'Table 1c Summary'!B6</f>
        <v>73</v>
      </c>
      <c r="G6" s="70">
        <f>E6*F6</f>
        <v>73000</v>
      </c>
    </row>
    <row r="7" spans="1:12">
      <c r="A7" s="69" t="s">
        <v>132</v>
      </c>
      <c r="B7" s="70">
        <v>12500</v>
      </c>
      <c r="C7" s="68">
        <v>0</v>
      </c>
      <c r="D7" s="70">
        <f>B7*C7</f>
        <v>0</v>
      </c>
      <c r="E7" s="70">
        <v>0</v>
      </c>
      <c r="F7" s="71">
        <f>'Table 1c Summary'!B6</f>
        <v>73</v>
      </c>
      <c r="G7" s="70">
        <f>E7*F7</f>
        <v>0</v>
      </c>
    </row>
    <row r="8" spans="1:12">
      <c r="A8" s="75" t="s">
        <v>93</v>
      </c>
      <c r="B8" s="75"/>
      <c r="C8" s="75"/>
      <c r="D8" s="76">
        <f>SUM(D5:D7)</f>
        <v>0</v>
      </c>
      <c r="E8" s="75"/>
      <c r="F8" s="75"/>
      <c r="G8" s="76">
        <f>ROUND(SUM(G5:G7),-3)</f>
        <v>256000</v>
      </c>
    </row>
    <row r="9" spans="1:12">
      <c r="A9" s="72" t="s">
        <v>133</v>
      </c>
      <c r="B9" s="72"/>
      <c r="I9" s="73"/>
      <c r="J9" s="73"/>
      <c r="K9" s="73"/>
      <c r="L9" s="73"/>
    </row>
    <row r="10" spans="1:12">
      <c r="A10" s="74"/>
    </row>
  </sheetData>
  <mergeCells count="1">
    <mergeCell ref="A2:G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DF677-E0C7-4A50-981A-BAD883EF8165}">
  <dimension ref="A1:F9"/>
  <sheetViews>
    <sheetView workbookViewId="0">
      <selection sqref="A1:F9"/>
    </sheetView>
  </sheetViews>
  <sheetFormatPr defaultRowHeight="15.75"/>
  <cols>
    <col min="1" max="1" width="9.140625" style="47"/>
    <col min="2" max="2" width="22.7109375" style="47" customWidth="1"/>
    <col min="3" max="3" width="16.5703125" style="47" customWidth="1"/>
    <col min="4" max="4" width="20.5703125" style="47" customWidth="1"/>
    <col min="5" max="5" width="22.140625" style="47" customWidth="1"/>
    <col min="6" max="6" width="18.7109375" style="47" customWidth="1"/>
    <col min="7" max="16384" width="9.140625" style="47"/>
  </cols>
  <sheetData>
    <row r="1" spans="1:6">
      <c r="A1" s="103" t="s">
        <v>2</v>
      </c>
      <c r="B1" s="103"/>
      <c r="C1" s="103"/>
      <c r="D1" s="103"/>
      <c r="E1" s="103"/>
      <c r="F1" s="103"/>
    </row>
    <row r="2" spans="1:6">
      <c r="A2" s="101" t="s">
        <v>134</v>
      </c>
      <c r="B2" s="49" t="s">
        <v>135</v>
      </c>
      <c r="C2" s="49" t="s">
        <v>136</v>
      </c>
      <c r="D2" s="49" t="s">
        <v>137</v>
      </c>
      <c r="E2" s="49" t="s">
        <v>138</v>
      </c>
      <c r="F2" s="49" t="s">
        <v>139</v>
      </c>
    </row>
    <row r="3" spans="1:6" ht="63">
      <c r="A3" s="102"/>
      <c r="B3" s="50" t="s">
        <v>140</v>
      </c>
      <c r="C3" s="50" t="s">
        <v>141</v>
      </c>
      <c r="D3" s="50" t="s">
        <v>142</v>
      </c>
      <c r="E3" s="50" t="s">
        <v>143</v>
      </c>
      <c r="F3" s="50" t="s">
        <v>144</v>
      </c>
    </row>
    <row r="4" spans="1:6">
      <c r="A4" s="51">
        <v>1</v>
      </c>
      <c r="B4" s="51">
        <v>0</v>
      </c>
      <c r="C4" s="51">
        <f>62+11</f>
        <v>73</v>
      </c>
      <c r="D4" s="51">
        <f>22+9</f>
        <v>31</v>
      </c>
      <c r="E4" s="51">
        <v>0</v>
      </c>
      <c r="F4" s="51">
        <f>B4+C4+D4-E4</f>
        <v>104</v>
      </c>
    </row>
    <row r="5" spans="1:6">
      <c r="A5" s="51">
        <v>2</v>
      </c>
      <c r="B5" s="51">
        <v>0</v>
      </c>
      <c r="C5" s="51">
        <f>C4</f>
        <v>73</v>
      </c>
      <c r="D5" s="51">
        <f>D4</f>
        <v>31</v>
      </c>
      <c r="E5" s="51">
        <v>0</v>
      </c>
      <c r="F5" s="51">
        <f t="shared" ref="F5:F6" si="0">B5+C5+D5-E5</f>
        <v>104</v>
      </c>
    </row>
    <row r="6" spans="1:6">
      <c r="A6" s="51">
        <v>3</v>
      </c>
      <c r="B6" s="51">
        <v>0</v>
      </c>
      <c r="C6" s="51">
        <f>C5</f>
        <v>73</v>
      </c>
      <c r="D6" s="51">
        <f>D5</f>
        <v>31</v>
      </c>
      <c r="E6" s="51">
        <v>0</v>
      </c>
      <c r="F6" s="51">
        <f t="shared" si="0"/>
        <v>104</v>
      </c>
    </row>
    <row r="7" spans="1:6">
      <c r="A7" s="52" t="s">
        <v>145</v>
      </c>
      <c r="B7" s="52">
        <f>AVERAGE(B4:B6)</f>
        <v>0</v>
      </c>
      <c r="C7" s="52">
        <f t="shared" ref="C7:F7" si="1">AVERAGE(C4:C6)</f>
        <v>73</v>
      </c>
      <c r="D7" s="52">
        <f t="shared" si="1"/>
        <v>31</v>
      </c>
      <c r="E7" s="52">
        <f t="shared" si="1"/>
        <v>0</v>
      </c>
      <c r="F7" s="52">
        <f t="shared" si="1"/>
        <v>104</v>
      </c>
    </row>
    <row r="9" spans="1:6" ht="82.5" customHeight="1">
      <c r="A9" s="104" t="s">
        <v>146</v>
      </c>
      <c r="B9" s="104"/>
      <c r="C9" s="104"/>
      <c r="D9" s="104"/>
      <c r="E9" s="104"/>
      <c r="F9" s="104"/>
    </row>
  </sheetData>
  <mergeCells count="3">
    <mergeCell ref="A2:A3"/>
    <mergeCell ref="A1:F1"/>
    <mergeCell ref="A9:F9"/>
  </mergeCells>
  <pageMargins left="0.7" right="0.7" top="0.75" bottom="0.75" header="0.3" footer="0.3"/>
  <pageSetup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F4301-2EC5-4A68-9FDA-9C6114D10A8E}">
  <dimension ref="A1:E9"/>
  <sheetViews>
    <sheetView topLeftCell="A4" workbookViewId="0">
      <selection activeCell="C13" sqref="C13"/>
    </sheetView>
  </sheetViews>
  <sheetFormatPr defaultRowHeight="15"/>
  <cols>
    <col min="1" max="2" width="15" customWidth="1"/>
    <col min="3" max="3" width="25.5703125" customWidth="1"/>
    <col min="4" max="5" width="15" customWidth="1"/>
  </cols>
  <sheetData>
    <row r="1" spans="1:5" ht="15.75">
      <c r="A1" s="100" t="s">
        <v>147</v>
      </c>
      <c r="B1" s="100"/>
      <c r="C1" s="100"/>
      <c r="D1" s="100"/>
      <c r="E1" s="100"/>
    </row>
    <row r="2" spans="1:5" ht="15.75">
      <c r="A2" s="53" t="s">
        <v>135</v>
      </c>
      <c r="B2" s="53" t="s">
        <v>136</v>
      </c>
      <c r="C2" s="53" t="s">
        <v>137</v>
      </c>
      <c r="D2" s="53" t="s">
        <v>138</v>
      </c>
      <c r="E2" s="53" t="s">
        <v>139</v>
      </c>
    </row>
    <row r="3" spans="1:5" ht="78.75">
      <c r="A3" s="53" t="s">
        <v>148</v>
      </c>
      <c r="B3" s="53" t="s">
        <v>149</v>
      </c>
      <c r="C3" s="53" t="s">
        <v>150</v>
      </c>
      <c r="D3" s="53" t="s">
        <v>151</v>
      </c>
      <c r="E3" s="53" t="s">
        <v>152</v>
      </c>
    </row>
    <row r="4" spans="1:5" ht="31.5">
      <c r="A4" s="54" t="s">
        <v>153</v>
      </c>
      <c r="B4" s="53">
        <v>0</v>
      </c>
      <c r="C4" s="53">
        <v>0</v>
      </c>
      <c r="D4" s="53">
        <v>1</v>
      </c>
      <c r="E4" s="51">
        <f t="shared" ref="E4:E7" si="0">(B4-C4)*D4</f>
        <v>0</v>
      </c>
    </row>
    <row r="5" spans="1:5" ht="47.25">
      <c r="A5" s="54" t="s">
        <v>154</v>
      </c>
      <c r="B5" s="53">
        <v>0</v>
      </c>
      <c r="C5" s="53">
        <v>0</v>
      </c>
      <c r="D5" s="53">
        <v>1</v>
      </c>
      <c r="E5" s="51">
        <f t="shared" si="0"/>
        <v>0</v>
      </c>
    </row>
    <row r="6" spans="1:5" ht="47.25">
      <c r="A6" s="54" t="s">
        <v>155</v>
      </c>
      <c r="B6" s="53">
        <v>0</v>
      </c>
      <c r="C6" s="53">
        <v>0</v>
      </c>
      <c r="D6" s="53">
        <v>1</v>
      </c>
      <c r="E6" s="51">
        <f t="shared" si="0"/>
        <v>0</v>
      </c>
    </row>
    <row r="7" spans="1:5" ht="31.5">
      <c r="A7" s="54" t="s">
        <v>156</v>
      </c>
      <c r="B7" s="53">
        <v>0</v>
      </c>
      <c r="C7" s="53">
        <v>0</v>
      </c>
      <c r="D7" s="53">
        <v>1</v>
      </c>
      <c r="E7" s="51">
        <f t="shared" si="0"/>
        <v>0</v>
      </c>
    </row>
    <row r="8" spans="1:5" ht="31.5">
      <c r="A8" s="54" t="s">
        <v>157</v>
      </c>
      <c r="B8" s="67">
        <f>'Table 1a'!E14+'Table 1b'!E14</f>
        <v>73</v>
      </c>
      <c r="C8" s="53">
        <v>0</v>
      </c>
      <c r="D8" s="53">
        <v>2</v>
      </c>
      <c r="E8" s="51">
        <f>(B8-C8)*D8</f>
        <v>146</v>
      </c>
    </row>
    <row r="9" spans="1:5" ht="15.75">
      <c r="A9" s="47"/>
      <c r="B9" s="48"/>
      <c r="C9" s="48"/>
      <c r="D9" s="82" t="s">
        <v>158</v>
      </c>
      <c r="E9" s="52">
        <f>E8</f>
        <v>146</v>
      </c>
    </row>
  </sheetData>
  <mergeCells count="1">
    <mergeCell ref="A1:E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2024-10-28T00:23:56+00:00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AF14D3-3590-4ADA-8D7E-D1EB372FC9C0}"/>
</file>

<file path=customXml/itemProps2.xml><?xml version="1.0" encoding="utf-8"?>
<ds:datastoreItem xmlns:ds="http://schemas.openxmlformats.org/officeDocument/2006/customXml" ds:itemID="{532639E5-100C-4301-A202-146BC3ADD903}"/>
</file>

<file path=customXml/itemProps3.xml><?xml version="1.0" encoding="utf-8"?>
<ds:datastoreItem xmlns:ds="http://schemas.openxmlformats.org/officeDocument/2006/customXml" ds:itemID="{F94210CA-9086-497D-9B42-7A21E07E71D5}"/>
</file>

<file path=customXml/itemProps4.xml><?xml version="1.0" encoding="utf-8"?>
<ds:datastoreItem xmlns:ds="http://schemas.openxmlformats.org/officeDocument/2006/customXml" ds:itemID="{3E7005BA-25E4-48D8-95CA-A4CFE663847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Sean Layton</dc:creator>
  <cp:keywords/>
  <dc:description/>
  <cp:lastModifiedBy>Scott, Montana</cp:lastModifiedBy>
  <cp:revision/>
  <dcterms:created xsi:type="dcterms:W3CDTF">2016-01-21T12:57:26Z</dcterms:created>
  <dcterms:modified xsi:type="dcterms:W3CDTF">2025-02-07T21:18:26Z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y fmtid="{D5CDD505-2E9C-101B-9397-08002B2CF9AE}" pid="8" name="Document_x0020_Type">
    <vt:lpwstr/>
  </property>
</Properties>
</file>