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Tracy\ICRs - SPPD\FY2024\1081.14 Inorganic Arsenic Emissions from Glass Manufacturing Plants NESHAP\Drafts\"/>
    </mc:Choice>
  </mc:AlternateContent>
  <xr:revisionPtr revIDLastSave="0" documentId="13_ncr:1_{A270F877-F80C-4699-8A1C-7367C9802A0B}"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2" l="1"/>
  <c r="I25" i="2"/>
  <c r="I21" i="2"/>
  <c r="I22" i="1"/>
  <c r="I8" i="1"/>
  <c r="E6" i="3"/>
  <c r="E5" i="3"/>
  <c r="I45" i="1"/>
  <c r="I44" i="1"/>
  <c r="I26" i="1"/>
  <c r="F26" i="1"/>
  <c r="F44" i="1"/>
  <c r="F45" i="1" s="1"/>
  <c r="K41" i="1" s="1"/>
  <c r="I7" i="2" l="1"/>
  <c r="I22" i="2"/>
  <c r="I23" i="2"/>
  <c r="I24" i="2"/>
  <c r="I13" i="2"/>
  <c r="I14" i="2"/>
  <c r="I15" i="2"/>
  <c r="I16" i="2"/>
  <c r="I17" i="2"/>
  <c r="I18" i="2"/>
  <c r="I19" i="2"/>
  <c r="I12" i="2"/>
  <c r="I11" i="2"/>
  <c r="I41" i="1"/>
  <c r="I32" i="1"/>
  <c r="I23" i="1"/>
  <c r="I24" i="1"/>
  <c r="I25" i="1"/>
  <c r="I17" i="1"/>
  <c r="I18" i="1"/>
  <c r="I19" i="1"/>
  <c r="I15" i="1"/>
  <c r="I16" i="1"/>
  <c r="F41" i="1" l="1"/>
  <c r="G41" i="1" s="1"/>
  <c r="D41" i="1"/>
  <c r="D32" i="1"/>
  <c r="F32" i="1" s="1"/>
  <c r="D25" i="1"/>
  <c r="F25" i="1" s="1"/>
  <c r="H24" i="1"/>
  <c r="G24" i="1"/>
  <c r="F24" i="1"/>
  <c r="D24" i="1"/>
  <c r="D23" i="1"/>
  <c r="F23" i="1" s="1"/>
  <c r="D22" i="1"/>
  <c r="F22" i="1" s="1"/>
  <c r="F19" i="1"/>
  <c r="D19" i="1"/>
  <c r="D18" i="1"/>
  <c r="F18" i="1" s="1"/>
  <c r="D17" i="1"/>
  <c r="F17" i="1" s="1"/>
  <c r="D16" i="1"/>
  <c r="F16" i="1" s="1"/>
  <c r="D15" i="1"/>
  <c r="F15" i="1" s="1"/>
  <c r="F11" i="1"/>
  <c r="G11" i="1" s="1"/>
  <c r="D11" i="1"/>
  <c r="D10" i="1"/>
  <c r="F10" i="1" s="1"/>
  <c r="D8" i="1"/>
  <c r="F8" i="1" s="1"/>
  <c r="D24" i="2"/>
  <c r="F24" i="2" s="1"/>
  <c r="D23" i="2"/>
  <c r="F23" i="2" s="1"/>
  <c r="F22" i="2"/>
  <c r="D22" i="2"/>
  <c r="D21" i="2"/>
  <c r="F21" i="2" s="1"/>
  <c r="D19" i="2"/>
  <c r="F19" i="2" s="1"/>
  <c r="D18" i="2"/>
  <c r="F18" i="2" s="1"/>
  <c r="F17" i="2"/>
  <c r="D17" i="2"/>
  <c r="H16" i="2"/>
  <c r="G16" i="2"/>
  <c r="F16" i="2"/>
  <c r="D16" i="2"/>
  <c r="D15" i="2"/>
  <c r="F15" i="2" s="1"/>
  <c r="D14" i="2"/>
  <c r="F14" i="2" s="1"/>
  <c r="F13" i="2"/>
  <c r="D13" i="2"/>
  <c r="D12" i="2"/>
  <c r="F12" i="2" s="1"/>
  <c r="D11" i="2"/>
  <c r="F11" i="2" s="1"/>
  <c r="D8" i="2"/>
  <c r="F8" i="2" s="1"/>
  <c r="F7" i="2"/>
  <c r="D7" i="2"/>
  <c r="E5" i="5"/>
  <c r="E6" i="5"/>
  <c r="E7" i="5"/>
  <c r="E8" i="5"/>
  <c r="E9" i="5"/>
  <c r="E10" i="5"/>
  <c r="E11" i="5"/>
  <c r="E12" i="5"/>
  <c r="E13" i="5"/>
  <c r="E14" i="5"/>
  <c r="E4" i="5"/>
  <c r="D7" i="3"/>
  <c r="G6" i="3"/>
  <c r="G5" i="3"/>
  <c r="G7" i="3" s="1"/>
  <c r="H11" i="1" l="1"/>
  <c r="I11" i="1" s="1"/>
  <c r="H15" i="1"/>
  <c r="G15" i="1"/>
  <c r="H8" i="1"/>
  <c r="G8" i="1"/>
  <c r="G17" i="1"/>
  <c r="H17" i="1"/>
  <c r="H25" i="1"/>
  <c r="G25" i="1"/>
  <c r="H16" i="1"/>
  <c r="G16" i="1"/>
  <c r="G10" i="1"/>
  <c r="H10" i="1"/>
  <c r="H18" i="1"/>
  <c r="G18" i="1"/>
  <c r="H32" i="1"/>
  <c r="G32" i="1"/>
  <c r="H22" i="1"/>
  <c r="G22" i="1"/>
  <c r="G23" i="1"/>
  <c r="H23" i="1"/>
  <c r="H41" i="1"/>
  <c r="G19" i="1"/>
  <c r="H19" i="1"/>
  <c r="H14" i="2"/>
  <c r="G14" i="2"/>
  <c r="H18" i="2"/>
  <c r="G18" i="2"/>
  <c r="H15" i="2"/>
  <c r="G15" i="2"/>
  <c r="G19" i="2"/>
  <c r="H19" i="2"/>
  <c r="G21" i="2"/>
  <c r="H21" i="2"/>
  <c r="H8" i="2"/>
  <c r="G8" i="2"/>
  <c r="I8" i="2" s="1"/>
  <c r="G11" i="2"/>
  <c r="H11" i="2"/>
  <c r="G12" i="2"/>
  <c r="H12" i="2"/>
  <c r="H23" i="2"/>
  <c r="G23" i="2"/>
  <c r="H24" i="2"/>
  <c r="G24" i="2"/>
  <c r="H13" i="2"/>
  <c r="H22" i="2"/>
  <c r="G13" i="2"/>
  <c r="G22" i="2"/>
  <c r="G7" i="2"/>
  <c r="G17" i="2"/>
  <c r="H7" i="2"/>
  <c r="H17" i="2"/>
  <c r="E15" i="5"/>
  <c r="I10" i="1" l="1"/>
  <c r="C8" i="4"/>
  <c r="B8" i="4"/>
  <c r="F7" i="4"/>
  <c r="F6" i="4"/>
  <c r="F5" i="4"/>
  <c r="B4" i="6" l="1"/>
  <c r="F8" i="4"/>
  <c r="B3" i="6" s="1"/>
  <c r="I7" i="3" l="1"/>
  <c r="I46" i="1" s="1"/>
  <c r="I47" i="1" s="1"/>
  <c r="B6" i="6"/>
  <c r="B5" i="6" l="1"/>
  <c r="B2" i="6"/>
</calcChain>
</file>

<file path=xl/sharedStrings.xml><?xml version="1.0" encoding="utf-8"?>
<sst xmlns="http://schemas.openxmlformats.org/spreadsheetml/2006/main" count="236" uniqueCount="162">
  <si>
    <t>ICR Summary Information</t>
  </si>
  <si>
    <t>Number of Respondents</t>
  </si>
  <si>
    <t>Total Estimated Burden Hours</t>
  </si>
  <si>
    <t>Total Estimated Costs</t>
  </si>
  <si>
    <t>Annualized Capital O&amp;M</t>
  </si>
  <si>
    <t>Total Annual Responses</t>
  </si>
  <si>
    <t>Form Number</t>
  </si>
  <si>
    <t>Burden Item</t>
  </si>
  <si>
    <t>Labor Rates</t>
  </si>
  <si>
    <t>Management</t>
  </si>
  <si>
    <t>Technical</t>
  </si>
  <si>
    <t>Clerical</t>
  </si>
  <si>
    <t>Subtotal for Reporting Requirements</t>
  </si>
  <si>
    <t>hr/response</t>
  </si>
  <si>
    <t>Assumptions:</t>
  </si>
  <si>
    <t>Burden item</t>
  </si>
  <si>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</si>
  <si>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</si>
  <si>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</si>
  <si>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</si>
  <si>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</si>
  <si>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</si>
  <si>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</si>
  <si>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</si>
  <si>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</si>
  <si>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</si>
  <si>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Total Capital/Startup Cost,  (B X C)</t>
  </si>
  <si>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</si>
  <si>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</si>
  <si>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</si>
  <si>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</si>
  <si>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</si>
  <si>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</si>
  <si>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</si>
  <si>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</si>
  <si>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</si>
  <si>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</si>
  <si>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</si>
  <si>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</si>
  <si>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</si>
  <si>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</si>
  <si>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</si>
  <si>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</si>
  <si>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Hours per Respondent</t>
  </si>
  <si>
    <t>Not Applicable</t>
  </si>
  <si>
    <t>Continuous Opacity Monitor</t>
  </si>
  <si>
    <t>N/A</t>
  </si>
  <si>
    <t>Temperature Monitor</t>
  </si>
  <si>
    <r>
      <t xml:space="preserve">a </t>
    </r>
    <r>
      <rPr>
        <sz val="10"/>
        <color rgb="FF000000"/>
        <rFont val="Times New Roman"/>
        <family val="1"/>
      </rPr>
      <t xml:space="preserve">  New respondents include sources with constructed, reconstructed, and modified affected facilities.</t>
    </r>
  </si>
  <si>
    <t>Application of construction or modification</t>
  </si>
  <si>
    <t>Notification of anticipated startup</t>
  </si>
  <si>
    <t>Notification of actual startup</t>
  </si>
  <si>
    <t>Notification of initial performance test</t>
  </si>
  <si>
    <t>Source status report</t>
  </si>
  <si>
    <t>Report of performance test results</t>
  </si>
  <si>
    <t>Report of arsenic emission estimates</t>
  </si>
  <si>
    <t>Report of uncontrolled arsenic emission rates</t>
  </si>
  <si>
    <t xml:space="preserve">Request for approval of control device bypass </t>
  </si>
  <si>
    <t>CMS evaluation results report</t>
  </si>
  <si>
    <t>Semiannual excess emissions report</t>
  </si>
  <si>
    <t>Table 2: Average Annual EPA Burden and Cost – NESHAP for Inorganic Arsenic Emissions from Glass Manufacturing Plants (40 CFR Part 61, Subpart N) (Renewal)</t>
  </si>
  <si>
    <t>(H)</t>
  </si>
  <si>
    <t>Technical Person-hours per occurrence</t>
  </si>
  <si>
    <t>No. of occurrences per year</t>
  </si>
  <si>
    <t>Technical Person-hours per Plant per year 
(C=AxB)</t>
  </si>
  <si>
    <r>
      <t xml:space="preserve">Respondents per year </t>
    </r>
    <r>
      <rPr>
        <b/>
        <vertAlign val="superscript"/>
        <sz val="10"/>
        <color rgb="FF000000"/>
        <rFont val="Times New Roman"/>
        <family val="1"/>
      </rPr>
      <t>a</t>
    </r>
  </si>
  <si>
    <t>Technical person-hours per year
(E=CxD)</t>
  </si>
  <si>
    <t>Management person-hours per year
(F=Ex0.05)</t>
  </si>
  <si>
    <t>Clerical person-hours per year 
(G=Ex0.1)</t>
  </si>
  <si>
    <r>
      <t xml:space="preserve">Total Cost per year </t>
    </r>
    <r>
      <rPr>
        <b/>
        <vertAlign val="superscript"/>
        <sz val="10"/>
        <color rgb="FF000000"/>
        <rFont val="Times New Roman"/>
        <family val="1"/>
      </rPr>
      <t>b</t>
    </r>
  </si>
  <si>
    <t>Activities</t>
  </si>
  <si>
    <t>New facility</t>
  </si>
  <si>
    <r>
      <t xml:space="preserve">Initial performance test </t>
    </r>
    <r>
      <rPr>
        <vertAlign val="superscript"/>
        <sz val="10"/>
        <color rgb="FF000000"/>
        <rFont val="Times New Roman"/>
        <family val="1"/>
      </rPr>
      <t>c</t>
    </r>
  </si>
  <si>
    <r>
      <t xml:space="preserve">Repeat performance test </t>
    </r>
    <r>
      <rPr>
        <vertAlign val="superscript"/>
        <sz val="10"/>
        <color rgb="FF000000"/>
        <rFont val="Times New Roman"/>
        <family val="1"/>
      </rPr>
      <t>d</t>
    </r>
  </si>
  <si>
    <t xml:space="preserve">Review reports     </t>
  </si>
  <si>
    <t> </t>
  </si>
  <si>
    <t>Construction or modification application</t>
  </si>
  <si>
    <t>Notification of initial performance emissions test</t>
  </si>
  <si>
    <t>Report of initial performance emissions test results</t>
  </si>
  <si>
    <t>Notification of physical or operational change</t>
  </si>
  <si>
    <t>Notification of emissions test</t>
  </si>
  <si>
    <t>Report results of CMS evaluation</t>
  </si>
  <si>
    <t>Existing facility</t>
  </si>
  <si>
    <r>
      <t xml:space="preserve">Report of arsenic emission estimates rates </t>
    </r>
    <r>
      <rPr>
        <vertAlign val="superscript"/>
        <sz val="10"/>
        <color rgb="FF000000"/>
        <rFont val="Times New Roman"/>
        <family val="1"/>
      </rPr>
      <t>e</t>
    </r>
  </si>
  <si>
    <r>
      <t xml:space="preserve">Reports of uncontrolled arsenic emission rates </t>
    </r>
    <r>
      <rPr>
        <vertAlign val="superscript"/>
        <sz val="10"/>
        <color rgb="FF000000"/>
        <rFont val="Times New Roman"/>
        <family val="1"/>
      </rPr>
      <t>f</t>
    </r>
  </si>
  <si>
    <r>
      <t xml:space="preserve">Semiannual excess emissions </t>
    </r>
    <r>
      <rPr>
        <vertAlign val="superscript"/>
        <sz val="10"/>
        <color rgb="FF000000"/>
        <rFont val="Times New Roman"/>
        <family val="1"/>
      </rPr>
      <t>g</t>
    </r>
  </si>
  <si>
    <r>
      <t xml:space="preserve">Request approval of control device bypass </t>
    </r>
    <r>
      <rPr>
        <vertAlign val="superscript"/>
        <sz val="10"/>
        <color rgb="FF000000"/>
        <rFont val="Times New Roman"/>
        <family val="1"/>
      </rPr>
      <t>h</t>
    </r>
  </si>
  <si>
    <r>
      <t xml:space="preserve">TOTAL LABOR BURDEN AND COST (rounded) </t>
    </r>
    <r>
      <rPr>
        <b/>
        <vertAlign val="superscript"/>
        <sz val="10"/>
        <color rgb="FF000000"/>
        <rFont val="Times New Roman"/>
        <family val="1"/>
      </rPr>
      <t>i</t>
    </r>
  </si>
  <si>
    <r>
      <t>a</t>
    </r>
    <r>
      <rPr>
        <sz val="10"/>
        <color theme="1"/>
        <rFont val="Times New Roman"/>
        <family val="1"/>
      </rPr>
      <t xml:space="preserve">  We have assumed that there are 16 existing sources, and that no additional new sources will become subject to the rule over the next three years.</t>
    </r>
  </si>
  <si>
    <r>
      <t>c</t>
    </r>
    <r>
      <rPr>
        <sz val="10"/>
        <color theme="1"/>
        <rFont val="Times New Roman"/>
        <family val="1"/>
      </rPr>
      <t xml:space="preserve">  We have assumed that it will take twenty four hours to perform initial performance test.</t>
    </r>
  </si>
  <si>
    <r>
      <t>d</t>
    </r>
    <r>
      <rPr>
        <sz val="10"/>
        <color theme="1"/>
        <rFont val="Times New Roman"/>
        <family val="1"/>
      </rPr>
      <t xml:space="preserve">  We have assumed that 20% of sources will take twenty four hours to repeat performance test.</t>
    </r>
  </si>
  <si>
    <r>
      <t>e</t>
    </r>
    <r>
      <rPr>
        <sz val="10"/>
        <color theme="1"/>
        <rFont val="Times New Roman"/>
        <family val="1"/>
      </rPr>
      <t xml:space="preserve">  We have assumed that reports submitted by the fifteen respondents will be reviewed once a year. These reports are submitted semiannually.</t>
    </r>
  </si>
  <si>
    <r>
      <t xml:space="preserve">f </t>
    </r>
    <r>
      <rPr>
        <sz val="10"/>
        <color theme="1"/>
        <rFont val="Times New Roman"/>
        <family val="1"/>
      </rPr>
      <t xml:space="preserve">  We have assumed that it will take eight hours to review reports of uncontrolled arsenic emission rates once a year. These reports are submitted semiannually.</t>
    </r>
  </si>
  <si>
    <r>
      <t>g</t>
    </r>
    <r>
      <rPr>
        <sz val="10"/>
        <color theme="1"/>
        <rFont val="Times New Roman"/>
        <family val="1"/>
      </rPr>
      <t xml:space="preserve">  It is required that excess emissions reports are reviewed on a semiannual basis.</t>
    </r>
  </si>
  <si>
    <r>
      <t>h</t>
    </r>
    <r>
      <rPr>
        <sz val="10"/>
        <color theme="1"/>
        <rFont val="Times New Roman"/>
        <family val="1"/>
      </rPr>
      <t xml:space="preserve">  We have assumed that the report requesting approval of control device bypass will be reviewed once a year.</t>
    </r>
  </si>
  <si>
    <r>
      <rPr>
        <vertAlign val="superscript"/>
        <sz val="10"/>
        <color theme="1"/>
        <rFont val="Times New Roman"/>
        <family val="1"/>
      </rPr>
      <t>i</t>
    </r>
    <r>
      <rPr>
        <sz val="10"/>
        <color theme="1"/>
        <rFont val="Times New Roman"/>
        <family val="1"/>
      </rPr>
      <t xml:space="preserve">  Totals have been rounded to 3 significant values.  Figures may not add exactly due to rounding.</t>
    </r>
  </si>
  <si>
    <t>Table 1: Annual Respondent Burden and Cost – NESHAP for Inorganic Arsenic Emissions from Glass Manufacturing Plants (40 CFR Part 61, Subpart N) (Renewal)</t>
  </si>
  <si>
    <t>No. of occurrences per respondent per year</t>
  </si>
  <si>
    <t>Technical Person-hours per respondent per year
(C=AxB)</t>
  </si>
  <si>
    <r>
      <t xml:space="preserve">Total Cost per year ($) </t>
    </r>
    <r>
      <rPr>
        <b/>
        <vertAlign val="superscript"/>
        <sz val="10"/>
        <color rgb="FF000000"/>
        <rFont val="Times New Roman"/>
        <family val="1"/>
      </rPr>
      <t>b</t>
    </r>
  </si>
  <si>
    <t>1.  Applications</t>
  </si>
  <si>
    <t>2.  Survey and Studies</t>
  </si>
  <si>
    <t>3.  Reporting requirements</t>
  </si>
  <si>
    <r>
      <t xml:space="preserve">A.  Familiarize with regulatory requirements </t>
    </r>
    <r>
      <rPr>
        <vertAlign val="superscript"/>
        <sz val="10"/>
        <color rgb="FF000000"/>
        <rFont val="Times New Roman"/>
        <family val="1"/>
      </rPr>
      <t>c</t>
    </r>
  </si>
  <si>
    <t>B.  Required Activities</t>
  </si>
  <si>
    <r>
      <t xml:space="preserve">Initial performance emission tests </t>
    </r>
    <r>
      <rPr>
        <vertAlign val="superscript"/>
        <sz val="10"/>
        <color rgb="FF000000"/>
        <rFont val="Times New Roman"/>
        <family val="1"/>
      </rPr>
      <t>d</t>
    </r>
  </si>
  <si>
    <r>
      <t xml:space="preserve">Repeat of performance emission tests </t>
    </r>
    <r>
      <rPr>
        <vertAlign val="superscript"/>
        <sz val="10"/>
        <color rgb="FF000000"/>
        <rFont val="Times New Roman"/>
        <family val="1"/>
      </rPr>
      <t>d</t>
    </r>
  </si>
  <si>
    <t>C.  Create information</t>
  </si>
  <si>
    <t>See 3B</t>
  </si>
  <si>
    <t>D.  Gather existing information</t>
  </si>
  <si>
    <t>E.  Write report</t>
  </si>
  <si>
    <t xml:space="preserve">Notification of initial performance emission test      </t>
  </si>
  <si>
    <t xml:space="preserve">Report of initial performance emission test </t>
  </si>
  <si>
    <t>Report results of continuous monitoring system (CMS) evaluation</t>
  </si>
  <si>
    <r>
      <t xml:space="preserve">Report of arsenic emission estimates </t>
    </r>
    <r>
      <rPr>
        <vertAlign val="superscript"/>
        <sz val="10"/>
        <color rgb="FF000000"/>
        <rFont val="Times New Roman"/>
        <family val="1"/>
      </rPr>
      <t>e</t>
    </r>
  </si>
  <si>
    <r>
      <t xml:space="preserve">Report of uncontrolled arsenic emission rates </t>
    </r>
    <r>
      <rPr>
        <vertAlign val="superscript"/>
        <sz val="10"/>
        <color rgb="FF000000"/>
        <rFont val="Times New Roman"/>
        <family val="1"/>
      </rPr>
      <t xml:space="preserve">f      </t>
    </r>
    <r>
      <rPr>
        <sz val="10"/>
        <color rgb="FF000000"/>
        <rFont val="Times New Roman"/>
        <family val="1"/>
      </rPr>
      <t xml:space="preserve">          </t>
    </r>
  </si>
  <si>
    <r>
      <t xml:space="preserve">Request approval of control device bypass </t>
    </r>
    <r>
      <rPr>
        <vertAlign val="superscript"/>
        <sz val="10"/>
        <color rgb="FF000000"/>
        <rFont val="Times New Roman"/>
        <family val="1"/>
      </rPr>
      <t>g</t>
    </r>
  </si>
  <si>
    <r>
      <t xml:space="preserve">Semiannual excess emissions (opacity) </t>
    </r>
    <r>
      <rPr>
        <vertAlign val="superscript"/>
        <sz val="10"/>
        <color rgb="FF000000"/>
        <rFont val="Times New Roman"/>
        <family val="1"/>
      </rPr>
      <t>h</t>
    </r>
  </si>
  <si>
    <t>4.  Recordkeeping Requirements</t>
  </si>
  <si>
    <t>A.  Familiarize with regulatory requirements</t>
  </si>
  <si>
    <t>See 3A</t>
  </si>
  <si>
    <t>B.  Plan activities</t>
  </si>
  <si>
    <t>C.  Implement activities</t>
  </si>
  <si>
    <t>D.  Develop record system</t>
  </si>
  <si>
    <r>
      <t xml:space="preserve">E.  Time to enter information </t>
    </r>
    <r>
      <rPr>
        <vertAlign val="superscript"/>
        <sz val="10"/>
        <color rgb="FF000000"/>
        <rFont val="Times New Roman"/>
        <family val="1"/>
      </rPr>
      <t xml:space="preserve">i  </t>
    </r>
  </si>
  <si>
    <t>Record continuous opacity and temperature of gas entering control device</t>
  </si>
  <si>
    <t>See 4E</t>
  </si>
  <si>
    <t>Records of emission test results</t>
  </si>
  <si>
    <t>Records of CMS performance evaluations</t>
  </si>
  <si>
    <t>Occurrence and duration of startup, shutdown, and malfunction of furnace</t>
  </si>
  <si>
    <t>Records of malfunction of control device</t>
  </si>
  <si>
    <t>Periods when monitors are inoperative</t>
  </si>
  <si>
    <t>Maintain and repair of control device, CMS, or monitors</t>
  </si>
  <si>
    <t>Records of approved control device bypass</t>
  </si>
  <si>
    <r>
      <t>Semiannual records of uncontrolled</t>
    </r>
    <r>
      <rPr>
        <vertAlign val="superscript"/>
        <sz val="10"/>
        <color rgb="FF000000"/>
        <rFont val="Times New Roman"/>
        <family val="1"/>
      </rPr>
      <t xml:space="preserve"> </t>
    </r>
    <r>
      <rPr>
        <sz val="10"/>
        <color rgb="FF000000"/>
        <rFont val="Times New Roman"/>
        <family val="1"/>
      </rPr>
      <t xml:space="preserve">arsenic emission rate </t>
    </r>
    <r>
      <rPr>
        <vertAlign val="superscript"/>
        <sz val="10"/>
        <color rgb="FF000000"/>
        <rFont val="Times New Roman"/>
        <family val="1"/>
      </rPr>
      <t>j</t>
    </r>
  </si>
  <si>
    <t>F.  Time to train personnel</t>
  </si>
  <si>
    <t>G.  Time for audits</t>
  </si>
  <si>
    <t>Subtotal for Recordkeeping Requirements</t>
  </si>
  <si>
    <r>
      <t xml:space="preserve">TOTAL LABOR BURDEN AND COST (rounded) </t>
    </r>
    <r>
      <rPr>
        <b/>
        <vertAlign val="superscript"/>
        <sz val="10"/>
        <color rgb="FF000000"/>
        <rFont val="Times New Roman"/>
        <family val="1"/>
      </rPr>
      <t>k</t>
    </r>
  </si>
  <si>
    <r>
      <t xml:space="preserve">TOTAL CAPITAL AND O&amp;M COST (rounded) </t>
    </r>
    <r>
      <rPr>
        <b/>
        <vertAlign val="superscript"/>
        <sz val="10"/>
        <color theme="1"/>
        <rFont val="Times New Roman"/>
        <family val="1"/>
      </rPr>
      <t>k</t>
    </r>
  </si>
  <si>
    <r>
      <t xml:space="preserve">GRAND TOTAL (rounded) </t>
    </r>
    <r>
      <rPr>
        <b/>
        <vertAlign val="superscript"/>
        <sz val="10"/>
        <color theme="1"/>
        <rFont val="Times New Roman"/>
        <family val="1"/>
      </rPr>
      <t>k</t>
    </r>
  </si>
  <si>
    <r>
      <t>c</t>
    </r>
    <r>
      <rPr>
        <sz val="10"/>
        <color theme="1"/>
        <rFont val="Times New Roman"/>
        <family val="1"/>
      </rPr>
      <t xml:space="preserve">  We have assumed that all respondents will have to familiarize with the regulatory requirements each year. </t>
    </r>
  </si>
  <si>
    <r>
      <t>d</t>
    </r>
    <r>
      <rPr>
        <sz val="10"/>
        <color theme="1"/>
        <rFont val="Times New Roman"/>
        <family val="1"/>
      </rPr>
      <t xml:space="preserve">  We have assumed that it will take eighty hours to complete performance tests and 20% of sources will have to repeat performance tests. </t>
    </r>
  </si>
  <si>
    <r>
      <t>e</t>
    </r>
    <r>
      <rPr>
        <sz val="10"/>
        <rFont val="Times New Roman"/>
        <family val="1"/>
      </rPr>
      <t xml:space="preserve">  We have assumed that fifteen respondents will write a report of arsenic emission estimates on a semiannual basis.</t>
    </r>
  </si>
  <si>
    <r>
      <t>f</t>
    </r>
    <r>
      <rPr>
        <sz val="10"/>
        <rFont val="Times New Roman"/>
        <family val="1"/>
      </rPr>
      <t xml:space="preserve">  We have assumed that fifteen respondents will write a report of uncontrolled arsenic emission rates on a semiannual basis.</t>
    </r>
  </si>
  <si>
    <r>
      <t>g</t>
    </r>
    <r>
      <rPr>
        <sz val="10"/>
        <rFont val="Times New Roman"/>
        <family val="1"/>
      </rPr>
      <t xml:space="preserve">  We have assumed that one respondent will write a report requesting approval of control device bypass once a year.</t>
    </r>
  </si>
  <si>
    <r>
      <t>h</t>
    </r>
    <r>
      <rPr>
        <sz val="10"/>
        <color theme="1"/>
        <rFont val="Times New Roman"/>
        <family val="1"/>
      </rPr>
      <t xml:space="preserve">  We have assumed that one respondent will write an excess emissions report semiannually.</t>
    </r>
  </si>
  <si>
    <r>
      <t>i</t>
    </r>
    <r>
      <rPr>
        <sz val="10"/>
        <color theme="1"/>
        <rFont val="Times New Roman"/>
        <family val="1"/>
      </rPr>
      <t xml:space="preserve">  It will take each respondent forty hours to enter information.</t>
    </r>
  </si>
  <si>
    <r>
      <t>j</t>
    </r>
    <r>
      <rPr>
        <sz val="10"/>
        <color theme="1"/>
        <rFont val="Times New Roman"/>
        <family val="1"/>
      </rPr>
      <t xml:space="preserve">  It will take each respondent forty hours twice a year to record uncontrolled arsenic emission rate.</t>
    </r>
  </si>
  <si>
    <r>
      <rPr>
        <vertAlign val="superscript"/>
        <sz val="10"/>
        <color theme="1"/>
        <rFont val="Times New Roman"/>
        <family val="1"/>
      </rPr>
      <t>k</t>
    </r>
    <r>
      <rPr>
        <sz val="10"/>
        <color theme="1"/>
        <rFont val="Times New Roman"/>
        <family val="1"/>
      </rPr>
      <t xml:space="preserve">  Totals have been rounded to 3 significant values.  Figures may not add exactly due to rounding.</t>
    </r>
  </si>
  <si>
    <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</si>
  <si>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 xml:space="preserve">b </t>
    </r>
    <r>
      <rPr>
        <sz val="10"/>
        <rFont val="Times New Roman"/>
        <family val="1"/>
      </rPr>
      <t xml:space="preserve">The cost is based on the following labor rate which incorporates a 1.6 benefits multiplication factor to account for government overhead expenses.  Managerial rates of $73.456 (GS-13, Step 5, $45.91 + 60%), Technical rate of $54.512 (GS-12, Step 1, $34.07 + 60%), and Clerical rate of $29.504 (GS-6, Step 3, $18.44 + 60%).  These rates are from the Office of Personnel Management (OPM), 2023 General Schedule, which excludes locality, rates of pay. The rates have been increased by 60 percent to account for the benefit packages available to government employees. </t>
    </r>
  </si>
  <si>
    <t>2022 CEPCI CE Index</t>
  </si>
  <si>
    <t>2008 CEPCI CE Index</t>
  </si>
  <si>
    <r>
      <rPr>
        <vertAlign val="superscript"/>
        <sz val="10"/>
        <color theme="1"/>
        <rFont val="Times New Roman"/>
        <family val="1"/>
      </rPr>
      <t>c</t>
    </r>
    <r>
      <rPr>
        <sz val="10"/>
        <color theme="1"/>
        <rFont val="Times New Roman"/>
        <family val="1"/>
      </rPr>
      <t xml:space="preserve"> Totals have been rounded to 3 significant digits. Figures may not add exactly due to rounding. </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</si>
  <si>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c</t>
    </r>
  </si>
  <si>
    <r>
      <rPr>
        <vertAlign val="superscript"/>
        <sz val="10"/>
        <color theme="1"/>
        <rFont val="Times New Roman"/>
        <family val="1"/>
      </rPr>
      <t>a</t>
    </r>
    <r>
      <rPr>
        <sz val="10"/>
        <color theme="1"/>
        <rFont val="Times New Roman"/>
        <family val="1"/>
      </rPr>
      <t xml:space="preserve"> Capital/startup costs and O&amp;M costs have been updated from 2008 dollars to 2022 dollars using the CEPCI CE Index. [2008 CEPCI = 575.4; 2022 CEPCI = 816]</t>
    </r>
  </si>
  <si>
    <r>
      <t xml:space="preserve">Annual O&amp;M Costs for One Respondent </t>
    </r>
    <r>
      <rPr>
        <b/>
        <vertAlign val="superscript"/>
        <sz val="10"/>
        <color theme="1"/>
        <rFont val="Times New Roman"/>
        <family val="1"/>
      </rPr>
      <t>a</t>
    </r>
  </si>
  <si>
    <r>
      <t xml:space="preserve">Capital/Startup Cost for One Respondent </t>
    </r>
    <r>
      <rPr>
        <b/>
        <vertAlign val="superscript"/>
        <sz val="10"/>
        <color theme="1"/>
        <rFont val="Times New Roman"/>
        <family val="1"/>
      </rPr>
      <t>a</t>
    </r>
  </si>
  <si>
    <r>
      <t>b</t>
    </r>
    <r>
      <rPr>
        <sz val="10"/>
        <color theme="1"/>
        <rFont val="Times New Roman"/>
        <family val="1"/>
      </rPr>
      <t xml:space="preserve">  We have assumed that there are 16 existing sources, and that no additional new sources will become subject to the rule over the next three years.</t>
    </r>
  </si>
  <si>
    <r>
      <t xml:space="preserve">Number of New  Respondents </t>
    </r>
    <r>
      <rPr>
        <b/>
        <vertAlign val="superscript"/>
        <sz val="10"/>
        <color theme="1"/>
        <rFont val="Times New Roman"/>
        <family val="1"/>
      </rPr>
      <t>b</t>
    </r>
  </si>
  <si>
    <r>
      <t>Number of Respondents with O&amp;M</t>
    </r>
    <r>
      <rPr>
        <b/>
        <vertAlign val="superscript"/>
        <sz val="10"/>
        <color theme="1"/>
        <rFont val="Times New Roman"/>
        <family val="1"/>
      </rPr>
      <t xml:space="preserv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</si>
</sst>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25"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1"/>
      <color theme="1"/>
      <name val="Calibri"/>
      <family val="2"/>
      <scheme val="minor"/>
    </font>
    <font>
      <sz val="11"/>
      <color rgb="FFFF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164" fontId="11" fillId="0" borderId="0"/>
  </cellStyleXfs>
  <cellXfs count="112">
    <xf numFmtId="0" fontId="0" fillId="0" borderId="0" xfId="0"/>
    <xf numFmtId="0" fontId="2" fillId="0" borderId="0" xfId="0" applyFont="1"/>
    <xf numFmtId="0" fontId="9" fillId="0" borderId="0" xfId="0" applyFont="1"/>
    <xf numFmtId="164" fontId="12"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9" fillId="0" borderId="0" xfId="0" applyFont="1" applyAlignment="1">
      <alignment wrapText="1"/>
    </xf>
    <xf numFmtId="0" fontId="17" fillId="0" borderId="0" xfId="0" applyFont="1"/>
    <xf numFmtId="0" fontId="17" fillId="0" borderId="2" xfId="0" applyFont="1" applyBorder="1"/>
    <xf numFmtId="0" fontId="14" fillId="0" borderId="1" xfId="0" applyFont="1" applyBorder="1"/>
    <xf numFmtId="41" fontId="17" fillId="0" borderId="0" xfId="0" applyNumberFormat="1" applyFont="1"/>
    <xf numFmtId="0" fontId="17" fillId="0" borderId="2" xfId="0" applyFont="1" applyBorder="1" applyAlignment="1">
      <alignment horizontal="center"/>
    </xf>
    <xf numFmtId="41" fontId="17" fillId="0" borderId="2" xfId="0" applyNumberFormat="1" applyFont="1" applyBorder="1"/>
    <xf numFmtId="164" fontId="12" fillId="0" borderId="0" xfId="1" applyFont="1" applyAlignment="1">
      <alignment wrapText="1"/>
    </xf>
    <xf numFmtId="0" fontId="20" fillId="0" borderId="0" xfId="0" applyFont="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9"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0" xfId="0" applyFont="1" applyAlignment="1">
      <alignment vertical="top" wrapText="1"/>
    </xf>
    <xf numFmtId="165" fontId="10" fillId="0" borderId="1" xfId="0" applyNumberFormat="1" applyFont="1" applyBorder="1"/>
    <xf numFmtId="0" fontId="10" fillId="0" borderId="1" xfId="0" applyFont="1" applyBorder="1" applyAlignment="1">
      <alignment horizontal="left" vertical="center" wrapText="1"/>
    </xf>
    <xf numFmtId="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right" vertical="center" wrapText="1"/>
    </xf>
    <xf numFmtId="0" fontId="3" fillId="0" borderId="0" xfId="0" applyFont="1"/>
    <xf numFmtId="0" fontId="21" fillId="0" borderId="0" xfId="0" applyFont="1" applyAlignment="1">
      <alignment vertical="top" wrapText="1"/>
    </xf>
    <xf numFmtId="41" fontId="10" fillId="0" borderId="0" xfId="0" applyNumberFormat="1" applyFont="1"/>
    <xf numFmtId="3" fontId="9" fillId="0" borderId="0" xfId="0" applyNumberFormat="1"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14" fillId="0" borderId="0" xfId="0" applyFont="1" applyAlignment="1">
      <alignment vertical="top"/>
    </xf>
    <xf numFmtId="164" fontId="9" fillId="0" borderId="0" xfId="1" applyFont="1" applyAlignment="1">
      <alignment vertical="center"/>
    </xf>
    <xf numFmtId="164" fontId="9" fillId="0" borderId="0" xfId="1" applyFont="1"/>
    <xf numFmtId="1"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6" fontId="20" fillId="0" borderId="0" xfId="0" applyNumberFormat="1" applyFont="1"/>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164" fontId="9" fillId="0" borderId="0" xfId="1" applyFont="1" applyAlignment="1">
      <alignment horizontal="left" vertical="center"/>
    </xf>
    <xf numFmtId="41" fontId="0" fillId="0" borderId="0" xfId="0" applyNumberFormat="1"/>
    <xf numFmtId="3" fontId="0" fillId="0" borderId="0" xfId="0" applyNumberFormat="1"/>
    <xf numFmtId="6" fontId="0" fillId="0" borderId="0" xfId="0" applyNumberFormat="1"/>
    <xf numFmtId="0" fontId="14" fillId="0" borderId="1" xfId="0" applyFont="1" applyBorder="1" applyAlignment="1">
      <alignment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1" xfId="0" applyFont="1" applyBorder="1" applyAlignment="1">
      <alignment horizontal="left" wrapText="1"/>
    </xf>
    <xf numFmtId="0" fontId="14" fillId="0" borderId="8" xfId="0" applyFont="1" applyBorder="1" applyAlignment="1">
      <alignment horizontal="left" wrapText="1" indent="1"/>
    </xf>
    <xf numFmtId="0" fontId="15" fillId="0" borderId="9" xfId="0" applyFont="1" applyBorder="1" applyAlignment="1">
      <alignment horizontal="center" vertical="center" wrapText="1"/>
    </xf>
    <xf numFmtId="0" fontId="14" fillId="0" borderId="8" xfId="0" applyFont="1" applyBorder="1" applyAlignment="1">
      <alignment horizontal="left" vertical="center" wrapText="1" indent="2"/>
    </xf>
    <xf numFmtId="0" fontId="14"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horizontal="left" vertical="center" wrapText="1" indent="1"/>
    </xf>
    <xf numFmtId="8" fontId="14" fillId="0" borderId="9" xfId="0" applyNumberFormat="1" applyFont="1" applyBorder="1" applyAlignment="1">
      <alignment wrapText="1"/>
    </xf>
    <xf numFmtId="0" fontId="15" fillId="0" borderId="8" xfId="0" applyFont="1" applyBorder="1" applyAlignment="1">
      <alignment horizontal="left" vertical="center" wrapText="1"/>
    </xf>
    <xf numFmtId="6" fontId="15" fillId="0" borderId="9" xfId="0" applyNumberFormat="1" applyFont="1" applyBorder="1" applyAlignment="1">
      <alignment wrapText="1"/>
    </xf>
    <xf numFmtId="0" fontId="5" fillId="0" borderId="0" xfId="0" applyFont="1"/>
    <xf numFmtId="0" fontId="2" fillId="0" borderId="0" xfId="0" applyFont="1" applyAlignment="1">
      <alignment horizontal="left" vertical="center"/>
    </xf>
    <xf numFmtId="0" fontId="23" fillId="0" borderId="0" xfId="0" applyFont="1"/>
    <xf numFmtId="0" fontId="14" fillId="0" borderId="1" xfId="0" applyFont="1" applyBorder="1" applyAlignment="1">
      <alignment wrapText="1"/>
    </xf>
    <xf numFmtId="0" fontId="14" fillId="0" borderId="1" xfId="0" applyFont="1" applyBorder="1" applyAlignment="1">
      <alignment horizontal="left" wrapText="1" indent="1"/>
    </xf>
    <xf numFmtId="8" fontId="14" fillId="0" borderId="1" xfId="0" applyNumberFormat="1" applyFont="1" applyBorder="1" applyAlignment="1">
      <alignment horizontal="right" vertical="center" wrapText="1"/>
    </xf>
    <xf numFmtId="0" fontId="14" fillId="0" borderId="1" xfId="0" applyFont="1" applyBorder="1" applyAlignment="1">
      <alignment horizontal="left" wrapText="1" indent="2"/>
    </xf>
    <xf numFmtId="0" fontId="6" fillId="0" borderId="1" xfId="0" applyFont="1" applyBorder="1" applyAlignment="1">
      <alignment wrapText="1"/>
    </xf>
    <xf numFmtId="6" fontId="15" fillId="0" borderId="1" xfId="0" applyNumberFormat="1" applyFont="1" applyBorder="1" applyAlignment="1">
      <alignment horizontal="right" vertical="center" wrapText="1"/>
    </xf>
    <xf numFmtId="3" fontId="14" fillId="0" borderId="1" xfId="0" applyNumberFormat="1" applyFont="1" applyBorder="1" applyAlignment="1">
      <alignment horizontal="center" vertical="center" wrapText="1"/>
    </xf>
    <xf numFmtId="0" fontId="15"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3" fillId="0" borderId="0" xfId="0" applyFont="1" applyAlignment="1">
      <alignment horizontal="left" vertical="center"/>
    </xf>
    <xf numFmtId="0" fontId="5" fillId="0" borderId="0" xfId="0" applyFont="1" applyAlignment="1">
      <alignment horizontal="left" vertical="center"/>
    </xf>
    <xf numFmtId="0" fontId="18" fillId="0" borderId="0" xfId="0" applyFont="1" applyAlignment="1">
      <alignment horizontal="left" vertical="center"/>
    </xf>
    <xf numFmtId="0" fontId="24" fillId="0" borderId="0" xfId="0" applyFont="1"/>
    <xf numFmtId="0" fontId="21" fillId="0" borderId="0" xfId="0" applyFont="1"/>
    <xf numFmtId="0" fontId="2" fillId="0" borderId="0" xfId="0" applyFont="1" applyAlignment="1">
      <alignment vertical="top" wrapText="1"/>
    </xf>
    <xf numFmtId="0" fontId="2" fillId="0" borderId="0" xfId="0" applyFont="1" applyAlignment="1">
      <alignment vertical="top"/>
    </xf>
    <xf numFmtId="0" fontId="0" fillId="0" borderId="0" xfId="0" applyAlignment="1">
      <alignment horizontal="center"/>
    </xf>
    <xf numFmtId="0" fontId="5" fillId="0" borderId="0" xfId="0" applyFont="1" applyAlignment="1">
      <alignment horizontal="left" vertical="center" wrapText="1"/>
    </xf>
    <xf numFmtId="3" fontId="15" fillId="0" borderId="1" xfId="0" applyNumberFormat="1" applyFont="1" applyBorder="1" applyAlignment="1">
      <alignment horizontal="center" vertical="center" wrapText="1"/>
    </xf>
    <xf numFmtId="0" fontId="14" fillId="0" borderId="1" xfId="0" applyFont="1" applyBorder="1" applyAlignment="1">
      <alignment horizontal="center"/>
    </xf>
    <xf numFmtId="0" fontId="15" fillId="0" borderId="1" xfId="0" applyFont="1" applyBorder="1" applyAlignment="1">
      <alignment horizontal="center" vertical="center" wrapText="1"/>
    </xf>
    <xf numFmtId="1" fontId="15" fillId="0" borderId="1"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0" fillId="0" borderId="0" xfId="0" applyFont="1" applyAlignment="1">
      <alignment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sqref="A1:B1"/>
    </sheetView>
  </sheetViews>
  <sheetFormatPr defaultRowHeight="15" x14ac:dyDescent="0.25"/>
  <cols>
    <col min="1" max="1" width="27.85546875" bestFit="1" customWidth="1"/>
    <col min="2" max="2" width="14.28515625" bestFit="1" customWidth="1"/>
  </cols>
  <sheetData>
    <row r="1" spans="1:2" x14ac:dyDescent="0.25">
      <c r="A1" s="98" t="s">
        <v>0</v>
      </c>
      <c r="B1" s="98"/>
    </row>
    <row r="2" spans="1:2" x14ac:dyDescent="0.25">
      <c r="A2" t="s">
        <v>43</v>
      </c>
      <c r="B2" s="62">
        <f>'Table 1'!K41</f>
        <v>49.206349206349209</v>
      </c>
    </row>
    <row r="3" spans="1:2" x14ac:dyDescent="0.25">
      <c r="A3" t="s">
        <v>1</v>
      </c>
      <c r="B3">
        <f>Respondents!F8</f>
        <v>16</v>
      </c>
    </row>
    <row r="4" spans="1:2" x14ac:dyDescent="0.25">
      <c r="A4" t="s">
        <v>2</v>
      </c>
      <c r="B4" s="63">
        <f>'Table 1'!F45</f>
        <v>3100</v>
      </c>
    </row>
    <row r="5" spans="1:2" x14ac:dyDescent="0.25">
      <c r="A5" t="s">
        <v>3</v>
      </c>
      <c r="B5" s="64">
        <f>'Table 1'!I47</f>
        <v>470000</v>
      </c>
    </row>
    <row r="6" spans="1:2" x14ac:dyDescent="0.25">
      <c r="A6" t="s">
        <v>4</v>
      </c>
      <c r="B6" s="64">
        <f>'Capital O&amp;M'!D7+'Capital O&amp;M'!G7</f>
        <v>79400</v>
      </c>
    </row>
    <row r="7" spans="1:2" x14ac:dyDescent="0.25">
      <c r="A7" t="s">
        <v>6</v>
      </c>
      <c r="B7" t="s">
        <v>44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1"/>
  <sheetViews>
    <sheetView zoomScale="87" zoomScaleNormal="87" workbookViewId="0">
      <selection activeCell="A2" sqref="A2"/>
    </sheetView>
  </sheetViews>
  <sheetFormatPr defaultRowHeight="15" x14ac:dyDescent="0.25"/>
  <cols>
    <col min="1" max="1" width="49.7109375" style="80" customWidth="1"/>
    <col min="2" max="2" width="11.28515625" style="80" customWidth="1"/>
    <col min="3" max="3" width="12.5703125" style="80" bestFit="1" customWidth="1"/>
    <col min="4" max="4" width="12" style="80" customWidth="1"/>
    <col min="5" max="5" width="11.7109375" style="80" customWidth="1"/>
    <col min="6" max="6" width="9.7109375" style="80" customWidth="1"/>
    <col min="7" max="7" width="13" style="80" customWidth="1"/>
    <col min="8" max="8" width="9.28515625" style="80" customWidth="1"/>
    <col min="9" max="9" width="12.28515625" style="80" customWidth="1"/>
    <col min="10" max="10" width="6.7109375" customWidth="1"/>
    <col min="11" max="11" width="11.42578125" customWidth="1"/>
    <col min="12" max="16" width="10.7109375" customWidth="1"/>
    <col min="21" max="21" width="11.7109375" customWidth="1"/>
  </cols>
  <sheetData>
    <row r="1" spans="1:21" ht="15.75" x14ac:dyDescent="0.25">
      <c r="A1" s="33" t="s">
        <v>96</v>
      </c>
      <c r="J1" s="1"/>
      <c r="K1" s="1"/>
      <c r="L1" s="1"/>
      <c r="M1" s="94"/>
      <c r="N1" s="7"/>
    </row>
    <row r="2" spans="1:21" s="1" customFormat="1" x14ac:dyDescent="0.25">
      <c r="A2" s="80"/>
      <c r="B2" s="80"/>
      <c r="C2" s="80"/>
      <c r="D2" s="80"/>
      <c r="E2" s="80"/>
      <c r="F2" s="80"/>
      <c r="G2" s="80"/>
      <c r="H2" s="80"/>
      <c r="I2" s="80"/>
      <c r="J2" s="2"/>
    </row>
    <row r="3" spans="1:21" s="1" customFormat="1" ht="12.75" x14ac:dyDescent="0.2">
      <c r="A3" s="102" t="s">
        <v>15</v>
      </c>
      <c r="B3" s="27" t="s">
        <v>18</v>
      </c>
      <c r="C3" s="27" t="s">
        <v>19</v>
      </c>
      <c r="D3" s="27" t="s">
        <v>20</v>
      </c>
      <c r="E3" s="27" t="s">
        <v>21</v>
      </c>
      <c r="F3" s="27" t="s">
        <v>22</v>
      </c>
      <c r="G3" s="27" t="s">
        <v>23</v>
      </c>
      <c r="H3" s="27" t="s">
        <v>24</v>
      </c>
      <c r="I3" s="27" t="s">
        <v>61</v>
      </c>
      <c r="J3" s="2"/>
      <c r="M3" s="39"/>
      <c r="N3" s="39"/>
      <c r="O3" s="39"/>
      <c r="P3" s="39"/>
      <c r="Q3" s="39"/>
      <c r="R3" s="39"/>
      <c r="S3" s="39"/>
      <c r="T3" s="39"/>
      <c r="U3" s="39"/>
    </row>
    <row r="4" spans="1:21" s="1" customFormat="1" ht="76.5" x14ac:dyDescent="0.2">
      <c r="A4" s="102"/>
      <c r="B4" s="27" t="s">
        <v>62</v>
      </c>
      <c r="C4" s="27" t="s">
        <v>97</v>
      </c>
      <c r="D4" s="27" t="s">
        <v>98</v>
      </c>
      <c r="E4" s="27" t="s">
        <v>65</v>
      </c>
      <c r="F4" s="27" t="s">
        <v>66</v>
      </c>
      <c r="G4" s="27" t="s">
        <v>67</v>
      </c>
      <c r="H4" s="27" t="s">
        <v>68</v>
      </c>
      <c r="I4" s="27" t="s">
        <v>99</v>
      </c>
      <c r="J4" s="2"/>
      <c r="K4" s="101" t="s">
        <v>8</v>
      </c>
      <c r="L4" s="101"/>
      <c r="O4" s="41"/>
      <c r="P4" s="41"/>
      <c r="Q4" s="41"/>
      <c r="R4" s="41"/>
      <c r="S4" s="41"/>
      <c r="T4" s="41"/>
      <c r="U4" s="42"/>
    </row>
    <row r="5" spans="1:21" s="1" customFormat="1" ht="12.75" x14ac:dyDescent="0.2">
      <c r="A5" s="81" t="s">
        <v>100</v>
      </c>
      <c r="B5" s="15" t="s">
        <v>46</v>
      </c>
      <c r="C5" s="16"/>
      <c r="D5" s="16"/>
      <c r="E5" s="16"/>
      <c r="F5" s="16"/>
      <c r="G5" s="16"/>
      <c r="H5" s="16"/>
      <c r="I5" s="34"/>
      <c r="J5" s="6"/>
      <c r="K5" s="9" t="s">
        <v>9</v>
      </c>
      <c r="L5" s="29">
        <v>163.16999999999999</v>
      </c>
      <c r="M5" s="40"/>
      <c r="N5" s="41"/>
      <c r="O5" s="41"/>
      <c r="P5" s="41"/>
      <c r="Q5" s="41"/>
      <c r="R5" s="43"/>
      <c r="S5" s="41"/>
      <c r="T5" s="41"/>
      <c r="U5" s="44"/>
    </row>
    <row r="6" spans="1:21" s="1" customFormat="1" ht="12.75" x14ac:dyDescent="0.2">
      <c r="A6" s="81" t="s">
        <v>101</v>
      </c>
      <c r="B6" s="15" t="s">
        <v>46</v>
      </c>
      <c r="C6" s="16"/>
      <c r="D6" s="16"/>
      <c r="E6" s="16"/>
      <c r="F6" s="16"/>
      <c r="G6" s="16"/>
      <c r="H6" s="16"/>
      <c r="I6" s="34"/>
      <c r="J6" s="2"/>
      <c r="K6" s="9" t="s">
        <v>10</v>
      </c>
      <c r="L6" s="29">
        <v>130.28</v>
      </c>
      <c r="M6" s="40"/>
      <c r="N6" s="41"/>
      <c r="O6" s="41"/>
      <c r="P6" s="41"/>
      <c r="Q6" s="41"/>
      <c r="R6" s="41"/>
      <c r="S6" s="41"/>
      <c r="T6" s="41"/>
      <c r="U6" s="44"/>
    </row>
    <row r="7" spans="1:21" s="1" customFormat="1" ht="12.75" x14ac:dyDescent="0.2">
      <c r="A7" s="81" t="s">
        <v>102</v>
      </c>
      <c r="B7" s="16"/>
      <c r="C7" s="16"/>
      <c r="D7" s="16"/>
      <c r="E7" s="16"/>
      <c r="F7" s="16"/>
      <c r="G7" s="16"/>
      <c r="H7" s="16"/>
      <c r="I7" s="34"/>
      <c r="J7" s="2"/>
      <c r="K7" s="9" t="s">
        <v>11</v>
      </c>
      <c r="L7" s="29">
        <v>65.709999999999994</v>
      </c>
      <c r="M7" s="40"/>
      <c r="N7" s="41"/>
      <c r="O7" s="41"/>
      <c r="P7" s="41"/>
      <c r="Q7" s="41"/>
      <c r="R7" s="41"/>
      <c r="S7" s="41"/>
      <c r="T7" s="41"/>
      <c r="U7" s="44"/>
    </row>
    <row r="8" spans="1:21" s="1" customFormat="1" ht="15.75" x14ac:dyDescent="0.2">
      <c r="A8" s="82" t="s">
        <v>103</v>
      </c>
      <c r="B8" s="15">
        <v>1</v>
      </c>
      <c r="C8" s="15">
        <v>1</v>
      </c>
      <c r="D8" s="15">
        <f>+B8*C8</f>
        <v>1</v>
      </c>
      <c r="E8" s="15">
        <v>16</v>
      </c>
      <c r="F8" s="15">
        <f>+D8*E8</f>
        <v>16</v>
      </c>
      <c r="G8" s="15">
        <f>+F8*0.05</f>
        <v>0.8</v>
      </c>
      <c r="H8" s="15">
        <f>+F8*0.1</f>
        <v>1.6</v>
      </c>
      <c r="I8" s="83">
        <f>+$L$6*F8+$L$5*G8+$L$7*H8</f>
        <v>2320.152</v>
      </c>
      <c r="J8" s="2"/>
      <c r="K8" s="53"/>
      <c r="L8" s="13"/>
      <c r="M8" s="40"/>
      <c r="N8" s="41"/>
      <c r="O8" s="41"/>
      <c r="P8" s="41"/>
      <c r="Q8" s="45"/>
      <c r="R8" s="45"/>
      <c r="S8" s="45"/>
      <c r="T8" s="45"/>
      <c r="U8" s="44"/>
    </row>
    <row r="9" spans="1:21" s="1" customFormat="1" ht="12.75" x14ac:dyDescent="0.2">
      <c r="A9" s="82" t="s">
        <v>104</v>
      </c>
      <c r="B9" s="15" t="s">
        <v>46</v>
      </c>
      <c r="C9" s="16"/>
      <c r="D9" s="15"/>
      <c r="E9" s="16"/>
      <c r="F9" s="16"/>
      <c r="G9" s="16"/>
      <c r="H9" s="16"/>
      <c r="I9" s="34"/>
      <c r="J9" s="2"/>
      <c r="K9" s="61"/>
      <c r="L9" s="3"/>
      <c r="M9" s="40"/>
      <c r="N9" s="41"/>
      <c r="O9" s="41"/>
      <c r="P9" s="41"/>
      <c r="Q9" s="45"/>
      <c r="R9" s="45"/>
      <c r="S9" s="45"/>
      <c r="T9" s="45"/>
      <c r="U9" s="44"/>
    </row>
    <row r="10" spans="1:21" s="1" customFormat="1" ht="15.75" x14ac:dyDescent="0.2">
      <c r="A10" s="84" t="s">
        <v>105</v>
      </c>
      <c r="B10" s="15">
        <v>80</v>
      </c>
      <c r="C10" s="15">
        <v>1</v>
      </c>
      <c r="D10" s="15">
        <f t="shared" ref="D10:D41" si="0">+B10*C10</f>
        <v>80</v>
      </c>
      <c r="E10" s="15">
        <v>0</v>
      </c>
      <c r="F10" s="15">
        <f t="shared" ref="F10:F25" si="1">+D10*E10</f>
        <v>0</v>
      </c>
      <c r="G10" s="15">
        <f t="shared" ref="G10:G25" si="2">+F10*0.05</f>
        <v>0</v>
      </c>
      <c r="H10" s="15">
        <f t="shared" ref="H10:H25" si="3">+F10*0.1</f>
        <v>0</v>
      </c>
      <c r="I10" s="83">
        <f>+$L$6*F10+$L$5*G10+$L$7*H10</f>
        <v>0</v>
      </c>
      <c r="J10" s="2"/>
      <c r="K10" s="3"/>
      <c r="L10" s="3"/>
      <c r="M10" s="40"/>
      <c r="N10" s="41"/>
      <c r="O10" s="41"/>
      <c r="P10" s="41"/>
      <c r="Q10" s="45"/>
      <c r="R10" s="45"/>
      <c r="S10" s="45"/>
      <c r="T10" s="45"/>
      <c r="U10" s="44"/>
    </row>
    <row r="11" spans="1:21" s="1" customFormat="1" ht="15.75" x14ac:dyDescent="0.2">
      <c r="A11" s="84" t="s">
        <v>106</v>
      </c>
      <c r="B11" s="15">
        <v>80</v>
      </c>
      <c r="C11" s="15">
        <v>0.2</v>
      </c>
      <c r="D11" s="15">
        <f t="shared" si="0"/>
        <v>16</v>
      </c>
      <c r="E11" s="15">
        <v>0</v>
      </c>
      <c r="F11" s="15">
        <f t="shared" si="1"/>
        <v>0</v>
      </c>
      <c r="G11" s="15">
        <f t="shared" si="2"/>
        <v>0</v>
      </c>
      <c r="H11" s="15">
        <f t="shared" si="3"/>
        <v>0</v>
      </c>
      <c r="I11" s="83">
        <f>+$L$6*F11+$L$5*G11+$L$7*H11</f>
        <v>0</v>
      </c>
      <c r="J11" s="2"/>
      <c r="K11" s="4"/>
      <c r="L11" s="5"/>
      <c r="M11" s="40"/>
      <c r="N11" s="41"/>
      <c r="O11" s="41"/>
      <c r="P11" s="41"/>
      <c r="Q11" s="45"/>
      <c r="R11" s="45"/>
      <c r="S11" s="46"/>
      <c r="T11" s="46"/>
      <c r="U11" s="44"/>
    </row>
    <row r="12" spans="1:21" s="1" customFormat="1" ht="12.75" x14ac:dyDescent="0.2">
      <c r="A12" s="82" t="s">
        <v>107</v>
      </c>
      <c r="B12" s="15" t="s">
        <v>108</v>
      </c>
      <c r="C12" s="16"/>
      <c r="D12" s="15"/>
      <c r="E12" s="16"/>
      <c r="F12" s="16"/>
      <c r="G12" s="16"/>
      <c r="H12" s="16"/>
      <c r="I12" s="34"/>
      <c r="J12" s="2"/>
      <c r="K12" s="4"/>
      <c r="L12" s="5"/>
      <c r="M12" s="40"/>
      <c r="N12" s="41"/>
      <c r="O12" s="41"/>
      <c r="P12" s="41"/>
      <c r="Q12" s="45"/>
      <c r="R12" s="45"/>
      <c r="S12" s="46"/>
      <c r="T12" s="46"/>
      <c r="U12" s="44"/>
    </row>
    <row r="13" spans="1:21" s="1" customFormat="1" ht="12.75" x14ac:dyDescent="0.2">
      <c r="A13" s="82" t="s">
        <v>109</v>
      </c>
      <c r="B13" s="15" t="s">
        <v>108</v>
      </c>
      <c r="C13" s="16"/>
      <c r="D13" s="15"/>
      <c r="E13" s="16"/>
      <c r="F13" s="16"/>
      <c r="G13" s="16"/>
      <c r="H13" s="16"/>
      <c r="I13" s="34"/>
      <c r="J13" s="2"/>
      <c r="K13" s="4"/>
      <c r="L13" s="5"/>
      <c r="M13" s="40"/>
      <c r="N13" s="41"/>
      <c r="O13" s="41"/>
      <c r="P13" s="41"/>
      <c r="Q13" s="41"/>
      <c r="R13" s="41"/>
      <c r="S13" s="41"/>
      <c r="T13" s="41"/>
      <c r="U13" s="44"/>
    </row>
    <row r="14" spans="1:21" s="1" customFormat="1" ht="18" customHeight="1" x14ac:dyDescent="0.2">
      <c r="A14" s="82" t="s">
        <v>110</v>
      </c>
      <c r="B14" s="16"/>
      <c r="C14" s="16"/>
      <c r="D14" s="15"/>
      <c r="E14" s="16"/>
      <c r="F14" s="16"/>
      <c r="G14" s="16"/>
      <c r="H14" s="16"/>
      <c r="I14" s="34"/>
      <c r="J14" s="6"/>
      <c r="K14" s="52"/>
      <c r="L14" s="5"/>
      <c r="M14" s="40"/>
      <c r="N14" s="41"/>
      <c r="O14" s="41"/>
      <c r="P14" s="41"/>
      <c r="Q14" s="41"/>
      <c r="R14" s="41"/>
      <c r="S14" s="41"/>
      <c r="T14" s="41"/>
      <c r="U14" s="44"/>
    </row>
    <row r="15" spans="1:21" s="1" customFormat="1" ht="12.75" x14ac:dyDescent="0.2">
      <c r="A15" s="84" t="s">
        <v>49</v>
      </c>
      <c r="B15" s="15">
        <v>2</v>
      </c>
      <c r="C15" s="15">
        <v>1</v>
      </c>
      <c r="D15" s="15">
        <f t="shared" si="0"/>
        <v>2</v>
      </c>
      <c r="E15" s="15">
        <v>0</v>
      </c>
      <c r="F15" s="15">
        <f t="shared" si="1"/>
        <v>0</v>
      </c>
      <c r="G15" s="15">
        <f t="shared" si="2"/>
        <v>0</v>
      </c>
      <c r="H15" s="15">
        <f t="shared" si="3"/>
        <v>0</v>
      </c>
      <c r="I15" s="83">
        <f>+$L$6*F15+$L$5*G15+$L$7*H15</f>
        <v>0</v>
      </c>
      <c r="J15" s="2"/>
      <c r="K15" s="52"/>
      <c r="M15" s="40"/>
      <c r="N15" s="41"/>
      <c r="O15" s="41"/>
      <c r="P15" s="41"/>
      <c r="Q15" s="41"/>
      <c r="R15" s="41"/>
      <c r="S15" s="41"/>
      <c r="T15" s="41"/>
      <c r="U15" s="44"/>
    </row>
    <row r="16" spans="1:21" s="1" customFormat="1" ht="27.75" customHeight="1" x14ac:dyDescent="0.2">
      <c r="A16" s="84" t="s">
        <v>50</v>
      </c>
      <c r="B16" s="15">
        <v>2</v>
      </c>
      <c r="C16" s="15">
        <v>1</v>
      </c>
      <c r="D16" s="15">
        <f t="shared" si="0"/>
        <v>2</v>
      </c>
      <c r="E16" s="15">
        <v>0</v>
      </c>
      <c r="F16" s="15">
        <f t="shared" si="1"/>
        <v>0</v>
      </c>
      <c r="G16" s="15">
        <f t="shared" si="2"/>
        <v>0</v>
      </c>
      <c r="H16" s="15">
        <f t="shared" si="3"/>
        <v>0</v>
      </c>
      <c r="I16" s="83">
        <f>+$L$6*F16+$L$5*G16+$L$7*H16</f>
        <v>0</v>
      </c>
      <c r="J16" s="2"/>
      <c r="K16" s="52"/>
      <c r="M16" s="40"/>
      <c r="N16" s="41"/>
      <c r="O16" s="41"/>
      <c r="P16" s="41"/>
      <c r="Q16" s="41"/>
      <c r="R16" s="41"/>
      <c r="S16" s="41"/>
      <c r="T16" s="41"/>
      <c r="U16" s="44"/>
    </row>
    <row r="17" spans="1:21" s="1" customFormat="1" ht="12.75" x14ac:dyDescent="0.2">
      <c r="A17" s="84" t="s">
        <v>51</v>
      </c>
      <c r="B17" s="15">
        <v>2</v>
      </c>
      <c r="C17" s="15">
        <v>1</v>
      </c>
      <c r="D17" s="15">
        <f t="shared" si="0"/>
        <v>2</v>
      </c>
      <c r="E17" s="15">
        <v>0</v>
      </c>
      <c r="F17" s="15">
        <f t="shared" si="1"/>
        <v>0</v>
      </c>
      <c r="G17" s="15">
        <f t="shared" si="2"/>
        <v>0</v>
      </c>
      <c r="H17" s="15">
        <f t="shared" si="3"/>
        <v>0</v>
      </c>
      <c r="I17" s="83">
        <f t="shared" ref="I17:I19" si="4">+$L$6*F17+$L$5*G17+$L$7*H17</f>
        <v>0</v>
      </c>
      <c r="J17" s="2"/>
      <c r="K17" s="52"/>
      <c r="M17" s="40"/>
      <c r="N17" s="41"/>
      <c r="O17" s="41"/>
      <c r="P17" s="41"/>
      <c r="Q17" s="41"/>
      <c r="R17" s="41"/>
      <c r="S17" s="41"/>
      <c r="T17" s="41"/>
      <c r="U17" s="44"/>
    </row>
    <row r="18" spans="1:21" s="1" customFormat="1" ht="19.5" customHeight="1" x14ac:dyDescent="0.2">
      <c r="A18" s="84" t="s">
        <v>53</v>
      </c>
      <c r="B18" s="15">
        <v>2</v>
      </c>
      <c r="C18" s="15">
        <v>1</v>
      </c>
      <c r="D18" s="15">
        <f t="shared" si="0"/>
        <v>2</v>
      </c>
      <c r="E18" s="15">
        <v>0</v>
      </c>
      <c r="F18" s="15">
        <f t="shared" si="1"/>
        <v>0</v>
      </c>
      <c r="G18" s="15">
        <f t="shared" si="2"/>
        <v>0</v>
      </c>
      <c r="H18" s="15">
        <f t="shared" si="3"/>
        <v>0</v>
      </c>
      <c r="I18" s="83">
        <f t="shared" si="4"/>
        <v>0</v>
      </c>
      <c r="J18" s="2"/>
      <c r="K18" s="52"/>
      <c r="M18" s="40"/>
      <c r="N18" s="41"/>
      <c r="O18" s="41"/>
      <c r="P18" s="41"/>
      <c r="Q18" s="41"/>
      <c r="R18" s="41"/>
      <c r="S18" s="41"/>
      <c r="T18" s="41"/>
      <c r="U18" s="44"/>
    </row>
    <row r="19" spans="1:21" s="1" customFormat="1" ht="16.5" customHeight="1" x14ac:dyDescent="0.2">
      <c r="A19" s="84" t="s">
        <v>111</v>
      </c>
      <c r="B19" s="15">
        <v>2</v>
      </c>
      <c r="C19" s="15">
        <v>1</v>
      </c>
      <c r="D19" s="15">
        <f t="shared" si="0"/>
        <v>2</v>
      </c>
      <c r="E19" s="15">
        <v>0</v>
      </c>
      <c r="F19" s="15">
        <f t="shared" si="1"/>
        <v>0</v>
      </c>
      <c r="G19" s="15">
        <f t="shared" si="2"/>
        <v>0</v>
      </c>
      <c r="H19" s="15">
        <f t="shared" si="3"/>
        <v>0</v>
      </c>
      <c r="I19" s="83">
        <f t="shared" si="4"/>
        <v>0</v>
      </c>
      <c r="J19" s="2"/>
      <c r="K19" s="2"/>
      <c r="M19" s="40"/>
      <c r="N19" s="41"/>
      <c r="O19" s="41"/>
      <c r="P19" s="41"/>
      <c r="Q19" s="41"/>
      <c r="R19" s="41"/>
      <c r="S19" s="41"/>
      <c r="T19" s="41"/>
      <c r="U19" s="44"/>
    </row>
    <row r="20" spans="1:21" s="1" customFormat="1" ht="12.75" x14ac:dyDescent="0.2">
      <c r="A20" s="84" t="s">
        <v>112</v>
      </c>
      <c r="B20" s="15" t="s">
        <v>108</v>
      </c>
      <c r="C20" s="16"/>
      <c r="D20" s="15"/>
      <c r="E20" s="16"/>
      <c r="F20" s="16"/>
      <c r="G20" s="16"/>
      <c r="H20" s="16"/>
      <c r="I20" s="34"/>
      <c r="J20" s="2"/>
      <c r="M20" s="40"/>
      <c r="N20" s="41"/>
      <c r="O20" s="41"/>
      <c r="P20" s="41"/>
      <c r="Q20" s="41"/>
      <c r="R20" s="41"/>
      <c r="S20" s="41"/>
      <c r="T20" s="41"/>
      <c r="U20" s="44"/>
    </row>
    <row r="21" spans="1:21" s="1" customFormat="1" ht="25.5" x14ac:dyDescent="0.2">
      <c r="A21" s="84" t="s">
        <v>113</v>
      </c>
      <c r="B21" s="15" t="s">
        <v>108</v>
      </c>
      <c r="C21" s="16"/>
      <c r="D21" s="15"/>
      <c r="E21" s="16"/>
      <c r="F21" s="16"/>
      <c r="G21" s="16"/>
      <c r="H21" s="16"/>
      <c r="I21" s="34"/>
      <c r="J21" s="2"/>
      <c r="M21" s="40"/>
      <c r="N21" s="41"/>
      <c r="O21" s="41"/>
      <c r="P21" s="41"/>
      <c r="Q21" s="41"/>
      <c r="R21" s="43"/>
      <c r="S21" s="41"/>
      <c r="T21" s="41"/>
      <c r="U21" s="44"/>
    </row>
    <row r="22" spans="1:21" s="1" customFormat="1" ht="16.5" x14ac:dyDescent="0.25">
      <c r="A22" s="84" t="s">
        <v>114</v>
      </c>
      <c r="B22" s="15">
        <v>16</v>
      </c>
      <c r="C22" s="15">
        <v>2</v>
      </c>
      <c r="D22" s="15">
        <f t="shared" si="0"/>
        <v>32</v>
      </c>
      <c r="E22" s="15">
        <v>15</v>
      </c>
      <c r="F22" s="15">
        <f t="shared" si="1"/>
        <v>480</v>
      </c>
      <c r="G22" s="15">
        <f t="shared" si="2"/>
        <v>24</v>
      </c>
      <c r="H22" s="15">
        <f t="shared" si="3"/>
        <v>48</v>
      </c>
      <c r="I22" s="83">
        <f>+$L$6*F22+$L$5*G22+$L$7*H22</f>
        <v>69604.56</v>
      </c>
      <c r="J22" s="2"/>
      <c r="K22" s="2"/>
      <c r="M22" s="47"/>
      <c r="N22" s="47"/>
      <c r="O22" s="47"/>
      <c r="P22" s="47"/>
      <c r="Q22" s="47"/>
      <c r="R22" s="48"/>
      <c r="S22" s="48"/>
      <c r="T22" s="48"/>
      <c r="U22" s="49"/>
    </row>
    <row r="23" spans="1:21" s="1" customFormat="1" ht="15.75" x14ac:dyDescent="0.2">
      <c r="A23" s="84" t="s">
        <v>115</v>
      </c>
      <c r="B23" s="15">
        <v>8</v>
      </c>
      <c r="C23" s="15">
        <v>2</v>
      </c>
      <c r="D23" s="15">
        <f t="shared" si="0"/>
        <v>16</v>
      </c>
      <c r="E23" s="15">
        <v>15</v>
      </c>
      <c r="F23" s="15">
        <f t="shared" si="1"/>
        <v>240</v>
      </c>
      <c r="G23" s="15">
        <f t="shared" si="2"/>
        <v>12</v>
      </c>
      <c r="H23" s="15">
        <f t="shared" si="3"/>
        <v>24</v>
      </c>
      <c r="I23" s="83">
        <f t="shared" ref="I22:I25" si="5">+$L$6*F23+$L$5*G23+$L$7*H23</f>
        <v>34802.28</v>
      </c>
      <c r="J23" s="2"/>
      <c r="K23" s="2"/>
      <c r="M23" s="40"/>
      <c r="N23" s="41"/>
      <c r="O23" s="41"/>
      <c r="P23" s="41"/>
      <c r="Q23" s="41"/>
      <c r="R23" s="41"/>
      <c r="S23" s="41"/>
      <c r="T23" s="41"/>
      <c r="U23" s="42"/>
    </row>
    <row r="24" spans="1:21" s="1" customFormat="1" ht="15.75" x14ac:dyDescent="0.2">
      <c r="A24" s="84" t="s">
        <v>116</v>
      </c>
      <c r="B24" s="15">
        <v>6</v>
      </c>
      <c r="C24" s="15">
        <v>1</v>
      </c>
      <c r="D24" s="15">
        <f t="shared" si="0"/>
        <v>6</v>
      </c>
      <c r="E24" s="15">
        <v>1</v>
      </c>
      <c r="F24" s="15">
        <f t="shared" si="1"/>
        <v>6</v>
      </c>
      <c r="G24" s="15">
        <f t="shared" si="2"/>
        <v>0.30000000000000004</v>
      </c>
      <c r="H24" s="15">
        <f t="shared" si="3"/>
        <v>0.60000000000000009</v>
      </c>
      <c r="I24" s="83">
        <f t="shared" si="5"/>
        <v>870.05700000000013</v>
      </c>
      <c r="J24" s="2"/>
      <c r="K24" s="2"/>
      <c r="M24" s="40"/>
      <c r="N24" s="41"/>
      <c r="O24" s="41"/>
      <c r="P24" s="41"/>
      <c r="Q24" s="41"/>
      <c r="R24" s="41"/>
      <c r="S24" s="41"/>
      <c r="T24" s="41"/>
      <c r="U24" s="44"/>
    </row>
    <row r="25" spans="1:21" s="1" customFormat="1" ht="15.75" x14ac:dyDescent="0.2">
      <c r="A25" s="84" t="s">
        <v>117</v>
      </c>
      <c r="B25" s="15">
        <v>16</v>
      </c>
      <c r="C25" s="15">
        <v>2</v>
      </c>
      <c r="D25" s="15">
        <f t="shared" si="0"/>
        <v>32</v>
      </c>
      <c r="E25" s="15">
        <v>1</v>
      </c>
      <c r="F25" s="15">
        <f t="shared" si="1"/>
        <v>32</v>
      </c>
      <c r="G25" s="15">
        <f t="shared" si="2"/>
        <v>1.6</v>
      </c>
      <c r="H25" s="15">
        <f t="shared" si="3"/>
        <v>3.2</v>
      </c>
      <c r="I25" s="83">
        <f t="shared" si="5"/>
        <v>4640.3040000000001</v>
      </c>
      <c r="J25" s="2"/>
      <c r="M25" s="40"/>
      <c r="N25" s="41"/>
      <c r="O25" s="41"/>
      <c r="P25" s="41"/>
      <c r="Q25" s="41"/>
      <c r="R25" s="41"/>
      <c r="S25" s="41"/>
      <c r="T25" s="41"/>
      <c r="U25" s="44"/>
    </row>
    <row r="26" spans="1:21" s="1" customFormat="1" ht="13.5" x14ac:dyDescent="0.25">
      <c r="A26" s="85" t="s">
        <v>12</v>
      </c>
      <c r="B26" s="16"/>
      <c r="C26" s="16"/>
      <c r="D26" s="15"/>
      <c r="E26" s="16"/>
      <c r="F26" s="103">
        <f>SUM(F5:H25)</f>
        <v>890.1</v>
      </c>
      <c r="G26" s="103"/>
      <c r="H26" s="103"/>
      <c r="I26" s="86">
        <f>SUM(I5:I25)</f>
        <v>112237.353</v>
      </c>
      <c r="J26" s="2"/>
      <c r="K26" s="2"/>
      <c r="M26" s="40"/>
      <c r="N26" s="41"/>
      <c r="O26" s="41"/>
      <c r="P26" s="41"/>
      <c r="Q26" s="41"/>
      <c r="R26" s="43"/>
      <c r="S26" s="41"/>
      <c r="T26" s="41"/>
      <c r="U26" s="44"/>
    </row>
    <row r="27" spans="1:21" s="1" customFormat="1" ht="18" customHeight="1" x14ac:dyDescent="0.2">
      <c r="A27" s="81" t="s">
        <v>118</v>
      </c>
      <c r="B27" s="16"/>
      <c r="C27" s="16"/>
      <c r="D27" s="15"/>
      <c r="E27" s="16"/>
      <c r="F27" s="16"/>
      <c r="G27" s="16"/>
      <c r="H27" s="16"/>
      <c r="I27" s="34"/>
      <c r="J27" s="2"/>
      <c r="K27" s="2"/>
      <c r="M27" s="40"/>
      <c r="N27" s="41"/>
      <c r="O27" s="41"/>
      <c r="P27" s="41"/>
      <c r="Q27" s="41"/>
      <c r="R27" s="41"/>
      <c r="S27" s="41"/>
      <c r="T27" s="41"/>
      <c r="U27" s="44"/>
    </row>
    <row r="28" spans="1:21" s="1" customFormat="1" ht="12.75" x14ac:dyDescent="0.2">
      <c r="A28" s="82" t="s">
        <v>119</v>
      </c>
      <c r="B28" s="15" t="s">
        <v>120</v>
      </c>
      <c r="C28" s="16"/>
      <c r="D28" s="15"/>
      <c r="E28" s="16"/>
      <c r="F28" s="16"/>
      <c r="G28" s="16"/>
      <c r="H28" s="16"/>
      <c r="I28" s="34"/>
      <c r="J28" s="2"/>
      <c r="K28" s="2"/>
      <c r="M28" s="40"/>
      <c r="N28" s="41"/>
      <c r="O28" s="41"/>
      <c r="P28" s="41"/>
      <c r="Q28" s="41"/>
      <c r="R28" s="41"/>
      <c r="S28" s="41"/>
      <c r="T28" s="41"/>
      <c r="U28" s="44"/>
    </row>
    <row r="29" spans="1:21" s="1" customFormat="1" ht="12.75" x14ac:dyDescent="0.2">
      <c r="A29" s="82" t="s">
        <v>121</v>
      </c>
      <c r="B29" s="15" t="s">
        <v>108</v>
      </c>
      <c r="C29" s="16"/>
      <c r="D29" s="15"/>
      <c r="E29" s="16"/>
      <c r="F29" s="16"/>
      <c r="G29" s="16"/>
      <c r="H29" s="16"/>
      <c r="I29" s="34"/>
      <c r="J29" s="2"/>
      <c r="K29" s="2"/>
      <c r="M29" s="40"/>
      <c r="N29" s="41"/>
      <c r="O29" s="41"/>
      <c r="P29" s="41"/>
      <c r="Q29" s="41"/>
      <c r="R29" s="41"/>
      <c r="S29" s="41"/>
      <c r="T29" s="41"/>
      <c r="U29" s="44"/>
    </row>
    <row r="30" spans="1:21" s="1" customFormat="1" ht="12.75" x14ac:dyDescent="0.2">
      <c r="A30" s="82" t="s">
        <v>122</v>
      </c>
      <c r="B30" s="15" t="s">
        <v>108</v>
      </c>
      <c r="C30" s="16"/>
      <c r="D30" s="15"/>
      <c r="E30" s="16"/>
      <c r="F30" s="16"/>
      <c r="G30" s="16"/>
      <c r="H30" s="16"/>
      <c r="I30" s="34"/>
      <c r="J30" s="2"/>
      <c r="K30" s="2"/>
      <c r="M30" s="40"/>
      <c r="N30" s="41"/>
      <c r="O30" s="41"/>
      <c r="P30" s="41"/>
      <c r="Q30" s="41"/>
      <c r="R30" s="41"/>
      <c r="S30" s="41"/>
      <c r="T30" s="41"/>
      <c r="U30" s="44"/>
    </row>
    <row r="31" spans="1:21" s="1" customFormat="1" ht="12.75" x14ac:dyDescent="0.2">
      <c r="A31" s="82" t="s">
        <v>123</v>
      </c>
      <c r="B31" s="15" t="s">
        <v>46</v>
      </c>
      <c r="C31" s="16"/>
      <c r="D31" s="15"/>
      <c r="E31" s="16"/>
      <c r="F31" s="16"/>
      <c r="G31" s="16"/>
      <c r="H31" s="16"/>
      <c r="I31" s="34"/>
      <c r="J31" s="2"/>
      <c r="K31" s="2"/>
      <c r="M31" s="40"/>
      <c r="N31" s="41"/>
      <c r="O31" s="41"/>
      <c r="P31" s="41"/>
      <c r="Q31" s="41"/>
      <c r="R31" s="41"/>
      <c r="S31" s="41"/>
      <c r="T31" s="41"/>
      <c r="U31" s="44"/>
    </row>
    <row r="32" spans="1:21" s="1" customFormat="1" ht="15.75" x14ac:dyDescent="0.2">
      <c r="A32" s="82" t="s">
        <v>124</v>
      </c>
      <c r="B32" s="15">
        <v>40</v>
      </c>
      <c r="C32" s="15">
        <v>1</v>
      </c>
      <c r="D32" s="15">
        <f t="shared" si="0"/>
        <v>40</v>
      </c>
      <c r="E32" s="15">
        <v>16</v>
      </c>
      <c r="F32" s="15">
        <f t="shared" ref="F32" si="6">+D32*E32</f>
        <v>640</v>
      </c>
      <c r="G32" s="15">
        <f t="shared" ref="G32" si="7">+F32*0.05</f>
        <v>32</v>
      </c>
      <c r="H32" s="15">
        <f t="shared" ref="H32" si="8">+F32*0.1</f>
        <v>64</v>
      </c>
      <c r="I32" s="83">
        <f t="shared" ref="I32" si="9">+$L$6*F32+$L$5*G32+$L$7*H32</f>
        <v>92806.080000000002</v>
      </c>
      <c r="J32" s="2"/>
      <c r="K32" s="2"/>
      <c r="M32" s="40"/>
      <c r="N32" s="41"/>
      <c r="O32" s="41"/>
      <c r="P32" s="41"/>
      <c r="Q32" s="41"/>
      <c r="R32" s="41"/>
      <c r="S32" s="41"/>
      <c r="T32" s="41"/>
      <c r="U32" s="44"/>
    </row>
    <row r="33" spans="1:21" s="1" customFormat="1" ht="25.5" x14ac:dyDescent="0.2">
      <c r="A33" s="84" t="s">
        <v>125</v>
      </c>
      <c r="B33" s="15" t="s">
        <v>126</v>
      </c>
      <c r="C33" s="16"/>
      <c r="D33" s="15"/>
      <c r="E33" s="16"/>
      <c r="F33" s="16"/>
      <c r="G33" s="16"/>
      <c r="H33" s="16"/>
      <c r="I33" s="34"/>
      <c r="J33" s="2"/>
      <c r="K33" s="2"/>
      <c r="M33" s="40"/>
      <c r="N33" s="41"/>
      <c r="O33" s="41"/>
      <c r="P33" s="41"/>
      <c r="Q33" s="41"/>
      <c r="R33" s="41"/>
      <c r="S33" s="41"/>
      <c r="T33" s="41"/>
      <c r="U33" s="44"/>
    </row>
    <row r="34" spans="1:21" s="1" customFormat="1" ht="12.75" x14ac:dyDescent="0.2">
      <c r="A34" s="84" t="s">
        <v>127</v>
      </c>
      <c r="B34" s="15" t="s">
        <v>126</v>
      </c>
      <c r="C34" s="16"/>
      <c r="D34" s="15"/>
      <c r="E34" s="16"/>
      <c r="F34" s="16"/>
      <c r="G34" s="16"/>
      <c r="H34" s="16"/>
      <c r="I34" s="34"/>
      <c r="J34" s="2"/>
      <c r="K34" s="2"/>
      <c r="M34" s="40"/>
      <c r="N34" s="41"/>
      <c r="O34" s="41"/>
      <c r="P34" s="41"/>
      <c r="Q34" s="41"/>
      <c r="R34" s="43"/>
      <c r="S34" s="41"/>
      <c r="T34" s="41"/>
      <c r="U34" s="44"/>
    </row>
    <row r="35" spans="1:21" s="1" customFormat="1" ht="12.75" x14ac:dyDescent="0.2">
      <c r="A35" s="84" t="s">
        <v>128</v>
      </c>
      <c r="B35" s="15" t="s">
        <v>126</v>
      </c>
      <c r="C35" s="16"/>
      <c r="D35" s="15"/>
      <c r="E35" s="16"/>
      <c r="F35" s="16"/>
      <c r="G35" s="16"/>
      <c r="H35" s="16"/>
      <c r="I35" s="34"/>
      <c r="J35" s="2"/>
      <c r="K35" s="2"/>
      <c r="M35" s="40"/>
      <c r="N35" s="41"/>
      <c r="O35" s="41"/>
      <c r="P35" s="41"/>
      <c r="Q35" s="41"/>
      <c r="R35" s="41"/>
      <c r="S35" s="41"/>
      <c r="T35" s="41"/>
      <c r="U35" s="44"/>
    </row>
    <row r="36" spans="1:21" s="1" customFormat="1" ht="25.5" x14ac:dyDescent="0.2">
      <c r="A36" s="84" t="s">
        <v>129</v>
      </c>
      <c r="B36" s="15" t="s">
        <v>126</v>
      </c>
      <c r="C36" s="16"/>
      <c r="D36" s="15"/>
      <c r="E36" s="16"/>
      <c r="F36" s="16"/>
      <c r="G36" s="16"/>
      <c r="H36" s="16"/>
      <c r="I36" s="34"/>
      <c r="J36" s="2"/>
      <c r="K36" s="2"/>
      <c r="M36" s="40"/>
      <c r="N36" s="41"/>
      <c r="O36" s="41"/>
      <c r="P36" s="41"/>
      <c r="Q36" s="41"/>
      <c r="R36" s="41"/>
      <c r="S36" s="41"/>
      <c r="T36" s="41"/>
      <c r="U36" s="44"/>
    </row>
    <row r="37" spans="1:21" s="1" customFormat="1" ht="12.75" x14ac:dyDescent="0.2">
      <c r="A37" s="84" t="s">
        <v>130</v>
      </c>
      <c r="B37" s="15" t="s">
        <v>126</v>
      </c>
      <c r="C37" s="16"/>
      <c r="D37" s="15"/>
      <c r="E37" s="16"/>
      <c r="F37" s="16"/>
      <c r="G37" s="16"/>
      <c r="H37" s="16"/>
      <c r="I37" s="34"/>
      <c r="J37" s="2"/>
      <c r="K37" s="2"/>
      <c r="M37" s="40"/>
      <c r="N37" s="41"/>
      <c r="O37" s="41"/>
      <c r="P37" s="41"/>
      <c r="Q37" s="41"/>
      <c r="R37" s="41"/>
      <c r="S37" s="41"/>
      <c r="T37" s="41"/>
      <c r="U37" s="44"/>
    </row>
    <row r="38" spans="1:21" s="1" customFormat="1" ht="12.75" x14ac:dyDescent="0.2">
      <c r="A38" s="84" t="s">
        <v>131</v>
      </c>
      <c r="B38" s="15" t="s">
        <v>126</v>
      </c>
      <c r="C38" s="16"/>
      <c r="D38" s="15"/>
      <c r="E38" s="16"/>
      <c r="F38" s="16"/>
      <c r="G38" s="16"/>
      <c r="H38" s="16"/>
      <c r="I38" s="34"/>
      <c r="J38" s="11"/>
      <c r="K38" s="2"/>
      <c r="M38" s="40"/>
      <c r="N38" s="41"/>
      <c r="O38" s="41"/>
      <c r="P38" s="41"/>
      <c r="Q38" s="41"/>
      <c r="R38" s="41"/>
      <c r="S38" s="41"/>
      <c r="T38" s="41"/>
      <c r="U38" s="44"/>
    </row>
    <row r="39" spans="1:21" s="1" customFormat="1" ht="12.75" x14ac:dyDescent="0.2">
      <c r="A39" s="84" t="s">
        <v>132</v>
      </c>
      <c r="B39" s="15" t="s">
        <v>126</v>
      </c>
      <c r="C39" s="16"/>
      <c r="D39" s="15"/>
      <c r="E39" s="16"/>
      <c r="F39" s="16"/>
      <c r="G39" s="16"/>
      <c r="H39" s="16"/>
      <c r="I39" s="34"/>
      <c r="J39" s="8"/>
      <c r="K39" s="7"/>
      <c r="L39" s="2"/>
      <c r="M39" s="40"/>
      <c r="N39" s="41"/>
      <c r="O39" s="41"/>
      <c r="P39" s="41"/>
      <c r="Q39" s="41"/>
      <c r="R39" s="41"/>
      <c r="S39" s="41"/>
      <c r="T39" s="41"/>
      <c r="U39" s="44"/>
    </row>
    <row r="40" spans="1:21" s="1" customFormat="1" ht="12.75" x14ac:dyDescent="0.2">
      <c r="A40" s="84" t="s">
        <v>133</v>
      </c>
      <c r="B40" s="15" t="s">
        <v>126</v>
      </c>
      <c r="C40" s="16"/>
      <c r="D40" s="15"/>
      <c r="E40" s="16"/>
      <c r="F40" s="16"/>
      <c r="G40" s="16"/>
      <c r="H40" s="16"/>
      <c r="I40" s="34"/>
      <c r="J40" s="12"/>
      <c r="L40" s="2"/>
      <c r="M40" s="40"/>
      <c r="N40" s="41"/>
      <c r="O40" s="41"/>
      <c r="P40" s="41"/>
      <c r="Q40" s="41"/>
      <c r="R40" s="43"/>
      <c r="S40" s="41"/>
      <c r="T40" s="41"/>
      <c r="U40" s="44"/>
    </row>
    <row r="41" spans="1:21" s="1" customFormat="1" ht="15.75" x14ac:dyDescent="0.2">
      <c r="A41" s="84" t="s">
        <v>134</v>
      </c>
      <c r="B41" s="15">
        <v>40</v>
      </c>
      <c r="C41" s="15">
        <v>2</v>
      </c>
      <c r="D41" s="15">
        <f t="shared" si="0"/>
        <v>80</v>
      </c>
      <c r="E41" s="15">
        <v>16</v>
      </c>
      <c r="F41" s="87">
        <f t="shared" ref="F41" si="10">+D41*E41</f>
        <v>1280</v>
      </c>
      <c r="G41" s="15">
        <f t="shared" ref="G41" si="11">+F41*0.05</f>
        <v>64</v>
      </c>
      <c r="H41" s="15">
        <f t="shared" ref="H41" si="12">+F41*0.1</f>
        <v>128</v>
      </c>
      <c r="I41" s="83">
        <f t="shared" ref="I41" si="13">+$L$6*F41+$L$5*G41+$L$7*H41</f>
        <v>185612.16</v>
      </c>
      <c r="J41" s="12"/>
      <c r="K41" s="37">
        <f>F45/Responses!E15</f>
        <v>49.206349206349209</v>
      </c>
      <c r="L41" s="37" t="s">
        <v>13</v>
      </c>
      <c r="M41" s="40"/>
      <c r="N41" s="41"/>
      <c r="O41" s="41"/>
      <c r="P41" s="41"/>
      <c r="Q41" s="41"/>
      <c r="R41" s="41"/>
      <c r="S41" s="41"/>
      <c r="T41" s="41"/>
      <c r="U41" s="44"/>
    </row>
    <row r="42" spans="1:21" s="1" customFormat="1" ht="13.5" customHeight="1" x14ac:dyDescent="0.2">
      <c r="A42" s="82" t="s">
        <v>135</v>
      </c>
      <c r="B42" s="15" t="s">
        <v>46</v>
      </c>
      <c r="C42" s="16"/>
      <c r="D42" s="16"/>
      <c r="E42" s="16"/>
      <c r="F42" s="16"/>
      <c r="G42" s="16"/>
      <c r="H42" s="16"/>
      <c r="I42" s="34"/>
      <c r="J42" s="12"/>
      <c r="K42" s="10"/>
      <c r="L42" s="2"/>
      <c r="M42" s="40"/>
      <c r="N42" s="41"/>
      <c r="O42" s="41"/>
      <c r="P42" s="41"/>
      <c r="Q42" s="41"/>
      <c r="R42" s="41"/>
      <c r="S42" s="41"/>
      <c r="T42" s="41"/>
      <c r="U42" s="44"/>
    </row>
    <row r="43" spans="1:21" s="1" customFormat="1" ht="13.5" customHeight="1" x14ac:dyDescent="0.25">
      <c r="A43" s="82" t="s">
        <v>136</v>
      </c>
      <c r="B43" s="15" t="s">
        <v>46</v>
      </c>
      <c r="C43" s="16"/>
      <c r="D43" s="16"/>
      <c r="E43" s="16"/>
      <c r="F43" s="16"/>
      <c r="G43" s="16"/>
      <c r="H43" s="16"/>
      <c r="I43" s="34"/>
      <c r="J43" s="2"/>
      <c r="M43" s="47"/>
      <c r="N43" s="47"/>
      <c r="O43" s="47"/>
      <c r="P43" s="47"/>
      <c r="Q43" s="47"/>
      <c r="R43" s="48"/>
      <c r="S43" s="48"/>
      <c r="T43" s="48"/>
      <c r="U43" s="49"/>
    </row>
    <row r="44" spans="1:21" s="1" customFormat="1" ht="13.5" customHeight="1" x14ac:dyDescent="0.25">
      <c r="A44" s="85" t="s">
        <v>137</v>
      </c>
      <c r="B44" s="16"/>
      <c r="C44" s="16"/>
      <c r="D44" s="16"/>
      <c r="E44" s="16"/>
      <c r="F44" s="100">
        <f>SUM(F27:H43)</f>
        <v>2208</v>
      </c>
      <c r="G44" s="102"/>
      <c r="H44" s="102"/>
      <c r="I44" s="86">
        <f>SUM(I27:I43)</f>
        <v>278418.24</v>
      </c>
      <c r="J44" s="2"/>
      <c r="M44" s="50"/>
      <c r="N44" s="50"/>
      <c r="O44" s="50"/>
      <c r="P44" s="50"/>
      <c r="Q44" s="50"/>
      <c r="R44" s="48"/>
      <c r="S44" s="48"/>
      <c r="T44" s="48"/>
      <c r="U44" s="49"/>
    </row>
    <row r="45" spans="1:21" s="1" customFormat="1" ht="16.5" x14ac:dyDescent="0.25">
      <c r="A45" s="88" t="s">
        <v>138</v>
      </c>
      <c r="B45" s="16"/>
      <c r="C45" s="16"/>
      <c r="D45" s="16"/>
      <c r="E45" s="16"/>
      <c r="F45" s="100">
        <f>ROUND(F26+F44,-1)</f>
        <v>3100</v>
      </c>
      <c r="G45" s="100"/>
      <c r="H45" s="100"/>
      <c r="I45" s="86">
        <f>+ROUND(I26+I44,-3)</f>
        <v>391000</v>
      </c>
      <c r="J45" s="2"/>
      <c r="M45" s="50"/>
      <c r="N45" s="50"/>
      <c r="O45" s="50"/>
      <c r="P45" s="50"/>
      <c r="Q45" s="50"/>
      <c r="R45" s="50"/>
      <c r="S45" s="50"/>
      <c r="T45" s="50"/>
      <c r="U45" s="49"/>
    </row>
    <row r="46" spans="1:21" s="1" customFormat="1" ht="16.5" x14ac:dyDescent="0.25">
      <c r="A46" s="89" t="s">
        <v>139</v>
      </c>
      <c r="B46" s="90"/>
      <c r="C46" s="90"/>
      <c r="D46" s="90"/>
      <c r="E46" s="90"/>
      <c r="F46" s="90"/>
      <c r="G46" s="90"/>
      <c r="H46" s="90"/>
      <c r="I46" s="86">
        <f>'Capital O&amp;M'!I7</f>
        <v>79400</v>
      </c>
      <c r="J46" s="2"/>
      <c r="M46" s="50"/>
      <c r="N46" s="50"/>
      <c r="O46" s="50"/>
      <c r="P46" s="50"/>
      <c r="Q46" s="50"/>
      <c r="R46" s="50"/>
      <c r="S46" s="50"/>
      <c r="T46" s="50"/>
      <c r="U46" s="49"/>
    </row>
    <row r="47" spans="1:21" s="1" customFormat="1" ht="15.75" x14ac:dyDescent="0.2">
      <c r="A47" s="89" t="s">
        <v>140</v>
      </c>
      <c r="B47" s="90"/>
      <c r="C47" s="90"/>
      <c r="D47" s="90"/>
      <c r="E47" s="90"/>
      <c r="F47" s="90"/>
      <c r="G47" s="90"/>
      <c r="H47" s="90"/>
      <c r="I47" s="86">
        <f>+ROUND(I45+I46,-3)</f>
        <v>470000</v>
      </c>
      <c r="J47" s="2"/>
      <c r="M47" s="28"/>
      <c r="N47" s="28"/>
      <c r="O47" s="28"/>
      <c r="P47" s="28"/>
      <c r="Q47" s="28"/>
      <c r="R47" s="28"/>
      <c r="S47" s="28"/>
      <c r="T47" s="28"/>
      <c r="U47" s="28"/>
    </row>
    <row r="48" spans="1:21" s="1" customFormat="1" x14ac:dyDescent="0.25">
      <c r="A48" s="80"/>
      <c r="B48" s="80"/>
      <c r="C48" s="80"/>
      <c r="D48" s="80"/>
      <c r="E48" s="80"/>
      <c r="F48" s="80"/>
      <c r="G48" s="80"/>
      <c r="H48" s="80"/>
      <c r="I48" s="80"/>
      <c r="J48" s="2"/>
      <c r="M48" s="28"/>
      <c r="N48" s="28"/>
      <c r="O48" s="28"/>
      <c r="P48" s="28"/>
      <c r="Q48" s="28"/>
      <c r="R48" s="28"/>
      <c r="S48" s="28"/>
      <c r="T48" s="28"/>
      <c r="U48" s="28"/>
    </row>
    <row r="49" spans="1:21" s="1" customFormat="1" x14ac:dyDescent="0.25">
      <c r="A49" s="91" t="s">
        <v>14</v>
      </c>
      <c r="B49" s="80"/>
      <c r="C49" s="80"/>
      <c r="D49" s="80"/>
      <c r="E49" s="80"/>
      <c r="F49" s="80"/>
      <c r="G49" s="80"/>
      <c r="H49" s="80"/>
      <c r="I49" s="80"/>
      <c r="J49" s="6"/>
      <c r="M49" s="28"/>
      <c r="N49" s="28"/>
      <c r="O49" s="28"/>
      <c r="P49" s="28"/>
      <c r="Q49" s="28"/>
      <c r="R49" s="28"/>
      <c r="S49" s="28"/>
      <c r="T49" s="28"/>
      <c r="U49" s="28"/>
    </row>
    <row r="50" spans="1:21" s="1" customFormat="1" ht="15.75" x14ac:dyDescent="0.25">
      <c r="A50" s="92" t="s">
        <v>88</v>
      </c>
      <c r="B50" s="80"/>
      <c r="C50" s="80"/>
      <c r="D50" s="80"/>
      <c r="E50" s="80"/>
      <c r="F50" s="80"/>
      <c r="G50" s="80"/>
      <c r="H50" s="80"/>
      <c r="I50" s="80"/>
      <c r="J50" s="2"/>
      <c r="M50" s="28"/>
      <c r="N50" s="28"/>
      <c r="O50" s="28"/>
      <c r="P50" s="28"/>
      <c r="Q50" s="28"/>
      <c r="R50" s="28"/>
      <c r="S50" s="28"/>
      <c r="T50" s="28"/>
      <c r="U50" s="28"/>
    </row>
    <row r="51" spans="1:21" s="1" customFormat="1" ht="73.150000000000006" customHeight="1" x14ac:dyDescent="0.2">
      <c r="A51" s="99" t="s">
        <v>150</v>
      </c>
      <c r="B51" s="99"/>
      <c r="C51" s="99"/>
      <c r="D51" s="99"/>
      <c r="E51" s="99"/>
      <c r="F51" s="99"/>
      <c r="G51" s="99"/>
      <c r="H51" s="99"/>
      <c r="I51" s="99"/>
      <c r="M51" s="28"/>
      <c r="N51" s="28"/>
      <c r="O51" s="28"/>
      <c r="P51" s="28"/>
      <c r="Q51" s="28"/>
      <c r="R51" s="28"/>
      <c r="S51" s="28"/>
      <c r="T51" s="28"/>
      <c r="U51" s="28"/>
    </row>
    <row r="52" spans="1:21" s="1" customFormat="1" ht="15.75" x14ac:dyDescent="0.25">
      <c r="A52" s="92" t="s">
        <v>141</v>
      </c>
      <c r="B52" s="80"/>
      <c r="C52" s="80"/>
      <c r="D52" s="80"/>
      <c r="E52" s="80"/>
      <c r="F52" s="80"/>
      <c r="G52" s="80"/>
      <c r="H52" s="80"/>
      <c r="I52" s="80"/>
      <c r="M52" s="28"/>
      <c r="N52" s="28"/>
      <c r="O52" s="28"/>
      <c r="P52" s="28"/>
      <c r="Q52" s="28"/>
      <c r="R52" s="28"/>
      <c r="S52" s="28"/>
      <c r="T52" s="28"/>
      <c r="U52" s="28"/>
    </row>
    <row r="53" spans="1:21" s="1" customFormat="1" ht="15.75" x14ac:dyDescent="0.25">
      <c r="A53" s="92" t="s">
        <v>142</v>
      </c>
      <c r="B53" s="80"/>
      <c r="C53" s="80"/>
      <c r="D53" s="80"/>
      <c r="E53" s="80"/>
      <c r="F53" s="80"/>
      <c r="G53" s="80"/>
      <c r="H53" s="80"/>
      <c r="I53" s="80"/>
      <c r="M53" s="51"/>
      <c r="N53" s="51"/>
      <c r="O53" s="51"/>
      <c r="P53" s="51"/>
      <c r="Q53" s="51"/>
      <c r="R53" s="51"/>
      <c r="S53" s="51"/>
      <c r="T53" s="51"/>
      <c r="U53" s="51"/>
    </row>
    <row r="54" spans="1:21" s="1" customFormat="1" ht="15.75" x14ac:dyDescent="0.25">
      <c r="A54" s="93" t="s">
        <v>143</v>
      </c>
      <c r="B54" s="80"/>
      <c r="C54" s="80"/>
      <c r="D54" s="80"/>
      <c r="E54" s="80"/>
      <c r="F54" s="80"/>
      <c r="G54" s="80"/>
      <c r="H54" s="80"/>
      <c r="I54" s="80"/>
      <c r="M54" s="28"/>
      <c r="N54" s="28"/>
      <c r="O54" s="28"/>
      <c r="P54" s="28"/>
      <c r="Q54" s="28"/>
      <c r="R54" s="28"/>
      <c r="S54" s="28"/>
      <c r="T54" s="28"/>
      <c r="U54" s="28"/>
    </row>
    <row r="55" spans="1:21" s="1" customFormat="1" ht="17.25" customHeight="1" x14ac:dyDescent="0.25">
      <c r="A55" s="93" t="s">
        <v>144</v>
      </c>
      <c r="B55" s="80"/>
      <c r="C55" s="80"/>
      <c r="D55" s="80"/>
      <c r="E55" s="80"/>
      <c r="F55" s="80"/>
      <c r="G55" s="80"/>
      <c r="H55" s="80"/>
      <c r="I55" s="80"/>
      <c r="M55" s="28"/>
      <c r="N55" s="28"/>
      <c r="O55" s="28"/>
      <c r="P55" s="28"/>
      <c r="Q55" s="28"/>
      <c r="R55" s="28"/>
      <c r="S55" s="28"/>
      <c r="T55" s="28"/>
      <c r="U55" s="28"/>
    </row>
    <row r="56" spans="1:21" s="1" customFormat="1" ht="15.75" x14ac:dyDescent="0.25">
      <c r="A56" s="93" t="s">
        <v>145</v>
      </c>
      <c r="B56" s="80"/>
      <c r="C56" s="80"/>
      <c r="D56" s="80"/>
      <c r="E56" s="80"/>
      <c r="F56" s="80"/>
      <c r="G56" s="80"/>
      <c r="H56" s="80"/>
      <c r="I56" s="80"/>
      <c r="M56" s="28"/>
      <c r="N56" s="28"/>
      <c r="O56" s="28"/>
      <c r="P56" s="28"/>
      <c r="Q56" s="28"/>
      <c r="R56" s="28"/>
      <c r="S56" s="28"/>
      <c r="T56" s="28"/>
      <c r="U56" s="28"/>
    </row>
    <row r="57" spans="1:21" ht="15.75" x14ac:dyDescent="0.25">
      <c r="A57" s="92" t="s">
        <v>146</v>
      </c>
    </row>
    <row r="58" spans="1:21" ht="15.75" x14ac:dyDescent="0.25">
      <c r="A58" s="92" t="s">
        <v>147</v>
      </c>
    </row>
    <row r="59" spans="1:21" ht="15.75" x14ac:dyDescent="0.25">
      <c r="A59" s="92" t="s">
        <v>148</v>
      </c>
    </row>
    <row r="60" spans="1:21" ht="15.75" x14ac:dyDescent="0.25">
      <c r="A60" s="79" t="s">
        <v>149</v>
      </c>
    </row>
    <row r="70" ht="15.75" customHeight="1" x14ac:dyDescent="0.25"/>
    <row r="71" ht="15" customHeight="1" x14ac:dyDescent="0.25"/>
  </sheetData>
  <sortState xmlns:xlrd2="http://schemas.microsoft.com/office/spreadsheetml/2017/richdata2" ref="A61:C76">
    <sortCondition ref="C61:C76"/>
  </sortState>
  <mergeCells count="6">
    <mergeCell ref="A51:I51"/>
    <mergeCell ref="F45:H45"/>
    <mergeCell ref="K4:L4"/>
    <mergeCell ref="A3:A4"/>
    <mergeCell ref="F26:H26"/>
    <mergeCell ref="F44:H44"/>
  </mergeCells>
  <phoneticPr fontId="22"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N36"/>
  <sheetViews>
    <sheetView workbookViewId="0">
      <selection activeCell="A2" sqref="A2"/>
    </sheetView>
  </sheetViews>
  <sheetFormatPr defaultRowHeight="15" x14ac:dyDescent="0.25"/>
  <cols>
    <col min="1" max="1" width="44" customWidth="1"/>
    <col min="2" max="2" width="10.28515625" customWidth="1"/>
    <col min="3" max="3" width="10.5703125" customWidth="1"/>
    <col min="4" max="4" width="9" customWidth="1"/>
    <col min="5" max="5" width="11.28515625" customWidth="1"/>
    <col min="6" max="6" width="8.5703125" customWidth="1"/>
    <col min="7" max="7" width="11.42578125" customWidth="1"/>
    <col min="8" max="8" width="8.7109375" customWidth="1"/>
    <col min="9" max="9" width="9.28515625" customWidth="1"/>
    <col min="10" max="10" width="8.140625" customWidth="1"/>
    <col min="11" max="11" width="11.85546875" customWidth="1"/>
  </cols>
  <sheetData>
    <row r="1" spans="1:14" ht="15.75" x14ac:dyDescent="0.25">
      <c r="A1" s="33" t="s">
        <v>60</v>
      </c>
      <c r="N1" s="94"/>
    </row>
    <row r="3" spans="1:14" x14ac:dyDescent="0.25">
      <c r="A3" s="107" t="s">
        <v>7</v>
      </c>
      <c r="B3" s="66" t="s">
        <v>18</v>
      </c>
      <c r="C3" s="66" t="s">
        <v>19</v>
      </c>
      <c r="D3" s="66" t="s">
        <v>20</v>
      </c>
      <c r="E3" s="66" t="s">
        <v>21</v>
      </c>
      <c r="F3" s="66" t="s">
        <v>22</v>
      </c>
      <c r="G3" s="66" t="s">
        <v>23</v>
      </c>
      <c r="H3" s="66" t="s">
        <v>24</v>
      </c>
      <c r="I3" s="66" t="s">
        <v>61</v>
      </c>
      <c r="J3" s="1"/>
      <c r="K3" s="1"/>
      <c r="L3" s="1"/>
    </row>
    <row r="4" spans="1:14" ht="76.5" x14ac:dyDescent="0.25">
      <c r="A4" s="108"/>
      <c r="B4" s="67" t="s">
        <v>62</v>
      </c>
      <c r="C4" s="67" t="s">
        <v>63</v>
      </c>
      <c r="D4" s="67" t="s">
        <v>64</v>
      </c>
      <c r="E4" s="67" t="s">
        <v>65</v>
      </c>
      <c r="F4" s="67" t="s">
        <v>66</v>
      </c>
      <c r="G4" s="67" t="s">
        <v>67</v>
      </c>
      <c r="H4" s="67" t="s">
        <v>68</v>
      </c>
      <c r="I4" s="67" t="s">
        <v>69</v>
      </c>
      <c r="J4" s="1"/>
      <c r="K4" s="101" t="s">
        <v>8</v>
      </c>
      <c r="L4" s="101"/>
    </row>
    <row r="5" spans="1:14" x14ac:dyDescent="0.25">
      <c r="A5" s="68" t="s">
        <v>70</v>
      </c>
      <c r="B5" s="27"/>
      <c r="C5" s="27"/>
      <c r="D5" s="27"/>
      <c r="E5" s="27"/>
      <c r="F5" s="27"/>
      <c r="G5" s="27"/>
      <c r="H5" s="27"/>
      <c r="I5" s="27"/>
      <c r="J5" s="1"/>
      <c r="K5" s="9" t="s">
        <v>9</v>
      </c>
      <c r="L5" s="29">
        <v>73.459999999999994</v>
      </c>
    </row>
    <row r="6" spans="1:14" x14ac:dyDescent="0.25">
      <c r="A6" s="69" t="s">
        <v>71</v>
      </c>
      <c r="B6" s="70"/>
      <c r="C6" s="70"/>
      <c r="D6" s="70"/>
      <c r="E6" s="70"/>
      <c r="F6" s="70"/>
      <c r="G6" s="70"/>
      <c r="H6" s="70"/>
      <c r="I6" s="70"/>
      <c r="J6" s="1"/>
      <c r="K6" s="9" t="s">
        <v>16</v>
      </c>
      <c r="L6" s="29">
        <v>54.51</v>
      </c>
    </row>
    <row r="7" spans="1:14" ht="15.75" x14ac:dyDescent="0.25">
      <c r="A7" s="71" t="s">
        <v>72</v>
      </c>
      <c r="B7" s="72">
        <v>24</v>
      </c>
      <c r="C7" s="72">
        <v>1</v>
      </c>
      <c r="D7" s="72">
        <f>+B7*C7</f>
        <v>24</v>
      </c>
      <c r="E7" s="72">
        <v>0</v>
      </c>
      <c r="F7" s="72">
        <f>+D7*E7</f>
        <v>0</v>
      </c>
      <c r="G7" s="72">
        <f>+F7*0.05</f>
        <v>0</v>
      </c>
      <c r="H7" s="72">
        <f>+F7*0.1</f>
        <v>0</v>
      </c>
      <c r="I7" s="75">
        <f>+$L$6*F7+$L$5*G7+$L$7*H7</f>
        <v>0</v>
      </c>
      <c r="J7" s="1"/>
      <c r="K7" s="9" t="s">
        <v>11</v>
      </c>
      <c r="L7" s="29">
        <v>29.5</v>
      </c>
    </row>
    <row r="8" spans="1:14" ht="15.75" x14ac:dyDescent="0.25">
      <c r="A8" s="71" t="s">
        <v>73</v>
      </c>
      <c r="B8" s="72">
        <v>24</v>
      </c>
      <c r="C8" s="72">
        <v>0.2</v>
      </c>
      <c r="D8" s="72">
        <f t="shared" ref="D8:D24" si="0">+B8*C8</f>
        <v>4.8000000000000007</v>
      </c>
      <c r="E8" s="72">
        <v>0</v>
      </c>
      <c r="F8" s="72">
        <f t="shared" ref="F8:F24" si="1">+D8*E8</f>
        <v>0</v>
      </c>
      <c r="G8" s="72">
        <f t="shared" ref="G8:G24" si="2">+F8*0.05</f>
        <v>0</v>
      </c>
      <c r="H8" s="72">
        <f t="shared" ref="H8:H24" si="3">+F8*0.1</f>
        <v>0</v>
      </c>
      <c r="I8" s="75">
        <f>+$L$6*F8+$L$5*G8+$L$7*H8</f>
        <v>0</v>
      </c>
      <c r="J8" s="2"/>
      <c r="K8" s="7"/>
      <c r="L8" s="1"/>
    </row>
    <row r="9" spans="1:14" ht="19.5" customHeight="1" x14ac:dyDescent="0.25">
      <c r="A9" s="73" t="s">
        <v>74</v>
      </c>
      <c r="B9" s="72" t="s">
        <v>75</v>
      </c>
      <c r="C9" s="72" t="s">
        <v>75</v>
      </c>
      <c r="D9" s="72"/>
      <c r="E9" s="72"/>
      <c r="F9" s="72"/>
      <c r="G9" s="72"/>
      <c r="H9" s="72"/>
      <c r="I9" s="75"/>
      <c r="J9" s="7"/>
      <c r="K9" s="7"/>
      <c r="L9" s="2"/>
    </row>
    <row r="10" spans="1:14" x14ac:dyDescent="0.25">
      <c r="A10" s="74" t="s">
        <v>71</v>
      </c>
      <c r="B10" s="72" t="s">
        <v>75</v>
      </c>
      <c r="C10" s="72" t="s">
        <v>75</v>
      </c>
      <c r="D10" s="72"/>
      <c r="E10" s="72"/>
      <c r="F10" s="72"/>
      <c r="G10" s="72"/>
      <c r="H10" s="72"/>
      <c r="I10" s="75"/>
      <c r="J10" s="10"/>
      <c r="K10" s="10"/>
      <c r="L10" s="38"/>
    </row>
    <row r="11" spans="1:14" x14ac:dyDescent="0.25">
      <c r="A11" s="71" t="s">
        <v>76</v>
      </c>
      <c r="B11" s="72">
        <v>0.5</v>
      </c>
      <c r="C11" s="72">
        <v>1</v>
      </c>
      <c r="D11" s="72">
        <f t="shared" si="0"/>
        <v>0.5</v>
      </c>
      <c r="E11" s="72">
        <v>0</v>
      </c>
      <c r="F11" s="72">
        <f t="shared" si="1"/>
        <v>0</v>
      </c>
      <c r="G11" s="72">
        <f t="shared" si="2"/>
        <v>0</v>
      </c>
      <c r="H11" s="72">
        <f t="shared" si="3"/>
        <v>0</v>
      </c>
      <c r="I11" s="75">
        <f>+$L$6*F11+$L$5*G11+$L$7*H11</f>
        <v>0</v>
      </c>
      <c r="J11" s="1"/>
      <c r="K11" s="1"/>
      <c r="L11" s="1"/>
    </row>
    <row r="12" spans="1:14" x14ac:dyDescent="0.25">
      <c r="A12" s="71" t="s">
        <v>50</v>
      </c>
      <c r="B12" s="72">
        <v>0.5</v>
      </c>
      <c r="C12" s="72">
        <v>1</v>
      </c>
      <c r="D12" s="72">
        <f t="shared" si="0"/>
        <v>0.5</v>
      </c>
      <c r="E12" s="72">
        <v>0</v>
      </c>
      <c r="F12" s="72">
        <f t="shared" si="1"/>
        <v>0</v>
      </c>
      <c r="G12" s="72">
        <f t="shared" si="2"/>
        <v>0</v>
      </c>
      <c r="H12" s="72">
        <f t="shared" si="3"/>
        <v>0</v>
      </c>
      <c r="I12" s="75">
        <f>+$L$6*F12+$L$5*G12+$L$7*H12</f>
        <v>0</v>
      </c>
      <c r="J12" s="1"/>
      <c r="K12" s="1"/>
      <c r="L12" s="1"/>
    </row>
    <row r="13" spans="1:14" ht="15" customHeight="1" x14ac:dyDescent="0.25">
      <c r="A13" s="71" t="s">
        <v>51</v>
      </c>
      <c r="B13" s="72">
        <v>0.5</v>
      </c>
      <c r="C13" s="72">
        <v>1</v>
      </c>
      <c r="D13" s="72">
        <f t="shared" si="0"/>
        <v>0.5</v>
      </c>
      <c r="E13" s="72">
        <v>0</v>
      </c>
      <c r="F13" s="72">
        <f t="shared" si="1"/>
        <v>0</v>
      </c>
      <c r="G13" s="72">
        <f t="shared" si="2"/>
        <v>0</v>
      </c>
      <c r="H13" s="72">
        <f t="shared" si="3"/>
        <v>0</v>
      </c>
      <c r="I13" s="75">
        <f t="shared" ref="I13:I24" si="4">+$L$6*F13+$L$5*G13+$L$7*H13</f>
        <v>0</v>
      </c>
      <c r="J13" s="1"/>
      <c r="K13" s="1"/>
      <c r="L13" s="1"/>
    </row>
    <row r="14" spans="1:14" ht="15.6" customHeight="1" x14ac:dyDescent="0.25">
      <c r="A14" s="71" t="s">
        <v>53</v>
      </c>
      <c r="B14" s="72">
        <v>0.5</v>
      </c>
      <c r="C14" s="72">
        <v>1</v>
      </c>
      <c r="D14" s="72">
        <f t="shared" si="0"/>
        <v>0.5</v>
      </c>
      <c r="E14" s="72">
        <v>0</v>
      </c>
      <c r="F14" s="72">
        <f t="shared" si="1"/>
        <v>0</v>
      </c>
      <c r="G14" s="72">
        <f t="shared" si="2"/>
        <v>0</v>
      </c>
      <c r="H14" s="72">
        <f t="shared" si="3"/>
        <v>0</v>
      </c>
      <c r="I14" s="75">
        <f t="shared" si="4"/>
        <v>0</v>
      </c>
      <c r="J14" s="1"/>
      <c r="K14" s="1"/>
      <c r="L14" s="1"/>
    </row>
    <row r="15" spans="1:14" ht="18.75" customHeight="1" x14ac:dyDescent="0.25">
      <c r="A15" s="71" t="s">
        <v>77</v>
      </c>
      <c r="B15" s="72">
        <v>0.5</v>
      </c>
      <c r="C15" s="72">
        <v>1</v>
      </c>
      <c r="D15" s="72">
        <f t="shared" si="0"/>
        <v>0.5</v>
      </c>
      <c r="E15" s="72">
        <v>0</v>
      </c>
      <c r="F15" s="72">
        <f t="shared" si="1"/>
        <v>0</v>
      </c>
      <c r="G15" s="72">
        <f t="shared" si="2"/>
        <v>0</v>
      </c>
      <c r="H15" s="72">
        <f t="shared" si="3"/>
        <v>0</v>
      </c>
      <c r="I15" s="75">
        <f t="shared" si="4"/>
        <v>0</v>
      </c>
      <c r="J15" s="1"/>
      <c r="K15" s="1"/>
      <c r="L15" s="1"/>
    </row>
    <row r="16" spans="1:14" x14ac:dyDescent="0.25">
      <c r="A16" s="71" t="s">
        <v>78</v>
      </c>
      <c r="B16" s="72">
        <v>8</v>
      </c>
      <c r="C16" s="72">
        <v>1</v>
      </c>
      <c r="D16" s="72">
        <f t="shared" si="0"/>
        <v>8</v>
      </c>
      <c r="E16" s="72">
        <v>0</v>
      </c>
      <c r="F16" s="72">
        <f t="shared" si="1"/>
        <v>0</v>
      </c>
      <c r="G16" s="72">
        <f t="shared" si="2"/>
        <v>0</v>
      </c>
      <c r="H16" s="72">
        <f t="shared" si="3"/>
        <v>0</v>
      </c>
      <c r="I16" s="75">
        <f t="shared" si="4"/>
        <v>0</v>
      </c>
      <c r="J16" s="1"/>
      <c r="K16" s="1"/>
      <c r="L16" s="1"/>
    </row>
    <row r="17" spans="1:12" x14ac:dyDescent="0.25">
      <c r="A17" s="71" t="s">
        <v>79</v>
      </c>
      <c r="B17" s="72">
        <v>0.5</v>
      </c>
      <c r="C17" s="72">
        <v>1</v>
      </c>
      <c r="D17" s="72">
        <f t="shared" si="0"/>
        <v>0.5</v>
      </c>
      <c r="E17" s="72">
        <v>0</v>
      </c>
      <c r="F17" s="72">
        <f t="shared" si="1"/>
        <v>0</v>
      </c>
      <c r="G17" s="72">
        <f t="shared" si="2"/>
        <v>0</v>
      </c>
      <c r="H17" s="72">
        <f t="shared" si="3"/>
        <v>0</v>
      </c>
      <c r="I17" s="75">
        <f t="shared" si="4"/>
        <v>0</v>
      </c>
      <c r="J17" s="1"/>
      <c r="K17" s="1"/>
      <c r="L17" s="1"/>
    </row>
    <row r="18" spans="1:12" x14ac:dyDescent="0.25">
      <c r="A18" s="71" t="s">
        <v>80</v>
      </c>
      <c r="B18" s="72">
        <v>0.5</v>
      </c>
      <c r="C18" s="72">
        <v>1</v>
      </c>
      <c r="D18" s="72">
        <f t="shared" si="0"/>
        <v>0.5</v>
      </c>
      <c r="E18" s="72">
        <v>0</v>
      </c>
      <c r="F18" s="72">
        <f t="shared" si="1"/>
        <v>0</v>
      </c>
      <c r="G18" s="72">
        <f t="shared" si="2"/>
        <v>0</v>
      </c>
      <c r="H18" s="72">
        <f t="shared" si="3"/>
        <v>0</v>
      </c>
      <c r="I18" s="75">
        <f t="shared" si="4"/>
        <v>0</v>
      </c>
      <c r="J18" s="1"/>
      <c r="K18" s="1"/>
      <c r="L18" s="1"/>
    </row>
    <row r="19" spans="1:12" ht="14.45" customHeight="1" x14ac:dyDescent="0.25">
      <c r="A19" s="71" t="s">
        <v>81</v>
      </c>
      <c r="B19" s="72">
        <v>8</v>
      </c>
      <c r="C19" s="72">
        <v>1</v>
      </c>
      <c r="D19" s="72">
        <f t="shared" si="0"/>
        <v>8</v>
      </c>
      <c r="E19" s="72">
        <v>0</v>
      </c>
      <c r="F19" s="72">
        <f t="shared" si="1"/>
        <v>0</v>
      </c>
      <c r="G19" s="72">
        <f t="shared" si="2"/>
        <v>0</v>
      </c>
      <c r="H19" s="72">
        <f t="shared" si="3"/>
        <v>0</v>
      </c>
      <c r="I19" s="75">
        <f t="shared" si="4"/>
        <v>0</v>
      </c>
      <c r="J19" s="1"/>
      <c r="K19" s="1"/>
      <c r="L19" s="1"/>
    </row>
    <row r="20" spans="1:12" x14ac:dyDescent="0.25">
      <c r="A20" s="74" t="s">
        <v>82</v>
      </c>
      <c r="B20" s="72" t="s">
        <v>75</v>
      </c>
      <c r="C20" s="72" t="s">
        <v>75</v>
      </c>
      <c r="D20" s="72"/>
      <c r="E20" s="72"/>
      <c r="F20" s="72"/>
      <c r="G20" s="72"/>
      <c r="H20" s="72"/>
      <c r="I20" s="75"/>
      <c r="J20" s="1"/>
      <c r="K20" s="1"/>
      <c r="L20" s="1"/>
    </row>
    <row r="21" spans="1:12" ht="14.45" customHeight="1" x14ac:dyDescent="0.25">
      <c r="A21" s="71" t="s">
        <v>83</v>
      </c>
      <c r="B21" s="72">
        <v>4</v>
      </c>
      <c r="C21" s="72">
        <v>1</v>
      </c>
      <c r="D21" s="72">
        <f t="shared" si="0"/>
        <v>4</v>
      </c>
      <c r="E21" s="72">
        <v>15</v>
      </c>
      <c r="F21" s="72">
        <f t="shared" si="1"/>
        <v>60</v>
      </c>
      <c r="G21" s="72">
        <f t="shared" si="2"/>
        <v>3</v>
      </c>
      <c r="H21" s="72">
        <f t="shared" si="3"/>
        <v>6</v>
      </c>
      <c r="I21" s="75">
        <f>+$L$6*F21+$L$5*G21+$L$7*H21</f>
        <v>3667.98</v>
      </c>
      <c r="J21" s="1"/>
      <c r="K21" s="1"/>
      <c r="L21" s="1"/>
    </row>
    <row r="22" spans="1:12" ht="14.45" customHeight="1" x14ac:dyDescent="0.25">
      <c r="A22" s="71" t="s">
        <v>84</v>
      </c>
      <c r="B22" s="72">
        <v>8</v>
      </c>
      <c r="C22" s="72">
        <v>1</v>
      </c>
      <c r="D22" s="72">
        <f t="shared" si="0"/>
        <v>8</v>
      </c>
      <c r="E22" s="72">
        <v>15</v>
      </c>
      <c r="F22" s="72">
        <f t="shared" si="1"/>
        <v>120</v>
      </c>
      <c r="G22" s="72">
        <f t="shared" si="2"/>
        <v>6</v>
      </c>
      <c r="H22" s="72">
        <f t="shared" si="3"/>
        <v>12</v>
      </c>
      <c r="I22" s="75">
        <f t="shared" si="4"/>
        <v>7335.96</v>
      </c>
      <c r="J22" s="1"/>
      <c r="K22" s="1"/>
      <c r="L22" s="1"/>
    </row>
    <row r="23" spans="1:12" ht="14.45" customHeight="1" x14ac:dyDescent="0.25">
      <c r="A23" s="71" t="s">
        <v>85</v>
      </c>
      <c r="B23" s="72">
        <v>6</v>
      </c>
      <c r="C23" s="72">
        <v>2</v>
      </c>
      <c r="D23" s="72">
        <f t="shared" si="0"/>
        <v>12</v>
      </c>
      <c r="E23" s="72">
        <v>1</v>
      </c>
      <c r="F23" s="72">
        <f t="shared" si="1"/>
        <v>12</v>
      </c>
      <c r="G23" s="72">
        <f t="shared" si="2"/>
        <v>0.60000000000000009</v>
      </c>
      <c r="H23" s="72">
        <f t="shared" si="3"/>
        <v>1.2000000000000002</v>
      </c>
      <c r="I23" s="75">
        <f t="shared" si="4"/>
        <v>733.596</v>
      </c>
      <c r="J23" s="1"/>
      <c r="K23" s="1"/>
      <c r="L23" s="1"/>
    </row>
    <row r="24" spans="1:12" ht="15.75" x14ac:dyDescent="0.25">
      <c r="A24" s="71" t="s">
        <v>86</v>
      </c>
      <c r="B24" s="72">
        <v>6</v>
      </c>
      <c r="C24" s="72">
        <v>1</v>
      </c>
      <c r="D24" s="72">
        <f t="shared" si="0"/>
        <v>6</v>
      </c>
      <c r="E24" s="72">
        <v>1</v>
      </c>
      <c r="F24" s="72">
        <f t="shared" si="1"/>
        <v>6</v>
      </c>
      <c r="G24" s="72">
        <f t="shared" si="2"/>
        <v>0.30000000000000004</v>
      </c>
      <c r="H24" s="72">
        <f t="shared" si="3"/>
        <v>0.60000000000000009</v>
      </c>
      <c r="I24" s="75">
        <f t="shared" si="4"/>
        <v>366.798</v>
      </c>
      <c r="J24" s="1"/>
      <c r="K24" s="1"/>
      <c r="L24" s="1"/>
    </row>
    <row r="25" spans="1:12" ht="15.75" x14ac:dyDescent="0.25">
      <c r="A25" s="76" t="s">
        <v>87</v>
      </c>
      <c r="B25" s="70" t="s">
        <v>75</v>
      </c>
      <c r="C25" s="70" t="s">
        <v>75</v>
      </c>
      <c r="D25" s="70" t="s">
        <v>75</v>
      </c>
      <c r="E25" s="70" t="s">
        <v>75</v>
      </c>
      <c r="F25" s="104">
        <f>+ROUND(SUM(F5:H24),0)</f>
        <v>228</v>
      </c>
      <c r="G25" s="104"/>
      <c r="H25" s="105"/>
      <c r="I25" s="77">
        <f>ROUND(SUM(I5:I24),-2)</f>
        <v>12100</v>
      </c>
      <c r="J25" s="1"/>
      <c r="K25" s="1"/>
      <c r="L25" s="1"/>
    </row>
    <row r="26" spans="1:12" x14ac:dyDescent="0.25">
      <c r="J26" s="1"/>
      <c r="K26" s="1"/>
      <c r="L26" s="1"/>
    </row>
    <row r="27" spans="1:12" x14ac:dyDescent="0.25">
      <c r="A27" s="35" t="s">
        <v>14</v>
      </c>
      <c r="J27" s="1"/>
      <c r="K27" s="1"/>
      <c r="L27" s="1"/>
    </row>
    <row r="28" spans="1:12" ht="16.5" x14ac:dyDescent="0.25">
      <c r="A28" s="78" t="s">
        <v>88</v>
      </c>
      <c r="J28" s="1"/>
      <c r="K28" s="1"/>
      <c r="L28" s="1"/>
    </row>
    <row r="29" spans="1:12" ht="58.9" customHeight="1" x14ac:dyDescent="0.25">
      <c r="A29" s="106" t="s">
        <v>151</v>
      </c>
      <c r="B29" s="106"/>
      <c r="C29" s="106"/>
      <c r="D29" s="106"/>
      <c r="E29" s="106"/>
      <c r="F29" s="106"/>
      <c r="G29" s="106"/>
      <c r="H29" s="106"/>
      <c r="I29" s="106"/>
      <c r="J29" s="1"/>
      <c r="K29" s="1"/>
      <c r="L29" s="1"/>
    </row>
    <row r="30" spans="1:12" ht="16.5" x14ac:dyDescent="0.25">
      <c r="A30" s="78" t="s">
        <v>89</v>
      </c>
      <c r="J30" s="1"/>
      <c r="K30" s="1"/>
      <c r="L30" s="1"/>
    </row>
    <row r="31" spans="1:12" ht="16.5" x14ac:dyDescent="0.25">
      <c r="A31" s="78" t="s">
        <v>90</v>
      </c>
      <c r="J31" s="1"/>
      <c r="K31" s="1"/>
      <c r="L31" s="1"/>
    </row>
    <row r="32" spans="1:12" ht="16.5" x14ac:dyDescent="0.25">
      <c r="A32" s="78" t="s">
        <v>91</v>
      </c>
      <c r="J32" s="1"/>
      <c r="K32" s="1"/>
      <c r="L32" s="1"/>
    </row>
    <row r="33" spans="1:12" ht="16.5" x14ac:dyDescent="0.25">
      <c r="A33" s="78" t="s">
        <v>92</v>
      </c>
      <c r="J33" s="1"/>
      <c r="K33" s="1"/>
      <c r="L33" s="1"/>
    </row>
    <row r="34" spans="1:12" ht="16.5" x14ac:dyDescent="0.25">
      <c r="A34" s="78" t="s">
        <v>93</v>
      </c>
    </row>
    <row r="35" spans="1:12" ht="16.5" x14ac:dyDescent="0.25">
      <c r="A35" s="78" t="s">
        <v>94</v>
      </c>
    </row>
    <row r="36" spans="1:12" ht="15.75" x14ac:dyDescent="0.25">
      <c r="A36" s="79" t="s">
        <v>95</v>
      </c>
    </row>
  </sheetData>
  <mergeCells count="4">
    <mergeCell ref="F25:H25"/>
    <mergeCell ref="A29:I29"/>
    <mergeCell ref="K4:L4"/>
    <mergeCell ref="A3:A4"/>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J11"/>
  <sheetViews>
    <sheetView zoomScale="90" zoomScaleNormal="90" workbookViewId="0"/>
  </sheetViews>
  <sheetFormatPr defaultColWidth="22" defaultRowHeight="12.75" x14ac:dyDescent="0.2"/>
  <cols>
    <col min="1" max="1" width="22" style="14"/>
    <col min="2" max="2" width="17.5703125" style="14" customWidth="1"/>
    <col min="3" max="3" width="17.28515625" style="14" customWidth="1"/>
    <col min="4" max="4" width="22" style="14"/>
    <col min="5" max="5" width="19.85546875" style="14" customWidth="1"/>
    <col min="6" max="7" width="16.85546875" style="14" customWidth="1"/>
    <col min="8" max="8" width="6" style="14" customWidth="1"/>
    <col min="9" max="16384" width="22" style="14"/>
  </cols>
  <sheetData>
    <row r="1" spans="1:10" x14ac:dyDescent="0.2">
      <c r="A1" s="4"/>
      <c r="B1" s="5"/>
      <c r="C1" s="5"/>
      <c r="I1" s="95"/>
    </row>
    <row r="2" spans="1:10" x14ac:dyDescent="0.2">
      <c r="A2" s="109" t="s">
        <v>17</v>
      </c>
      <c r="B2" s="109"/>
      <c r="C2" s="109"/>
      <c r="D2" s="109"/>
      <c r="E2" s="109"/>
      <c r="F2" s="109"/>
      <c r="G2" s="109"/>
      <c r="H2" s="23"/>
    </row>
    <row r="3" spans="1:10" x14ac:dyDescent="0.2">
      <c r="A3" s="19" t="s">
        <v>18</v>
      </c>
      <c r="B3" s="19" t="s">
        <v>19</v>
      </c>
      <c r="C3" s="19" t="s">
        <v>20</v>
      </c>
      <c r="D3" s="19" t="s">
        <v>21</v>
      </c>
      <c r="E3" s="19" t="s">
        <v>22</v>
      </c>
      <c r="F3" s="19" t="s">
        <v>23</v>
      </c>
      <c r="G3" s="19" t="s">
        <v>24</v>
      </c>
      <c r="H3" s="23"/>
    </row>
    <row r="4" spans="1:10" ht="46.5" customHeight="1" x14ac:dyDescent="0.2">
      <c r="A4" s="19" t="s">
        <v>25</v>
      </c>
      <c r="B4" s="19" t="s">
        <v>158</v>
      </c>
      <c r="C4" s="19" t="s">
        <v>160</v>
      </c>
      <c r="D4" s="19" t="s">
        <v>26</v>
      </c>
      <c r="E4" s="19" t="s">
        <v>157</v>
      </c>
      <c r="F4" s="19" t="s">
        <v>161</v>
      </c>
      <c r="G4" s="19" t="s">
        <v>27</v>
      </c>
      <c r="H4" s="23"/>
    </row>
    <row r="5" spans="1:10" ht="36.75" customHeight="1" x14ac:dyDescent="0.2">
      <c r="A5" s="30" t="s">
        <v>45</v>
      </c>
      <c r="B5" s="31" t="s">
        <v>46</v>
      </c>
      <c r="C5" s="32" t="s">
        <v>46</v>
      </c>
      <c r="D5" s="20">
        <v>0</v>
      </c>
      <c r="E5" s="20">
        <f>3000*(J6/J5)</f>
        <v>4254.4316996871739</v>
      </c>
      <c r="F5" s="16">
        <v>16</v>
      </c>
      <c r="G5" s="20">
        <f>E5*F5</f>
        <v>68070.907194994783</v>
      </c>
      <c r="H5" s="24"/>
      <c r="I5" s="1" t="s">
        <v>153</v>
      </c>
      <c r="J5" s="1">
        <v>575.4</v>
      </c>
    </row>
    <row r="6" spans="1:10" ht="36.75" customHeight="1" x14ac:dyDescent="0.2">
      <c r="A6" s="18" t="s">
        <v>47</v>
      </c>
      <c r="B6" s="20" t="s">
        <v>46</v>
      </c>
      <c r="C6" s="16" t="s">
        <v>46</v>
      </c>
      <c r="D6" s="20">
        <v>0</v>
      </c>
      <c r="E6" s="20">
        <f>500*(J6/J5)</f>
        <v>709.07194994786232</v>
      </c>
      <c r="F6" s="16">
        <v>16</v>
      </c>
      <c r="G6" s="20">
        <f>E6*F6</f>
        <v>11345.151199165797</v>
      </c>
      <c r="H6" s="24"/>
      <c r="I6" s="1" t="s">
        <v>152</v>
      </c>
      <c r="J6" s="1">
        <v>816</v>
      </c>
    </row>
    <row r="7" spans="1:10" ht="46.5" customHeight="1" x14ac:dyDescent="0.2">
      <c r="A7" s="21" t="s">
        <v>155</v>
      </c>
      <c r="B7" s="16"/>
      <c r="C7" s="16"/>
      <c r="D7" s="22">
        <f>ROUND(SUM(D5:D6), -3)</f>
        <v>0</v>
      </c>
      <c r="E7" s="16"/>
      <c r="F7" s="16"/>
      <c r="G7" s="22">
        <f>ROUND(SUM(G5:G6), -2)</f>
        <v>79400</v>
      </c>
      <c r="I7" s="56">
        <f>D7+G7</f>
        <v>79400</v>
      </c>
    </row>
    <row r="8" spans="1:10" ht="15.75" x14ac:dyDescent="0.2">
      <c r="A8" s="1" t="s">
        <v>156</v>
      </c>
    </row>
    <row r="9" spans="1:10" ht="15.75" x14ac:dyDescent="0.2">
      <c r="A9" s="92" t="s">
        <v>159</v>
      </c>
      <c r="B9" s="55"/>
      <c r="C9" s="55"/>
      <c r="D9" s="25"/>
      <c r="E9" s="55"/>
      <c r="F9" s="55"/>
      <c r="G9" s="25"/>
    </row>
    <row r="10" spans="1:10" ht="22.5" customHeight="1" x14ac:dyDescent="0.2">
      <c r="A10" s="97" t="s">
        <v>154</v>
      </c>
      <c r="B10" s="96"/>
      <c r="C10" s="96"/>
      <c r="D10" s="96"/>
      <c r="E10" s="96"/>
      <c r="F10" s="96"/>
      <c r="G10" s="96"/>
    </row>
    <row r="11" spans="1:10" x14ac:dyDescent="0.2">
      <c r="A11" s="36"/>
      <c r="B11" s="36"/>
      <c r="C11" s="36"/>
      <c r="D11" s="36"/>
      <c r="E11" s="36"/>
      <c r="F11" s="36"/>
      <c r="G11" s="36"/>
    </row>
  </sheetData>
  <mergeCells count="1">
    <mergeCell ref="A2:G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6"/>
  <sheetViews>
    <sheetView zoomScaleNormal="100" workbookViewId="0">
      <selection sqref="A1:E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5" s="14" customFormat="1" ht="15.75" x14ac:dyDescent="0.2">
      <c r="A1" s="110" t="s">
        <v>5</v>
      </c>
      <c r="B1" s="110"/>
      <c r="C1" s="110"/>
      <c r="D1" s="110"/>
      <c r="E1" s="110"/>
    </row>
    <row r="2" spans="1:5" s="14" customFormat="1" ht="12.75" x14ac:dyDescent="0.2">
      <c r="A2" s="15" t="s">
        <v>18</v>
      </c>
      <c r="B2" s="15" t="s">
        <v>19</v>
      </c>
      <c r="C2" s="15" t="s">
        <v>20</v>
      </c>
      <c r="D2" s="15" t="s">
        <v>21</v>
      </c>
      <c r="E2" s="15" t="s">
        <v>22</v>
      </c>
    </row>
    <row r="3" spans="1:5" s="14" customFormat="1" ht="102" x14ac:dyDescent="0.2">
      <c r="A3" s="15" t="s">
        <v>28</v>
      </c>
      <c r="B3" s="15" t="s">
        <v>29</v>
      </c>
      <c r="C3" s="15" t="s">
        <v>30</v>
      </c>
      <c r="D3" s="15" t="s">
        <v>31</v>
      </c>
      <c r="E3" s="15" t="s">
        <v>32</v>
      </c>
    </row>
    <row r="4" spans="1:5" s="14" customFormat="1" ht="38.25" x14ac:dyDescent="0.2">
      <c r="A4" s="65" t="s">
        <v>49</v>
      </c>
      <c r="B4" s="15">
        <v>0</v>
      </c>
      <c r="C4" s="15">
        <v>1</v>
      </c>
      <c r="D4" s="15">
        <v>0</v>
      </c>
      <c r="E4" s="15">
        <f>(B4*C4)+D4</f>
        <v>0</v>
      </c>
    </row>
    <row r="5" spans="1:5" s="14" customFormat="1" ht="25.5" x14ac:dyDescent="0.2">
      <c r="A5" s="65" t="s">
        <v>50</v>
      </c>
      <c r="B5" s="15">
        <v>0</v>
      </c>
      <c r="C5" s="15">
        <v>1</v>
      </c>
      <c r="D5" s="15">
        <v>0</v>
      </c>
      <c r="E5" s="15">
        <f t="shared" ref="E5:E14" si="0">(B5*C5)+D5</f>
        <v>0</v>
      </c>
    </row>
    <row r="6" spans="1:5" s="14" customFormat="1" ht="25.5" x14ac:dyDescent="0.2">
      <c r="A6" s="65" t="s">
        <v>51</v>
      </c>
      <c r="B6" s="15">
        <v>0</v>
      </c>
      <c r="C6" s="15">
        <v>1</v>
      </c>
      <c r="D6" s="15">
        <v>0</v>
      </c>
      <c r="E6" s="15">
        <f t="shared" si="0"/>
        <v>0</v>
      </c>
    </row>
    <row r="7" spans="1:5" s="14" customFormat="1" ht="25.5" x14ac:dyDescent="0.2">
      <c r="A7" s="65" t="s">
        <v>52</v>
      </c>
      <c r="B7" s="15">
        <v>0</v>
      </c>
      <c r="C7" s="15">
        <v>1</v>
      </c>
      <c r="D7" s="15">
        <v>0</v>
      </c>
      <c r="E7" s="15">
        <f t="shared" si="0"/>
        <v>0</v>
      </c>
    </row>
    <row r="8" spans="1:5" s="14" customFormat="1" ht="12.75" x14ac:dyDescent="0.2">
      <c r="A8" s="65" t="s">
        <v>53</v>
      </c>
      <c r="B8" s="15">
        <v>0</v>
      </c>
      <c r="C8" s="15">
        <v>1</v>
      </c>
      <c r="D8" s="15">
        <v>0</v>
      </c>
      <c r="E8" s="15">
        <f t="shared" si="0"/>
        <v>0</v>
      </c>
    </row>
    <row r="9" spans="1:5" s="14" customFormat="1" ht="25.5" x14ac:dyDescent="0.2">
      <c r="A9" s="65" t="s">
        <v>54</v>
      </c>
      <c r="B9" s="15">
        <v>0</v>
      </c>
      <c r="C9" s="15">
        <v>1</v>
      </c>
      <c r="D9" s="15">
        <v>0</v>
      </c>
      <c r="E9" s="15">
        <f t="shared" si="0"/>
        <v>0</v>
      </c>
    </row>
    <row r="10" spans="1:5" s="14" customFormat="1" ht="25.5" x14ac:dyDescent="0.2">
      <c r="A10" s="65" t="s">
        <v>55</v>
      </c>
      <c r="B10" s="15">
        <v>15</v>
      </c>
      <c r="C10" s="15">
        <v>2</v>
      </c>
      <c r="D10" s="15">
        <v>0</v>
      </c>
      <c r="E10" s="15">
        <f t="shared" si="0"/>
        <v>30</v>
      </c>
    </row>
    <row r="11" spans="1:5" s="14" customFormat="1" ht="25.5" x14ac:dyDescent="0.2">
      <c r="A11" s="65" t="s">
        <v>56</v>
      </c>
      <c r="B11" s="15">
        <v>15</v>
      </c>
      <c r="C11" s="15">
        <v>2</v>
      </c>
      <c r="D11" s="15">
        <v>0</v>
      </c>
      <c r="E11" s="15">
        <f t="shared" si="0"/>
        <v>30</v>
      </c>
    </row>
    <row r="12" spans="1:5" s="14" customFormat="1" ht="25.5" x14ac:dyDescent="0.2">
      <c r="A12" s="65" t="s">
        <v>57</v>
      </c>
      <c r="B12" s="15">
        <v>1</v>
      </c>
      <c r="C12" s="15">
        <v>1</v>
      </c>
      <c r="D12" s="15">
        <v>0</v>
      </c>
      <c r="E12" s="15">
        <f t="shared" si="0"/>
        <v>1</v>
      </c>
    </row>
    <row r="13" spans="1:5" s="14" customFormat="1" ht="25.5" x14ac:dyDescent="0.2">
      <c r="A13" s="65" t="s">
        <v>58</v>
      </c>
      <c r="B13" s="15">
        <v>0</v>
      </c>
      <c r="C13" s="15">
        <v>1</v>
      </c>
      <c r="D13" s="15">
        <v>0</v>
      </c>
      <c r="E13" s="15">
        <f t="shared" si="0"/>
        <v>0</v>
      </c>
    </row>
    <row r="14" spans="1:5" s="14" customFormat="1" ht="25.5" x14ac:dyDescent="0.2">
      <c r="A14" s="65" t="s">
        <v>59</v>
      </c>
      <c r="B14" s="15">
        <v>1</v>
      </c>
      <c r="C14" s="15">
        <v>2</v>
      </c>
      <c r="D14" s="15">
        <v>0</v>
      </c>
      <c r="E14" s="15">
        <f t="shared" si="0"/>
        <v>2</v>
      </c>
    </row>
    <row r="15" spans="1:5" s="14" customFormat="1" ht="12.75" x14ac:dyDescent="0.2">
      <c r="A15" s="18"/>
      <c r="B15" s="16"/>
      <c r="C15" s="16"/>
      <c r="D15" s="19" t="s">
        <v>33</v>
      </c>
      <c r="E15" s="54">
        <f>SUM(E4:E14)</f>
        <v>63</v>
      </c>
    </row>
    <row r="16" spans="1:5" s="14" customFormat="1" ht="12.75" x14ac:dyDescent="0.2">
      <c r="A16" s="57"/>
      <c r="B16" s="58"/>
      <c r="C16" s="58"/>
      <c r="D16" s="59"/>
      <c r="E16" s="60"/>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A10" sqref="A10"/>
    </sheetView>
  </sheetViews>
  <sheetFormatPr defaultColWidth="17.7109375" defaultRowHeight="31.9" customHeight="1" x14ac:dyDescent="0.25"/>
  <sheetData>
    <row r="1" spans="1:6" s="14" customFormat="1" ht="31.9" customHeight="1" x14ac:dyDescent="0.2">
      <c r="A1" s="110" t="s">
        <v>1</v>
      </c>
      <c r="B1" s="110"/>
      <c r="C1" s="110"/>
      <c r="D1" s="110"/>
      <c r="E1" s="110"/>
      <c r="F1" s="110"/>
    </row>
    <row r="2" spans="1:6" s="14" customFormat="1" ht="31.9" customHeight="1" x14ac:dyDescent="0.2">
      <c r="A2" s="26"/>
      <c r="B2" s="111" t="s">
        <v>34</v>
      </c>
      <c r="C2" s="111"/>
      <c r="D2" s="26" t="s">
        <v>35</v>
      </c>
      <c r="E2" s="111"/>
      <c r="F2" s="111"/>
    </row>
    <row r="3" spans="1:6" s="14" customFormat="1" ht="31.9" customHeight="1" x14ac:dyDescent="0.2">
      <c r="A3" s="26"/>
      <c r="B3" s="27" t="s">
        <v>18</v>
      </c>
      <c r="C3" s="27" t="s">
        <v>19</v>
      </c>
      <c r="D3" s="27" t="s">
        <v>20</v>
      </c>
      <c r="E3" s="27" t="s">
        <v>21</v>
      </c>
      <c r="F3" s="27" t="s">
        <v>22</v>
      </c>
    </row>
    <row r="4" spans="1:6" s="14" customFormat="1" ht="70.900000000000006" customHeight="1" x14ac:dyDescent="0.2">
      <c r="A4" s="27" t="s">
        <v>36</v>
      </c>
      <c r="B4" s="26" t="s">
        <v>37</v>
      </c>
      <c r="C4" s="26" t="s">
        <v>38</v>
      </c>
      <c r="D4" s="26" t="s">
        <v>39</v>
      </c>
      <c r="E4" s="26" t="s">
        <v>40</v>
      </c>
      <c r="F4" s="26" t="s">
        <v>41</v>
      </c>
    </row>
    <row r="5" spans="1:6" s="14" customFormat="1" ht="31.9" customHeight="1" x14ac:dyDescent="0.2">
      <c r="A5" s="15">
        <v>1</v>
      </c>
      <c r="B5" s="16">
        <v>0</v>
      </c>
      <c r="C5" s="16">
        <v>16</v>
      </c>
      <c r="D5" s="16">
        <v>0</v>
      </c>
      <c r="E5" s="16">
        <v>0</v>
      </c>
      <c r="F5" s="16">
        <f>B5+C5+D5-E5</f>
        <v>16</v>
      </c>
    </row>
    <row r="6" spans="1:6" s="14" customFormat="1" ht="31.9" customHeight="1" x14ac:dyDescent="0.2">
      <c r="A6" s="15">
        <v>2</v>
      </c>
      <c r="B6" s="16">
        <v>0</v>
      </c>
      <c r="C6" s="16">
        <v>16</v>
      </c>
      <c r="D6" s="16">
        <v>0</v>
      </c>
      <c r="E6" s="16">
        <v>0</v>
      </c>
      <c r="F6" s="16">
        <f>B6+C6+D6-E6</f>
        <v>16</v>
      </c>
    </row>
    <row r="7" spans="1:6" s="14" customFormat="1" ht="31.9" customHeight="1" x14ac:dyDescent="0.2">
      <c r="A7" s="15">
        <v>3</v>
      </c>
      <c r="B7" s="16">
        <v>0</v>
      </c>
      <c r="C7" s="16">
        <v>16</v>
      </c>
      <c r="D7" s="16">
        <v>0</v>
      </c>
      <c r="E7" s="16">
        <v>0</v>
      </c>
      <c r="F7" s="16">
        <f>B7+C7+D7-E7</f>
        <v>16</v>
      </c>
    </row>
    <row r="8" spans="1:6" s="14" customFormat="1" ht="31.9" customHeight="1" x14ac:dyDescent="0.2">
      <c r="A8" s="15" t="s">
        <v>42</v>
      </c>
      <c r="B8" s="16">
        <f>AVERAGE(B5:B7)</f>
        <v>0</v>
      </c>
      <c r="C8" s="16">
        <f>AVERAGE(C5:C7)</f>
        <v>16</v>
      </c>
      <c r="D8" s="16">
        <v>0</v>
      </c>
      <c r="E8" s="16">
        <v>0</v>
      </c>
      <c r="F8" s="19">
        <f>AVERAGE(F5:F7)</f>
        <v>16</v>
      </c>
    </row>
    <row r="9" spans="1:6" s="14" customFormat="1" ht="20.45" customHeight="1" x14ac:dyDescent="0.2">
      <c r="A9" s="17" t="s">
        <v>48</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2025-02-11T17:25:32+00:00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s>
</ds:datastoreItem>
</file>

<file path=customXml/itemProps3.xml><?xml version="1.0" encoding="utf-8"?>
<ds:datastoreItem xmlns:ds="http://schemas.openxmlformats.org/officeDocument/2006/customXml" ds:itemID="{103C3C42-F1D6-49EB-AD37-19752ADBFE3D}"/>
</file>

<file path=customXml/itemProps4.xml><?xml version="1.0" encoding="utf-8"?>
<ds:datastoreItem xmlns:ds="http://schemas.openxmlformats.org/officeDocument/2006/customXml" ds:itemID="{5DABE6B3-73D7-486C-AA61-8F66288995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2023-12-02T21:07:53Z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