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2"/>
  <workbookPr defaultThemeVersion="124226"/>
  <mc:AlternateContent xmlns:mc="http://schemas.openxmlformats.org/markup-compatibility/2006">
    <mc:Choice Requires="x15">
      <x15ac:absPath xmlns:x15ac="http://schemas.microsoft.com/office/spreadsheetml/2010/11/ac" url="https://easternresearchgroup.sharepoint.com/sites/CAAICRRenewals/Shared Documents/General/FY25_Drafts/2277.06/Leslie's Working Files/"/>
    </mc:Choice>
  </mc:AlternateContent>
  <xr:revisionPtr revIDLastSave="291" documentId="8_{3B3949F8-EC72-4A6A-A1B9-18C660996481}" xr6:coauthVersionLast="47" xr6:coauthVersionMax="47" xr10:uidLastSave="{2B94B12A-4861-48BC-8F43-499BFAB54860}"/>
  <bookViews>
    <workbookView xWindow="-120" yWindow="-120" windowWidth="29040" windowHeight="15720" xr2:uid="{00000000-000D-0000-FFFF-FFFF00000000}"/>
  </bookViews>
  <sheets>
    <sheet name="Summary" sheetId="6" r:id="rId1"/>
    <sheet name="Table 1" sheetId="1" r:id="rId2"/>
    <sheet name="Table 2" sheetId="2" r:id="rId3"/>
    <sheet name="Capital O&amp;M" sheetId="5" r:id="rId4"/>
    <sheet name="Respondents" sheetId="4" r:id="rId5"/>
    <sheet name="Response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 l="1"/>
  <c r="M22" i="1"/>
  <c r="E5" i="5"/>
  <c r="C6" i="5"/>
  <c r="C5" i="5"/>
  <c r="F11" i="2" l="1"/>
  <c r="F9" i="2"/>
  <c r="H9" i="2" s="1"/>
  <c r="E9" i="2"/>
  <c r="D9" i="2"/>
  <c r="I21" i="1"/>
  <c r="F21" i="1"/>
  <c r="E18" i="1"/>
  <c r="F18" i="1" s="1"/>
  <c r="D18" i="1"/>
  <c r="E10" i="2"/>
  <c r="E8" i="2"/>
  <c r="E6" i="2"/>
  <c r="E7" i="2"/>
  <c r="G9" i="2" l="1"/>
  <c r="I9" i="2"/>
  <c r="G18" i="1"/>
  <c r="I18" i="1" s="1"/>
  <c r="H18" i="1"/>
  <c r="E30" i="1"/>
  <c r="E26" i="1"/>
  <c r="E16" i="1"/>
  <c r="E15" i="1"/>
  <c r="E11" i="1"/>
  <c r="M21" i="1" l="1"/>
  <c r="E12" i="7"/>
  <c r="E11" i="7"/>
  <c r="E10" i="7"/>
  <c r="E9" i="7"/>
  <c r="E8" i="7"/>
  <c r="E7" i="7"/>
  <c r="E6" i="7"/>
  <c r="E13" i="7" s="1"/>
  <c r="G6" i="4"/>
  <c r="D7" i="4"/>
  <c r="D8" i="4" s="1"/>
  <c r="C9" i="4"/>
  <c r="D8" i="1"/>
  <c r="G7" i="4" l="1"/>
  <c r="G8" i="4"/>
  <c r="D9" i="4"/>
  <c r="G9" i="4"/>
  <c r="B3" i="6" l="1"/>
  <c r="E8" i="1"/>
  <c r="F8" i="1" s="1"/>
  <c r="E27" i="1"/>
  <c r="E20" i="1"/>
  <c r="E19" i="1"/>
  <c r="E28" i="1"/>
  <c r="H8" i="1" l="1"/>
  <c r="G8" i="1"/>
  <c r="I8" i="1" s="1"/>
  <c r="E7" i="5"/>
  <c r="H7" i="5"/>
  <c r="I34" i="1" l="1"/>
  <c r="B6" i="6"/>
  <c r="J7" i="5"/>
  <c r="D15" i="1"/>
  <c r="F15" i="1" s="1"/>
  <c r="G15" i="1" l="1"/>
  <c r="H15" i="1"/>
  <c r="D10" i="2"/>
  <c r="F10" i="2" s="1"/>
  <c r="D8" i="2"/>
  <c r="F8" i="2" s="1"/>
  <c r="D7" i="2"/>
  <c r="F7" i="2" s="1"/>
  <c r="G7" i="2" s="1"/>
  <c r="D6" i="2"/>
  <c r="F6" i="2" s="1"/>
  <c r="D30" i="1"/>
  <c r="F30" i="1" s="1"/>
  <c r="D29" i="1"/>
  <c r="F29" i="1" s="1"/>
  <c r="H29" i="1" s="1"/>
  <c r="D28" i="1"/>
  <c r="F28" i="1" s="1"/>
  <c r="D27" i="1"/>
  <c r="F27" i="1" s="1"/>
  <c r="D26" i="1"/>
  <c r="F26" i="1" s="1"/>
  <c r="D20" i="1"/>
  <c r="F20" i="1" s="1"/>
  <c r="D19" i="1"/>
  <c r="F19" i="1" s="1"/>
  <c r="D16" i="1"/>
  <c r="F16" i="1" s="1"/>
  <c r="D11" i="1"/>
  <c r="F11" i="1" s="1"/>
  <c r="G10" i="2" l="1"/>
  <c r="I10" i="2" s="1"/>
  <c r="G8" i="2"/>
  <c r="I8" i="2" s="1"/>
  <c r="I15" i="1"/>
  <c r="H11" i="1"/>
  <c r="G11" i="1"/>
  <c r="H27" i="1"/>
  <c r="H16" i="1"/>
  <c r="H20" i="1"/>
  <c r="G6" i="2"/>
  <c r="H6" i="2"/>
  <c r="H10" i="2"/>
  <c r="H8" i="2"/>
  <c r="H7" i="2"/>
  <c r="I7" i="2" s="1"/>
  <c r="H19" i="1"/>
  <c r="G19" i="1"/>
  <c r="H26" i="1"/>
  <c r="G26" i="1"/>
  <c r="H28" i="1"/>
  <c r="G28" i="1"/>
  <c r="H30" i="1"/>
  <c r="G30" i="1"/>
  <c r="I30" i="1" s="1"/>
  <c r="G16" i="1"/>
  <c r="I16" i="1" s="1"/>
  <c r="G20" i="1"/>
  <c r="I20" i="1" s="1"/>
  <c r="G27" i="1"/>
  <c r="F32" i="1" s="1"/>
  <c r="G29" i="1"/>
  <c r="I6" i="2" l="1"/>
  <c r="I11" i="2" s="1"/>
  <c r="F33" i="1"/>
  <c r="I27" i="1"/>
  <c r="I28" i="1"/>
  <c r="I26" i="1"/>
  <c r="I32" i="1" s="1"/>
  <c r="I19" i="1"/>
  <c r="I11" i="1"/>
  <c r="I33" i="1" l="1"/>
  <c r="I35" i="1" s="1"/>
  <c r="B5" i="6" s="1"/>
  <c r="B2" i="6" l="1"/>
</calcChain>
</file>

<file path=xl/sharedStrings.xml><?xml version="1.0" encoding="utf-8"?>
<sst xmlns="http://schemas.openxmlformats.org/spreadsheetml/2006/main" count="170" uniqueCount="142">
  <si>
    <t>ICR Summary Information</t>
  </si>
  <si>
    <t>Hours Per Response</t>
  </si>
  <si>
    <t>Number of Respondents</t>
  </si>
  <si>
    <t>Total Estimated Burden Hours</t>
  </si>
  <si>
    <t>Total Estimated Costs</t>
  </si>
  <si>
    <t>Annualized Capital O&amp;M</t>
  </si>
  <si>
    <t>Form Number</t>
  </si>
  <si>
    <t>Not Applicable</t>
  </si>
  <si>
    <r>
      <t xml:space="preserve">Table 1: Annual Respondent Burden and Cost – </t>
    </r>
    <r>
      <rPr>
        <b/>
        <sz val="12"/>
        <color theme="1"/>
        <rFont val="Times New Roman"/>
        <family val="1"/>
      </rPr>
      <t>NESHAP for Area Sources: Electric Arc Furnace Steelmaking Facilities (40 CFR Part 63, Subpart YYYYY) (Renewal)</t>
    </r>
  </si>
  <si>
    <t>Burden item</t>
  </si>
  <si>
    <t>(A)
Person hours per occurrence</t>
  </si>
  <si>
    <t>(B)
No. of occurrences per respondent per year</t>
  </si>
  <si>
    <t>(C)
Person hours per respondent per year 
(A x B)</t>
  </si>
  <si>
    <r>
      <t>(D) Respondents per year</t>
    </r>
    <r>
      <rPr>
        <b/>
        <vertAlign val="superscript"/>
        <sz val="12"/>
        <color theme="1"/>
        <rFont val="Times New Roman"/>
        <family val="1"/>
      </rPr>
      <t>a</t>
    </r>
  </si>
  <si>
    <t>(E)
Technical person- hours per year 
(C x D)</t>
  </si>
  <si>
    <t>(F)
Management person hours per year 
(E x 0.05)</t>
  </si>
  <si>
    <t>(G)
Clerical person hours per year 
(E x 0.1)</t>
  </si>
  <si>
    <r>
      <t>(H)
Total Cost per year</t>
    </r>
    <r>
      <rPr>
        <b/>
        <vertAlign val="superscript"/>
        <sz val="10"/>
        <color theme="1"/>
        <rFont val="Times New Roman"/>
        <family val="1"/>
      </rPr>
      <t>b</t>
    </r>
  </si>
  <si>
    <t>1.  Applications</t>
  </si>
  <si>
    <t>N/A</t>
  </si>
  <si>
    <t>Respondent Labor Rates</t>
  </si>
  <si>
    <t>2.  Surveys and Studies</t>
  </si>
  <si>
    <t>Managerial</t>
  </si>
  <si>
    <t xml:space="preserve">3.  Acquisition, Installation, and Utilization of Technology and Systems </t>
  </si>
  <si>
    <t>Technical</t>
  </si>
  <si>
    <t>4.  Reporting Requirements</t>
  </si>
  <si>
    <t>Clerical</t>
  </si>
  <si>
    <t>A.  Familiarization with Regulatory Requirements</t>
  </si>
  <si>
    <t xml:space="preserve">B.  Required activities </t>
  </si>
  <si>
    <r>
      <t xml:space="preserve">Initial performance tests </t>
    </r>
    <r>
      <rPr>
        <vertAlign val="superscript"/>
        <sz val="10"/>
        <color rgb="FF000000"/>
        <rFont val="Times New Roman"/>
        <family val="1"/>
      </rPr>
      <t>c</t>
    </r>
  </si>
  <si>
    <r>
      <t>Prepare scrap plan and scrap specifications</t>
    </r>
    <r>
      <rPr>
        <vertAlign val="superscript"/>
        <sz val="10"/>
        <color rgb="FF000000"/>
        <rFont val="Times New Roman"/>
        <family val="1"/>
      </rPr>
      <t>d</t>
    </r>
  </si>
  <si>
    <t>C.  Create information</t>
  </si>
  <si>
    <t>See 4B</t>
  </si>
  <si>
    <t>D.  Gather existing information</t>
  </si>
  <si>
    <t>E.  Write report</t>
  </si>
  <si>
    <r>
      <t>Initial notification of applicability</t>
    </r>
    <r>
      <rPr>
        <vertAlign val="superscript"/>
        <sz val="10"/>
        <color rgb="FF000000"/>
        <rFont val="Times New Roman"/>
        <family val="1"/>
      </rPr>
      <t>d</t>
    </r>
  </si>
  <si>
    <r>
      <t>Notification of compliance status</t>
    </r>
    <r>
      <rPr>
        <vertAlign val="superscript"/>
        <sz val="10"/>
        <color rgb="FF000000"/>
        <rFont val="Times New Roman"/>
        <family val="1"/>
      </rPr>
      <t>d</t>
    </r>
  </si>
  <si>
    <t>Request for compliance extension</t>
  </si>
  <si>
    <r>
      <t xml:space="preserve">Notification of performance test </t>
    </r>
    <r>
      <rPr>
        <vertAlign val="superscript"/>
        <sz val="10"/>
        <color rgb="FF000000"/>
        <rFont val="Times New Roman"/>
        <family val="1"/>
      </rPr>
      <t>c</t>
    </r>
  </si>
  <si>
    <r>
      <t>Startup, shutdown, and malfunction plan/reports</t>
    </r>
    <r>
      <rPr>
        <vertAlign val="superscript"/>
        <sz val="10"/>
        <color rgb="FF000000"/>
        <rFont val="Times New Roman"/>
        <family val="1"/>
      </rPr>
      <t>e</t>
    </r>
  </si>
  <si>
    <r>
      <t>Semiannual excess emissions reports</t>
    </r>
    <r>
      <rPr>
        <vertAlign val="superscript"/>
        <sz val="10"/>
        <color rgb="FF000000"/>
        <rFont val="Times New Roman"/>
        <family val="1"/>
      </rPr>
      <t>e</t>
    </r>
  </si>
  <si>
    <t>Subtotal  for Reporting  Requirements</t>
  </si>
  <si>
    <t>Total Responses</t>
  </si>
  <si>
    <t xml:space="preserve">5.  Recordkeeping Requirements </t>
  </si>
  <si>
    <t>Hours per response</t>
  </si>
  <si>
    <t>See 4A</t>
  </si>
  <si>
    <t>B.  Plan activities</t>
  </si>
  <si>
    <t>C.  Implement activities</t>
  </si>
  <si>
    <r>
      <t>D.  Develop record system</t>
    </r>
    <r>
      <rPr>
        <vertAlign val="superscript"/>
        <sz val="10"/>
        <color rgb="FF000000"/>
        <rFont val="Times New Roman"/>
        <family val="1"/>
      </rPr>
      <t xml:space="preserve"> d</t>
    </r>
  </si>
  <si>
    <r>
      <t>E.  Time to enter information</t>
    </r>
    <r>
      <rPr>
        <vertAlign val="superscript"/>
        <sz val="10"/>
        <color rgb="FF000000"/>
        <rFont val="Times New Roman"/>
        <family val="1"/>
      </rPr>
      <t xml:space="preserve"> f</t>
    </r>
  </si>
  <si>
    <r>
      <t>F.  Time to transmit or disclose information</t>
    </r>
    <r>
      <rPr>
        <vertAlign val="superscript"/>
        <sz val="10"/>
        <color rgb="FF000000"/>
        <rFont val="Times New Roman"/>
        <family val="1"/>
      </rPr>
      <t>f</t>
    </r>
  </si>
  <si>
    <r>
      <t>G.  Time to adjust existing ways</t>
    </r>
    <r>
      <rPr>
        <vertAlign val="superscript"/>
        <sz val="10"/>
        <color rgb="FF000000"/>
        <rFont val="Times New Roman"/>
        <family val="1"/>
      </rPr>
      <t>d</t>
    </r>
  </si>
  <si>
    <r>
      <t>F.  Time to train personnel</t>
    </r>
    <r>
      <rPr>
        <vertAlign val="superscript"/>
        <sz val="10"/>
        <color rgb="FF000000"/>
        <rFont val="Times New Roman"/>
        <family val="1"/>
      </rPr>
      <t>d</t>
    </r>
  </si>
  <si>
    <t>G.  Time for audits</t>
  </si>
  <si>
    <t xml:space="preserve">Subtotal for Recordkeeping Requirements  </t>
  </si>
  <si>
    <r>
      <t>TOTAL LABOR BURDEN AND COST (rounded)</t>
    </r>
    <r>
      <rPr>
        <b/>
        <vertAlign val="superscript"/>
        <sz val="10"/>
        <color theme="1"/>
        <rFont val="Times New Roman"/>
        <family val="1"/>
      </rPr>
      <t>g</t>
    </r>
  </si>
  <si>
    <r>
      <t>TOTAL CAPITAL AND O&amp;M COST (rounded)</t>
    </r>
    <r>
      <rPr>
        <b/>
        <vertAlign val="superscript"/>
        <sz val="10"/>
        <color rgb="FF000000"/>
        <rFont val="Times New Roman"/>
        <family val="1"/>
      </rPr>
      <t>g</t>
    </r>
  </si>
  <si>
    <r>
      <t>GRAND TOTAL (rounded)</t>
    </r>
    <r>
      <rPr>
        <b/>
        <vertAlign val="superscript"/>
        <sz val="10"/>
        <color rgb="FF000000"/>
        <rFont val="Times New Roman"/>
        <family val="1"/>
      </rPr>
      <t>g</t>
    </r>
  </si>
  <si>
    <t>Assumptions:</t>
  </si>
  <si>
    <r>
      <t xml:space="preserve">a  </t>
    </r>
    <r>
      <rPr>
        <sz val="10"/>
        <rFont val="Times New Roman"/>
        <family val="1"/>
      </rPr>
      <t xml:space="preserve">There are 78 existing EAF steelmaking facilities and we expect that there will be an average of 0.9 new facilities per year, for an annual average of 79.8 respondents per year.  We assume that each respondent will have to familiarize with the regulatory requirements each year. </t>
    </r>
  </si>
  <si>
    <r>
      <t xml:space="preserve">b </t>
    </r>
    <r>
      <rPr>
        <sz val="10"/>
        <color theme="1"/>
        <rFont val="Times New Roman"/>
        <family val="1"/>
      </rPr>
      <t>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</si>
  <si>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All existing plants have conducted performance tests during the implementation period of the rule. We assume new sources will use contractors to conduct initial tests and have accounted for that cost in the Capital/O&amp;M calculations in this ICR.</t>
    </r>
  </si>
  <si>
    <r>
      <t>d</t>
    </r>
    <r>
      <rPr>
        <sz val="10"/>
        <color theme="1"/>
        <rFont val="Times New Roman"/>
        <family val="1"/>
      </rPr>
      <t xml:space="preserve"> After full implementation, existing facilities are not expected to experience any burden from these activities and 0.9 new facilities per year are expected to become subject to the rule over the 3-year period.</t>
    </r>
  </si>
  <si>
    <r>
      <rPr>
        <vertAlign val="superscript"/>
        <sz val="12"/>
        <color theme="1"/>
        <rFont val="Times New Roman"/>
        <family val="1"/>
      </rPr>
      <t xml:space="preserve">e </t>
    </r>
    <r>
      <rPr>
        <sz val="10"/>
        <color theme="1"/>
        <rFont val="Times New Roman"/>
        <family val="1"/>
      </rPr>
      <t>Sources are required include in their semiannual reports the number of mercury switches removed or the weight of mercury recovered from the switches and properly managed, the estimated number of vehicles processed, an estimate of the percent of mercury switches recovered, and a certification that the recovered mercury switches were recycled at RCRA-permitted facilities, if they are subject to a site-specific plan for mercury. In addition all sources must submit semiannual reports for the control of contaminants from scrap according to the requirements in §63.10(e). For start-up, shutdown, and malfunction, these semi-annual reports are only required if a startup or shutdown caused the source to exceed any applicable emission limitation in the relevant emission standards, or if a malfunction occurred during the reporting period. This ICR assumes each source had one six-month period during each year that required a report.</t>
    </r>
  </si>
  <si>
    <r>
      <rPr>
        <vertAlign val="superscript"/>
        <sz val="10"/>
        <color theme="1"/>
        <rFont val="Times New Roman"/>
        <family val="1"/>
      </rPr>
      <t>f</t>
    </r>
    <r>
      <rPr>
        <sz val="10"/>
        <color theme="1"/>
        <rFont val="Times New Roman"/>
        <family val="1"/>
      </rPr>
      <t xml:space="preserve"> Assumed that each facility will update records weekly. The only transmission is the semi-annual report and the annual SSM report. </t>
    </r>
  </si>
  <si>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</si>
  <si>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t>Table 2: Average Annual EPA Burden and Cost – NESHAP for Electric Arc Furnace Steelmaking Facilities (40 CFR Part 63, Subpart YYYYY) (Renewal)</t>
  </si>
  <si>
    <t>Activity</t>
  </si>
  <si>
    <t>(A)
EPA person- hours per occurrence</t>
  </si>
  <si>
    <t>(B)
No. of occurrences per plant per year</t>
  </si>
  <si>
    <t>(C)
EPA person- hours per plant per year
(A x B)</t>
  </si>
  <si>
    <r>
      <t>(D)
Plants per year</t>
    </r>
    <r>
      <rPr>
        <b/>
        <vertAlign val="superscript"/>
        <sz val="12"/>
        <color theme="1"/>
        <rFont val="Times New Roman"/>
        <family val="1"/>
      </rPr>
      <t>a</t>
    </r>
  </si>
  <si>
    <t>(E)
Technical person- hours per year
(C x D)</t>
  </si>
  <si>
    <t>(F)
Management person-hours per year
(E x 0.05)</t>
  </si>
  <si>
    <t>(G)
Clerical person-hours per year
(E x 0.1)</t>
  </si>
  <si>
    <r>
      <t>(H)
Cost, $</t>
    </r>
    <r>
      <rPr>
        <b/>
        <vertAlign val="superscript"/>
        <sz val="12"/>
        <color theme="1"/>
        <rFont val="Times New Roman"/>
        <family val="1"/>
      </rPr>
      <t>b</t>
    </r>
  </si>
  <si>
    <t>Report Review</t>
  </si>
  <si>
    <r>
      <t>Initial notification of applicability</t>
    </r>
    <r>
      <rPr>
        <vertAlign val="superscript"/>
        <sz val="10"/>
        <color rgb="FF000000"/>
        <rFont val="Times New Roman"/>
        <family val="1"/>
      </rPr>
      <t xml:space="preserve"> c</t>
    </r>
  </si>
  <si>
    <r>
      <t>Startup, shutdown, malfunction plan/report</t>
    </r>
    <r>
      <rPr>
        <vertAlign val="superscript"/>
        <sz val="10"/>
        <color rgb="FF000000"/>
        <rFont val="Times New Roman"/>
        <family val="1"/>
      </rPr>
      <t>d</t>
    </r>
  </si>
  <si>
    <r>
      <t>Notification of compliance status</t>
    </r>
    <r>
      <rPr>
        <vertAlign val="superscript"/>
        <sz val="10"/>
        <color rgb="FF000000"/>
        <rFont val="Times New Roman"/>
        <family val="1"/>
      </rPr>
      <t>c</t>
    </r>
  </si>
  <si>
    <t>Semiannual excess emissions report</t>
  </si>
  <si>
    <r>
      <t>TOTAL ANNUAL BURDEN AND COST (rounded)</t>
    </r>
    <r>
      <rPr>
        <b/>
        <vertAlign val="superscript"/>
        <sz val="10"/>
        <color theme="1"/>
        <rFont val="Times New Roman"/>
        <family val="1"/>
      </rPr>
      <t>e</t>
    </r>
  </si>
  <si>
    <r>
      <t xml:space="preserve">a  </t>
    </r>
    <r>
      <rPr>
        <sz val="10"/>
        <rFont val="Times New Roman"/>
        <family val="1"/>
      </rPr>
      <t xml:space="preserve">There are 78 existing EAF steelmaking facilities and we expect that there will be an average of 0.9 new facilities per year, for an annual average of 79.8 respondents per year.  </t>
    </r>
  </si>
  <si>
    <r>
      <t xml:space="preserve">b </t>
    </r>
    <r>
      <rPr>
        <sz val="10"/>
        <color theme="1"/>
        <rFont val="Times New Roman"/>
        <family val="1"/>
      </rPr>
      <t>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</si>
  <si>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color theme="1"/>
        <rFont val="Times New Roman"/>
        <family val="1"/>
      </rPr>
      <t xml:space="preserve"> After full implementation, the agency is not expected to experience any burden from these activities because existing facilities are no longer expected to submit Initial notifications of applicability or Notifications of compliance status. 0.9 new facilities per year are expected to become subject to the rule over the 3-year period.</t>
    </r>
  </si>
  <si>
    <r>
      <rPr>
        <vertAlign val="superscript"/>
        <sz val="10"/>
        <color theme="1"/>
        <rFont val="Times New Roman"/>
        <family val="1"/>
      </rPr>
      <t xml:space="preserve">d </t>
    </r>
    <r>
      <rPr>
        <sz val="10"/>
        <color theme="1"/>
        <rFont val="Times New Roman"/>
        <family val="1"/>
      </rPr>
      <t>This ICR assumes each source had one six-month period during each year that required a report.</t>
    </r>
  </si>
  <si>
    <r>
      <rPr>
        <vertAlign val="superscript"/>
        <sz val="10"/>
        <color theme="1"/>
        <rFont val="Times New Roman"/>
        <family val="1"/>
      </rPr>
      <t xml:space="preserve">e  </t>
    </r>
    <r>
      <rPr>
        <sz val="10"/>
        <color theme="1"/>
        <rFont val="Times New Roman"/>
        <family val="1"/>
      </rPr>
      <t>Totals have been rounded to 3 significant figures. Figures may not add exactly due to rounding.</t>
    </r>
  </si>
  <si>
    <t>Capital/Startup vs. Operation and Maintenance (O&amp;M) Costs</t>
  </si>
  <si>
    <t>(A)</t>
  </si>
  <si>
    <t>(B)</t>
  </si>
  <si>
    <t>(C)</t>
  </si>
  <si>
    <t>(D)</t>
  </si>
  <si>
    <t>(E)</t>
  </si>
  <si>
    <t>(F)</t>
  </si>
  <si>
    <t>(G)</t>
  </si>
  <si>
    <r>
      <rPr>
        <sz val="10"/>
        <color rgb="FF000000"/>
        <rFont val="Times New Roman"/>
        <family val="1"/>
      </rPr>
      <t>Performance Testing</t>
    </r>
    <r>
      <rPr>
        <vertAlign val="superscript"/>
        <sz val="10"/>
        <color rgb="FF000000"/>
        <rFont val="Times New Roman"/>
        <family val="1"/>
      </rPr>
      <t>1</t>
    </r>
  </si>
  <si>
    <t>Capital/Startup Cost for One Respondent</t>
  </si>
  <si>
    <t xml:space="preserve">Number of New Respondents </t>
  </si>
  <si>
    <t>Total Capital/Startup Cost,  (B X C)</t>
  </si>
  <si>
    <t>Annual O&amp;M Costs for One Respondent</t>
  </si>
  <si>
    <t>Number of Respondents  with O&amp;M</t>
  </si>
  <si>
    <t>Total O&amp;M, (E X F)</t>
  </si>
  <si>
    <t>2021 CEPCI</t>
  </si>
  <si>
    <t>2023 CEPCI</t>
  </si>
  <si>
    <t>Method 5 Testing</t>
  </si>
  <si>
    <t>Method 9 Testing</t>
  </si>
  <si>
    <t>Totals</t>
  </si>
  <si>
    <t>Total</t>
  </si>
  <si>
    <r>
      <rPr>
        <vertAlign val="superscript"/>
        <sz val="10"/>
        <color rgb="FF000000"/>
        <rFont val="Times New Roman"/>
        <family val="1"/>
      </rPr>
      <t>1</t>
    </r>
    <r>
      <rPr>
        <sz val="10"/>
        <color rgb="FF000000"/>
        <rFont val="Times New Roman"/>
        <family val="1"/>
      </rPr>
      <t xml:space="preserve"> We assume all new respondents will be required to conduct initial Method 5 and Method 9 testing. Both Method 5 and Method 9 testing are usually conducted by a contractor. We have increased costs from 2021 $ to 2023 $ using the CEPCI CE Index.</t>
    </r>
  </si>
  <si>
    <t>Note: Totals have been rounded to 3 significant figures. Figures may not add exactly due to rounding.</t>
  </si>
  <si>
    <t>Number of Respondents </t>
  </si>
  <si>
    <t>Respondents That Submit Reports </t>
  </si>
  <si>
    <t>Respondents That Do Not Submit Any Reports </t>
  </si>
  <si>
    <t>(A) </t>
  </si>
  <si>
    <t>(B) </t>
  </si>
  <si>
    <t>(C) </t>
  </si>
  <si>
    <t>(D) </t>
  </si>
  <si>
    <t>(E) </t>
  </si>
  <si>
    <t>Year </t>
  </si>
  <si>
    <r>
      <t>Number of New Respondents </t>
    </r>
    <r>
      <rPr>
        <vertAlign val="superscript"/>
        <sz val="10"/>
        <color rgb="FF000000"/>
        <rFont val="Times New Roman"/>
        <family val="1"/>
      </rPr>
      <t>1</t>
    </r>
    <r>
      <rPr>
        <sz val="10"/>
        <color rgb="FF000000"/>
        <rFont val="Times New Roman"/>
        <family val="1"/>
      </rPr>
      <t> </t>
    </r>
  </si>
  <si>
    <t>Number of Existing Respondents </t>
  </si>
  <si>
    <t>Number of Existing Respondents that keep records but do not submit reports </t>
  </si>
  <si>
    <t>Number of Existing Respondents That Are Also New Respondents </t>
  </si>
  <si>
    <t>Number of Respondents 
(E=A+B+C-D) </t>
  </si>
  <si>
    <t>1 </t>
  </si>
  <si>
    <t>2 </t>
  </si>
  <si>
    <t>3 </t>
  </si>
  <si>
    <t>Average </t>
  </si>
  <si>
    <t>0 </t>
  </si>
  <si>
    <r>
      <rPr>
        <vertAlign val="superscript"/>
        <sz val="11"/>
        <color rgb="FF000000"/>
        <rFont val="Times New Roman"/>
        <family val="1"/>
      </rPr>
      <t xml:space="preserve">1 </t>
    </r>
    <r>
      <rPr>
        <sz val="10"/>
        <color rgb="FF000000"/>
        <rFont val="Times New Roman"/>
        <family val="1"/>
      </rPr>
      <t>This ICR assumes there are 78 existing respondents, and approximately 2.7 new respondents over the next three years (or approximately 0.9 new respondents per year.)</t>
    </r>
  </si>
  <si>
    <t>Total Annual Responses</t>
  </si>
  <si>
    <t>Information Collection Activity</t>
  </si>
  <si>
    <t>Number of Responses</t>
  </si>
  <si>
    <t>Number of Existing Respondents That Keep Records But Do Not Submit Reports</t>
  </si>
  <si>
    <t>Total Annual Responses
E=(BxC)+D</t>
  </si>
  <si>
    <t>Prepare scrap plan and scrap specifications</t>
  </si>
  <si>
    <t>Initial performance tests</t>
  </si>
  <si>
    <t>Notification of compliance status</t>
  </si>
  <si>
    <t>Notification of performance test</t>
  </si>
  <si>
    <t>SSM report</t>
  </si>
  <si>
    <t>Semiannual excess emissions reports</t>
  </si>
  <si>
    <t>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</si>
</sst>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
  </numFmts>
  <fonts count="32">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i/>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b/>
      <i/>
      <sz val="10"/>
      <color theme="1"/>
      <name val="Times New Roman"/>
      <family val="1"/>
    </font>
    <font>
      <sz val="11"/>
      <color theme="1"/>
      <name val="Calibri"/>
      <family val="2"/>
      <scheme val="minor"/>
    </font>
    <font>
      <vertAlign val="superscript"/>
      <sz val="10"/>
      <color theme="1"/>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vertAlign val="superscript"/>
      <sz val="12"/>
      <color theme="1"/>
      <name val="Times New Roman"/>
      <family val="1"/>
    </font>
    <font>
      <vertAlign val="superscript"/>
      <sz val="10"/>
      <name val="Times New Roman"/>
      <family val="1"/>
    </font>
    <font>
      <sz val="10"/>
      <name val="Times New Roman"/>
      <family val="1"/>
    </font>
    <font>
      <b/>
      <sz val="12"/>
      <color rgb="FF000000"/>
      <name val="Times New Roman"/>
      <family val="1"/>
    </font>
    <font>
      <sz val="9"/>
      <color rgb="FF000000"/>
      <name val="Times New Roman"/>
      <family val="1"/>
    </font>
    <font>
      <sz val="11"/>
      <color rgb="FF000000"/>
      <name val="Calibri"/>
      <family val="2"/>
    </font>
    <font>
      <sz val="9"/>
      <color theme="1"/>
      <name val="Times New Roman"/>
      <family val="1"/>
    </font>
    <font>
      <b/>
      <sz val="9"/>
      <color theme="1"/>
      <name val="Times New Roman"/>
      <family val="1"/>
    </font>
    <font>
      <b/>
      <sz val="9"/>
      <color rgb="FF000000"/>
      <name val="Times New Roman"/>
      <family val="1"/>
    </font>
    <font>
      <sz val="11"/>
      <color rgb="FF000000"/>
      <name val="Times New Roman"/>
      <family val="1"/>
    </font>
    <font>
      <vertAlign val="superscript"/>
      <sz val="11"/>
      <color rgb="FF000000"/>
      <name val="Times New Roman"/>
      <family val="1"/>
    </font>
    <font>
      <sz val="10"/>
      <color rgb="FFFF0000"/>
      <name val="Calibri"/>
      <family val="2"/>
      <scheme val="minor"/>
    </font>
    <font>
      <sz val="11"/>
      <color rgb="FF7030A0"/>
      <name val="Calibri"/>
      <family val="2"/>
      <scheme val="minor"/>
    </font>
    <font>
      <b/>
      <sz val="12"/>
      <color theme="1"/>
      <name val="Times New Roman"/>
      <family val="1"/>
    </font>
    <font>
      <b/>
      <sz val="11"/>
      <color theme="1"/>
      <name val="Calibri"/>
      <family val="2"/>
      <scheme val="minor"/>
    </font>
    <font>
      <sz val="11"/>
      <color rgb="FF000000"/>
      <name val="Arial"/>
      <family val="2"/>
    </font>
    <font>
      <b/>
      <sz val="11"/>
      <color rgb="FF000000"/>
      <name val="Times New Roman"/>
      <family val="1"/>
    </font>
    <font>
      <sz val="11"/>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A3A3A3"/>
      </left>
      <right style="medium">
        <color rgb="FFA3A3A3"/>
      </right>
      <top style="medium">
        <color rgb="FFA3A3A3"/>
      </top>
      <bottom style="medium">
        <color rgb="FFA3A3A3"/>
      </bottom>
      <diagonal/>
    </border>
    <border>
      <left/>
      <right/>
      <top/>
      <bottom style="medium">
        <color rgb="FFA3A3A3"/>
      </bottom>
      <diagonal/>
    </border>
  </borders>
  <cellStyleXfs count="2">
    <xf numFmtId="0" fontId="0" fillId="0" borderId="0"/>
    <xf numFmtId="44" fontId="9" fillId="0" borderId="0" applyFont="0" applyFill="0" applyBorder="0" applyAlignment="0" applyProtection="0"/>
  </cellStyleXfs>
  <cellXfs count="97">
    <xf numFmtId="0" fontId="0" fillId="0" borderId="0" xfId="0"/>
    <xf numFmtId="0" fontId="5" fillId="0" borderId="1" xfId="0" applyFont="1" applyBorder="1" applyAlignment="1">
      <alignment horizontal="center" vertical="center" wrapText="1"/>
    </xf>
    <xf numFmtId="2" fontId="0" fillId="0" borderId="0" xfId="0" applyNumberFormat="1"/>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xf>
    <xf numFmtId="0" fontId="4" fillId="0" borderId="1" xfId="0" applyFont="1" applyBorder="1" applyAlignment="1">
      <alignment horizontal="center" vertical="top"/>
    </xf>
    <xf numFmtId="2" fontId="2" fillId="0" borderId="1" xfId="0" applyNumberFormat="1" applyFont="1" applyBorder="1" applyAlignment="1">
      <alignment horizontal="center" vertical="top"/>
    </xf>
    <xf numFmtId="0" fontId="5" fillId="0" borderId="5" xfId="0" applyFont="1" applyBorder="1" applyAlignment="1">
      <alignment horizontal="center" vertical="center" wrapText="1"/>
    </xf>
    <xf numFmtId="1" fontId="0" fillId="0" borderId="0" xfId="0" applyNumberFormat="1"/>
    <xf numFmtId="0" fontId="1" fillId="0" borderId="0" xfId="0" applyFont="1" applyAlignment="1">
      <alignment vertical="top"/>
    </xf>
    <xf numFmtId="0" fontId="11" fillId="0" borderId="1" xfId="0" applyFont="1" applyBorder="1" applyAlignment="1">
      <alignment horizontal="left" indent="1"/>
    </xf>
    <xf numFmtId="0" fontId="8" fillId="0" borderId="1" xfId="0" applyFont="1" applyBorder="1" applyAlignment="1">
      <alignment horizontal="left" vertical="top"/>
    </xf>
    <xf numFmtId="0" fontId="0" fillId="0" borderId="1" xfId="0" applyBorder="1"/>
    <xf numFmtId="0" fontId="5" fillId="0" borderId="1" xfId="0" applyFont="1" applyBorder="1" applyAlignment="1">
      <alignment horizontal="left" vertical="center"/>
    </xf>
    <xf numFmtId="0" fontId="5"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vertical="top" wrapText="1"/>
    </xf>
    <xf numFmtId="164" fontId="8" fillId="0" borderId="1" xfId="1" applyNumberFormat="1" applyFont="1" applyFill="1" applyBorder="1"/>
    <xf numFmtId="3" fontId="2" fillId="0" borderId="1" xfId="0" applyNumberFormat="1" applyFont="1" applyBorder="1" applyAlignment="1">
      <alignment horizontal="center" vertical="top"/>
    </xf>
    <xf numFmtId="0" fontId="5" fillId="0" borderId="1" xfId="0" applyFont="1" applyBorder="1" applyAlignment="1">
      <alignment horizontal="left" indent="1"/>
    </xf>
    <xf numFmtId="0" fontId="2" fillId="0" borderId="1" xfId="0" applyFont="1" applyBorder="1" applyAlignment="1">
      <alignment horizontal="left" vertical="top" indent="1"/>
    </xf>
    <xf numFmtId="0" fontId="0" fillId="0" borderId="6" xfId="0" applyBorder="1"/>
    <xf numFmtId="0" fontId="0" fillId="0" borderId="7" xfId="0" applyBorder="1"/>
    <xf numFmtId="0" fontId="0" fillId="0" borderId="8" xfId="0" applyBorder="1"/>
    <xf numFmtId="0" fontId="0" fillId="0" borderId="0" xfId="0" applyAlignment="1">
      <alignment wrapText="1"/>
    </xf>
    <xf numFmtId="0" fontId="1" fillId="0" borderId="0" xfId="0" applyFont="1"/>
    <xf numFmtId="0" fontId="5" fillId="0" borderId="0" xfId="0" applyFont="1" applyAlignment="1">
      <alignment horizontal="center" vertical="center" wrapText="1"/>
    </xf>
    <xf numFmtId="0" fontId="13" fillId="0" borderId="0" xfId="0" applyFont="1" applyAlignment="1">
      <alignment horizontal="left" wrapText="1"/>
    </xf>
    <xf numFmtId="0" fontId="1" fillId="0" borderId="0" xfId="0" applyFont="1" applyAlignment="1">
      <alignment horizontal="left"/>
    </xf>
    <xf numFmtId="165" fontId="0" fillId="0" borderId="9" xfId="0" applyNumberFormat="1" applyBorder="1"/>
    <xf numFmtId="0" fontId="1" fillId="0" borderId="1" xfId="0" applyFont="1" applyBorder="1" applyAlignment="1">
      <alignment horizontal="center" vertical="top"/>
    </xf>
    <xf numFmtId="6" fontId="8" fillId="0" borderId="1" xfId="0" applyNumberFormat="1" applyFont="1" applyBorder="1" applyAlignment="1">
      <alignment horizontal="right"/>
    </xf>
    <xf numFmtId="0" fontId="18" fillId="0" borderId="1" xfId="0" applyFont="1" applyBorder="1" applyAlignment="1">
      <alignment horizontal="center" vertical="center" wrapText="1"/>
    </xf>
    <xf numFmtId="0" fontId="19" fillId="0" borderId="0" xfId="0" applyFont="1" applyAlignment="1">
      <alignment vertical="center" wrapText="1"/>
    </xf>
    <xf numFmtId="0" fontId="20"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6" fontId="8" fillId="0" borderId="1" xfId="1" applyNumberFormat="1" applyFont="1" applyFill="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25" fillId="0" borderId="0" xfId="0" applyFont="1"/>
    <xf numFmtId="165" fontId="2" fillId="0" borderId="1" xfId="0" applyNumberFormat="1" applyFont="1" applyBorder="1" applyAlignment="1">
      <alignment horizontal="center" vertical="top"/>
    </xf>
    <xf numFmtId="165" fontId="21" fillId="0" borderId="1" xfId="0" applyNumberFormat="1" applyFont="1" applyBorder="1" applyAlignment="1">
      <alignment horizontal="center" vertical="center" wrapText="1"/>
    </xf>
    <xf numFmtId="0" fontId="8" fillId="0" borderId="1" xfId="0" applyFont="1" applyBorder="1" applyAlignment="1">
      <alignment horizontal="center" vertical="top"/>
    </xf>
    <xf numFmtId="6" fontId="8" fillId="0" borderId="1" xfId="0" applyNumberFormat="1" applyFont="1" applyBorder="1" applyAlignment="1">
      <alignment horizontal="right" vertical="center"/>
    </xf>
    <xf numFmtId="0" fontId="26" fillId="0" borderId="0" xfId="0" applyFont="1"/>
    <xf numFmtId="0" fontId="16" fillId="0" borderId="1" xfId="0" applyFont="1" applyBorder="1" applyAlignment="1">
      <alignment horizontal="center" vertical="top"/>
    </xf>
    <xf numFmtId="6" fontId="11" fillId="0" borderId="1" xfId="0" applyNumberFormat="1" applyFont="1" applyBorder="1" applyAlignment="1">
      <alignment horizontal="right" vertical="center"/>
    </xf>
    <xf numFmtId="0" fontId="17" fillId="0" borderId="0" xfId="0" applyFont="1" applyAlignment="1">
      <alignment vertical="center"/>
    </xf>
    <xf numFmtId="0" fontId="29" fillId="0" borderId="10" xfId="0" applyFont="1" applyBorder="1" applyAlignment="1">
      <alignment vertical="center" wrapText="1"/>
    </xf>
    <xf numFmtId="0" fontId="2" fillId="0" borderId="1" xfId="0" applyFont="1" applyBorder="1" applyAlignment="1">
      <alignment horizontal="right" vertical="center"/>
    </xf>
    <xf numFmtId="0" fontId="17" fillId="0" borderId="0" xfId="0" applyFont="1"/>
    <xf numFmtId="0" fontId="28" fillId="0" borderId="0" xfId="0" applyFont="1"/>
    <xf numFmtId="6" fontId="28" fillId="0" borderId="0" xfId="0" applyNumberFormat="1" applyFont="1"/>
    <xf numFmtId="0" fontId="5" fillId="0" borderId="1" xfId="0" applyFont="1" applyBorder="1" applyAlignment="1">
      <alignment vertical="center" wrapText="1"/>
    </xf>
    <xf numFmtId="0" fontId="23" fillId="0" borderId="0" xfId="0" applyFont="1" applyAlignment="1">
      <alignment vertical="center" wrapText="1"/>
    </xf>
    <xf numFmtId="0" fontId="23" fillId="0" borderId="0" xfId="0" applyFont="1"/>
    <xf numFmtId="3" fontId="23" fillId="0" borderId="0" xfId="0" applyNumberFormat="1" applyFont="1"/>
    <xf numFmtId="6" fontId="23" fillId="0" borderId="0" xfId="0" applyNumberFormat="1" applyFont="1"/>
    <xf numFmtId="165" fontId="23" fillId="0" borderId="0" xfId="0" applyNumberFormat="1" applyFont="1"/>
    <xf numFmtId="8" fontId="31" fillId="0" borderId="10" xfId="0" applyNumberFormat="1" applyFont="1" applyBorder="1" applyAlignment="1">
      <alignment vertical="center" wrapText="1"/>
    </xf>
    <xf numFmtId="8" fontId="2" fillId="0" borderId="1" xfId="0" applyNumberFormat="1" applyFont="1" applyBorder="1" applyAlignment="1">
      <alignment horizontal="right"/>
    </xf>
    <xf numFmtId="0" fontId="29" fillId="0" borderId="0" xfId="0" applyFont="1" applyAlignment="1">
      <alignment vertical="center" wrapText="1"/>
    </xf>
    <xf numFmtId="8" fontId="31" fillId="0" borderId="0" xfId="0" applyNumberFormat="1" applyFont="1" applyAlignment="1">
      <alignment vertical="center" wrapText="1"/>
    </xf>
    <xf numFmtId="0" fontId="23" fillId="0" borderId="0" xfId="0" applyFont="1" applyAlignment="1">
      <alignment horizontal="right"/>
    </xf>
    <xf numFmtId="0" fontId="30" fillId="0" borderId="0" xfId="0" applyFont="1" applyAlignment="1">
      <alignment horizontal="center"/>
    </xf>
    <xf numFmtId="0" fontId="0" fillId="0" borderId="11" xfId="0" applyBorder="1" applyAlignment="1">
      <alignment horizontal="center"/>
    </xf>
    <xf numFmtId="3" fontId="8" fillId="0" borderId="2" xfId="0" applyNumberFormat="1" applyFont="1" applyBorder="1" applyAlignment="1">
      <alignment horizontal="center" vertical="top"/>
    </xf>
    <xf numFmtId="3" fontId="8" fillId="0" borderId="3" xfId="0" applyNumberFormat="1" applyFont="1" applyBorder="1" applyAlignment="1">
      <alignment horizontal="center" vertical="top"/>
    </xf>
    <xf numFmtId="3" fontId="8" fillId="0" borderId="4" xfId="0" applyNumberFormat="1" applyFont="1" applyBorder="1" applyAlignment="1">
      <alignment horizontal="center" vertical="top"/>
    </xf>
    <xf numFmtId="0" fontId="15" fillId="0" borderId="0" xfId="0" applyFont="1" applyAlignment="1">
      <alignment horizontal="left" wrapText="1"/>
    </xf>
    <xf numFmtId="0" fontId="10" fillId="0" borderId="0" xfId="0" applyFont="1" applyAlignment="1">
      <alignment horizontal="left" wrapText="1"/>
    </xf>
    <xf numFmtId="0" fontId="13" fillId="0" borderId="0" xfId="0" applyFont="1" applyAlignment="1">
      <alignment horizontal="left" wrapText="1"/>
    </xf>
    <xf numFmtId="3" fontId="11" fillId="0" borderId="2" xfId="0" applyNumberFormat="1" applyFont="1" applyBorder="1" applyAlignment="1">
      <alignment horizontal="center"/>
    </xf>
    <xf numFmtId="3" fontId="11" fillId="0" borderId="3" xfId="0" applyNumberFormat="1" applyFont="1" applyBorder="1" applyAlignment="1">
      <alignment horizontal="center"/>
    </xf>
    <xf numFmtId="3" fontId="11" fillId="0" borderId="4" xfId="0" applyNumberFormat="1" applyFont="1" applyBorder="1" applyAlignment="1">
      <alignment horizontal="center"/>
    </xf>
    <xf numFmtId="3" fontId="8" fillId="0" borderId="2" xfId="0" applyNumberFormat="1" applyFont="1" applyBorder="1" applyAlignment="1">
      <alignment horizontal="center"/>
    </xf>
    <xf numFmtId="3" fontId="8" fillId="0" borderId="3" xfId="0" applyNumberFormat="1" applyFont="1" applyBorder="1" applyAlignment="1">
      <alignment horizontal="center"/>
    </xf>
    <xf numFmtId="3" fontId="8" fillId="0" borderId="4" xfId="0" applyNumberFormat="1" applyFont="1" applyBorder="1" applyAlignment="1">
      <alignment horizontal="center"/>
    </xf>
    <xf numFmtId="0" fontId="2" fillId="0" borderId="1" xfId="0" applyFont="1" applyBorder="1" applyAlignment="1">
      <alignment vertical="top"/>
    </xf>
    <xf numFmtId="1" fontId="8" fillId="0" borderId="2" xfId="0" applyNumberFormat="1" applyFont="1" applyBorder="1" applyAlignment="1">
      <alignment horizontal="center"/>
    </xf>
    <xf numFmtId="1" fontId="8" fillId="0" borderId="3" xfId="0" applyNumberFormat="1" applyFont="1" applyBorder="1" applyAlignment="1">
      <alignment horizontal="center"/>
    </xf>
    <xf numFmtId="1" fontId="8" fillId="0" borderId="4" xfId="0" applyNumberFormat="1" applyFont="1" applyBorder="1" applyAlignment="1">
      <alignment horizontal="center"/>
    </xf>
    <xf numFmtId="0" fontId="17" fillId="0" borderId="1" xfId="0" applyFont="1" applyBorder="1" applyAlignment="1">
      <alignment horizontal="center" vertical="center" wrapText="1"/>
    </xf>
    <xf numFmtId="0" fontId="2" fillId="0" borderId="0" xfId="0" applyFont="1" applyAlignment="1">
      <alignment horizontal="left" vertical="top" wrapText="1"/>
    </xf>
    <xf numFmtId="0" fontId="18" fillId="0" borderId="1" xfId="0" applyFont="1" applyBorder="1" applyAlignment="1">
      <alignment vertical="center" wrapText="1"/>
    </xf>
    <xf numFmtId="0" fontId="23"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B565-AB1C-46F9-80D5-825134C8F823}">
  <dimension ref="A1:B7"/>
  <sheetViews>
    <sheetView tabSelected="1" workbookViewId="0">
      <selection activeCell="A9" sqref="A9"/>
    </sheetView>
  </sheetViews>
  <sheetFormatPr defaultRowHeight="15"/>
  <cols>
    <col min="1" max="1" width="28.140625" customWidth="1"/>
    <col min="2" max="2" width="17" customWidth="1"/>
  </cols>
  <sheetData>
    <row r="1" spans="1:2">
      <c r="A1" s="75" t="s">
        <v>0</v>
      </c>
      <c r="B1" s="75"/>
    </row>
    <row r="2" spans="1:2">
      <c r="A2" s="65" t="s">
        <v>1</v>
      </c>
      <c r="B2" s="69">
        <f>'Table 1'!M22</f>
        <v>16.131687242798353</v>
      </c>
    </row>
    <row r="3" spans="1:2">
      <c r="A3" s="65" t="s">
        <v>2</v>
      </c>
      <c r="B3" s="66">
        <f>Respondents!G9</f>
        <v>79.800000000000011</v>
      </c>
    </row>
    <row r="4" spans="1:2">
      <c r="A4" s="65" t="s">
        <v>3</v>
      </c>
      <c r="B4" s="67">
        <f>'Table 1'!F33</f>
        <v>3920</v>
      </c>
    </row>
    <row r="5" spans="1:2">
      <c r="A5" s="65" t="s">
        <v>4</v>
      </c>
      <c r="B5" s="68">
        <f>'Table 1'!I35</f>
        <v>548000</v>
      </c>
    </row>
    <row r="6" spans="1:2">
      <c r="A6" s="65" t="s">
        <v>5</v>
      </c>
      <c r="B6" s="68">
        <f>'Capital O&amp;M'!E7</f>
        <v>10700</v>
      </c>
    </row>
    <row r="7" spans="1:2">
      <c r="A7" s="65" t="s">
        <v>6</v>
      </c>
      <c r="B7" s="74"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opLeftCell="A8" workbookViewId="0">
      <selection activeCell="O31" sqref="O31"/>
    </sheetView>
  </sheetViews>
  <sheetFormatPr defaultRowHeight="15"/>
  <cols>
    <col min="1" max="1" width="40.5703125" customWidth="1"/>
    <col min="2" max="2" width="10.28515625" customWidth="1"/>
    <col min="3" max="3" width="11.28515625" customWidth="1"/>
    <col min="4" max="4" width="12.28515625" customWidth="1"/>
    <col min="5" max="5" width="10.85546875" customWidth="1"/>
    <col min="6" max="6" width="10.28515625" customWidth="1"/>
    <col min="7" max="7" width="11.42578125" customWidth="1"/>
    <col min="8" max="8" width="11.140625" customWidth="1"/>
    <col min="9" max="9" width="14.85546875" customWidth="1"/>
    <col min="11" max="11" width="30.42578125" customWidth="1"/>
    <col min="12" max="12" width="20.140625" customWidth="1"/>
    <col min="13" max="13" width="23.140625" customWidth="1"/>
  </cols>
  <sheetData>
    <row r="1" spans="1:14" ht="15.75">
      <c r="A1" s="58" t="s">
        <v>8</v>
      </c>
    </row>
    <row r="2" spans="1:14">
      <c r="F2" s="2"/>
      <c r="G2" s="2"/>
      <c r="H2" s="2"/>
    </row>
    <row r="3" spans="1:14" ht="76.5">
      <c r="A3" s="1" t="s">
        <v>9</v>
      </c>
      <c r="B3" s="1" t="s">
        <v>10</v>
      </c>
      <c r="C3" s="1" t="s">
        <v>11</v>
      </c>
      <c r="D3" s="1" t="s">
        <v>12</v>
      </c>
      <c r="E3" s="1" t="s">
        <v>13</v>
      </c>
      <c r="F3" s="1" t="s">
        <v>14</v>
      </c>
      <c r="G3" s="1" t="s">
        <v>15</v>
      </c>
      <c r="H3" s="1" t="s">
        <v>16</v>
      </c>
      <c r="I3" s="1" t="s">
        <v>17</v>
      </c>
      <c r="K3" s="29"/>
    </row>
    <row r="4" spans="1:14" ht="15.75" thickBot="1">
      <c r="A4" s="3" t="s">
        <v>18</v>
      </c>
      <c r="B4" s="4" t="s">
        <v>19</v>
      </c>
      <c r="C4" s="4"/>
      <c r="D4" s="4"/>
      <c r="E4" s="4"/>
      <c r="F4" s="4"/>
      <c r="G4" s="4"/>
      <c r="H4" s="4"/>
      <c r="I4" s="4"/>
      <c r="M4" s="76" t="s">
        <v>20</v>
      </c>
      <c r="N4" s="76"/>
    </row>
    <row r="5" spans="1:14" ht="15.75" thickBot="1">
      <c r="A5" s="3" t="s">
        <v>21</v>
      </c>
      <c r="B5" s="4" t="s">
        <v>19</v>
      </c>
      <c r="C5" s="4"/>
      <c r="D5" s="4"/>
      <c r="E5" s="4"/>
      <c r="F5" s="4"/>
      <c r="G5" s="4"/>
      <c r="H5" s="4"/>
      <c r="I5" s="16"/>
      <c r="M5" s="59" t="s">
        <v>22</v>
      </c>
      <c r="N5" s="70">
        <v>172.41</v>
      </c>
    </row>
    <row r="6" spans="1:14" ht="15.75" customHeight="1" thickBot="1">
      <c r="A6" s="19" t="s">
        <v>23</v>
      </c>
      <c r="B6" s="4" t="s">
        <v>19</v>
      </c>
      <c r="C6" s="4"/>
      <c r="D6" s="4"/>
      <c r="E6" s="4"/>
      <c r="F6" s="4"/>
      <c r="G6" s="4"/>
      <c r="H6" s="4"/>
      <c r="I6" s="16"/>
      <c r="M6" s="59" t="s">
        <v>24</v>
      </c>
      <c r="N6" s="70">
        <v>141.75</v>
      </c>
    </row>
    <row r="7" spans="1:14" ht="15.75" thickBot="1">
      <c r="A7" s="3" t="s">
        <v>25</v>
      </c>
      <c r="B7" s="3"/>
      <c r="C7" s="3"/>
      <c r="D7" s="3"/>
      <c r="E7" s="3"/>
      <c r="F7" s="3"/>
      <c r="G7" s="3"/>
      <c r="H7" s="3"/>
      <c r="I7" s="17"/>
      <c r="M7" s="59" t="s">
        <v>26</v>
      </c>
      <c r="N7" s="70">
        <v>71.36</v>
      </c>
    </row>
    <row r="8" spans="1:14">
      <c r="A8" s="5" t="s">
        <v>27</v>
      </c>
      <c r="B8" s="4">
        <v>8</v>
      </c>
      <c r="C8" s="4">
        <v>1</v>
      </c>
      <c r="D8" s="4">
        <f>B8*C8</f>
        <v>8</v>
      </c>
      <c r="E8" s="4">
        <f>Respondents!G9</f>
        <v>79.800000000000011</v>
      </c>
      <c r="F8" s="4">
        <f>D8*E8</f>
        <v>638.40000000000009</v>
      </c>
      <c r="G8" s="4">
        <f>F8*0.05</f>
        <v>31.920000000000005</v>
      </c>
      <c r="H8" s="4">
        <f>F8*0.1</f>
        <v>63.840000000000011</v>
      </c>
      <c r="I8" s="18">
        <f>F8*N$6+G8*N$5+H8*N$7</f>
        <v>100552.14960000002</v>
      </c>
    </row>
    <row r="9" spans="1:14">
      <c r="A9" s="5" t="s">
        <v>28</v>
      </c>
      <c r="B9" s="4"/>
      <c r="C9" s="4"/>
      <c r="D9" s="4"/>
      <c r="E9" s="4"/>
      <c r="F9" s="4"/>
      <c r="G9" s="4"/>
      <c r="H9" s="4"/>
      <c r="I9" s="18"/>
    </row>
    <row r="10" spans="1:14" ht="15.75">
      <c r="A10" s="23" t="s">
        <v>29</v>
      </c>
      <c r="B10" s="4"/>
      <c r="C10" s="4"/>
      <c r="D10" s="4"/>
      <c r="E10" s="4"/>
      <c r="F10" s="4"/>
      <c r="G10" s="4"/>
      <c r="H10" s="4"/>
      <c r="I10" s="18"/>
    </row>
    <row r="11" spans="1:14" ht="15.75">
      <c r="A11" s="23" t="s">
        <v>30</v>
      </c>
      <c r="B11" s="4">
        <v>4</v>
      </c>
      <c r="C11" s="4">
        <v>1</v>
      </c>
      <c r="D11" s="4">
        <f>B11*C11</f>
        <v>4</v>
      </c>
      <c r="E11" s="4">
        <f>Respondents!C9</f>
        <v>0.9</v>
      </c>
      <c r="F11" s="4">
        <f>D11*E11</f>
        <v>3.6</v>
      </c>
      <c r="G11" s="4">
        <f>F11*0.05</f>
        <v>0.18000000000000002</v>
      </c>
      <c r="H11" s="4">
        <f>F11*0.1</f>
        <v>0.36000000000000004</v>
      </c>
      <c r="I11" s="18">
        <f>F11*N$6+G11*N$5+H11*N$7</f>
        <v>567.02340000000004</v>
      </c>
    </row>
    <row r="12" spans="1:14">
      <c r="A12" s="5" t="s">
        <v>31</v>
      </c>
      <c r="B12" s="4" t="s">
        <v>32</v>
      </c>
      <c r="C12" s="4"/>
      <c r="D12" s="4"/>
      <c r="E12" s="4"/>
      <c r="F12" s="4"/>
      <c r="G12" s="4"/>
      <c r="H12" s="4"/>
      <c r="I12" s="18"/>
    </row>
    <row r="13" spans="1:14">
      <c r="A13" s="5" t="s">
        <v>33</v>
      </c>
      <c r="B13" s="4" t="s">
        <v>32</v>
      </c>
      <c r="C13" s="4"/>
      <c r="D13" s="4"/>
      <c r="E13" s="4"/>
      <c r="F13" s="4"/>
      <c r="G13" s="4"/>
      <c r="H13" s="4"/>
      <c r="I13" s="18"/>
    </row>
    <row r="14" spans="1:14">
      <c r="A14" s="5" t="s">
        <v>34</v>
      </c>
      <c r="B14" s="4" t="s">
        <v>32</v>
      </c>
      <c r="C14" s="56"/>
      <c r="D14" s="4"/>
      <c r="E14" s="4"/>
      <c r="F14" s="4"/>
      <c r="G14" s="4"/>
      <c r="H14" s="4"/>
      <c r="I14" s="18"/>
    </row>
    <row r="15" spans="1:14" ht="15.75">
      <c r="A15" s="23" t="s">
        <v>35</v>
      </c>
      <c r="B15" s="4">
        <v>2</v>
      </c>
      <c r="C15" s="56">
        <v>1</v>
      </c>
      <c r="D15" s="4">
        <f>B15*C15</f>
        <v>2</v>
      </c>
      <c r="E15" s="4">
        <f>E11</f>
        <v>0.9</v>
      </c>
      <c r="F15" s="4">
        <f>D15*E15</f>
        <v>1.8</v>
      </c>
      <c r="G15" s="4">
        <f>F15*0.05</f>
        <v>9.0000000000000011E-2</v>
      </c>
      <c r="H15" s="4">
        <f>F15*0.1</f>
        <v>0.18000000000000002</v>
      </c>
      <c r="I15" s="18">
        <f>F15*N$6+G15*N$5+H15*N$7</f>
        <v>283.51170000000002</v>
      </c>
      <c r="J15" s="50"/>
      <c r="K15" s="55"/>
    </row>
    <row r="16" spans="1:14" ht="15.75">
      <c r="A16" s="23" t="s">
        <v>36</v>
      </c>
      <c r="B16" s="4">
        <v>2</v>
      </c>
      <c r="C16" s="56">
        <v>1</v>
      </c>
      <c r="D16" s="4">
        <f>B16*C16</f>
        <v>2</v>
      </c>
      <c r="E16" s="4">
        <f>E11</f>
        <v>0.9</v>
      </c>
      <c r="F16" s="4">
        <f>D16*E16</f>
        <v>1.8</v>
      </c>
      <c r="G16" s="4">
        <f>F16*0.05</f>
        <v>9.0000000000000011E-2</v>
      </c>
      <c r="H16" s="4">
        <f>F16*0.1</f>
        <v>0.18000000000000002</v>
      </c>
      <c r="I16" s="18">
        <f>F16*N$6+G16*N$5+H16*N$7</f>
        <v>283.51170000000002</v>
      </c>
      <c r="J16" s="50"/>
      <c r="K16" s="55"/>
    </row>
    <row r="17" spans="1:13">
      <c r="A17" s="23" t="s">
        <v>37</v>
      </c>
      <c r="B17" s="4" t="s">
        <v>19</v>
      </c>
      <c r="C17" s="56"/>
      <c r="D17" s="4"/>
      <c r="E17" s="4"/>
      <c r="F17" s="4"/>
      <c r="G17" s="4"/>
      <c r="H17" s="4"/>
      <c r="I17" s="18"/>
    </row>
    <row r="18" spans="1:13" ht="15.75">
      <c r="A18" s="23" t="s">
        <v>38</v>
      </c>
      <c r="B18" s="4">
        <v>2</v>
      </c>
      <c r="C18" s="56">
        <v>1</v>
      </c>
      <c r="D18" s="4">
        <f>B18*C18</f>
        <v>2</v>
      </c>
      <c r="E18" s="4">
        <f>E11</f>
        <v>0.9</v>
      </c>
      <c r="F18" s="4">
        <f>D18*E18</f>
        <v>1.8</v>
      </c>
      <c r="G18" s="4">
        <f>F18*0.05</f>
        <v>9.0000000000000011E-2</v>
      </c>
      <c r="H18" s="4">
        <f>F18*0.1</f>
        <v>0.18000000000000002</v>
      </c>
      <c r="I18" s="18">
        <f>F18*N$6+G18*N$5+H18*N$7</f>
        <v>283.51170000000002</v>
      </c>
    </row>
    <row r="19" spans="1:13" ht="15.75">
      <c r="A19" s="23" t="s">
        <v>39</v>
      </c>
      <c r="B19" s="4">
        <v>4</v>
      </c>
      <c r="C19" s="4">
        <v>1</v>
      </c>
      <c r="D19" s="4">
        <f>B19*C19</f>
        <v>4</v>
      </c>
      <c r="E19" s="51">
        <f>Respondents!G9</f>
        <v>79.800000000000011</v>
      </c>
      <c r="F19" s="51">
        <f>D19*E19</f>
        <v>319.20000000000005</v>
      </c>
      <c r="G19" s="4">
        <f>F19*0.05</f>
        <v>15.960000000000003</v>
      </c>
      <c r="H19" s="4">
        <f>F19*0.1</f>
        <v>31.920000000000005</v>
      </c>
      <c r="I19" s="18">
        <f>F19*N$6+G19*N$5+H19*N$7</f>
        <v>50276.074800000009</v>
      </c>
    </row>
    <row r="20" spans="1:13" ht="15.75">
      <c r="A20" s="23" t="s">
        <v>40</v>
      </c>
      <c r="B20" s="4">
        <v>2</v>
      </c>
      <c r="C20" s="4">
        <v>2</v>
      </c>
      <c r="D20" s="4">
        <f>B20*C20</f>
        <v>4</v>
      </c>
      <c r="E20" s="4">
        <f>Respondents!G9</f>
        <v>79.800000000000011</v>
      </c>
      <c r="F20" s="4">
        <f>D20*E20</f>
        <v>319.20000000000005</v>
      </c>
      <c r="G20" s="4">
        <f>F20*0.05</f>
        <v>15.960000000000003</v>
      </c>
      <c r="H20" s="4">
        <f>F20*0.1</f>
        <v>31.920000000000005</v>
      </c>
      <c r="I20" s="18">
        <f>F20*N$6+G20*N$5+H20*N$7</f>
        <v>50276.074800000009</v>
      </c>
      <c r="K20" s="9"/>
    </row>
    <row r="21" spans="1:13">
      <c r="A21" s="12" t="s">
        <v>41</v>
      </c>
      <c r="B21" s="53"/>
      <c r="C21" s="53"/>
      <c r="D21" s="53"/>
      <c r="E21" s="53"/>
      <c r="F21" s="77">
        <f>SUM(F4:H20)</f>
        <v>1478.6700000000003</v>
      </c>
      <c r="G21" s="78"/>
      <c r="H21" s="79"/>
      <c r="I21" s="54">
        <f>SUM(I4:I20)</f>
        <v>202521.85770000005</v>
      </c>
      <c r="L21" s="24" t="s">
        <v>42</v>
      </c>
      <c r="M21" s="25">
        <f>Responses!E13</f>
        <v>243</v>
      </c>
    </row>
    <row r="22" spans="1:13">
      <c r="A22" s="3" t="s">
        <v>43</v>
      </c>
      <c r="B22" s="3"/>
      <c r="C22" s="3"/>
      <c r="D22" s="3"/>
      <c r="E22" s="3"/>
      <c r="F22" s="3"/>
      <c r="G22" s="3"/>
      <c r="H22" s="3"/>
      <c r="I22" s="18"/>
      <c r="L22" s="26" t="s">
        <v>44</v>
      </c>
      <c r="M22" s="32">
        <f>F33/M21</f>
        <v>16.131687242798353</v>
      </c>
    </row>
    <row r="23" spans="1:13">
      <c r="A23" s="5" t="s">
        <v>27</v>
      </c>
      <c r="B23" s="4" t="s">
        <v>45</v>
      </c>
      <c r="C23" s="4"/>
      <c r="D23" s="4"/>
      <c r="E23" s="4"/>
      <c r="F23" s="4"/>
      <c r="G23" s="4"/>
      <c r="H23" s="4"/>
      <c r="I23" s="18"/>
    </row>
    <row r="24" spans="1:13">
      <c r="A24" s="5" t="s">
        <v>46</v>
      </c>
      <c r="B24" s="4" t="s">
        <v>32</v>
      </c>
      <c r="C24" s="4"/>
      <c r="D24" s="4"/>
      <c r="E24" s="4"/>
      <c r="F24" s="4"/>
      <c r="G24" s="4"/>
      <c r="H24" s="4"/>
      <c r="I24" s="18"/>
    </row>
    <row r="25" spans="1:13">
      <c r="A25" s="5" t="s">
        <v>47</v>
      </c>
      <c r="B25" s="4" t="s">
        <v>32</v>
      </c>
      <c r="C25" s="4"/>
      <c r="D25" s="4"/>
      <c r="E25" s="4"/>
      <c r="F25" s="4"/>
      <c r="G25" s="4"/>
      <c r="H25" s="4"/>
      <c r="I25" s="18"/>
    </row>
    <row r="26" spans="1:13" ht="15.75">
      <c r="A26" s="5" t="s">
        <v>48</v>
      </c>
      <c r="B26" s="4">
        <v>4</v>
      </c>
      <c r="C26" s="4">
        <v>1</v>
      </c>
      <c r="D26" s="4">
        <f>B26*C26</f>
        <v>4</v>
      </c>
      <c r="E26" s="4">
        <f>E11</f>
        <v>0.9</v>
      </c>
      <c r="F26" s="4">
        <f>D26*E26</f>
        <v>3.6</v>
      </c>
      <c r="G26" s="4">
        <f>F26*0.05</f>
        <v>0.18000000000000002</v>
      </c>
      <c r="H26" s="4">
        <f>F26*0.1</f>
        <v>0.36000000000000004</v>
      </c>
      <c r="I26" s="18">
        <f>F26*N$6+G26*N$5+H26*N$7</f>
        <v>567.02340000000004</v>
      </c>
    </row>
    <row r="27" spans="1:13" ht="15.75">
      <c r="A27" s="5" t="s">
        <v>49</v>
      </c>
      <c r="B27" s="4">
        <v>0.5</v>
      </c>
      <c r="C27" s="4">
        <v>52</v>
      </c>
      <c r="D27" s="4">
        <f>B27*C27</f>
        <v>26</v>
      </c>
      <c r="E27" s="4">
        <f>Respondents!G9</f>
        <v>79.800000000000011</v>
      </c>
      <c r="F27" s="21">
        <f>D27*E27</f>
        <v>2074.8000000000002</v>
      </c>
      <c r="G27" s="4">
        <f>F27*0.05</f>
        <v>103.74000000000001</v>
      </c>
      <c r="H27" s="4">
        <f>F27*0.1</f>
        <v>207.48000000000002</v>
      </c>
      <c r="I27" s="18">
        <f>F27*N$6+G27*N$5+H27*N$7</f>
        <v>326794.48619999998</v>
      </c>
    </row>
    <row r="28" spans="1:13" ht="15.75">
      <c r="A28" s="5" t="s">
        <v>50</v>
      </c>
      <c r="B28" s="4">
        <v>0.25</v>
      </c>
      <c r="C28" s="4">
        <v>2</v>
      </c>
      <c r="D28" s="4">
        <f>B28*C28</f>
        <v>0.5</v>
      </c>
      <c r="E28" s="4">
        <f>Respondents!G9</f>
        <v>79.800000000000011</v>
      </c>
      <c r="F28" s="4">
        <f>D28*E28</f>
        <v>39.900000000000006</v>
      </c>
      <c r="G28" s="7">
        <f>F28*0.05</f>
        <v>1.9950000000000003</v>
      </c>
      <c r="H28" s="7">
        <f>F28*0.1</f>
        <v>3.9900000000000007</v>
      </c>
      <c r="I28" s="18">
        <f>F28*N$6+G28*N$5+H28*N$7</f>
        <v>6284.5093500000012</v>
      </c>
    </row>
    <row r="29" spans="1:13" ht="15.75">
      <c r="A29" s="5" t="s">
        <v>51</v>
      </c>
      <c r="B29" s="4">
        <v>2</v>
      </c>
      <c r="C29" s="4">
        <v>1</v>
      </c>
      <c r="D29" s="4">
        <f>B29*C29</f>
        <v>2</v>
      </c>
      <c r="E29" s="4">
        <v>0</v>
      </c>
      <c r="F29" s="4">
        <f>D29*E29</f>
        <v>0</v>
      </c>
      <c r="G29" s="4">
        <f>F29*0.05</f>
        <v>0</v>
      </c>
      <c r="H29" s="4">
        <f>F29*0.1</f>
        <v>0</v>
      </c>
      <c r="I29" s="60">
        <v>0</v>
      </c>
    </row>
    <row r="30" spans="1:13" ht="15.75">
      <c r="A30" s="5" t="s">
        <v>52</v>
      </c>
      <c r="B30" s="4">
        <v>4</v>
      </c>
      <c r="C30" s="4">
        <v>1</v>
      </c>
      <c r="D30" s="4">
        <f>B30*C30</f>
        <v>4</v>
      </c>
      <c r="E30" s="4">
        <f>Respondents!C9</f>
        <v>0.9</v>
      </c>
      <c r="F30" s="4">
        <f>D30*E30</f>
        <v>3.6</v>
      </c>
      <c r="G30" s="4">
        <f>F30*0.05</f>
        <v>0.18000000000000002</v>
      </c>
      <c r="H30" s="4">
        <f>F30*0.1</f>
        <v>0.36000000000000004</v>
      </c>
      <c r="I30" s="18">
        <f>F30*N$6+G30*N$5+H30*N$7</f>
        <v>567.02340000000004</v>
      </c>
    </row>
    <row r="31" spans="1:13">
      <c r="A31" s="5" t="s">
        <v>53</v>
      </c>
      <c r="B31" s="4" t="s">
        <v>19</v>
      </c>
      <c r="C31" s="4"/>
      <c r="D31" s="4"/>
      <c r="E31" s="4"/>
      <c r="F31" s="4"/>
      <c r="G31" s="4"/>
      <c r="H31" s="4"/>
      <c r="I31" s="16"/>
    </row>
    <row r="32" spans="1:13">
      <c r="A32" s="12" t="s">
        <v>54</v>
      </c>
      <c r="B32" s="53"/>
      <c r="C32" s="53"/>
      <c r="D32" s="53"/>
      <c r="E32" s="53"/>
      <c r="F32" s="86">
        <f>SUM(F22:H31)</f>
        <v>2440.1849999999999</v>
      </c>
      <c r="G32" s="87"/>
      <c r="H32" s="88"/>
      <c r="I32" s="54">
        <f>SUM(I22:I31)</f>
        <v>334213.04235</v>
      </c>
    </row>
    <row r="33" spans="1:11" ht="16.5">
      <c r="A33" s="22" t="s">
        <v>55</v>
      </c>
      <c r="B33" s="6"/>
      <c r="C33" s="6"/>
      <c r="D33" s="6"/>
      <c r="E33" s="6"/>
      <c r="F33" s="83">
        <f>ROUND(SUM(F32,F21),-1)</f>
        <v>3920</v>
      </c>
      <c r="G33" s="84"/>
      <c r="H33" s="85"/>
      <c r="I33" s="57">
        <f>ROUND(SUM(I32,I21),-3)</f>
        <v>537000</v>
      </c>
    </row>
    <row r="34" spans="1:11" ht="16.5">
      <c r="A34" s="11" t="s">
        <v>56</v>
      </c>
      <c r="B34" s="13"/>
      <c r="C34" s="13"/>
      <c r="D34" s="13"/>
      <c r="E34" s="13"/>
      <c r="F34" s="13"/>
      <c r="G34" s="13"/>
      <c r="H34" s="13"/>
      <c r="I34" s="20">
        <f>ROUND('Capital O&amp;M'!E7+'Capital O&amp;M'!H7,-1)</f>
        <v>10700</v>
      </c>
    </row>
    <row r="35" spans="1:11" ht="16.5">
      <c r="A35" s="11" t="s">
        <v>57</v>
      </c>
      <c r="B35" s="13"/>
      <c r="C35" s="13"/>
      <c r="D35" s="13"/>
      <c r="E35" s="13"/>
      <c r="F35" s="13"/>
      <c r="G35" s="13"/>
      <c r="H35" s="13"/>
      <c r="I35" s="40">
        <f>ROUND(SUM(I33:I34),-3)</f>
        <v>548000</v>
      </c>
    </row>
    <row r="37" spans="1:11">
      <c r="A37" s="15" t="s">
        <v>58</v>
      </c>
    </row>
    <row r="38" spans="1:11" ht="36" customHeight="1">
      <c r="A38" s="80" t="s">
        <v>59</v>
      </c>
      <c r="B38" s="80"/>
      <c r="C38" s="80"/>
      <c r="D38" s="80"/>
      <c r="E38" s="80"/>
      <c r="F38" s="80"/>
      <c r="G38" s="80"/>
      <c r="H38" s="80"/>
      <c r="I38" s="80"/>
      <c r="J38" s="55"/>
      <c r="K38" s="27"/>
    </row>
    <row r="39" spans="1:11" ht="59.25" customHeight="1">
      <c r="A39" s="81" t="s">
        <v>60</v>
      </c>
      <c r="B39" s="81"/>
      <c r="C39" s="81"/>
      <c r="D39" s="81"/>
      <c r="E39" s="81"/>
      <c r="F39" s="81"/>
      <c r="G39" s="81"/>
      <c r="H39" s="81"/>
      <c r="I39" s="81"/>
    </row>
    <row r="40" spans="1:11" ht="29.25" customHeight="1">
      <c r="A40" s="81" t="s">
        <v>61</v>
      </c>
      <c r="B40" s="81"/>
      <c r="C40" s="81"/>
      <c r="D40" s="81"/>
      <c r="E40" s="81"/>
      <c r="F40" s="81"/>
      <c r="G40" s="81"/>
      <c r="H40" s="81"/>
      <c r="I40" s="81"/>
    </row>
    <row r="41" spans="1:11" ht="26.25" customHeight="1">
      <c r="A41" s="81" t="s">
        <v>62</v>
      </c>
      <c r="B41" s="81"/>
      <c r="C41" s="81"/>
      <c r="D41" s="81"/>
      <c r="E41" s="81"/>
      <c r="F41" s="81"/>
      <c r="G41" s="81"/>
      <c r="H41" s="81"/>
      <c r="I41" s="81"/>
    </row>
    <row r="42" spans="1:11" ht="82.5" customHeight="1">
      <c r="A42" s="82" t="s">
        <v>63</v>
      </c>
      <c r="B42" s="82"/>
      <c r="C42" s="82"/>
      <c r="D42" s="82"/>
      <c r="E42" s="82"/>
      <c r="F42" s="82"/>
      <c r="G42" s="82"/>
      <c r="H42" s="82"/>
      <c r="I42" s="82"/>
    </row>
    <row r="43" spans="1:11" ht="15.75" customHeight="1">
      <c r="A43" s="31" t="s">
        <v>64</v>
      </c>
      <c r="B43" s="30"/>
      <c r="C43" s="30"/>
      <c r="D43" s="30"/>
      <c r="E43" s="30"/>
      <c r="F43" s="30"/>
      <c r="G43" s="30"/>
      <c r="H43" s="30"/>
      <c r="I43" s="30"/>
    </row>
    <row r="44" spans="1:11" ht="15.75">
      <c r="A44" s="10" t="s">
        <v>65</v>
      </c>
    </row>
  </sheetData>
  <mergeCells count="9">
    <mergeCell ref="M4:N4"/>
    <mergeCell ref="F21:H21"/>
    <mergeCell ref="A38:I38"/>
    <mergeCell ref="A39:I39"/>
    <mergeCell ref="A42:I42"/>
    <mergeCell ref="A40:I40"/>
    <mergeCell ref="A41:I41"/>
    <mergeCell ref="F33:H33"/>
    <mergeCell ref="F32:H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S10" sqref="S10"/>
    </sheetView>
  </sheetViews>
  <sheetFormatPr defaultRowHeight="15"/>
  <cols>
    <col min="1" max="1" width="35" customWidth="1"/>
    <col min="2" max="2" width="11.42578125" customWidth="1"/>
    <col min="3" max="3" width="13.42578125" customWidth="1"/>
    <col min="7" max="7" width="11.28515625" customWidth="1"/>
    <col min="9" max="9" width="10.5703125" customWidth="1"/>
    <col min="11" max="11" width="16.28515625" customWidth="1"/>
  </cols>
  <sheetData>
    <row r="1" spans="1:12" ht="15.75">
      <c r="A1" s="61" t="s">
        <v>66</v>
      </c>
    </row>
    <row r="4" spans="1:12" ht="89.25">
      <c r="A4" s="8" t="s">
        <v>67</v>
      </c>
      <c r="B4" s="8" t="s">
        <v>68</v>
      </c>
      <c r="C4" s="8" t="s">
        <v>69</v>
      </c>
      <c r="D4" s="8" t="s">
        <v>70</v>
      </c>
      <c r="E4" s="8" t="s">
        <v>71</v>
      </c>
      <c r="F4" s="8" t="s">
        <v>72</v>
      </c>
      <c r="G4" s="8" t="s">
        <v>73</v>
      </c>
      <c r="H4" s="8" t="s">
        <v>74</v>
      </c>
      <c r="I4" s="8" t="s">
        <v>75</v>
      </c>
    </row>
    <row r="5" spans="1:12" ht="15.75" thickBot="1">
      <c r="A5" s="89" t="s">
        <v>76</v>
      </c>
      <c r="B5" s="89"/>
      <c r="C5" s="89"/>
      <c r="D5" s="89"/>
      <c r="E5" s="89"/>
      <c r="F5" s="89"/>
      <c r="G5" s="89"/>
      <c r="H5" s="89"/>
      <c r="I5" s="89"/>
    </row>
    <row r="6" spans="1:12" ht="16.5" thickBot="1">
      <c r="A6" s="5" t="s">
        <v>77</v>
      </c>
      <c r="B6" s="4">
        <v>1</v>
      </c>
      <c r="C6" s="4">
        <v>1</v>
      </c>
      <c r="D6" s="4">
        <f>B6*C6</f>
        <v>1</v>
      </c>
      <c r="E6" s="4">
        <f>'Table 1'!E15</f>
        <v>0.9</v>
      </c>
      <c r="F6" s="4">
        <f>D6*E6</f>
        <v>0.9</v>
      </c>
      <c r="G6" s="4">
        <f>F6*0.05</f>
        <v>4.5000000000000005E-2</v>
      </c>
      <c r="H6" s="33">
        <f>F6*0.1</f>
        <v>9.0000000000000011E-2</v>
      </c>
      <c r="I6" s="71">
        <f>F6*L$7+G6*L$6+H6*L$8</f>
        <v>57.603149999999999</v>
      </c>
      <c r="K6" s="59" t="s">
        <v>22</v>
      </c>
      <c r="L6" s="70">
        <v>76.91</v>
      </c>
    </row>
    <row r="7" spans="1:12" ht="16.5" thickBot="1">
      <c r="A7" s="5" t="s">
        <v>78</v>
      </c>
      <c r="B7" s="4">
        <v>2</v>
      </c>
      <c r="C7" s="4">
        <v>1</v>
      </c>
      <c r="D7" s="4">
        <f>B7*C7</f>
        <v>2</v>
      </c>
      <c r="E7" s="4">
        <f>'Table 1'!E19</f>
        <v>79.800000000000011</v>
      </c>
      <c r="F7" s="4">
        <f>D7*E7</f>
        <v>159.60000000000002</v>
      </c>
      <c r="G7" s="4">
        <f>F7*0.05</f>
        <v>7.9800000000000013</v>
      </c>
      <c r="H7" s="33">
        <f>F7*0.1</f>
        <v>15.960000000000003</v>
      </c>
      <c r="I7" s="71">
        <f>F7*L$7+G7*L$6+H7*L$8</f>
        <v>10214.958600000002</v>
      </c>
      <c r="K7" s="59" t="s">
        <v>24</v>
      </c>
      <c r="L7" s="70">
        <v>57.07</v>
      </c>
    </row>
    <row r="8" spans="1:12" ht="16.5" thickBot="1">
      <c r="A8" s="5" t="s">
        <v>79</v>
      </c>
      <c r="B8" s="4">
        <v>1</v>
      </c>
      <c r="C8" s="4">
        <v>1</v>
      </c>
      <c r="D8" s="4">
        <f>B8*C8</f>
        <v>1</v>
      </c>
      <c r="E8" s="4">
        <f>'Table 1'!E16</f>
        <v>0.9</v>
      </c>
      <c r="F8" s="4">
        <f>D8*E8</f>
        <v>0.9</v>
      </c>
      <c r="G8" s="4">
        <f>F8*0.05</f>
        <v>4.5000000000000005E-2</v>
      </c>
      <c r="H8" s="33">
        <f>F8*0.1</f>
        <v>9.0000000000000011E-2</v>
      </c>
      <c r="I8" s="71">
        <f t="shared" ref="I8:I10" si="0">F8*L$7+G8*L$6+H8*L$8</f>
        <v>57.603149999999999</v>
      </c>
      <c r="K8" s="59" t="s">
        <v>26</v>
      </c>
      <c r="L8" s="70">
        <v>30.88</v>
      </c>
    </row>
    <row r="9" spans="1:12" ht="15.75">
      <c r="A9" s="5" t="s">
        <v>38</v>
      </c>
      <c r="B9" s="4">
        <v>1</v>
      </c>
      <c r="C9" s="4">
        <v>1</v>
      </c>
      <c r="D9" s="4">
        <f>B9*C9</f>
        <v>1</v>
      </c>
      <c r="E9" s="4">
        <f>'Table 1'!E18</f>
        <v>0.9</v>
      </c>
      <c r="F9" s="4">
        <f>D9*E9</f>
        <v>0.9</v>
      </c>
      <c r="G9" s="4">
        <f>F9*0.05</f>
        <v>4.5000000000000005E-2</v>
      </c>
      <c r="H9" s="33">
        <f>F9*0.1</f>
        <v>9.0000000000000011E-2</v>
      </c>
      <c r="I9" s="71">
        <f t="shared" ref="I9" si="1">F9*L$7+G9*L$6+H9*L$8</f>
        <v>57.603149999999999</v>
      </c>
      <c r="K9" s="72"/>
      <c r="L9" s="73"/>
    </row>
    <row r="10" spans="1:12">
      <c r="A10" s="5" t="s">
        <v>80</v>
      </c>
      <c r="B10" s="4">
        <v>0.5</v>
      </c>
      <c r="C10" s="4">
        <v>2</v>
      </c>
      <c r="D10" s="4">
        <f>B10*C10</f>
        <v>1</v>
      </c>
      <c r="E10" s="4">
        <f>'Table 1'!E20</f>
        <v>79.800000000000011</v>
      </c>
      <c r="F10" s="4">
        <f>D10*E10</f>
        <v>79.800000000000011</v>
      </c>
      <c r="G10" s="7">
        <f>F10*0.05</f>
        <v>3.9900000000000007</v>
      </c>
      <c r="H10" s="33">
        <f>F10*0.1</f>
        <v>7.9800000000000013</v>
      </c>
      <c r="I10" s="71">
        <f t="shared" si="0"/>
        <v>5107.4793000000009</v>
      </c>
    </row>
    <row r="11" spans="1:12" ht="15.75">
      <c r="A11" s="14" t="s">
        <v>81</v>
      </c>
      <c r="B11" s="6"/>
      <c r="C11" s="6"/>
      <c r="D11" s="6"/>
      <c r="E11" s="6"/>
      <c r="F11" s="90">
        <f>SUM(F6:H10)</f>
        <v>278.41500000000008</v>
      </c>
      <c r="G11" s="91"/>
      <c r="H11" s="92"/>
      <c r="I11" s="34">
        <f>ROUND(SUM(I6:I10),-2)</f>
        <v>15500</v>
      </c>
    </row>
    <row r="13" spans="1:12" ht="38.25" customHeight="1">
      <c r="A13" s="80" t="s">
        <v>82</v>
      </c>
      <c r="B13" s="80"/>
      <c r="C13" s="80"/>
      <c r="D13" s="80"/>
      <c r="E13" s="80"/>
      <c r="F13" s="80"/>
      <c r="G13" s="80"/>
      <c r="H13" s="80"/>
      <c r="I13" s="80"/>
      <c r="J13" s="55"/>
    </row>
    <row r="14" spans="1:12" ht="72.75" customHeight="1">
      <c r="A14" s="81" t="s">
        <v>83</v>
      </c>
      <c r="B14" s="81"/>
      <c r="C14" s="81"/>
      <c r="D14" s="81"/>
      <c r="E14" s="81"/>
      <c r="F14" s="81"/>
      <c r="G14" s="81"/>
      <c r="H14" s="81"/>
      <c r="I14" s="81"/>
    </row>
    <row r="15" spans="1:12" ht="50.25" customHeight="1">
      <c r="A15" s="81" t="s">
        <v>84</v>
      </c>
      <c r="B15" s="81"/>
      <c r="C15" s="81"/>
      <c r="D15" s="81"/>
      <c r="E15" s="81"/>
      <c r="F15" s="81"/>
      <c r="G15" s="81"/>
      <c r="H15" s="81"/>
      <c r="I15" s="81"/>
    </row>
    <row r="16" spans="1:12" ht="16.5">
      <c r="A16" s="28" t="s">
        <v>85</v>
      </c>
    </row>
    <row r="17" spans="1:1" ht="15.75">
      <c r="A17" s="10" t="s">
        <v>86</v>
      </c>
    </row>
  </sheetData>
  <mergeCells count="5">
    <mergeCell ref="A5:I5"/>
    <mergeCell ref="F11:H11"/>
    <mergeCell ref="A13:I13"/>
    <mergeCell ref="A14:I14"/>
    <mergeCell ref="A15:I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F4AF-98D3-4B28-8C15-9994253FC9EC}">
  <dimension ref="B2:M9"/>
  <sheetViews>
    <sheetView workbookViewId="0">
      <selection activeCell="E10" sqref="E10"/>
    </sheetView>
  </sheetViews>
  <sheetFormatPr defaultRowHeight="15"/>
  <cols>
    <col min="2" max="2" width="11.140625" customWidth="1"/>
    <col min="3" max="3" width="12.7109375" customWidth="1"/>
    <col min="4" max="4" width="11.28515625" customWidth="1"/>
    <col min="5" max="5" width="12.5703125" customWidth="1"/>
    <col min="6" max="6" width="12.140625" customWidth="1"/>
    <col min="7" max="7" width="10.85546875" customWidth="1"/>
    <col min="8" max="8" width="11.140625" customWidth="1"/>
    <col min="12" max="12" width="10.5703125" bestFit="1" customWidth="1"/>
    <col min="13" max="13" width="12.85546875" customWidth="1"/>
  </cols>
  <sheetData>
    <row r="2" spans="2:13" ht="15.75">
      <c r="B2" s="93" t="s">
        <v>87</v>
      </c>
      <c r="C2" s="93"/>
      <c r="D2" s="93"/>
      <c r="E2" s="93"/>
      <c r="F2" s="93"/>
      <c r="G2" s="93"/>
      <c r="H2" s="93"/>
    </row>
    <row r="3" spans="2:13">
      <c r="B3" s="41" t="s">
        <v>88</v>
      </c>
      <c r="C3" s="41" t="s">
        <v>89</v>
      </c>
      <c r="D3" s="41" t="s">
        <v>90</v>
      </c>
      <c r="E3" s="41" t="s">
        <v>91</v>
      </c>
      <c r="F3" s="41" t="s">
        <v>92</v>
      </c>
      <c r="G3" s="41" t="s">
        <v>93</v>
      </c>
      <c r="H3" s="41" t="s">
        <v>94</v>
      </c>
    </row>
    <row r="4" spans="2:13" ht="54" customHeight="1">
      <c r="B4" s="49" t="s">
        <v>95</v>
      </c>
      <c r="C4" s="42" t="s">
        <v>96</v>
      </c>
      <c r="D4" s="42" t="s">
        <v>97</v>
      </c>
      <c r="E4" s="42" t="s">
        <v>98</v>
      </c>
      <c r="F4" s="42" t="s">
        <v>99</v>
      </c>
      <c r="G4" s="42" t="s">
        <v>100</v>
      </c>
      <c r="H4" s="42" t="s">
        <v>101</v>
      </c>
      <c r="L4" t="s">
        <v>102</v>
      </c>
      <c r="M4" t="s">
        <v>103</v>
      </c>
    </row>
    <row r="5" spans="2:13" ht="25.5">
      <c r="B5" s="42" t="s">
        <v>104</v>
      </c>
      <c r="C5" s="43">
        <f>8150*M5/L5</f>
        <v>9184.8658192090388</v>
      </c>
      <c r="D5" s="41">
        <v>0.9</v>
      </c>
      <c r="E5" s="43">
        <f>C5*D5</f>
        <v>8266.3792372881344</v>
      </c>
      <c r="F5" s="43">
        <v>0</v>
      </c>
      <c r="G5" s="41">
        <v>0</v>
      </c>
      <c r="H5" s="43">
        <v>0</v>
      </c>
      <c r="L5">
        <v>708</v>
      </c>
      <c r="M5">
        <v>797.9</v>
      </c>
    </row>
    <row r="6" spans="2:13" ht="25.5">
      <c r="B6" s="42" t="s">
        <v>105</v>
      </c>
      <c r="C6" s="43">
        <f>1510*M5/L5</f>
        <v>1701.7358757062148</v>
      </c>
      <c r="D6" s="41">
        <v>0.9</v>
      </c>
      <c r="E6" s="43">
        <v>2416</v>
      </c>
      <c r="F6" s="43">
        <v>0</v>
      </c>
      <c r="G6" s="41">
        <v>0</v>
      </c>
      <c r="H6" s="43">
        <v>0</v>
      </c>
      <c r="J6" s="62" t="s">
        <v>106</v>
      </c>
    </row>
    <row r="7" spans="2:13">
      <c r="B7" s="42" t="s">
        <v>107</v>
      </c>
      <c r="C7" s="41"/>
      <c r="D7" s="41"/>
      <c r="E7" s="43">
        <f>ROUND(SUM(E5:E6),-2)</f>
        <v>10700</v>
      </c>
      <c r="F7" s="41"/>
      <c r="G7" s="41"/>
      <c r="H7" s="43">
        <f>ROUND(SUM(H5:H6),-3)</f>
        <v>0</v>
      </c>
      <c r="J7" s="63">
        <f>E7</f>
        <v>10700</v>
      </c>
    </row>
    <row r="8" spans="2:13" ht="45.75" customHeight="1">
      <c r="B8" s="94" t="s">
        <v>108</v>
      </c>
      <c r="C8" s="94"/>
      <c r="D8" s="94"/>
      <c r="E8" s="94"/>
      <c r="F8" s="94"/>
      <c r="G8" s="94"/>
      <c r="H8" s="94"/>
    </row>
    <row r="9" spans="2:13">
      <c r="B9" s="94" t="s">
        <v>109</v>
      </c>
      <c r="C9" s="94"/>
      <c r="D9" s="94"/>
      <c r="E9" s="94"/>
      <c r="F9" s="94"/>
      <c r="G9" s="94"/>
      <c r="H9" s="94"/>
    </row>
  </sheetData>
  <mergeCells count="3">
    <mergeCell ref="B2:H2"/>
    <mergeCell ref="B8:H8"/>
    <mergeCell ref="B9:H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F4D2-D260-4AA2-80B3-D65F2F9E63D7}">
  <dimension ref="B1:G10"/>
  <sheetViews>
    <sheetView workbookViewId="0">
      <selection activeCell="O10" sqref="O10"/>
    </sheetView>
  </sheetViews>
  <sheetFormatPr defaultColWidth="9.140625" defaultRowHeight="15"/>
  <cols>
    <col min="2" max="2" width="16.85546875" customWidth="1"/>
    <col min="3" max="3" width="12.5703125" customWidth="1"/>
    <col min="4" max="4" width="13.7109375" customWidth="1"/>
    <col min="5" max="5" width="18.140625" customWidth="1"/>
    <col min="6" max="6" width="20.7109375" customWidth="1"/>
    <col min="7" max="7" width="18.42578125" customWidth="1"/>
    <col min="10" max="10" width="11" bestFit="1" customWidth="1"/>
  </cols>
  <sheetData>
    <row r="1" spans="2:7">
      <c r="B1" s="36"/>
    </row>
    <row r="2" spans="2:7" ht="15.75">
      <c r="B2" s="93" t="s">
        <v>110</v>
      </c>
      <c r="C2" s="93"/>
      <c r="D2" s="93"/>
      <c r="E2" s="93"/>
      <c r="F2" s="93"/>
      <c r="G2" s="93"/>
    </row>
    <row r="3" spans="2:7" ht="36">
      <c r="B3" s="44"/>
      <c r="C3" s="95" t="s">
        <v>111</v>
      </c>
      <c r="D3" s="95"/>
      <c r="E3" s="45" t="s">
        <v>112</v>
      </c>
      <c r="F3" s="45"/>
      <c r="G3" s="45"/>
    </row>
    <row r="4" spans="2:7">
      <c r="B4" s="42"/>
      <c r="C4" s="41" t="s">
        <v>113</v>
      </c>
      <c r="D4" s="41" t="s">
        <v>114</v>
      </c>
      <c r="E4" s="41" t="s">
        <v>115</v>
      </c>
      <c r="F4" s="41" t="s">
        <v>116</v>
      </c>
      <c r="G4" s="41" t="s">
        <v>117</v>
      </c>
    </row>
    <row r="5" spans="2:7" ht="54">
      <c r="B5" s="41" t="s">
        <v>118</v>
      </c>
      <c r="C5" s="42" t="s">
        <v>119</v>
      </c>
      <c r="D5" s="42" t="s">
        <v>120</v>
      </c>
      <c r="E5" s="42" t="s">
        <v>121</v>
      </c>
      <c r="F5" s="42" t="s">
        <v>122</v>
      </c>
      <c r="G5" s="42" t="s">
        <v>123</v>
      </c>
    </row>
    <row r="6" spans="2:7">
      <c r="B6" s="35" t="s">
        <v>124</v>
      </c>
      <c r="C6" s="37">
        <v>0.9</v>
      </c>
      <c r="D6" s="35">
        <v>78</v>
      </c>
      <c r="E6" s="35">
        <v>0</v>
      </c>
      <c r="F6" s="35">
        <v>0</v>
      </c>
      <c r="G6" s="37">
        <f>C6+D6+E6+F6</f>
        <v>78.900000000000006</v>
      </c>
    </row>
    <row r="7" spans="2:7">
      <c r="B7" s="35" t="s">
        <v>125</v>
      </c>
      <c r="C7" s="37">
        <v>0.9</v>
      </c>
      <c r="D7" s="35">
        <f>D6+C7</f>
        <v>78.900000000000006</v>
      </c>
      <c r="E7" s="35">
        <v>0</v>
      </c>
      <c r="F7" s="35">
        <v>0</v>
      </c>
      <c r="G7" s="37">
        <f t="shared" ref="G7:G8" si="0">C7+D7+E7+F7</f>
        <v>79.800000000000011</v>
      </c>
    </row>
    <row r="8" spans="2:7">
      <c r="B8" s="35" t="s">
        <v>126</v>
      </c>
      <c r="C8" s="35">
        <v>0.9</v>
      </c>
      <c r="D8" s="35">
        <f>D7+C8</f>
        <v>79.800000000000011</v>
      </c>
      <c r="E8" s="35">
        <v>0</v>
      </c>
      <c r="F8" s="35">
        <v>0</v>
      </c>
      <c r="G8" s="37">
        <f t="shared" si="0"/>
        <v>80.700000000000017</v>
      </c>
    </row>
    <row r="9" spans="2:7">
      <c r="B9" s="35" t="s">
        <v>127</v>
      </c>
      <c r="C9" s="46">
        <f>AVERAGE(C6:C8)</f>
        <v>0.9</v>
      </c>
      <c r="D9" s="46">
        <f>AVERAGE(D6:D8)</f>
        <v>78.900000000000006</v>
      </c>
      <c r="E9" s="47" t="s">
        <v>128</v>
      </c>
      <c r="F9" s="47" t="s">
        <v>128</v>
      </c>
      <c r="G9" s="52">
        <f>AVERAGE(G6:G8)</f>
        <v>79.800000000000011</v>
      </c>
    </row>
    <row r="10" spans="2:7" ht="30.75" customHeight="1">
      <c r="B10" s="96" t="s">
        <v>129</v>
      </c>
      <c r="C10" s="96"/>
      <c r="D10" s="96"/>
      <c r="E10" s="96"/>
      <c r="F10" s="96"/>
      <c r="G10" s="96"/>
    </row>
  </sheetData>
  <mergeCells count="3">
    <mergeCell ref="B2:G2"/>
    <mergeCell ref="C3:D3"/>
    <mergeCell ref="B10:G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827AE-9462-45D6-9207-A64F5D7F5D1D}">
  <dimension ref="A3:E13"/>
  <sheetViews>
    <sheetView topLeftCell="A5" workbookViewId="0">
      <selection activeCell="B10" sqref="B10"/>
    </sheetView>
  </sheetViews>
  <sheetFormatPr defaultRowHeight="15"/>
  <cols>
    <col min="1" max="1" width="16.28515625" customWidth="1"/>
    <col min="2" max="2" width="19.28515625" customWidth="1"/>
    <col min="3" max="3" width="16.42578125" customWidth="1"/>
    <col min="4" max="4" width="18" customWidth="1"/>
    <col min="5" max="5" width="18.7109375" customWidth="1"/>
  </cols>
  <sheetData>
    <row r="3" spans="1:5" ht="15.75">
      <c r="A3" s="93" t="s">
        <v>130</v>
      </c>
      <c r="B3" s="93"/>
      <c r="C3" s="93"/>
      <c r="D3" s="93"/>
      <c r="E3" s="93"/>
    </row>
    <row r="4" spans="1:5">
      <c r="A4" s="35" t="s">
        <v>88</v>
      </c>
      <c r="B4" s="35" t="s">
        <v>89</v>
      </c>
      <c r="C4" s="35" t="s">
        <v>90</v>
      </c>
      <c r="D4" s="35" t="s">
        <v>91</v>
      </c>
      <c r="E4" s="35" t="s">
        <v>92</v>
      </c>
    </row>
    <row r="5" spans="1:5" ht="51">
      <c r="A5" s="48" t="s">
        <v>131</v>
      </c>
      <c r="B5" s="48" t="s">
        <v>2</v>
      </c>
      <c r="C5" s="48" t="s">
        <v>132</v>
      </c>
      <c r="D5" s="48" t="s">
        <v>133</v>
      </c>
      <c r="E5" s="48" t="s">
        <v>134</v>
      </c>
    </row>
    <row r="6" spans="1:5" ht="38.25">
      <c r="A6" s="38" t="s">
        <v>135</v>
      </c>
      <c r="B6" s="39">
        <v>0.9</v>
      </c>
      <c r="C6" s="39">
        <v>1</v>
      </c>
      <c r="D6" s="39" t="s">
        <v>19</v>
      </c>
      <c r="E6" s="39">
        <f>B6*C6</f>
        <v>0.9</v>
      </c>
    </row>
    <row r="7" spans="1:5" ht="25.5">
      <c r="A7" s="38" t="s">
        <v>136</v>
      </c>
      <c r="B7" s="39">
        <v>0.9</v>
      </c>
      <c r="C7" s="39">
        <v>1</v>
      </c>
      <c r="D7" s="39" t="s">
        <v>19</v>
      </c>
      <c r="E7" s="39">
        <f t="shared" ref="E7:E12" si="0">B7*C7</f>
        <v>0.9</v>
      </c>
    </row>
    <row r="8" spans="1:5" ht="25.5">
      <c r="A8" s="38" t="s">
        <v>137</v>
      </c>
      <c r="B8" s="39">
        <v>0.9</v>
      </c>
      <c r="C8" s="39">
        <v>1</v>
      </c>
      <c r="D8" s="39" t="s">
        <v>19</v>
      </c>
      <c r="E8" s="39">
        <f t="shared" si="0"/>
        <v>0.9</v>
      </c>
    </row>
    <row r="9" spans="1:5" ht="38.25">
      <c r="A9" s="38" t="s">
        <v>37</v>
      </c>
      <c r="B9" s="39">
        <v>0</v>
      </c>
      <c r="C9" s="39">
        <v>1</v>
      </c>
      <c r="D9" s="39" t="s">
        <v>19</v>
      </c>
      <c r="E9" s="39">
        <f t="shared" si="0"/>
        <v>0</v>
      </c>
    </row>
    <row r="10" spans="1:5" ht="25.5">
      <c r="A10" s="38" t="s">
        <v>138</v>
      </c>
      <c r="B10" s="39">
        <v>0.9</v>
      </c>
      <c r="C10" s="39">
        <v>1</v>
      </c>
      <c r="D10" s="39" t="s">
        <v>19</v>
      </c>
      <c r="E10" s="39">
        <f t="shared" si="0"/>
        <v>0.9</v>
      </c>
    </row>
    <row r="11" spans="1:5">
      <c r="A11" s="38" t="s">
        <v>139</v>
      </c>
      <c r="B11" s="39">
        <v>79.8</v>
      </c>
      <c r="C11" s="39">
        <v>1</v>
      </c>
      <c r="D11" s="39" t="s">
        <v>19</v>
      </c>
      <c r="E11" s="39">
        <f t="shared" si="0"/>
        <v>79.8</v>
      </c>
    </row>
    <row r="12" spans="1:5" ht="25.5">
      <c r="A12" s="38" t="s">
        <v>140</v>
      </c>
      <c r="B12" s="39">
        <v>79.8</v>
      </c>
      <c r="C12" s="39">
        <v>2</v>
      </c>
      <c r="D12" s="39" t="s">
        <v>19</v>
      </c>
      <c r="E12" s="39">
        <f t="shared" si="0"/>
        <v>159.6</v>
      </c>
    </row>
    <row r="13" spans="1:5">
      <c r="A13" s="64" t="s">
        <v>141</v>
      </c>
      <c r="B13" s="1"/>
      <c r="C13" s="1"/>
      <c r="D13" s="1"/>
      <c r="E13" s="1">
        <f>SUM(E6:E12)</f>
        <v>243</v>
      </c>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2024-10-01T13:31:55+00:00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721953E-B3A6-4B97-A9B9-D1661B7C0508}"/>
</file>

<file path=customXml/itemProps2.xml><?xml version="1.0" encoding="utf-8"?>
<ds:datastoreItem xmlns:ds="http://schemas.openxmlformats.org/officeDocument/2006/customXml" ds:itemID="{961200E4-3300-455E-ACD1-1A0C11D74F3B}"/>
</file>

<file path=customXml/itemProps3.xml><?xml version="1.0" encoding="utf-8"?>
<ds:datastoreItem xmlns:ds="http://schemas.openxmlformats.org/officeDocument/2006/customXml" ds:itemID="{796C3C30-4C0D-48EF-A7D0-6C68913C6744}"/>
</file>

<file path=customXml/itemProps4.xml><?xml version="1.0" encoding="utf-8"?>
<ds:datastoreItem xmlns:ds="http://schemas.openxmlformats.org/officeDocument/2006/customXml" ds:itemID="{C7D5ED2D-C984-404A-A075-006839930B62}"/>
</file>

<file path=docProps/app.xml><?xml version="1.0" encoding="utf-8"?>
<Properties xmlns="http://schemas.openxmlformats.org/officeDocument/2006/extended-properties" xmlns:vt="http://schemas.openxmlformats.org/officeDocument/2006/docPropsVTypes">
  <Application>Microsoft Excel Online</Application>
  <Manager/>
  <Company>Eastern Research Group,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Sellers</dc:creator>
  <cp:keywords/>
  <dc:description/>
  <cp:lastModifiedBy>Stacie Enoch</cp:lastModifiedBy>
  <cp:revision/>
  <dcterms:created xsi:type="dcterms:W3CDTF">2014-04-14T15:38:04Z</dcterms:created>
  <dcterms:modified xsi:type="dcterms:W3CDTF">2024-09-30T17:06:03Z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y fmtid="{D5CDD505-2E9C-101B-9397-08002B2CF9AE}" pid="3" name="MediaServiceImageTags">
    <vt:lpwstr/>
  </property>
</Properties>
</file>