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easternresearchgroup.sharepoint.com/sites/CAAICRRenewals/Shared Documents/General/FY25_Drafts/2568.04 NESHAP from Manufacturing of Nutritional Yeast/"/>
    </mc:Choice>
  </mc:AlternateContent>
  <xr:revisionPtr revIDLastSave="70" documentId="13_ncr:1_{669EEDA5-A5D2-47CA-8C65-51D5D075FA5F}" xr6:coauthVersionLast="47" xr6:coauthVersionMax="47" xr10:uidLastSave="{4FA967CB-7F7C-4080-9080-3072D46A6848}"/>
  <bookViews>
    <workbookView xWindow="-120" yWindow="-120" windowWidth="29040" windowHeight="15720" xr2:uid="{D855CF00-F869-48B3-9963-4AD001D31E8A}"/>
  </bookViews>
  <sheets>
    <sheet name="Summary" sheetId="6" r:id="rId1"/>
    <sheet name="Table 1" sheetId="1" r:id="rId2"/>
    <sheet name="Table 2" sheetId="2" r:id="rId3"/>
    <sheet name="Capital O&amp;M" sheetId="3" r:id="rId4"/>
    <sheet name="Responses" sheetId="5" r:id="rId5"/>
    <sheet name="Respondents" sheetId="4"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39" i="1" l="1"/>
  <c r="I8" i="3"/>
  <c r="E10" i="5"/>
  <c r="E4" i="5"/>
  <c r="B9" i="5"/>
  <c r="B8" i="5"/>
  <c r="B7" i="5"/>
  <c r="B6" i="5"/>
  <c r="B5" i="5"/>
  <c r="B4" i="5"/>
  <c r="I11" i="2" l="1"/>
  <c r="F11" i="2"/>
  <c r="I10" i="2"/>
  <c r="G10" i="2"/>
  <c r="H10" i="2"/>
  <c r="F10" i="2"/>
  <c r="D10" i="2"/>
  <c r="I39" i="1"/>
  <c r="I22" i="1"/>
  <c r="I5" i="1"/>
  <c r="E7" i="5" l="1"/>
  <c r="D6" i="2"/>
  <c r="F6" i="2" s="1"/>
  <c r="D5" i="2"/>
  <c r="F5" i="2" s="1"/>
  <c r="H5" i="2" s="1"/>
  <c r="H6" i="2" l="1"/>
  <c r="G6" i="2"/>
  <c r="I6" i="2" s="1"/>
  <c r="G5" i="2"/>
  <c r="I5" i="2" s="1"/>
  <c r="D7" i="2" l="1"/>
  <c r="F7" i="2" s="1"/>
  <c r="G7" i="2" s="1"/>
  <c r="D8" i="2"/>
  <c r="F8" i="2" s="1"/>
  <c r="D9" i="2"/>
  <c r="H7" i="2" l="1"/>
  <c r="I7" i="2" s="1"/>
  <c r="G8" i="2"/>
  <c r="H8" i="2"/>
  <c r="I8" i="2" l="1"/>
  <c r="E37" i="1"/>
  <c r="D37" i="1"/>
  <c r="D38" i="1"/>
  <c r="D36" i="1"/>
  <c r="D34" i="1"/>
  <c r="D33" i="1"/>
  <c r="D31" i="1"/>
  <c r="D30" i="1"/>
  <c r="F30" i="1" s="1"/>
  <c r="D29" i="1"/>
  <c r="D27" i="1"/>
  <c r="F27" i="1" s="1"/>
  <c r="E38" i="1"/>
  <c r="E36" i="1"/>
  <c r="E34" i="1"/>
  <c r="E33" i="1"/>
  <c r="E31" i="1"/>
  <c r="E30" i="1"/>
  <c r="F34" i="1" l="1"/>
  <c r="F37" i="1"/>
  <c r="G37" i="1"/>
  <c r="H37" i="1"/>
  <c r="I37" i="1"/>
  <c r="F38" i="1"/>
  <c r="H38" i="1" s="1"/>
  <c r="F36" i="1"/>
  <c r="H36" i="1" s="1"/>
  <c r="F33" i="1"/>
  <c r="H33" i="1" s="1"/>
  <c r="F31" i="1"/>
  <c r="H31" i="1" s="1"/>
  <c r="H30" i="1"/>
  <c r="G30" i="1"/>
  <c r="F29" i="1"/>
  <c r="H29" i="1" s="1"/>
  <c r="G34" i="1"/>
  <c r="H34" i="1"/>
  <c r="H27" i="1"/>
  <c r="G27" i="1"/>
  <c r="E21" i="1"/>
  <c r="F20" i="1"/>
  <c r="E9" i="1"/>
  <c r="D21" i="1"/>
  <c r="D20" i="1"/>
  <c r="D19" i="1"/>
  <c r="F19" i="1" s="1"/>
  <c r="H19" i="1" s="1"/>
  <c r="D18" i="1"/>
  <c r="D17" i="1"/>
  <c r="D16" i="1"/>
  <c r="F16" i="1" s="1"/>
  <c r="D12" i="1"/>
  <c r="D11" i="1"/>
  <c r="D10" i="1"/>
  <c r="D9" i="1"/>
  <c r="D8" i="1"/>
  <c r="D5" i="1"/>
  <c r="E5" i="1"/>
  <c r="G7" i="3"/>
  <c r="G5" i="3"/>
  <c r="B7" i="3"/>
  <c r="F17" i="1" l="1"/>
  <c r="H17" i="1" s="1"/>
  <c r="F18" i="1"/>
  <c r="H18" i="1" s="1"/>
  <c r="I30" i="1"/>
  <c r="G33" i="1"/>
  <c r="I33" i="1" s="1"/>
  <c r="I27" i="1"/>
  <c r="I34" i="1"/>
  <c r="G38" i="1"/>
  <c r="I38" i="1" s="1"/>
  <c r="G36" i="1"/>
  <c r="I36" i="1" s="1"/>
  <c r="G31" i="1"/>
  <c r="I31" i="1" s="1"/>
  <c r="G29" i="1"/>
  <c r="I29" i="1" s="1"/>
  <c r="G19" i="1"/>
  <c r="I19" i="1" s="1"/>
  <c r="G16" i="1"/>
  <c r="G20" i="1"/>
  <c r="H20" i="1"/>
  <c r="H16" i="1"/>
  <c r="G18" i="1" l="1"/>
  <c r="G17" i="1"/>
  <c r="I17" i="1" s="1"/>
  <c r="I20" i="1"/>
  <c r="I18" i="1"/>
  <c r="I16" i="1"/>
  <c r="E9" i="5" l="1"/>
  <c r="E8" i="5"/>
  <c r="E6" i="5"/>
  <c r="E5" i="5"/>
  <c r="C8" i="4"/>
  <c r="B8" i="4"/>
  <c r="F7" i="4"/>
  <c r="F6" i="4"/>
  <c r="F5" i="4"/>
  <c r="D5" i="3"/>
  <c r="D7" i="3"/>
  <c r="F8" i="4" l="1"/>
  <c r="B3" i="6" s="1"/>
  <c r="F21" i="1"/>
  <c r="H21" i="1" s="1"/>
  <c r="G21" i="1" l="1"/>
  <c r="I21" i="1" s="1"/>
  <c r="F9" i="2" l="1"/>
  <c r="G9" i="2" l="1"/>
  <c r="H9" i="2"/>
  <c r="I9" i="2" l="1"/>
  <c r="G6" i="3"/>
  <c r="G8" i="3" s="1"/>
  <c r="D6" i="3"/>
  <c r="D8" i="3" s="1"/>
  <c r="B6" i="6" l="1"/>
  <c r="F12" i="1" l="1"/>
  <c r="G12" i="1" s="1"/>
  <c r="I41" i="1"/>
  <c r="H12" i="1" l="1"/>
  <c r="I12" i="1" s="1"/>
  <c r="F11" i="1"/>
  <c r="F10" i="1"/>
  <c r="H10" i="1" s="1"/>
  <c r="F9" i="1"/>
  <c r="H11" i="1" l="1"/>
  <c r="G9" i="1"/>
  <c r="G11" i="1"/>
  <c r="H9" i="1"/>
  <c r="G10" i="1"/>
  <c r="I10" i="1" s="1"/>
  <c r="F5" i="1"/>
  <c r="H5" i="1" l="1"/>
  <c r="I11" i="1"/>
  <c r="I9" i="1"/>
  <c r="G5" i="1"/>
  <c r="F39" i="1" l="1"/>
  <c r="F8" i="1" l="1"/>
  <c r="G8" i="1" l="1"/>
  <c r="H8" i="1"/>
  <c r="F22" i="1" l="1"/>
  <c r="I8" i="1"/>
  <c r="I40" i="1" l="1"/>
  <c r="I42" i="1" s="1"/>
  <c r="B5" i="6" s="1"/>
  <c r="F40" i="1"/>
  <c r="B4" i="6" s="1"/>
  <c r="B2" i="6" l="1"/>
</calcChain>
</file>

<file path=xl/sharedStrings.xml><?xml version="1.0" encoding="utf-8"?>
<sst xmlns="http://schemas.openxmlformats.org/spreadsheetml/2006/main" count="161" uniqueCount="143">
  <si>
    <t>ICR Summary Information</t>
  </si>
  <si>
    <t>Number of Respondents</t>
  </si>
  <si>
    <t>Total Estimated Burden Hours</t>
  </si>
  <si>
    <t>Total Estimated Costs</t>
  </si>
  <si>
    <t>Annualized Capital O&amp;M</t>
  </si>
  <si>
    <t>Total Annual Responses</t>
  </si>
  <si>
    <t>Form Number</t>
  </si>
  <si>
    <t>Burden Item</t>
  </si>
  <si>
    <t>(A)
Person hours per occurrence</t>
  </si>
  <si>
    <t>(B)
No. of occurrences per respondent per year</t>
  </si>
  <si>
    <t>(C) 
Person hours per respondent per year 
(C=AxB)</t>
  </si>
  <si>
    <r>
      <t xml:space="preserve">(D)
Respondents per year </t>
    </r>
    <r>
      <rPr>
        <vertAlign val="superscript"/>
        <sz val="10"/>
        <color theme="1"/>
        <rFont val="Times New Roman"/>
        <family val="1"/>
      </rPr>
      <t>a</t>
    </r>
  </si>
  <si>
    <t>(E) 
Technical person- hours per year (E=CxD)</t>
  </si>
  <si>
    <t>(F)
Management person hours per year (Ex0.05)</t>
  </si>
  <si>
    <t>(G)
Clerical person hours per year (Ex0.1)</t>
  </si>
  <si>
    <r>
      <t xml:space="preserve">(H)
Cost, $ </t>
    </r>
    <r>
      <rPr>
        <vertAlign val="superscript"/>
        <sz val="10"/>
        <color theme="1"/>
        <rFont val="Times New Roman"/>
        <family val="1"/>
      </rPr>
      <t>b</t>
    </r>
  </si>
  <si>
    <t>1.  Reporting requirements</t>
  </si>
  <si>
    <t>Labor Rates</t>
  </si>
  <si>
    <t>Management</t>
  </si>
  <si>
    <t>Technical</t>
  </si>
  <si>
    <t>Clerical</t>
  </si>
  <si>
    <t>Subtotal for Reporting Requirements</t>
  </si>
  <si>
    <t xml:space="preserve">Subtotal for Recordkeeping Requirements  </t>
  </si>
  <si>
    <t>hr/response</t>
  </si>
  <si>
    <t>Assumptions:</t>
  </si>
  <si>
    <t>Burden item</t>
  </si>
  <si>
    <t>(A)
 Person hours per occurrence</t>
  </si>
  <si>
    <t>(B) 
No. of occurrences per respondent per year</t>
  </si>
  <si>
    <t>(C) 
Person hours per respondent per year (C=AxB)</t>
  </si>
  <si>
    <r>
      <t xml:space="preserve">(D) 
Respondents per year  </t>
    </r>
    <r>
      <rPr>
        <vertAlign val="superscript"/>
        <sz val="10"/>
        <rFont val="Times New Roman"/>
        <family val="1"/>
      </rPr>
      <t>a</t>
    </r>
  </si>
  <si>
    <t>(F) 
Management person hours per year (Ex0.05)</t>
  </si>
  <si>
    <t>(G) 
Clerical person hours per year (Ex0.1)</t>
  </si>
  <si>
    <r>
      <t xml:space="preserve">(H) 
Cost, $ </t>
    </r>
    <r>
      <rPr>
        <vertAlign val="superscript"/>
        <sz val="10"/>
        <rFont val="Times New Roman"/>
        <family val="1"/>
      </rPr>
      <t>b</t>
    </r>
  </si>
  <si>
    <r>
      <t>Capital/Startup vs. Operation and Maintenance (O&amp;M) Costs</t>
    </r>
    <r>
      <rPr>
        <sz val="10"/>
        <color theme="1"/>
        <rFont val="Times New Roman"/>
        <family val="1"/>
      </rPr>
      <t> </t>
    </r>
  </si>
  <si>
    <t>(A)</t>
  </si>
  <si>
    <t>(B)</t>
  </si>
  <si>
    <t>(C)</t>
  </si>
  <si>
    <t>(D)</t>
  </si>
  <si>
    <t>(E)</t>
  </si>
  <si>
    <t>(F)</t>
  </si>
  <si>
    <t>(G)</t>
  </si>
  <si>
    <t>Continuous Monitoring Device</t>
  </si>
  <si>
    <t>Capital/Startup Cost for One Respondent</t>
  </si>
  <si>
    <t>Total Capital/Startup Cost,  (B X C)</t>
  </si>
  <si>
    <t>Total O&amp;M, 
(E X F)</t>
  </si>
  <si>
    <t>Information Collection Activity</t>
  </si>
  <si>
    <r>
      <t xml:space="preserve">Number of Respondents </t>
    </r>
    <r>
      <rPr>
        <vertAlign val="superscript"/>
        <sz val="10"/>
        <color rgb="FF000000"/>
        <rFont val="Times New Roman"/>
        <family val="1"/>
      </rPr>
      <t>a</t>
    </r>
  </si>
  <si>
    <t>Number of Responses</t>
  </si>
  <si>
    <t>Number of Existing Respondents That Keep Records But Do Not Submit Reports</t>
  </si>
  <si>
    <t>Total Annual Responses E=(BxC)+D</t>
  </si>
  <si>
    <t>Total</t>
  </si>
  <si>
    <t>Respondents That Submit Reports</t>
  </si>
  <si>
    <t>Respondents That Do Not Submit Any Reports</t>
  </si>
  <si>
    <t>Year</t>
  </si>
  <si>
    <r>
      <t xml:space="preserve">Number of New Respondents </t>
    </r>
    <r>
      <rPr>
        <b/>
        <vertAlign val="superscript"/>
        <sz val="10"/>
        <color rgb="FF000000"/>
        <rFont val="Times New Roman"/>
        <family val="1"/>
      </rPr>
      <t>a</t>
    </r>
  </si>
  <si>
    <t>Number of Existing Respondents</t>
  </si>
  <si>
    <t>Number of Existing Respondents that keep records but do not submit reports</t>
  </si>
  <si>
    <t>Number of Existing Respondents That Are Also New Respondents</t>
  </si>
  <si>
    <t>Number of Respondents (E=A+B+C-D)</t>
  </si>
  <si>
    <t>Average</t>
  </si>
  <si>
    <r>
      <t xml:space="preserve">a </t>
    </r>
    <r>
      <rPr>
        <sz val="10"/>
        <color rgb="FF000000"/>
        <rFont val="Times New Roman"/>
        <family val="1"/>
      </rPr>
      <t xml:space="preserve">  New respondents include sources with constructed and reconstructed affected facilities.</t>
    </r>
  </si>
  <si>
    <t>Not Applicable</t>
  </si>
  <si>
    <r>
      <t>b</t>
    </r>
    <r>
      <rPr>
        <sz val="10"/>
        <rFont val="Times New Roman"/>
        <family val="1"/>
      </rPr>
      <t xml:space="preserve">  This cost is based on the average hourly labor rate as follows: Managerial $76.92 (GS-13, Step 5, $48.07 + 60%); Technical $57.07 (GS-12, Step 1, $35.67 + 60%); and Clerical $30.88 (GS-6, Step 3, $19.30+ 60%). This ICR assumes that Managerial hours are 5 percent of Technical hours, and Clerical hours are 10 percent of Technical hours. These rates are from the Office of Personnel Management (OPM), 2023 General Schedule, which excludes locality, rates of pay. The rates have been increased by 60 percent to account for the benefit packages available to government employees.</t>
    </r>
  </si>
  <si>
    <r>
      <t>Number of Respondents with O&amp;M</t>
    </r>
    <r>
      <rPr>
        <b/>
        <vertAlign val="superscript"/>
        <sz val="10"/>
        <color theme="1"/>
        <rFont val="Times New Roman"/>
        <family val="1"/>
      </rPr>
      <t xml:space="preserve"> </t>
    </r>
  </si>
  <si>
    <t xml:space="preserve">Number of New  Respondents </t>
  </si>
  <si>
    <r>
      <t>VOC CEMs</t>
    </r>
    <r>
      <rPr>
        <vertAlign val="superscript"/>
        <sz val="10"/>
        <color rgb="FF000000"/>
        <rFont val="Times New Roman"/>
        <family val="1"/>
      </rPr>
      <t>a</t>
    </r>
  </si>
  <si>
    <r>
      <t>CEMS RATA</t>
    </r>
    <r>
      <rPr>
        <vertAlign val="superscript"/>
        <sz val="10"/>
        <color rgb="FF000000"/>
        <rFont val="Times New Roman"/>
        <family val="1"/>
      </rPr>
      <t>b</t>
    </r>
  </si>
  <si>
    <r>
      <t>Brew Ethanol Correlation</t>
    </r>
    <r>
      <rPr>
        <vertAlign val="superscript"/>
        <sz val="10"/>
        <color rgb="FF000000"/>
        <rFont val="Times New Roman"/>
        <family val="1"/>
      </rPr>
      <t>c</t>
    </r>
  </si>
  <si>
    <r>
      <rPr>
        <vertAlign val="superscript"/>
        <sz val="10"/>
        <color rgb="FF000000"/>
        <rFont val="Times New Roman"/>
        <family val="1"/>
      </rPr>
      <t>a</t>
    </r>
    <r>
      <rPr>
        <sz val="10"/>
        <color rgb="FF000000"/>
        <rFont val="Times New Roman"/>
        <family val="1"/>
      </rPr>
      <t xml:space="preserve"> Assumes all facilities have installed CEMS to comply with the rule. Annual costs include operation, maintenance, and repair of CEMS.</t>
    </r>
  </si>
  <si>
    <r>
      <rPr>
        <vertAlign val="superscript"/>
        <sz val="10"/>
        <color rgb="FF000000"/>
        <rFont val="Times New Roman"/>
        <family val="1"/>
      </rPr>
      <t>b</t>
    </r>
    <r>
      <rPr>
        <sz val="10"/>
        <color rgb="FF000000"/>
        <rFont val="Times New Roman"/>
        <family val="1"/>
      </rPr>
      <t xml:space="preserve"> Assumes an annual O&amp;M cost of $3,624 to conduct RATA per CEMS and an average of 6.5 CEMs per facility. Assumes 4 respondents will complete over 12 quarters or 3 years for average of 1.33 respondents/year.</t>
    </r>
  </si>
  <si>
    <r>
      <rPr>
        <vertAlign val="superscript"/>
        <sz val="10"/>
        <color rgb="FF000000"/>
        <rFont val="Times New Roman"/>
        <family val="1"/>
      </rPr>
      <t>c</t>
    </r>
    <r>
      <rPr>
        <sz val="10"/>
        <color rgb="FF000000"/>
        <rFont val="Times New Roman"/>
        <family val="1"/>
      </rPr>
      <t xml:space="preserve"> Assumes no facilities will conduct brew ethanol correlation.</t>
    </r>
  </si>
  <si>
    <r>
      <t>a</t>
    </r>
    <r>
      <rPr>
        <sz val="10"/>
        <rFont val="Times New Roman"/>
        <family val="1"/>
      </rPr>
      <t xml:space="preserve">  We assume that an average of 4 respondents will be subject to this rule, and that no new source will become subject to the rule each year over the three-year period of the ICR.</t>
    </r>
  </si>
  <si>
    <t>Notification of Performance Evaluation</t>
  </si>
  <si>
    <t>Performance Evaluation Report</t>
  </si>
  <si>
    <t>Notification of Performance Test</t>
  </si>
  <si>
    <t>Notification of Compliance Status</t>
  </si>
  <si>
    <t>Semiannual Report</t>
  </si>
  <si>
    <t>B.  Required Activities</t>
  </si>
  <si>
    <t>a.  Capital Cost</t>
  </si>
  <si>
    <t>3.  Brew Ethanol Correlation</t>
  </si>
  <si>
    <t>C.  Create Information</t>
  </si>
  <si>
    <t>D.  Gather Information</t>
  </si>
  <si>
    <t>E.  Report Preparation</t>
  </si>
  <si>
    <t>See 3B</t>
  </si>
  <si>
    <t>See 3E</t>
  </si>
  <si>
    <t>A.  Read Instructions</t>
  </si>
  <si>
    <t>B.  Implement Activities</t>
  </si>
  <si>
    <t>C.  Develop Record System</t>
  </si>
  <si>
    <t>D.  Record information</t>
  </si>
  <si>
    <t>E.  Personnel Training</t>
  </si>
  <si>
    <t>F.  Time for Audits</t>
  </si>
  <si>
    <t>2.  Recordkeeping Requirements</t>
  </si>
  <si>
    <t>i.  Develop Performance Evaluation Plan</t>
  </si>
  <si>
    <t>ii.  Notification of Performance Evaluation</t>
  </si>
  <si>
    <t>iii.  Performance Evaluation Report</t>
  </si>
  <si>
    <t>iv.  Notification of Performance Test</t>
  </si>
  <si>
    <t>v.  Notification of Compliance Status</t>
  </si>
  <si>
    <t>vi.  Semiannual Compliance Report</t>
  </si>
  <si>
    <t>i.  Compliance Calculation Tracking</t>
  </si>
  <si>
    <t>i.  Performance Evaluations</t>
  </si>
  <si>
    <t>ii.  CEMS Measurements</t>
  </si>
  <si>
    <t>iii.  Compliance Calculation</t>
  </si>
  <si>
    <t>iv.  CEMS Calibration and Maintenance</t>
  </si>
  <si>
    <t>v.  Store, File, and Maintain Records</t>
  </si>
  <si>
    <t>vi.  Retrieve Records/Reports</t>
  </si>
  <si>
    <t>i.  Acquisition, Installation, &amp; Training</t>
  </si>
  <si>
    <t>ii.  CEMS Inspection and Monitoring</t>
  </si>
  <si>
    <t>See 3A</t>
  </si>
  <si>
    <t>NA</t>
  </si>
  <si>
    <r>
      <rPr>
        <vertAlign val="superscript"/>
        <sz val="10"/>
        <rFont val="Times New Roman"/>
        <family val="1"/>
      </rPr>
      <t xml:space="preserve">c </t>
    </r>
    <r>
      <rPr>
        <sz val="10"/>
        <rFont val="Times New Roman"/>
        <family val="1"/>
      </rPr>
      <t>We assume that all of the respondents will have to familiarize with the regulatory requirements each year.</t>
    </r>
  </si>
  <si>
    <r>
      <t xml:space="preserve">A.  Familiarization with regulatory requirements </t>
    </r>
    <r>
      <rPr>
        <vertAlign val="superscript"/>
        <sz val="10"/>
        <color theme="1"/>
        <rFont val="Times New Roman"/>
        <family val="1"/>
      </rPr>
      <t>c</t>
    </r>
  </si>
  <si>
    <r>
      <t xml:space="preserve">i.  VOC CEMS </t>
    </r>
    <r>
      <rPr>
        <vertAlign val="superscript"/>
        <sz val="8"/>
        <rFont val="Arial"/>
        <family val="2"/>
      </rPr>
      <t>d</t>
    </r>
  </si>
  <si>
    <r>
      <t>b.  Annualized Cost</t>
    </r>
    <r>
      <rPr>
        <vertAlign val="superscript"/>
        <sz val="8"/>
        <rFont val="Arial"/>
        <family val="2"/>
      </rPr>
      <t xml:space="preserve"> e</t>
    </r>
  </si>
  <si>
    <r>
      <t xml:space="preserve">ii.  Performance evaluation </t>
    </r>
    <r>
      <rPr>
        <vertAlign val="superscript"/>
        <sz val="8"/>
        <rFont val="Arial"/>
        <family val="2"/>
      </rPr>
      <t>f</t>
    </r>
  </si>
  <si>
    <r>
      <t xml:space="preserve">a.  CEMS RATA </t>
    </r>
    <r>
      <rPr>
        <vertAlign val="superscript"/>
        <sz val="8"/>
        <rFont val="Arial"/>
        <family val="2"/>
      </rPr>
      <t>g</t>
    </r>
  </si>
  <si>
    <r>
      <t xml:space="preserve">Total Labor Burden and Costs (rounded) </t>
    </r>
    <r>
      <rPr>
        <b/>
        <vertAlign val="superscript"/>
        <sz val="10"/>
        <rFont val="Times New Roman"/>
        <family val="1"/>
      </rPr>
      <t>h</t>
    </r>
  </si>
  <si>
    <r>
      <t>Total Capital and O&amp;M Cost (rounded)</t>
    </r>
    <r>
      <rPr>
        <b/>
        <vertAlign val="superscript"/>
        <sz val="10"/>
        <rFont val="Times New Roman"/>
        <family val="1"/>
      </rPr>
      <t xml:space="preserve"> h</t>
    </r>
  </si>
  <si>
    <r>
      <t xml:space="preserve">GRAND TOTAL (rounded) </t>
    </r>
    <r>
      <rPr>
        <b/>
        <vertAlign val="superscript"/>
        <sz val="10"/>
        <rFont val="Times New Roman"/>
        <family val="1"/>
      </rPr>
      <t>h</t>
    </r>
  </si>
  <si>
    <r>
      <t>d</t>
    </r>
    <r>
      <rPr>
        <sz val="8"/>
        <rFont val="Arial"/>
        <family val="2"/>
      </rPr>
      <t xml:space="preserve"> </t>
    </r>
    <r>
      <rPr>
        <sz val="10"/>
        <rFont val="Times New Roman"/>
        <family val="1"/>
      </rPr>
      <t>All facilities must use VOC CEMS.</t>
    </r>
  </si>
  <si>
    <r>
      <rPr>
        <vertAlign val="superscript"/>
        <sz val="10"/>
        <rFont val="Times New Roman"/>
        <family val="1"/>
      </rPr>
      <t>e</t>
    </r>
    <r>
      <rPr>
        <sz val="10"/>
        <rFont val="Times New Roman"/>
        <family val="1"/>
      </rPr>
      <t xml:space="preserve"> Annualized cost equals the average of all facility annualized costs (based on number of fermenters). Includes operation, maintenance, and repairs of CEMS.</t>
    </r>
  </si>
  <si>
    <r>
      <rPr>
        <vertAlign val="superscript"/>
        <sz val="10"/>
        <rFont val="Times New Roman"/>
        <family val="1"/>
      </rPr>
      <t>f</t>
    </r>
    <r>
      <rPr>
        <sz val="10"/>
        <rFont val="Times New Roman"/>
        <family val="1"/>
      </rPr>
      <t xml:space="preserve"> Labor hours to conduct performance evaluation of CEMS. Assumes 4 respondents will complete over 12 quarters or 3 years for average of 1.33/year.</t>
    </r>
  </si>
  <si>
    <r>
      <t xml:space="preserve">g </t>
    </r>
    <r>
      <rPr>
        <sz val="10"/>
        <rFont val="Times New Roman"/>
        <family val="1"/>
      </rPr>
      <t>Line item for annual non-labor cost to conduct RATA. Number of occurrences per respondent equals the average number of CEMS (i.e., fermenters) per facility. Assumes 4 sources will complete over 12 quarters or 3 years for average of 1.33/year.</t>
    </r>
  </si>
  <si>
    <r>
      <rPr>
        <vertAlign val="superscript"/>
        <sz val="10"/>
        <rFont val="Times New Roman"/>
        <family val="1"/>
      </rPr>
      <t xml:space="preserve">h </t>
    </r>
    <r>
      <rPr>
        <sz val="10"/>
        <rFont val="Times New Roman"/>
        <family val="1"/>
      </rPr>
      <t xml:space="preserve"> Totals have been rounded to 3 significant figures. Figures may not add exactly due to rounding.</t>
    </r>
  </si>
  <si>
    <r>
      <t xml:space="preserve">c  </t>
    </r>
    <r>
      <rPr>
        <sz val="10"/>
        <rFont val="Times New Roman"/>
        <family val="1"/>
      </rPr>
      <t>Totals have been rounded to 3 significant figures. Figures may not add exactly due to rounding.</t>
    </r>
  </si>
  <si>
    <t>Report review</t>
  </si>
  <si>
    <t>Review Notification of Performance Evaluation</t>
  </si>
  <si>
    <t>Review Performance Evaluation Report</t>
  </si>
  <si>
    <t>Review Notification of Performance Test</t>
  </si>
  <si>
    <t>Review Semiannual Compliance Report</t>
  </si>
  <si>
    <t>Managerial</t>
  </si>
  <si>
    <t>Review Performance Test Report</t>
  </si>
  <si>
    <r>
      <t xml:space="preserve">TOTAL (rounded) </t>
    </r>
    <r>
      <rPr>
        <b/>
        <vertAlign val="superscript"/>
        <sz val="10"/>
        <rFont val="Times New Roman"/>
        <family val="1"/>
      </rPr>
      <t>c</t>
    </r>
  </si>
  <si>
    <r>
      <t>a</t>
    </r>
    <r>
      <rPr>
        <sz val="10"/>
        <rFont val="Times New Roman"/>
        <family val="1"/>
      </rPr>
      <t xml:space="preserve">  We assume that an average of 4 respondents will be subject to this rule, and that no new sources will become subject to the rule each year over the three-year period of the ICR.</t>
    </r>
  </si>
  <si>
    <t>Performance Test Report</t>
  </si>
  <si>
    <r>
      <t>b</t>
    </r>
    <r>
      <rPr>
        <sz val="10"/>
        <rFont val="Times New Roman"/>
        <family val="1"/>
      </rPr>
      <t xml:space="preserve">  This ICR uses the following labor rates: Managerial $172.41 ($82.10 + 110%); Technical $141.75 ($67.50 + 110%); and Clerical $71.36 ($33.98 + 110%). These rates are from the United States Department of Labor, Bureau of Labor Statistics, December 2023, “Table 2. Civilian Workers, by occupational and industry group.” The rates are from column 1, “Total compensation.” The rates are increased by 110 percent to account for varying industry wage rates and the additional overhead business costs of employing workers beyond their wages and benefits, including business expenses associated with hiring, training, and equipping their employees.</t>
    </r>
  </si>
  <si>
    <t>Prepare annual summary report</t>
  </si>
  <si>
    <r>
      <t xml:space="preserve">Annual O&amp;M Costs for One Respondent </t>
    </r>
    <r>
      <rPr>
        <b/>
        <vertAlign val="superscript"/>
        <sz val="10"/>
        <color theme="1"/>
        <rFont val="Times New Roman"/>
        <family val="1"/>
      </rPr>
      <t>d</t>
    </r>
  </si>
  <si>
    <r>
      <rPr>
        <vertAlign val="superscript"/>
        <sz val="10"/>
        <rFont val="Calibri"/>
        <family val="2"/>
        <scheme val="minor"/>
      </rPr>
      <t xml:space="preserve">d </t>
    </r>
    <r>
      <rPr>
        <sz val="10"/>
        <rFont val="Calibri"/>
        <family val="2"/>
        <scheme val="minor"/>
      </rPr>
      <t>Annualized capital costs were calculated based on 2015 dollars using an equipment life of 10 years and a 7 percent discount rate.</t>
    </r>
  </si>
  <si>
    <r>
      <t>Totals</t>
    </r>
    <r>
      <rPr>
        <sz val="10"/>
        <color theme="1"/>
        <rFont val="Times New Roman"/>
        <family val="1"/>
      </rPr>
      <t xml:space="preserve"> (rounded)</t>
    </r>
    <r>
      <rPr>
        <b/>
        <sz val="10"/>
        <color theme="1"/>
        <rFont val="Times New Roman"/>
        <family val="1"/>
      </rPr>
      <t xml:space="preserve"> </t>
    </r>
    <r>
      <rPr>
        <b/>
        <vertAlign val="superscript"/>
        <sz val="10"/>
        <color theme="1"/>
        <rFont val="Times New Roman"/>
        <family val="1"/>
      </rPr>
      <t>e</t>
    </r>
  </si>
  <si>
    <r>
      <rPr>
        <vertAlign val="superscript"/>
        <sz val="10"/>
        <color theme="1"/>
        <rFont val="Calibri"/>
        <family val="2"/>
        <scheme val="minor"/>
      </rPr>
      <t xml:space="preserve">e </t>
    </r>
    <r>
      <rPr>
        <sz val="10"/>
        <color theme="1"/>
        <rFont val="Calibri"/>
        <family val="2"/>
        <scheme val="minor"/>
      </rPr>
      <t>Totals have been rounded to 3 significant figures. Figures may not add exactly due to rounding.</t>
    </r>
  </si>
  <si>
    <t>Hours per Response</t>
  </si>
  <si>
    <t>Table 1: Annual Respondent Burden and Cost –  NESHAP for Manufacturing of Nutritional Yeast (40 CFR Part 63, Subpart CCCC) (Renewal)</t>
  </si>
  <si>
    <t>Table 2: Average Annual EPA Burden and Cost –  NESHAP for Manufacturing of Nutritional Yeast (40 CFR Part 63, Subpart CCCC) (Renewal)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</si>
</sst>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1" formatCode="_(* #,##0_);_(* \(#,##0\);_(* &quot;-&quot;_);_(@_)"/>
    <numFmt numFmtId="164" formatCode="General_)"/>
    <numFmt numFmtId="165" formatCode="&quot;$&quot;#,##0.00"/>
    <numFmt numFmtId="166" formatCode="&quot;$&quot;#,##0"/>
    <numFmt numFmtId="167" formatCode="0.0"/>
  </numFmts>
  <fonts count="35" x14ac:knownFonts="1">
    <font>
      <sz val="11"/>
      <color theme="1"/>
      <name val="Calibri"/>
      <family val="2"/>
      <scheme val="minor"/>
    </font>
    <font>
      <b/>
      <sz val="12"/>
      <color theme="1"/>
      <name val="Times New Roman"/>
      <family val="1"/>
    </font>
    <font>
      <sz val="10"/>
      <color theme="1"/>
      <name val="Times New Roman"/>
      <family val="1"/>
    </font>
    <font>
      <b/>
      <sz val="10"/>
      <color theme="1"/>
      <name val="Times New Roman"/>
      <family val="1"/>
    </font>
    <font>
      <b/>
      <vertAlign val="superscript"/>
      <sz val="10"/>
      <color theme="1"/>
      <name val="Times New Roman"/>
      <family val="1"/>
    </font>
    <font>
      <vertAlign val="superscript"/>
      <sz val="10"/>
      <color theme="1"/>
      <name val="Times New Roman"/>
      <family val="1"/>
    </font>
    <font>
      <b/>
      <i/>
      <sz val="10"/>
      <color rgb="FF000000"/>
      <name val="Times New Roman"/>
      <family val="1"/>
    </font>
    <font>
      <b/>
      <i/>
      <sz val="10"/>
      <color theme="1"/>
      <name val="Times New Roman"/>
      <family val="1"/>
    </font>
    <font>
      <i/>
      <sz val="10"/>
      <color theme="1"/>
      <name val="Times New Roman"/>
      <family val="1"/>
    </font>
    <font>
      <sz val="10"/>
      <color rgb="FFFF0000"/>
      <name val="Times New Roman"/>
      <family val="1"/>
    </font>
    <font>
      <sz val="10"/>
      <name val="Times New Roman"/>
      <family val="1"/>
    </font>
    <font>
      <sz val="8"/>
      <name val="Helv"/>
    </font>
    <font>
      <b/>
      <sz val="10"/>
      <name val="Times New Roman"/>
      <family val="1"/>
    </font>
    <font>
      <b/>
      <u/>
      <sz val="10"/>
      <name val="Times New Roman"/>
      <family val="1"/>
    </font>
    <font>
      <b/>
      <sz val="12"/>
      <color rgb="FF000000"/>
      <name val="Times New Roman"/>
      <family val="1"/>
    </font>
    <font>
      <sz val="10"/>
      <color rgb="FF000000"/>
      <name val="Times New Roman"/>
      <family val="1"/>
    </font>
    <font>
      <b/>
      <sz val="10"/>
      <color rgb="FF000000"/>
      <name val="Times New Roman"/>
      <family val="1"/>
    </font>
    <font>
      <b/>
      <vertAlign val="superscript"/>
      <sz val="10"/>
      <color rgb="FF000000"/>
      <name val="Times New Roman"/>
      <family val="1"/>
    </font>
    <font>
      <b/>
      <sz val="10"/>
      <color rgb="FFFF0000"/>
      <name val="Times New Roman"/>
      <family val="1"/>
    </font>
    <font>
      <vertAlign val="superscript"/>
      <sz val="10"/>
      <name val="Times New Roman"/>
      <family val="1"/>
    </font>
    <font>
      <b/>
      <vertAlign val="superscript"/>
      <sz val="10"/>
      <name val="Times New Roman"/>
      <family val="1"/>
    </font>
    <font>
      <b/>
      <i/>
      <sz val="10"/>
      <name val="Times New Roman"/>
      <family val="1"/>
    </font>
    <font>
      <b/>
      <sz val="16"/>
      <color theme="1"/>
      <name val="Times New Roman"/>
      <family val="1"/>
    </font>
    <font>
      <vertAlign val="superscript"/>
      <sz val="10"/>
      <color rgb="FF000000"/>
      <name val="Times New Roman"/>
      <family val="1"/>
    </font>
    <font>
      <sz val="10"/>
      <color theme="1"/>
      <name val="Calibri"/>
      <family val="2"/>
      <scheme val="minor"/>
    </font>
    <font>
      <sz val="8"/>
      <name val="Calibri"/>
      <family val="2"/>
      <scheme val="minor"/>
    </font>
    <font>
      <sz val="12"/>
      <color theme="1"/>
      <name val="Times New Roman"/>
      <family val="1"/>
    </font>
    <font>
      <sz val="12"/>
      <color rgb="FF000000"/>
      <name val="Times New Roman"/>
      <family val="1"/>
    </font>
    <font>
      <sz val="9"/>
      <color rgb="FF000000"/>
      <name val="Times New Roman"/>
      <family val="1"/>
    </font>
    <font>
      <sz val="9"/>
      <color theme="1"/>
      <name val="Times New Roman"/>
      <family val="1"/>
    </font>
    <font>
      <sz val="8"/>
      <name val="Arial"/>
      <family val="2"/>
    </font>
    <font>
      <vertAlign val="superscript"/>
      <sz val="8"/>
      <name val="Arial"/>
      <family val="2"/>
    </font>
    <font>
      <sz val="10"/>
      <name val="Calibri"/>
      <family val="2"/>
      <scheme val="minor"/>
    </font>
    <font>
      <vertAlign val="superscript"/>
      <sz val="10"/>
      <name val="Calibri"/>
      <family val="2"/>
      <scheme val="minor"/>
    </font>
    <font>
      <vertAlign val="superscript"/>
      <sz val="10"/>
      <color theme="1"/>
      <name val="Calibri"/>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164" fontId="11" fillId="0" borderId="0"/>
  </cellStyleXfs>
  <cellXfs count="131">
    <xf numFmtId="0" fontId="0" fillId="0" borderId="0" xfId="0"/>
    <xf numFmtId="0" fontId="2" fillId="0" borderId="0" xfId="0" applyFont="1"/>
    <xf numFmtId="0" fontId="2" fillId="0" borderId="1" xfId="0" applyFont="1" applyBorder="1" applyAlignment="1">
      <alignment horizontal="center" wrapText="1"/>
    </xf>
    <xf numFmtId="0" fontId="9" fillId="0" borderId="0" xfId="0" applyFont="1"/>
    <xf numFmtId="164" fontId="13" fillId="0" borderId="0" xfId="1" applyFont="1" applyAlignment="1">
      <alignment horizontal="center" vertical="center" wrapText="1"/>
    </xf>
    <xf numFmtId="164" fontId="10" fillId="0" borderId="0" xfId="1" applyFont="1" applyAlignment="1">
      <alignment horizontal="center" vertical="center" wrapText="1"/>
    </xf>
    <xf numFmtId="165" fontId="10" fillId="0" borderId="0" xfId="1" applyNumberFormat="1" applyFont="1" applyAlignment="1">
      <alignment horizontal="right" wrapText="1"/>
    </xf>
    <xf numFmtId="0" fontId="10" fillId="0" borderId="0" xfId="0" applyFont="1"/>
    <xf numFmtId="0" fontId="2" fillId="0" borderId="0" xfId="0" applyFont="1" applyAlignment="1">
      <alignment horizontal="right"/>
    </xf>
    <xf numFmtId="0" fontId="9" fillId="0" borderId="0" xfId="0" applyFont="1" applyAlignment="1">
      <alignment wrapText="1"/>
    </xf>
    <xf numFmtId="0" fontId="10" fillId="0" borderId="1" xfId="0" applyFont="1" applyBorder="1" applyAlignment="1">
      <alignment horizontal="center" wrapText="1"/>
    </xf>
    <xf numFmtId="8" fontId="10" fillId="0" borderId="1" xfId="0" applyNumberFormat="1" applyFont="1" applyBorder="1" applyAlignment="1">
      <alignment horizontal="right" wrapText="1"/>
    </xf>
    <xf numFmtId="6" fontId="21" fillId="0" borderId="2" xfId="0" applyNumberFormat="1" applyFont="1" applyBorder="1" applyAlignment="1">
      <alignment horizontal="right" wrapText="1"/>
    </xf>
    <xf numFmtId="0" fontId="18" fillId="0" borderId="0" xfId="0" applyFont="1"/>
    <xf numFmtId="0" fontId="15" fillId="0" borderId="1" xfId="0" applyFont="1" applyBorder="1"/>
    <xf numFmtId="41" fontId="18" fillId="0" borderId="0" xfId="0" applyNumberFormat="1" applyFont="1"/>
    <xf numFmtId="41" fontId="18" fillId="0" borderId="5" xfId="0" applyNumberFormat="1" applyFont="1" applyBorder="1"/>
    <xf numFmtId="164" fontId="13" fillId="0" borderId="0" xfId="1" applyFont="1" applyAlignment="1">
      <alignment wrapText="1"/>
    </xf>
    <xf numFmtId="0" fontId="24" fillId="0" borderId="0" xfId="0" applyFont="1"/>
    <xf numFmtId="0" fontId="1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3" fillId="0" borderId="0" xfId="0" applyFont="1" applyAlignment="1">
      <alignment vertical="center"/>
    </xf>
    <xf numFmtId="0" fontId="2" fillId="0" borderId="1" xfId="0" applyFont="1" applyBorder="1" applyAlignment="1">
      <alignment vertical="center" wrapText="1"/>
    </xf>
    <xf numFmtId="0" fontId="3" fillId="0" borderId="1" xfId="0" applyFont="1" applyBorder="1" applyAlignment="1">
      <alignment horizontal="center" vertical="center" wrapText="1"/>
    </xf>
    <xf numFmtId="6" fontId="2" fillId="0" borderId="1" xfId="0" applyNumberFormat="1" applyFont="1" applyBorder="1" applyAlignment="1">
      <alignment horizontal="center" vertical="center" wrapText="1"/>
    </xf>
    <xf numFmtId="0" fontId="3" fillId="0" borderId="1" xfId="0" applyFont="1" applyBorder="1" applyAlignment="1">
      <alignment vertical="center" wrapText="1"/>
    </xf>
    <xf numFmtId="6" fontId="3" fillId="0" borderId="1" xfId="0" applyNumberFormat="1" applyFont="1" applyBorder="1" applyAlignment="1">
      <alignment horizontal="center" vertical="center" wrapText="1"/>
    </xf>
    <xf numFmtId="0" fontId="3" fillId="0" borderId="0" xfId="0" applyFont="1" applyAlignment="1">
      <alignment horizontal="center" vertical="center" wrapText="1"/>
    </xf>
    <xf numFmtId="6" fontId="2" fillId="0" borderId="0" xfId="0" applyNumberFormat="1" applyFont="1" applyAlignment="1">
      <alignment horizontal="center" vertical="center" wrapText="1"/>
    </xf>
    <xf numFmtId="6" fontId="3" fillId="0" borderId="0" xfId="0" applyNumberFormat="1" applyFont="1" applyAlignment="1">
      <alignment horizontal="center"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165" fontId="10" fillId="0" borderId="1" xfId="0" applyNumberFormat="1" applyFont="1" applyBorder="1"/>
    <xf numFmtId="0" fontId="10"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indent="2"/>
    </xf>
    <xf numFmtId="0" fontId="2" fillId="0" borderId="1" xfId="0" applyFont="1" applyBorder="1" applyAlignment="1">
      <alignment horizontal="right" wrapText="1"/>
    </xf>
    <xf numFmtId="0" fontId="2" fillId="0" borderId="1" xfId="0" applyFont="1" applyBorder="1" applyAlignment="1">
      <alignment horizontal="left" vertical="center" wrapText="1" indent="1"/>
    </xf>
    <xf numFmtId="8" fontId="2" fillId="0" borderId="1" xfId="0" applyNumberFormat="1" applyFont="1" applyBorder="1" applyAlignment="1">
      <alignment horizontal="right" vertical="center" wrapText="1"/>
    </xf>
    <xf numFmtId="0" fontId="2" fillId="0" borderId="1" xfId="0" applyFont="1" applyBorder="1" applyAlignment="1">
      <alignment horizontal="right" vertical="center" wrapText="1"/>
    </xf>
    <xf numFmtId="167"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6" fontId="7" fillId="0" borderId="1" xfId="0" applyNumberFormat="1" applyFont="1" applyBorder="1" applyAlignment="1">
      <alignment horizontal="right" wrapText="1"/>
    </xf>
    <xf numFmtId="8" fontId="2" fillId="0" borderId="1" xfId="0" applyNumberFormat="1" applyFont="1" applyBorder="1" applyAlignment="1">
      <alignment horizontal="right" wrapText="1"/>
    </xf>
    <xf numFmtId="41" fontId="10" fillId="0" borderId="0" xfId="0" applyNumberFormat="1" applyFont="1"/>
    <xf numFmtId="0" fontId="10" fillId="0" borderId="1" xfId="0" applyFont="1" applyBorder="1" applyAlignment="1">
      <alignment horizontal="left" vertical="top" wrapText="1"/>
    </xf>
    <xf numFmtId="0" fontId="12" fillId="0" borderId="1" xfId="0" applyFont="1" applyBorder="1" applyAlignment="1">
      <alignment wrapText="1"/>
    </xf>
    <xf numFmtId="3" fontId="9" fillId="0" borderId="0" xfId="0" applyNumberFormat="1" applyFont="1"/>
    <xf numFmtId="0" fontId="22" fillId="0" borderId="0" xfId="0" applyFont="1"/>
    <xf numFmtId="0" fontId="3" fillId="0" borderId="0" xfId="0" applyFont="1" applyAlignment="1">
      <alignment horizontal="center" wrapText="1"/>
    </xf>
    <xf numFmtId="0" fontId="2" fillId="0" borderId="0" xfId="0" applyFont="1" applyAlignment="1">
      <alignment horizontal="left" vertical="top" wrapText="1" indent="1"/>
    </xf>
    <xf numFmtId="0" fontId="2" fillId="0" borderId="0" xfId="0" applyFont="1" applyAlignment="1">
      <alignment horizontal="center" wrapText="1"/>
    </xf>
    <xf numFmtId="0" fontId="2" fillId="0" borderId="0" xfId="0" applyFont="1" applyAlignment="1">
      <alignment horizontal="right" wrapText="1"/>
    </xf>
    <xf numFmtId="3" fontId="2" fillId="0" borderId="0" xfId="0" applyNumberFormat="1" applyFont="1" applyAlignment="1">
      <alignment horizontal="center" wrapText="1"/>
    </xf>
    <xf numFmtId="166" fontId="2" fillId="0" borderId="0" xfId="0" applyNumberFormat="1" applyFont="1" applyAlignment="1">
      <alignment horizontal="right" wrapText="1"/>
    </xf>
    <xf numFmtId="1" fontId="2" fillId="0" borderId="0" xfId="0" applyNumberFormat="1" applyFont="1" applyAlignment="1">
      <alignment horizontal="center" wrapText="1"/>
    </xf>
    <xf numFmtId="167" fontId="2" fillId="0" borderId="0" xfId="0" applyNumberFormat="1" applyFont="1" applyAlignment="1">
      <alignment horizontal="center" wrapText="1"/>
    </xf>
    <xf numFmtId="0" fontId="8" fillId="0" borderId="0" xfId="0" applyFont="1" applyAlignment="1">
      <alignment vertical="top" wrapText="1"/>
    </xf>
    <xf numFmtId="3" fontId="7" fillId="0" borderId="0" xfId="0" applyNumberFormat="1" applyFont="1" applyAlignment="1">
      <alignment wrapText="1"/>
    </xf>
    <xf numFmtId="6" fontId="7" fillId="0" borderId="0" xfId="0" applyNumberFormat="1" applyFont="1" applyAlignment="1">
      <alignment horizontal="right" wrapText="1"/>
    </xf>
    <xf numFmtId="0" fontId="3" fillId="0" borderId="0" xfId="0" applyFont="1" applyAlignment="1">
      <alignment wrapText="1"/>
    </xf>
    <xf numFmtId="0" fontId="21" fillId="0" borderId="1" xfId="0" applyFont="1" applyBorder="1" applyAlignment="1">
      <alignment vertical="top" wrapText="1"/>
    </xf>
    <xf numFmtId="167" fontId="10" fillId="0" borderId="1" xfId="0" applyNumberFormat="1" applyFont="1" applyBorder="1" applyAlignment="1">
      <alignment horizontal="center" wrapText="1"/>
    </xf>
    <xf numFmtId="3" fontId="2" fillId="0" borderId="1" xfId="0" applyNumberFormat="1" applyFont="1" applyBorder="1" applyAlignment="1">
      <alignment horizontal="center" vertical="center" wrapText="1"/>
    </xf>
    <xf numFmtId="3" fontId="10" fillId="0" borderId="1" xfId="0" applyNumberFormat="1" applyFont="1" applyBorder="1" applyAlignment="1">
      <alignment horizontal="center" wrapText="1"/>
    </xf>
    <xf numFmtId="164" fontId="9" fillId="0" borderId="0" xfId="1" applyFont="1" applyAlignment="1">
      <alignment vertical="center"/>
    </xf>
    <xf numFmtId="164" fontId="9" fillId="0" borderId="0" xfId="1" applyFont="1"/>
    <xf numFmtId="0" fontId="26" fillId="0" borderId="0" xfId="0" applyFont="1" applyAlignment="1">
      <alignment vertical="center" wrapText="1"/>
    </xf>
    <xf numFmtId="0" fontId="27" fillId="0" borderId="0" xfId="0" applyFont="1" applyAlignment="1">
      <alignment vertical="center" wrapText="1"/>
    </xf>
    <xf numFmtId="1" fontId="3" fillId="0" borderId="1" xfId="0" applyNumberFormat="1" applyFont="1" applyBorder="1" applyAlignment="1">
      <alignment horizontal="center" vertical="center" wrapText="1"/>
    </xf>
    <xf numFmtId="6" fontId="24" fillId="0" borderId="0" xfId="0" applyNumberFormat="1" applyFont="1"/>
    <xf numFmtId="0" fontId="2" fillId="0" borderId="1" xfId="0" applyFont="1" applyBorder="1" applyAlignment="1">
      <alignment horizontal="center" vertical="top" wrapText="1"/>
    </xf>
    <xf numFmtId="0" fontId="10" fillId="0" borderId="1" xfId="0" applyFont="1" applyBorder="1" applyAlignment="1">
      <alignment horizontal="center" vertical="top" wrapText="1"/>
    </xf>
    <xf numFmtId="164" fontId="9" fillId="0" borderId="0" xfId="1" applyFont="1" applyAlignment="1">
      <alignment horizontal="left" vertical="center"/>
    </xf>
    <xf numFmtId="6" fontId="21" fillId="0" borderId="1" xfId="0" applyNumberFormat="1" applyFont="1" applyBorder="1" applyAlignment="1">
      <alignment horizontal="right" wrapText="1"/>
    </xf>
    <xf numFmtId="6" fontId="12" fillId="0" borderId="1" xfId="0" applyNumberFormat="1" applyFont="1" applyBorder="1" applyAlignment="1">
      <alignment horizontal="right" wrapText="1"/>
    </xf>
    <xf numFmtId="41" fontId="0" fillId="0" borderId="0" xfId="0" applyNumberFormat="1"/>
    <xf numFmtId="6" fontId="0" fillId="0" borderId="0" xfId="0" applyNumberFormat="1"/>
    <xf numFmtId="8" fontId="2" fillId="0" borderId="0" xfId="0" applyNumberFormat="1" applyFont="1"/>
    <xf numFmtId="0" fontId="15" fillId="0" borderId="1" xfId="0" applyFont="1" applyBorder="1" applyAlignment="1">
      <alignment vertical="center" wrapText="1"/>
    </xf>
    <xf numFmtId="0" fontId="28" fillId="0" borderId="1" xfId="0" applyFont="1" applyBorder="1" applyAlignment="1">
      <alignment horizontal="center" vertical="center" wrapText="1"/>
    </xf>
    <xf numFmtId="0" fontId="29" fillId="0" borderId="1" xfId="0" applyFont="1" applyBorder="1" applyAlignment="1">
      <alignment wrapText="1"/>
    </xf>
    <xf numFmtId="0" fontId="15" fillId="0" borderId="7" xfId="0" applyFont="1" applyBorder="1" applyAlignment="1">
      <alignment horizontal="center" vertical="center" wrapText="1"/>
    </xf>
    <xf numFmtId="0" fontId="3" fillId="0" borderId="7" xfId="0" applyFont="1" applyBorder="1" applyAlignment="1">
      <alignment horizontal="center" vertical="center" wrapText="1"/>
    </xf>
    <xf numFmtId="0" fontId="16" fillId="0" borderId="7" xfId="0" applyFont="1" applyBorder="1" applyAlignment="1">
      <alignment vertical="center" wrapText="1"/>
    </xf>
    <xf numFmtId="0" fontId="1" fillId="0" borderId="0" xfId="0" applyFont="1"/>
    <xf numFmtId="0" fontId="2" fillId="0" borderId="1" xfId="0" applyFont="1" applyBorder="1" applyAlignment="1">
      <alignment horizontal="left" vertical="center" wrapText="1" indent="3"/>
    </xf>
    <xf numFmtId="0" fontId="15" fillId="0" borderId="0" xfId="0" applyFont="1" applyAlignment="1">
      <alignment vertical="top" wrapText="1"/>
    </xf>
    <xf numFmtId="0" fontId="30" fillId="0" borderId="0" xfId="0" applyFont="1"/>
    <xf numFmtId="0" fontId="10" fillId="0" borderId="0" xfId="0" applyFont="1" applyAlignment="1">
      <alignment horizontal="left" vertical="top" wrapText="1"/>
    </xf>
    <xf numFmtId="0" fontId="15" fillId="0" borderId="0" xfId="0" applyFont="1" applyAlignment="1">
      <alignment vertical="top"/>
    </xf>
    <xf numFmtId="0" fontId="10" fillId="0" borderId="0" xfId="0" applyFont="1" applyAlignment="1">
      <alignment vertical="top" wrapText="1"/>
    </xf>
    <xf numFmtId="0" fontId="0" fillId="0" borderId="0" xfId="0" applyAlignment="1">
      <alignment horizontal="center"/>
    </xf>
    <xf numFmtId="0" fontId="10" fillId="0" borderId="0" xfId="0" applyFont="1" applyAlignment="1">
      <alignment horizontal="left" vertical="top"/>
    </xf>
    <xf numFmtId="0" fontId="10" fillId="0" borderId="0" xfId="0" applyFont="1" applyAlignment="1">
      <alignment horizontal="left"/>
    </xf>
    <xf numFmtId="0" fontId="15" fillId="0" borderId="1" xfId="0" applyFont="1" applyBorder="1" applyAlignment="1">
      <alignment horizontal="center"/>
    </xf>
    <xf numFmtId="0" fontId="19" fillId="0" borderId="0" xfId="0" applyFont="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3" fontId="6" fillId="0" borderId="2" xfId="0" applyNumberFormat="1" applyFont="1" applyBorder="1" applyAlignment="1">
      <alignment horizontal="center" wrapText="1"/>
    </xf>
    <xf numFmtId="3" fontId="6" fillId="0" borderId="3" xfId="0" applyNumberFormat="1" applyFont="1" applyBorder="1" applyAlignment="1">
      <alignment horizontal="center" wrapText="1"/>
    </xf>
    <xf numFmtId="3" fontId="6" fillId="0" borderId="4" xfId="0" applyNumberFormat="1" applyFont="1" applyBorder="1" applyAlignment="1">
      <alignment horizontal="center" wrapText="1"/>
    </xf>
    <xf numFmtId="0" fontId="21" fillId="0" borderId="2" xfId="0" applyFont="1" applyBorder="1" applyAlignment="1">
      <alignment horizontal="center" vertical="top" wrapText="1"/>
    </xf>
    <xf numFmtId="0" fontId="21" fillId="0" borderId="3" xfId="0" applyFont="1" applyBorder="1" applyAlignment="1">
      <alignment horizontal="center" vertical="top" wrapText="1"/>
    </xf>
    <xf numFmtId="0" fontId="21" fillId="0" borderId="4" xfId="0" applyFont="1" applyBorder="1" applyAlignment="1">
      <alignment horizontal="center" vertical="top" wrapText="1"/>
    </xf>
    <xf numFmtId="0" fontId="12" fillId="0" borderId="2" xfId="0" applyFont="1" applyBorder="1" applyAlignment="1">
      <alignment horizontal="center" wrapText="1"/>
    </xf>
    <xf numFmtId="0" fontId="12" fillId="0" borderId="3" xfId="0" applyFont="1" applyBorder="1" applyAlignment="1">
      <alignment horizontal="center" wrapText="1"/>
    </xf>
    <xf numFmtId="0" fontId="12" fillId="0" borderId="4" xfId="0" applyFont="1" applyBorder="1" applyAlignment="1">
      <alignment horizontal="center" wrapText="1"/>
    </xf>
    <xf numFmtId="3" fontId="21" fillId="0" borderId="2" xfId="0" applyNumberFormat="1" applyFont="1" applyBorder="1" applyAlignment="1">
      <alignment horizontal="center" wrapText="1"/>
    </xf>
    <xf numFmtId="3" fontId="21" fillId="0" borderId="3" xfId="0" applyNumberFormat="1" applyFont="1" applyBorder="1" applyAlignment="1">
      <alignment horizontal="center" wrapText="1"/>
    </xf>
    <xf numFmtId="3" fontId="21" fillId="0" borderId="4" xfId="0" applyNumberFormat="1" applyFont="1" applyBorder="1" applyAlignment="1">
      <alignment horizontal="center" wrapText="1"/>
    </xf>
    <xf numFmtId="0" fontId="3" fillId="0" borderId="0" xfId="0" applyFont="1" applyAlignment="1">
      <alignment horizontal="left"/>
    </xf>
    <xf numFmtId="0" fontId="10" fillId="0" borderId="0" xfId="0" applyFont="1" applyAlignment="1">
      <alignment horizontal="left" vertical="top" wrapText="1"/>
    </xf>
    <xf numFmtId="0" fontId="31" fillId="0" borderId="0" xfId="0" applyFont="1" applyAlignment="1">
      <alignment horizontal="left" vertical="top" wrapText="1"/>
    </xf>
    <xf numFmtId="0" fontId="19" fillId="0" borderId="0" xfId="0" applyFont="1" applyAlignment="1">
      <alignment wrapText="1"/>
    </xf>
    <xf numFmtId="0" fontId="10" fillId="0" borderId="0" xfId="0" applyFont="1" applyAlignment="1">
      <alignment wrapText="1"/>
    </xf>
    <xf numFmtId="0" fontId="12" fillId="0" borderId="0" xfId="0" applyFont="1" applyAlignment="1">
      <alignment horizontal="left"/>
    </xf>
    <xf numFmtId="0" fontId="10" fillId="0" borderId="6" xfId="0" applyFont="1" applyBorder="1" applyAlignment="1">
      <alignment horizontal="left" vertical="top"/>
    </xf>
    <xf numFmtId="0" fontId="12" fillId="0" borderId="1" xfId="0" applyFont="1" applyBorder="1" applyAlignment="1">
      <alignment horizontal="center" wrapText="1"/>
    </xf>
    <xf numFmtId="3" fontId="12" fillId="0" borderId="1" xfId="0" applyNumberFormat="1" applyFont="1" applyBorder="1" applyAlignment="1">
      <alignment horizontal="center" wrapText="1"/>
    </xf>
    <xf numFmtId="0" fontId="19" fillId="0" borderId="0" xfId="0" applyFont="1" applyAlignment="1">
      <alignment horizontal="left" wrapText="1"/>
    </xf>
    <xf numFmtId="0" fontId="24" fillId="0" borderId="0" xfId="0" applyFont="1" applyAlignment="1">
      <alignment horizontal="left" wrapText="1"/>
    </xf>
    <xf numFmtId="0" fontId="15" fillId="0" borderId="0" xfId="0" applyFont="1" applyAlignment="1">
      <alignment vertical="center" wrapText="1"/>
    </xf>
    <xf numFmtId="0" fontId="0" fillId="0" borderId="0" xfId="0"/>
    <xf numFmtId="0" fontId="3" fillId="0" borderId="1" xfId="0" applyFont="1" applyBorder="1" applyAlignment="1">
      <alignment horizontal="center" vertical="center" wrapText="1"/>
    </xf>
    <xf numFmtId="0" fontId="15" fillId="0" borderId="6" xfId="0" applyFont="1" applyBorder="1" applyAlignment="1">
      <alignment vertical="center" wrapText="1"/>
    </xf>
    <xf numFmtId="0" fontId="0" fillId="0" borderId="6" xfId="0" applyBorder="1"/>
    <xf numFmtId="0" fontId="32" fillId="0" borderId="0" xfId="0" applyFont="1" applyAlignment="1">
      <alignment horizontal="left" vertical="top" wrapText="1"/>
    </xf>
    <xf numFmtId="0" fontId="14" fillId="0" borderId="1" xfId="0" applyFont="1" applyBorder="1" applyAlignment="1">
      <alignment horizontal="center" vertical="center" wrapText="1"/>
    </xf>
    <xf numFmtId="0" fontId="16" fillId="0" borderId="7" xfId="0" applyFont="1" applyBorder="1" applyAlignment="1">
      <alignment vertical="center" wrapText="1"/>
    </xf>
  </cellXfs>
  <cellStyles count="2">
    <cellStyle name="Normal" xfId="0" builtinId="0"/>
    <cellStyle name="Normal_SSI Burden Estimate BML 060710" xfId="1" xr:uid="{A07D4530-980E-478C-AD05-99F0F1CD2970}"/>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11E90-6FAB-477D-9C4D-FB71EFB87D93}">
  <dimension ref="A1:B7"/>
  <sheetViews>
    <sheetView tabSelected="1" workbookViewId="0">
      <selection activeCell="A19" sqref="A19"/>
    </sheetView>
  </sheetViews>
  <sheetFormatPr defaultRowHeight="15" x14ac:dyDescent="0.25"/>
  <cols>
    <col min="1" max="1" width="27.85546875" bestFit="1" customWidth="1"/>
    <col min="2" max="2" width="14.28515625" bestFit="1" customWidth="1"/>
  </cols>
  <sheetData>
    <row r="1" spans="1:2" x14ac:dyDescent="0.25">
      <c r="A1" s="92" t="s">
        <v>0</v>
      </c>
      <c r="B1" s="92"/>
    </row>
    <row r="2" spans="1:2" x14ac:dyDescent="0.25">
      <c r="A2" t="s">
        <v>140</v>
      </c>
      <c r="B2" s="76">
        <f>'Table 1'!K39</f>
        <v>132.27016885553471</v>
      </c>
    </row>
    <row r="3" spans="1:2" x14ac:dyDescent="0.25">
      <c r="A3" t="s">
        <v>1</v>
      </c>
      <c r="B3" s="76">
        <f>Respondents!F8</f>
        <v>4</v>
      </c>
    </row>
    <row r="4" spans="1:2" x14ac:dyDescent="0.25">
      <c r="A4" t="s">
        <v>2</v>
      </c>
      <c r="B4" s="76">
        <f>'Table 1'!F40</f>
        <v>1410</v>
      </c>
    </row>
    <row r="5" spans="1:2" x14ac:dyDescent="0.25">
      <c r="A5" t="s">
        <v>3</v>
      </c>
      <c r="B5" s="77">
        <f>'Table 1'!I42</f>
        <v>969000</v>
      </c>
    </row>
    <row r="6" spans="1:2" x14ac:dyDescent="0.25">
      <c r="A6" t="s">
        <v>4</v>
      </c>
      <c r="B6" s="77">
        <f>'Capital O&amp;M'!D8+'Capital O&amp;M'!G8</f>
        <v>776000</v>
      </c>
    </row>
    <row r="7" spans="1:2" x14ac:dyDescent="0.25">
      <c r="A7" t="s">
        <v>6</v>
      </c>
      <c r="B7" t="s">
        <v>61</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54DA1-2EC2-470A-B0BB-BC64BD0BE2BC}">
  <dimension ref="A1:U70"/>
  <sheetViews>
    <sheetView topLeftCell="A38" zoomScaleNormal="100" workbookViewId="0">
      <selection activeCell="A52" sqref="A3:I52"/>
    </sheetView>
  </sheetViews>
  <sheetFormatPr defaultRowHeight="15" x14ac:dyDescent="0.25"/>
  <cols>
    <col min="1" max="1" width="44.140625" customWidth="1"/>
    <col min="2" max="8" width="11" customWidth="1"/>
    <col min="9" max="9" width="12.7109375" customWidth="1"/>
    <col min="10" max="10" width="6.7109375" customWidth="1"/>
    <col min="11" max="11" width="11.42578125" customWidth="1"/>
    <col min="12" max="12" width="7.7109375" customWidth="1"/>
    <col min="13" max="13" width="47.85546875" customWidth="1"/>
    <col min="14" max="14" width="12.140625" customWidth="1"/>
    <col min="21" max="21" width="11.7109375" customWidth="1"/>
  </cols>
  <sheetData>
    <row r="1" spans="1:21" ht="20.25" x14ac:dyDescent="0.3">
      <c r="A1" s="85" t="s">
        <v>141</v>
      </c>
      <c r="B1" s="1"/>
      <c r="C1" s="1"/>
      <c r="D1" s="1"/>
      <c r="E1" s="1"/>
      <c r="F1" s="1"/>
      <c r="G1" s="1"/>
      <c r="H1" s="1"/>
      <c r="I1" s="8"/>
      <c r="J1" s="1"/>
      <c r="K1" s="1"/>
      <c r="L1" s="1"/>
      <c r="M1" s="48"/>
      <c r="N1" s="13"/>
    </row>
    <row r="2" spans="1:21" s="1" customFormat="1" ht="12.75" x14ac:dyDescent="0.2">
      <c r="F2" s="7"/>
      <c r="G2" s="7"/>
      <c r="H2" s="7"/>
      <c r="I2" s="8"/>
      <c r="J2" s="3"/>
    </row>
    <row r="3" spans="1:21" s="1" customFormat="1" ht="76.5" x14ac:dyDescent="0.2">
      <c r="A3" s="20" t="s">
        <v>7</v>
      </c>
      <c r="B3" s="71" t="s">
        <v>8</v>
      </c>
      <c r="C3" s="71" t="s">
        <v>9</v>
      </c>
      <c r="D3" s="71" t="s">
        <v>10</v>
      </c>
      <c r="E3" s="71" t="s">
        <v>11</v>
      </c>
      <c r="F3" s="71" t="s">
        <v>12</v>
      </c>
      <c r="G3" s="71" t="s">
        <v>13</v>
      </c>
      <c r="H3" s="71" t="s">
        <v>14</v>
      </c>
      <c r="I3" s="71" t="s">
        <v>15</v>
      </c>
      <c r="J3" s="3"/>
      <c r="M3" s="49"/>
      <c r="N3" s="49"/>
      <c r="O3" s="49"/>
      <c r="P3" s="49"/>
      <c r="Q3" s="49"/>
      <c r="R3" s="49"/>
      <c r="S3" s="49"/>
      <c r="T3" s="49"/>
      <c r="U3" s="49"/>
    </row>
    <row r="4" spans="1:21" s="1" customFormat="1" ht="12.75" x14ac:dyDescent="0.2">
      <c r="A4" s="34" t="s">
        <v>16</v>
      </c>
      <c r="B4" s="2"/>
      <c r="C4" s="2"/>
      <c r="D4" s="2"/>
      <c r="E4" s="2"/>
      <c r="F4" s="2"/>
      <c r="G4" s="2"/>
      <c r="H4" s="2"/>
      <c r="I4" s="36"/>
      <c r="J4" s="3"/>
      <c r="K4" s="95" t="s">
        <v>17</v>
      </c>
      <c r="L4" s="95"/>
      <c r="O4" s="51"/>
      <c r="P4" s="51"/>
      <c r="Q4" s="51"/>
      <c r="R4" s="51"/>
      <c r="S4" s="51"/>
      <c r="T4" s="51"/>
      <c r="U4" s="52"/>
    </row>
    <row r="5" spans="1:21" s="1" customFormat="1" ht="15.75" x14ac:dyDescent="0.2">
      <c r="A5" s="37" t="s">
        <v>110</v>
      </c>
      <c r="B5" s="20">
        <v>15</v>
      </c>
      <c r="C5" s="20">
        <v>1</v>
      </c>
      <c r="D5" s="20">
        <f>+B5*C5</f>
        <v>15</v>
      </c>
      <c r="E5" s="20">
        <f>Respondents!$F$8</f>
        <v>4</v>
      </c>
      <c r="F5" s="63">
        <f>D5*E5</f>
        <v>60</v>
      </c>
      <c r="G5" s="41">
        <f>F5*0.05</f>
        <v>3</v>
      </c>
      <c r="H5" s="41">
        <f>F5*0.1</f>
        <v>6</v>
      </c>
      <c r="I5" s="38">
        <f>F5*$L$6+G5*$L$5+H5*$L$7</f>
        <v>9450.39</v>
      </c>
      <c r="J5" s="9"/>
      <c r="K5" s="14" t="s">
        <v>18</v>
      </c>
      <c r="L5" s="32">
        <v>172.41</v>
      </c>
      <c r="M5" s="50"/>
      <c r="N5" s="51"/>
      <c r="O5" s="51"/>
      <c r="P5" s="51"/>
      <c r="Q5" s="51"/>
      <c r="R5" s="53"/>
      <c r="S5" s="51"/>
      <c r="T5" s="51"/>
      <c r="U5" s="54"/>
    </row>
    <row r="6" spans="1:21" s="1" customFormat="1" ht="12.75" x14ac:dyDescent="0.2">
      <c r="A6" s="37" t="s">
        <v>77</v>
      </c>
      <c r="B6" s="20"/>
      <c r="C6" s="20"/>
      <c r="D6" s="20"/>
      <c r="E6" s="20"/>
      <c r="F6" s="20"/>
      <c r="G6" s="20"/>
      <c r="H6" s="20"/>
      <c r="I6" s="38"/>
      <c r="J6" s="3"/>
      <c r="K6" s="14" t="s">
        <v>19</v>
      </c>
      <c r="L6" s="32">
        <v>141.75</v>
      </c>
      <c r="M6" s="50"/>
      <c r="N6" s="51"/>
      <c r="O6" s="51"/>
      <c r="P6" s="51"/>
      <c r="Q6" s="51"/>
      <c r="R6" s="51"/>
      <c r="S6" s="51"/>
      <c r="T6" s="51"/>
      <c r="U6" s="54"/>
    </row>
    <row r="7" spans="1:21" s="1" customFormat="1" ht="12.75" x14ac:dyDescent="0.2">
      <c r="A7" s="35" t="s">
        <v>111</v>
      </c>
      <c r="B7" s="20"/>
      <c r="C7" s="20"/>
      <c r="D7" s="20"/>
      <c r="E7" s="20"/>
      <c r="F7" s="20"/>
      <c r="G7" s="20"/>
      <c r="H7" s="20"/>
      <c r="I7" s="39"/>
      <c r="J7" s="3"/>
      <c r="K7" s="14" t="s">
        <v>20</v>
      </c>
      <c r="L7" s="32">
        <v>71.36</v>
      </c>
      <c r="M7" s="50"/>
      <c r="N7" s="51"/>
      <c r="O7" s="51"/>
      <c r="P7" s="51"/>
      <c r="Q7" s="51"/>
      <c r="R7" s="51"/>
      <c r="S7" s="51"/>
      <c r="T7" s="51"/>
      <c r="U7" s="54"/>
    </row>
    <row r="8" spans="1:21" s="1" customFormat="1" ht="12.75" x14ac:dyDescent="0.2">
      <c r="A8" s="86" t="s">
        <v>78</v>
      </c>
      <c r="B8" s="20">
        <v>0</v>
      </c>
      <c r="C8" s="20">
        <v>1</v>
      </c>
      <c r="D8" s="20">
        <f t="shared" ref="D8:D12" si="0">+B8*C8</f>
        <v>0</v>
      </c>
      <c r="E8" s="20">
        <v>0</v>
      </c>
      <c r="F8" s="20">
        <f>D8*E8</f>
        <v>0</v>
      </c>
      <c r="G8" s="20">
        <f>F8*0.05</f>
        <v>0</v>
      </c>
      <c r="H8" s="20">
        <f>F8*0.1</f>
        <v>0</v>
      </c>
      <c r="I8" s="38">
        <f>F8*$L$6+G8*$L$5+H8*$L$7</f>
        <v>0</v>
      </c>
      <c r="J8" s="3"/>
      <c r="K8" s="66"/>
      <c r="L8" s="17"/>
      <c r="M8" s="50"/>
      <c r="N8" s="51"/>
      <c r="O8" s="51"/>
      <c r="P8" s="51"/>
      <c r="Q8" s="55"/>
      <c r="R8" s="55"/>
      <c r="S8" s="55"/>
      <c r="T8" s="55"/>
      <c r="U8" s="54"/>
    </row>
    <row r="9" spans="1:21" s="1" customFormat="1" ht="12.75" x14ac:dyDescent="0.2">
      <c r="A9" s="86" t="s">
        <v>112</v>
      </c>
      <c r="B9" s="20">
        <v>0</v>
      </c>
      <c r="C9" s="20">
        <v>1</v>
      </c>
      <c r="D9" s="20">
        <f t="shared" si="0"/>
        <v>0</v>
      </c>
      <c r="E9" s="20">
        <f>Respondents!$F$8</f>
        <v>4</v>
      </c>
      <c r="F9" s="20">
        <f>D9*E9</f>
        <v>0</v>
      </c>
      <c r="G9" s="20">
        <f>F9*0.05</f>
        <v>0</v>
      </c>
      <c r="H9" s="20">
        <f>F9*0.1</f>
        <v>0</v>
      </c>
      <c r="I9" s="38">
        <f>F9*$L$6+G9*$L$5+H9*$L$7</f>
        <v>0</v>
      </c>
      <c r="J9" s="3"/>
      <c r="K9" s="73"/>
      <c r="L9" s="4"/>
      <c r="M9" s="50"/>
      <c r="N9" s="51"/>
      <c r="O9" s="51"/>
      <c r="P9" s="51"/>
      <c r="Q9" s="55"/>
      <c r="R9" s="55"/>
      <c r="S9" s="55"/>
      <c r="T9" s="55"/>
      <c r="U9" s="54"/>
    </row>
    <row r="10" spans="1:21" s="1" customFormat="1" ht="12.75" x14ac:dyDescent="0.2">
      <c r="A10" s="35" t="s">
        <v>113</v>
      </c>
      <c r="B10" s="20">
        <v>8</v>
      </c>
      <c r="C10" s="20">
        <v>1</v>
      </c>
      <c r="D10" s="20">
        <f t="shared" si="0"/>
        <v>8</v>
      </c>
      <c r="E10" s="20">
        <v>1.33</v>
      </c>
      <c r="F10" s="40">
        <f>D10*E10</f>
        <v>10.64</v>
      </c>
      <c r="G10" s="40">
        <f>F10*0.05</f>
        <v>0.53200000000000003</v>
      </c>
      <c r="H10" s="40">
        <f>F10*0.1</f>
        <v>1.0640000000000001</v>
      </c>
      <c r="I10" s="38">
        <f>F10*$L$6+G10*$L$5+H10*$L$7</f>
        <v>1675.86916</v>
      </c>
      <c r="J10" s="3"/>
      <c r="K10" s="4"/>
      <c r="L10" s="4"/>
      <c r="M10" s="50"/>
      <c r="N10" s="51"/>
      <c r="O10" s="51"/>
      <c r="P10" s="51"/>
      <c r="Q10" s="55"/>
      <c r="R10" s="55"/>
      <c r="S10" s="55"/>
      <c r="T10" s="55"/>
      <c r="U10" s="54"/>
    </row>
    <row r="11" spans="1:21" s="1" customFormat="1" ht="12.75" x14ac:dyDescent="0.2">
      <c r="A11" s="86" t="s">
        <v>114</v>
      </c>
      <c r="B11" s="20">
        <v>0</v>
      </c>
      <c r="C11" s="20">
        <v>6.5</v>
      </c>
      <c r="D11" s="20">
        <f t="shared" si="0"/>
        <v>0</v>
      </c>
      <c r="E11" s="20">
        <v>1.33</v>
      </c>
      <c r="F11" s="20">
        <f>D11*E11</f>
        <v>0</v>
      </c>
      <c r="G11" s="20">
        <f>F11*0.05</f>
        <v>0</v>
      </c>
      <c r="H11" s="20">
        <f>F11*0.1</f>
        <v>0</v>
      </c>
      <c r="I11" s="38">
        <f>F11*$L$6+G11*$L$5+H11*$L$7</f>
        <v>0</v>
      </c>
      <c r="J11" s="3"/>
      <c r="K11" s="5"/>
      <c r="L11" s="6"/>
      <c r="M11" s="50"/>
      <c r="N11" s="51"/>
      <c r="O11" s="51"/>
      <c r="P11" s="51"/>
      <c r="Q11" s="55"/>
      <c r="R11" s="55"/>
      <c r="S11" s="56"/>
      <c r="T11" s="56"/>
      <c r="U11" s="54"/>
    </row>
    <row r="12" spans="1:21" s="1" customFormat="1" ht="12.75" x14ac:dyDescent="0.2">
      <c r="A12" s="35" t="s">
        <v>79</v>
      </c>
      <c r="B12" s="20">
        <v>10</v>
      </c>
      <c r="C12" s="20">
        <v>3</v>
      </c>
      <c r="D12" s="20">
        <f t="shared" si="0"/>
        <v>30</v>
      </c>
      <c r="E12" s="20">
        <v>0</v>
      </c>
      <c r="F12" s="20">
        <f>D12*E12</f>
        <v>0</v>
      </c>
      <c r="G12" s="20">
        <f>F12*0.05</f>
        <v>0</v>
      </c>
      <c r="H12" s="20">
        <f>F12*0.1</f>
        <v>0</v>
      </c>
      <c r="I12" s="38">
        <f>F12*$L$6+G12*$L$5+H12*$L$7</f>
        <v>0</v>
      </c>
      <c r="J12" s="3"/>
      <c r="K12" s="5"/>
      <c r="L12" s="6"/>
      <c r="M12" s="50"/>
      <c r="N12" s="51"/>
      <c r="O12" s="51"/>
      <c r="P12" s="51"/>
      <c r="Q12" s="55"/>
      <c r="R12" s="55"/>
      <c r="S12" s="56"/>
      <c r="T12" s="56"/>
      <c r="U12" s="54"/>
    </row>
    <row r="13" spans="1:21" s="1" customFormat="1" ht="12.75" x14ac:dyDescent="0.2">
      <c r="A13" s="37" t="s">
        <v>80</v>
      </c>
      <c r="B13" s="20" t="s">
        <v>83</v>
      </c>
      <c r="C13" s="20"/>
      <c r="D13" s="20"/>
      <c r="E13" s="20"/>
      <c r="F13" s="20"/>
      <c r="G13" s="20"/>
      <c r="H13" s="20"/>
      <c r="I13" s="38"/>
      <c r="J13" s="3"/>
      <c r="K13" s="5"/>
      <c r="L13" s="6"/>
      <c r="M13" s="50"/>
      <c r="N13" s="51"/>
      <c r="O13" s="51"/>
      <c r="P13" s="51"/>
      <c r="Q13" s="51"/>
      <c r="R13" s="51"/>
      <c r="S13" s="51"/>
      <c r="T13" s="51"/>
      <c r="U13" s="54"/>
    </row>
    <row r="14" spans="1:21" s="1" customFormat="1" ht="12.75" x14ac:dyDescent="0.2">
      <c r="A14" s="37" t="s">
        <v>81</v>
      </c>
      <c r="B14" s="20" t="s">
        <v>84</v>
      </c>
      <c r="C14" s="20"/>
      <c r="D14" s="20"/>
      <c r="E14" s="41"/>
      <c r="F14" s="41"/>
      <c r="G14" s="41"/>
      <c r="H14" s="41"/>
      <c r="I14" s="38"/>
      <c r="J14" s="9"/>
      <c r="K14" s="65"/>
      <c r="L14" s="6"/>
      <c r="M14" s="50"/>
      <c r="N14" s="51"/>
      <c r="O14" s="51"/>
      <c r="P14" s="51"/>
      <c r="Q14" s="51"/>
      <c r="R14" s="51"/>
      <c r="S14" s="51"/>
      <c r="T14" s="51"/>
      <c r="U14" s="54"/>
    </row>
    <row r="15" spans="1:21" s="1" customFormat="1" ht="12.75" x14ac:dyDescent="0.2">
      <c r="A15" s="37" t="s">
        <v>82</v>
      </c>
      <c r="B15" s="20"/>
      <c r="C15" s="20"/>
      <c r="D15" s="20"/>
      <c r="E15" s="41"/>
      <c r="F15" s="20"/>
      <c r="G15" s="20"/>
      <c r="H15" s="20"/>
      <c r="I15" s="38"/>
      <c r="J15" s="3"/>
      <c r="K15" s="65"/>
      <c r="M15" s="50"/>
      <c r="N15" s="51"/>
      <c r="O15" s="51"/>
      <c r="P15" s="51"/>
      <c r="Q15" s="51"/>
      <c r="R15" s="51"/>
      <c r="S15" s="51"/>
      <c r="T15" s="51"/>
      <c r="U15" s="54"/>
    </row>
    <row r="16" spans="1:21" s="1" customFormat="1" ht="12.75" x14ac:dyDescent="0.2">
      <c r="A16" s="35" t="s">
        <v>92</v>
      </c>
      <c r="B16" s="20">
        <v>15</v>
      </c>
      <c r="C16" s="20">
        <v>1</v>
      </c>
      <c r="D16" s="20">
        <f t="shared" ref="D16:D21" si="1">+B16*C16</f>
        <v>15</v>
      </c>
      <c r="E16" s="41">
        <v>0</v>
      </c>
      <c r="F16" s="20">
        <f t="shared" ref="F16:F20" si="2">D16*E16</f>
        <v>0</v>
      </c>
      <c r="G16" s="20">
        <f t="shared" ref="G16:G20" si="3">F16*0.05</f>
        <v>0</v>
      </c>
      <c r="H16" s="20">
        <f t="shared" ref="H16:H20" si="4">F16*0.1</f>
        <v>0</v>
      </c>
      <c r="I16" s="38">
        <f t="shared" ref="I16:I20" si="5">F16*$L$6+G16*$L$5+H16*$L$7</f>
        <v>0</v>
      </c>
      <c r="J16" s="3"/>
      <c r="K16" s="65"/>
      <c r="M16" s="50"/>
      <c r="N16" s="51"/>
      <c r="O16" s="51"/>
      <c r="P16" s="51"/>
      <c r="Q16" s="51"/>
      <c r="R16" s="51"/>
      <c r="S16" s="51"/>
      <c r="T16" s="51"/>
      <c r="U16" s="54"/>
    </row>
    <row r="17" spans="1:21" s="1" customFormat="1" ht="12.75" x14ac:dyDescent="0.2">
      <c r="A17" s="35" t="s">
        <v>93</v>
      </c>
      <c r="B17" s="20">
        <v>2</v>
      </c>
      <c r="C17" s="20">
        <v>1</v>
      </c>
      <c r="D17" s="20">
        <f t="shared" si="1"/>
        <v>2</v>
      </c>
      <c r="E17" s="20">
        <v>1.33</v>
      </c>
      <c r="F17" s="40">
        <f t="shared" si="2"/>
        <v>2.66</v>
      </c>
      <c r="G17" s="40">
        <f t="shared" si="3"/>
        <v>0.13300000000000001</v>
      </c>
      <c r="H17" s="40">
        <f t="shared" si="4"/>
        <v>0.26600000000000001</v>
      </c>
      <c r="I17" s="38">
        <f t="shared" si="5"/>
        <v>418.96728999999999</v>
      </c>
      <c r="J17" s="3"/>
      <c r="K17" s="65"/>
      <c r="M17" s="50"/>
      <c r="N17" s="51"/>
      <c r="O17" s="51"/>
      <c r="P17" s="51"/>
      <c r="Q17" s="51"/>
      <c r="R17" s="51"/>
      <c r="S17" s="51"/>
      <c r="T17" s="51"/>
      <c r="U17" s="54"/>
    </row>
    <row r="18" spans="1:21" s="1" customFormat="1" ht="12.75" x14ac:dyDescent="0.2">
      <c r="A18" s="35" t="s">
        <v>94</v>
      </c>
      <c r="B18" s="20">
        <v>2</v>
      </c>
      <c r="C18" s="20">
        <v>1</v>
      </c>
      <c r="D18" s="20">
        <f t="shared" si="1"/>
        <v>2</v>
      </c>
      <c r="E18" s="20">
        <v>1.33</v>
      </c>
      <c r="F18" s="40">
        <f t="shared" si="2"/>
        <v>2.66</v>
      </c>
      <c r="G18" s="40">
        <f t="shared" si="3"/>
        <v>0.13300000000000001</v>
      </c>
      <c r="H18" s="40">
        <f t="shared" si="4"/>
        <v>0.26600000000000001</v>
      </c>
      <c r="I18" s="38">
        <f t="shared" si="5"/>
        <v>418.96728999999999</v>
      </c>
      <c r="J18" s="3"/>
      <c r="K18" s="65"/>
      <c r="M18" s="50"/>
      <c r="N18" s="51"/>
      <c r="O18" s="51"/>
      <c r="P18" s="51"/>
      <c r="Q18" s="51"/>
      <c r="R18" s="51"/>
      <c r="S18" s="51"/>
      <c r="T18" s="51"/>
      <c r="U18" s="54"/>
    </row>
    <row r="19" spans="1:21" s="1" customFormat="1" ht="12.75" x14ac:dyDescent="0.2">
      <c r="A19" s="35" t="s">
        <v>95</v>
      </c>
      <c r="B19" s="20">
        <v>2</v>
      </c>
      <c r="C19" s="20">
        <v>1</v>
      </c>
      <c r="D19" s="20">
        <f t="shared" si="1"/>
        <v>2</v>
      </c>
      <c r="E19" s="41">
        <v>0</v>
      </c>
      <c r="F19" s="20">
        <f t="shared" si="2"/>
        <v>0</v>
      </c>
      <c r="G19" s="20">
        <f t="shared" si="3"/>
        <v>0</v>
      </c>
      <c r="H19" s="20">
        <f t="shared" si="4"/>
        <v>0</v>
      </c>
      <c r="I19" s="38">
        <f t="shared" si="5"/>
        <v>0</v>
      </c>
      <c r="J19" s="3"/>
      <c r="K19" s="65"/>
      <c r="M19" s="50"/>
      <c r="N19" s="51"/>
      <c r="O19" s="51"/>
      <c r="P19" s="51"/>
      <c r="Q19" s="51"/>
      <c r="R19" s="51"/>
      <c r="S19" s="51"/>
      <c r="T19" s="51"/>
      <c r="U19" s="54"/>
    </row>
    <row r="20" spans="1:21" s="1" customFormat="1" ht="12.75" x14ac:dyDescent="0.2">
      <c r="A20" s="35" t="s">
        <v>96</v>
      </c>
      <c r="B20" s="20">
        <v>4</v>
      </c>
      <c r="C20" s="20">
        <v>1</v>
      </c>
      <c r="D20" s="20">
        <f t="shared" si="1"/>
        <v>4</v>
      </c>
      <c r="E20" s="41">
        <v>0</v>
      </c>
      <c r="F20" s="20">
        <f t="shared" si="2"/>
        <v>0</v>
      </c>
      <c r="G20" s="20">
        <f t="shared" si="3"/>
        <v>0</v>
      </c>
      <c r="H20" s="20">
        <f t="shared" si="4"/>
        <v>0</v>
      </c>
      <c r="I20" s="38">
        <f t="shared" si="5"/>
        <v>0</v>
      </c>
      <c r="J20" s="3"/>
      <c r="K20" s="65"/>
      <c r="M20" s="50"/>
      <c r="N20" s="51"/>
      <c r="O20" s="51"/>
      <c r="P20" s="51"/>
      <c r="Q20" s="51"/>
      <c r="R20" s="51"/>
      <c r="S20" s="51"/>
      <c r="T20" s="51"/>
      <c r="U20" s="54"/>
    </row>
    <row r="21" spans="1:21" s="1" customFormat="1" ht="12.75" x14ac:dyDescent="0.2">
      <c r="A21" s="35" t="s">
        <v>97</v>
      </c>
      <c r="B21" s="20">
        <v>4</v>
      </c>
      <c r="C21" s="20">
        <v>2</v>
      </c>
      <c r="D21" s="20">
        <f t="shared" si="1"/>
        <v>8</v>
      </c>
      <c r="E21" s="20">
        <f>Respondents!$F$8</f>
        <v>4</v>
      </c>
      <c r="F21" s="41">
        <f t="shared" ref="F21" si="6">D21*E21</f>
        <v>32</v>
      </c>
      <c r="G21" s="20">
        <f t="shared" ref="G21" si="7">F21*0.05</f>
        <v>1.6</v>
      </c>
      <c r="H21" s="40">
        <f t="shared" ref="H21" si="8">F21*0.1</f>
        <v>3.2</v>
      </c>
      <c r="I21" s="38">
        <f t="shared" ref="I21" si="9">F21*$L$6+G21*$L$5+H21*$L$7</f>
        <v>5040.2079999999996</v>
      </c>
      <c r="J21" s="3"/>
      <c r="K21" s="65"/>
      <c r="M21" s="50"/>
      <c r="N21" s="51"/>
      <c r="O21" s="51"/>
      <c r="P21" s="51"/>
      <c r="Q21" s="51"/>
      <c r="R21" s="51"/>
      <c r="S21" s="51"/>
      <c r="T21" s="51"/>
      <c r="U21" s="54"/>
    </row>
    <row r="22" spans="1:21" s="1" customFormat="1" ht="13.5" x14ac:dyDescent="0.25">
      <c r="A22" s="97" t="s">
        <v>21</v>
      </c>
      <c r="B22" s="98"/>
      <c r="C22" s="98"/>
      <c r="D22" s="98"/>
      <c r="E22" s="99"/>
      <c r="F22" s="100">
        <f>SUM(F5:H21)</f>
        <v>124.15399999999998</v>
      </c>
      <c r="G22" s="101"/>
      <c r="H22" s="102"/>
      <c r="I22" s="42">
        <f>SUM(I5:I21)</f>
        <v>17004.401740000001</v>
      </c>
      <c r="J22" s="3"/>
      <c r="M22" s="50"/>
      <c r="N22" s="51"/>
      <c r="O22" s="51"/>
      <c r="P22" s="51"/>
      <c r="Q22" s="51"/>
      <c r="R22" s="51"/>
      <c r="S22" s="51"/>
      <c r="T22" s="51"/>
      <c r="U22" s="54"/>
    </row>
    <row r="23" spans="1:21" s="1" customFormat="1" ht="12.75" x14ac:dyDescent="0.2">
      <c r="A23" s="34" t="s">
        <v>91</v>
      </c>
      <c r="B23" s="2"/>
      <c r="C23" s="2"/>
      <c r="D23" s="2"/>
      <c r="E23" s="2"/>
      <c r="F23" s="2"/>
      <c r="G23" s="2"/>
      <c r="H23" s="2"/>
      <c r="I23" s="36"/>
      <c r="J23" s="3"/>
      <c r="M23" s="50"/>
      <c r="N23" s="51"/>
      <c r="O23" s="51"/>
      <c r="P23" s="51"/>
      <c r="Q23" s="51"/>
      <c r="R23" s="53"/>
      <c r="S23" s="51"/>
      <c r="T23" s="51"/>
      <c r="U23" s="54"/>
    </row>
    <row r="24" spans="1:21" s="1" customFormat="1" ht="13.5" x14ac:dyDescent="0.25">
      <c r="A24" s="37" t="s">
        <v>85</v>
      </c>
      <c r="B24" s="2" t="s">
        <v>107</v>
      </c>
      <c r="C24" s="2"/>
      <c r="D24" s="2"/>
      <c r="E24" s="2"/>
      <c r="F24" s="2"/>
      <c r="G24" s="2"/>
      <c r="H24" s="2"/>
      <c r="I24" s="43"/>
      <c r="J24" s="3"/>
      <c r="K24" s="3"/>
      <c r="M24" s="57"/>
      <c r="N24" s="57"/>
      <c r="O24" s="57"/>
      <c r="P24" s="57"/>
      <c r="Q24" s="57"/>
      <c r="R24" s="58"/>
      <c r="S24" s="58"/>
      <c r="T24" s="58"/>
      <c r="U24" s="59"/>
    </row>
    <row r="25" spans="1:21" s="1" customFormat="1" ht="12.75" x14ac:dyDescent="0.2">
      <c r="A25" s="37" t="s">
        <v>86</v>
      </c>
      <c r="B25" s="10" t="s">
        <v>108</v>
      </c>
      <c r="C25" s="10"/>
      <c r="D25" s="10"/>
      <c r="E25" s="10"/>
      <c r="F25" s="10"/>
      <c r="G25" s="10"/>
      <c r="H25" s="10"/>
      <c r="I25" s="11"/>
      <c r="J25" s="3"/>
      <c r="K25" s="3"/>
      <c r="M25" s="50"/>
      <c r="N25" s="51"/>
      <c r="O25" s="51"/>
      <c r="P25" s="51"/>
      <c r="Q25" s="51"/>
      <c r="R25" s="51"/>
      <c r="S25" s="51"/>
      <c r="T25" s="51"/>
      <c r="U25" s="52"/>
    </row>
    <row r="26" spans="1:21" s="1" customFormat="1" ht="12.75" x14ac:dyDescent="0.2">
      <c r="A26" s="37" t="s">
        <v>87</v>
      </c>
      <c r="B26" s="10" t="s">
        <v>108</v>
      </c>
      <c r="C26" s="10"/>
      <c r="D26" s="10"/>
      <c r="E26" s="10"/>
      <c r="F26" s="64"/>
      <c r="G26" s="10"/>
      <c r="H26" s="10"/>
      <c r="I26" s="11"/>
      <c r="J26" s="3"/>
      <c r="K26" s="3"/>
      <c r="M26" s="50"/>
      <c r="N26" s="51"/>
      <c r="O26" s="51"/>
      <c r="P26" s="51"/>
      <c r="Q26" s="51"/>
      <c r="R26" s="51"/>
      <c r="S26" s="51"/>
      <c r="T26" s="51"/>
      <c r="U26" s="54"/>
    </row>
    <row r="27" spans="1:21" s="1" customFormat="1" ht="12.75" x14ac:dyDescent="0.2">
      <c r="A27" s="35" t="s">
        <v>98</v>
      </c>
      <c r="B27" s="10">
        <v>20</v>
      </c>
      <c r="C27" s="10">
        <v>1</v>
      </c>
      <c r="D27" s="20">
        <f t="shared" ref="D27" si="10">+B27*C27</f>
        <v>20</v>
      </c>
      <c r="E27" s="20">
        <v>0</v>
      </c>
      <c r="F27" s="41">
        <f t="shared" ref="F27" si="11">D27*E27</f>
        <v>0</v>
      </c>
      <c r="G27" s="20">
        <f t="shared" ref="G27" si="12">F27*0.05</f>
        <v>0</v>
      </c>
      <c r="H27" s="40">
        <f t="shared" ref="H27" si="13">F27*0.1</f>
        <v>0</v>
      </c>
      <c r="I27" s="38">
        <f t="shared" ref="I27" si="14">F27*$L$6+G27*$L$5+H27*$L$7</f>
        <v>0</v>
      </c>
      <c r="J27" s="3"/>
      <c r="M27" s="50"/>
      <c r="N27" s="51"/>
      <c r="O27" s="51"/>
      <c r="P27" s="51"/>
      <c r="Q27" s="51"/>
      <c r="R27" s="51"/>
      <c r="S27" s="51"/>
      <c r="T27" s="51"/>
      <c r="U27" s="54"/>
    </row>
    <row r="28" spans="1:21" s="1" customFormat="1" ht="12.75" x14ac:dyDescent="0.2">
      <c r="A28" s="37" t="s">
        <v>88</v>
      </c>
      <c r="B28" s="10"/>
      <c r="C28" s="10"/>
      <c r="D28" s="10"/>
      <c r="E28" s="10"/>
      <c r="F28" s="10"/>
      <c r="G28" s="10"/>
      <c r="H28" s="10"/>
      <c r="I28" s="11"/>
      <c r="J28" s="3"/>
      <c r="K28" s="3"/>
      <c r="M28" s="50"/>
      <c r="N28" s="51"/>
      <c r="O28" s="51"/>
      <c r="P28" s="51"/>
      <c r="Q28" s="51"/>
      <c r="R28" s="53"/>
      <c r="S28" s="51"/>
      <c r="T28" s="51"/>
      <c r="U28" s="54"/>
    </row>
    <row r="29" spans="1:21" s="1" customFormat="1" ht="12.75" x14ac:dyDescent="0.2">
      <c r="A29" s="35" t="s">
        <v>99</v>
      </c>
      <c r="B29" s="10">
        <v>2</v>
      </c>
      <c r="C29" s="10">
        <v>1</v>
      </c>
      <c r="D29" s="20">
        <f t="shared" ref="D29:D31" si="15">+B29*C29</f>
        <v>2</v>
      </c>
      <c r="E29" s="20">
        <v>1.33</v>
      </c>
      <c r="F29" s="40">
        <f t="shared" ref="F29:F34" si="16">D29*E29</f>
        <v>2.66</v>
      </c>
      <c r="G29" s="40">
        <f t="shared" ref="G29:G34" si="17">F29*0.05</f>
        <v>0.13300000000000001</v>
      </c>
      <c r="H29" s="40">
        <f t="shared" ref="H29:H34" si="18">F29*0.1</f>
        <v>0.26600000000000001</v>
      </c>
      <c r="I29" s="38">
        <f t="shared" ref="I29:I34" si="19">F29*$L$6+G29*$L$5+H29*$L$7</f>
        <v>418.96728999999999</v>
      </c>
      <c r="J29" s="3"/>
      <c r="K29" s="3"/>
      <c r="M29" s="50"/>
      <c r="N29" s="51"/>
      <c r="O29" s="51"/>
      <c r="P29" s="51"/>
      <c r="Q29" s="51"/>
      <c r="R29" s="51"/>
      <c r="S29" s="51"/>
      <c r="T29" s="51"/>
      <c r="U29" s="54"/>
    </row>
    <row r="30" spans="1:21" s="1" customFormat="1" ht="12.75" x14ac:dyDescent="0.2">
      <c r="A30" s="35" t="s">
        <v>100</v>
      </c>
      <c r="B30" s="10">
        <v>0.5</v>
      </c>
      <c r="C30" s="10">
        <v>350</v>
      </c>
      <c r="D30" s="20">
        <f t="shared" si="15"/>
        <v>175</v>
      </c>
      <c r="E30" s="20">
        <f>Respondents!$F$8</f>
        <v>4</v>
      </c>
      <c r="F30" s="41">
        <f t="shared" si="16"/>
        <v>700</v>
      </c>
      <c r="G30" s="20">
        <f t="shared" si="17"/>
        <v>35</v>
      </c>
      <c r="H30" s="40">
        <f t="shared" si="18"/>
        <v>70</v>
      </c>
      <c r="I30" s="38">
        <f t="shared" si="19"/>
        <v>110254.55</v>
      </c>
      <c r="J30" s="3"/>
      <c r="K30" s="3"/>
      <c r="M30" s="50"/>
      <c r="N30" s="51"/>
      <c r="O30" s="51"/>
      <c r="P30" s="51"/>
      <c r="Q30" s="51"/>
      <c r="R30" s="51"/>
      <c r="S30" s="51"/>
      <c r="T30" s="51"/>
      <c r="U30" s="54"/>
    </row>
    <row r="31" spans="1:21" s="1" customFormat="1" ht="12.75" x14ac:dyDescent="0.2">
      <c r="A31" s="35" t="s">
        <v>101</v>
      </c>
      <c r="B31" s="10">
        <v>4</v>
      </c>
      <c r="C31" s="10">
        <v>12</v>
      </c>
      <c r="D31" s="20">
        <f t="shared" si="15"/>
        <v>48</v>
      </c>
      <c r="E31" s="20">
        <f>Respondents!$F$8</f>
        <v>4</v>
      </c>
      <c r="F31" s="41">
        <f t="shared" si="16"/>
        <v>192</v>
      </c>
      <c r="G31" s="20">
        <f t="shared" si="17"/>
        <v>9.6000000000000014</v>
      </c>
      <c r="H31" s="40">
        <f t="shared" si="18"/>
        <v>19.200000000000003</v>
      </c>
      <c r="I31" s="38">
        <f t="shared" si="19"/>
        <v>30241.248</v>
      </c>
      <c r="J31" s="3"/>
      <c r="K31" s="3"/>
      <c r="M31" s="50"/>
      <c r="N31" s="51"/>
      <c r="O31" s="51"/>
      <c r="P31" s="51"/>
      <c r="Q31" s="51"/>
      <c r="R31" s="51"/>
      <c r="S31" s="51"/>
      <c r="T31" s="51"/>
      <c r="U31" s="54"/>
    </row>
    <row r="32" spans="1:21" s="1" customFormat="1" ht="12.75" x14ac:dyDescent="0.2">
      <c r="A32" s="35" t="s">
        <v>102</v>
      </c>
      <c r="B32" s="10" t="s">
        <v>83</v>
      </c>
      <c r="C32" s="10"/>
      <c r="D32" s="10"/>
      <c r="E32" s="20"/>
      <c r="F32" s="41"/>
      <c r="G32" s="20"/>
      <c r="H32" s="40"/>
      <c r="I32" s="38"/>
      <c r="J32" s="3"/>
      <c r="K32" s="3"/>
      <c r="M32" s="50"/>
      <c r="N32" s="51"/>
      <c r="O32" s="51"/>
      <c r="P32" s="51"/>
      <c r="Q32" s="51"/>
      <c r="R32" s="51"/>
      <c r="S32" s="51"/>
      <c r="T32" s="51"/>
      <c r="U32" s="54"/>
    </row>
    <row r="33" spans="1:21" s="1" customFormat="1" ht="12.75" x14ac:dyDescent="0.2">
      <c r="A33" s="35" t="s">
        <v>103</v>
      </c>
      <c r="B33" s="10">
        <v>12</v>
      </c>
      <c r="C33" s="10">
        <v>1</v>
      </c>
      <c r="D33" s="20">
        <f t="shared" ref="D33:D34" si="20">+B33*C33</f>
        <v>12</v>
      </c>
      <c r="E33" s="20">
        <f>Respondents!$F$8</f>
        <v>4</v>
      </c>
      <c r="F33" s="41">
        <f t="shared" si="16"/>
        <v>48</v>
      </c>
      <c r="G33" s="20">
        <f t="shared" si="17"/>
        <v>2.4000000000000004</v>
      </c>
      <c r="H33" s="40">
        <f t="shared" si="18"/>
        <v>4.8000000000000007</v>
      </c>
      <c r="I33" s="38">
        <f t="shared" si="19"/>
        <v>7560.3119999999999</v>
      </c>
      <c r="J33" s="3"/>
      <c r="K33" s="3"/>
      <c r="M33" s="50"/>
      <c r="N33" s="51"/>
      <c r="O33" s="51"/>
      <c r="P33" s="51"/>
      <c r="Q33" s="51"/>
      <c r="R33" s="51"/>
      <c r="S33" s="51"/>
      <c r="T33" s="51"/>
      <c r="U33" s="54"/>
    </row>
    <row r="34" spans="1:21" s="1" customFormat="1" ht="12.75" x14ac:dyDescent="0.2">
      <c r="A34" s="35" t="s">
        <v>104</v>
      </c>
      <c r="B34" s="10">
        <v>20</v>
      </c>
      <c r="C34" s="10">
        <v>1</v>
      </c>
      <c r="D34" s="20">
        <f t="shared" si="20"/>
        <v>20</v>
      </c>
      <c r="E34" s="20">
        <f>Respondents!$F$8</f>
        <v>4</v>
      </c>
      <c r="F34" s="41">
        <f t="shared" si="16"/>
        <v>80</v>
      </c>
      <c r="G34" s="20">
        <f t="shared" si="17"/>
        <v>4</v>
      </c>
      <c r="H34" s="40">
        <f t="shared" si="18"/>
        <v>8</v>
      </c>
      <c r="I34" s="38">
        <f t="shared" si="19"/>
        <v>12600.519999999999</v>
      </c>
      <c r="J34" s="3"/>
      <c r="K34" s="3"/>
      <c r="M34" s="50"/>
      <c r="N34" s="51"/>
      <c r="O34" s="51"/>
      <c r="P34" s="51"/>
      <c r="Q34" s="51"/>
      <c r="R34" s="51"/>
      <c r="S34" s="51"/>
      <c r="T34" s="51"/>
      <c r="U34" s="54"/>
    </row>
    <row r="35" spans="1:21" s="1" customFormat="1" ht="12.75" x14ac:dyDescent="0.2">
      <c r="A35" s="37" t="s">
        <v>89</v>
      </c>
      <c r="B35" s="10"/>
      <c r="C35" s="10"/>
      <c r="D35" s="10"/>
      <c r="E35" s="10"/>
      <c r="F35" s="10"/>
      <c r="G35" s="10"/>
      <c r="H35" s="10"/>
      <c r="I35" s="11"/>
      <c r="J35" s="3"/>
      <c r="K35" s="3"/>
      <c r="M35" s="50"/>
      <c r="N35" s="51"/>
      <c r="O35" s="51"/>
      <c r="P35" s="51"/>
      <c r="Q35" s="51"/>
      <c r="R35" s="51"/>
      <c r="S35" s="51"/>
      <c r="T35" s="51"/>
      <c r="U35" s="54"/>
    </row>
    <row r="36" spans="1:21" s="1" customFormat="1" ht="12.75" x14ac:dyDescent="0.2">
      <c r="A36" s="35" t="s">
        <v>105</v>
      </c>
      <c r="B36" s="2">
        <v>20</v>
      </c>
      <c r="C36" s="2">
        <v>1</v>
      </c>
      <c r="D36" s="20">
        <f t="shared" ref="D36:D37" si="21">+B36*C36</f>
        <v>20</v>
      </c>
      <c r="E36" s="20">
        <f>Respondents!$F$8</f>
        <v>4</v>
      </c>
      <c r="F36" s="41">
        <f t="shared" ref="F36" si="22">D36*E36</f>
        <v>80</v>
      </c>
      <c r="G36" s="20">
        <f t="shared" ref="G36" si="23">F36*0.05</f>
        <v>4</v>
      </c>
      <c r="H36" s="40">
        <f t="shared" ref="H36" si="24">F36*0.1</f>
        <v>8</v>
      </c>
      <c r="I36" s="38">
        <f t="shared" ref="I36" si="25">F36*$L$6+G36*$L$5+H36*$L$7</f>
        <v>12600.519999999999</v>
      </c>
      <c r="J36" s="3"/>
      <c r="K36" s="3"/>
      <c r="M36" s="50"/>
      <c r="N36" s="51"/>
      <c r="O36" s="51"/>
      <c r="P36" s="51"/>
      <c r="Q36" s="51"/>
      <c r="R36" s="53"/>
      <c r="S36" s="51"/>
      <c r="T36" s="51"/>
      <c r="U36" s="54"/>
    </row>
    <row r="37" spans="1:21" s="1" customFormat="1" ht="12.75" x14ac:dyDescent="0.2">
      <c r="A37" s="35" t="s">
        <v>106</v>
      </c>
      <c r="B37" s="10">
        <v>4</v>
      </c>
      <c r="C37" s="10">
        <v>1</v>
      </c>
      <c r="D37" s="20">
        <f t="shared" si="21"/>
        <v>4</v>
      </c>
      <c r="E37" s="20">
        <f>Respondents!$F$8</f>
        <v>4</v>
      </c>
      <c r="F37" s="41">
        <f t="shared" ref="F37" si="26">D37*E37</f>
        <v>16</v>
      </c>
      <c r="G37" s="20">
        <f t="shared" ref="G37" si="27">F37*0.05</f>
        <v>0.8</v>
      </c>
      <c r="H37" s="40">
        <f t="shared" ref="H37" si="28">F37*0.1</f>
        <v>1.6</v>
      </c>
      <c r="I37" s="38">
        <f t="shared" ref="I37" si="29">F37*$L$6+G37*$L$5+H37*$L$7</f>
        <v>2520.1039999999998</v>
      </c>
      <c r="J37" s="3"/>
      <c r="K37" s="3"/>
      <c r="M37" s="50"/>
      <c r="N37" s="51"/>
      <c r="O37" s="51"/>
      <c r="P37" s="51"/>
      <c r="Q37" s="51"/>
      <c r="R37" s="51"/>
      <c r="S37" s="51"/>
      <c r="T37" s="51"/>
      <c r="U37" s="54"/>
    </row>
    <row r="38" spans="1:21" s="1" customFormat="1" ht="12.75" x14ac:dyDescent="0.2">
      <c r="A38" s="37" t="s">
        <v>90</v>
      </c>
      <c r="B38" s="10"/>
      <c r="C38" s="10"/>
      <c r="D38" s="20">
        <f t="shared" ref="D38" si="30">+B38*C38</f>
        <v>0</v>
      </c>
      <c r="E38" s="20">
        <f>Respondents!$F$8</f>
        <v>4</v>
      </c>
      <c r="F38" s="41">
        <f t="shared" ref="F38" si="31">D38*E38</f>
        <v>0</v>
      </c>
      <c r="G38" s="20">
        <f t="shared" ref="G38" si="32">F38*0.05</f>
        <v>0</v>
      </c>
      <c r="H38" s="40">
        <f t="shared" ref="H38" si="33">F38*0.1</f>
        <v>0</v>
      </c>
      <c r="I38" s="38">
        <f t="shared" ref="I38" si="34">F38*$L$6+G38*$L$5+H38*$L$7</f>
        <v>0</v>
      </c>
      <c r="J38" s="3"/>
      <c r="K38" s="3"/>
      <c r="M38" s="50"/>
      <c r="N38" s="51"/>
      <c r="O38" s="51"/>
      <c r="P38" s="51"/>
      <c r="Q38" s="51"/>
      <c r="R38" s="51"/>
      <c r="S38" s="51"/>
      <c r="T38" s="51"/>
      <c r="U38" s="54"/>
    </row>
    <row r="39" spans="1:21" s="1" customFormat="1" ht="13.5" x14ac:dyDescent="0.25">
      <c r="A39" s="61" t="s">
        <v>22</v>
      </c>
      <c r="B39" s="103"/>
      <c r="C39" s="104"/>
      <c r="D39" s="104"/>
      <c r="E39" s="105"/>
      <c r="F39" s="109">
        <f>SUM(F24:H38)</f>
        <v>1286.4589999999998</v>
      </c>
      <c r="G39" s="110"/>
      <c r="H39" s="111"/>
      <c r="I39" s="12">
        <f>SUM(I24:I38)</f>
        <v>176196.22128999999</v>
      </c>
      <c r="J39" s="16"/>
      <c r="K39" s="44">
        <f>F40/Responses!E10</f>
        <v>132.27016885553471</v>
      </c>
      <c r="L39" s="44" t="s">
        <v>23</v>
      </c>
      <c r="M39" s="50"/>
      <c r="N39" s="51"/>
      <c r="O39" s="51"/>
      <c r="P39" s="51"/>
      <c r="Q39" s="51"/>
      <c r="R39" s="51"/>
      <c r="S39" s="51"/>
      <c r="T39" s="51"/>
      <c r="U39" s="54"/>
    </row>
    <row r="40" spans="1:21" s="1" customFormat="1" ht="13.5" customHeight="1" x14ac:dyDescent="0.25">
      <c r="A40" s="46" t="s">
        <v>115</v>
      </c>
      <c r="B40" s="106"/>
      <c r="C40" s="107"/>
      <c r="D40" s="107"/>
      <c r="E40" s="108"/>
      <c r="F40" s="109">
        <f>ROUND(SUM(F22,F39), -1)</f>
        <v>1410</v>
      </c>
      <c r="G40" s="110"/>
      <c r="H40" s="111"/>
      <c r="I40" s="12">
        <f>ROUND(SUM(I39,I22), -3)</f>
        <v>193000</v>
      </c>
      <c r="J40" s="16"/>
      <c r="K40" s="15"/>
      <c r="L40" s="3"/>
      <c r="M40" s="50"/>
      <c r="N40" s="51"/>
      <c r="O40" s="51"/>
      <c r="P40" s="51"/>
      <c r="Q40" s="51"/>
      <c r="R40" s="51"/>
      <c r="S40" s="51"/>
      <c r="T40" s="51"/>
      <c r="U40" s="54"/>
    </row>
    <row r="41" spans="1:21" s="1" customFormat="1" ht="13.5" customHeight="1" x14ac:dyDescent="0.25">
      <c r="A41" s="46" t="s">
        <v>116</v>
      </c>
      <c r="B41" s="106"/>
      <c r="C41" s="107"/>
      <c r="D41" s="107"/>
      <c r="E41" s="107"/>
      <c r="F41" s="107"/>
      <c r="G41" s="107"/>
      <c r="H41" s="108"/>
      <c r="I41" s="74">
        <f>ROUND('Capital O&amp;M'!G8+'Capital O&amp;M'!D8,-3)</f>
        <v>776000</v>
      </c>
      <c r="J41" s="3"/>
      <c r="M41" s="57"/>
      <c r="N41" s="57"/>
      <c r="O41" s="57"/>
      <c r="P41" s="57"/>
      <c r="Q41" s="57"/>
      <c r="R41" s="58"/>
      <c r="S41" s="58"/>
      <c r="T41" s="58"/>
      <c r="U41" s="59"/>
    </row>
    <row r="42" spans="1:21" s="1" customFormat="1" ht="13.5" customHeight="1" x14ac:dyDescent="0.25">
      <c r="A42" s="46" t="s">
        <v>117</v>
      </c>
      <c r="B42" s="106"/>
      <c r="C42" s="107"/>
      <c r="D42" s="107"/>
      <c r="E42" s="107"/>
      <c r="F42" s="107"/>
      <c r="G42" s="107"/>
      <c r="H42" s="108"/>
      <c r="I42" s="74">
        <f>ROUND(SUM(I40:I41), -3)</f>
        <v>969000</v>
      </c>
      <c r="J42" s="3"/>
      <c r="M42" s="60"/>
      <c r="N42" s="60"/>
      <c r="O42" s="60"/>
      <c r="P42" s="60"/>
      <c r="Q42" s="60"/>
      <c r="R42" s="58"/>
      <c r="S42" s="58"/>
      <c r="T42" s="58"/>
      <c r="U42" s="59"/>
    </row>
    <row r="43" spans="1:21" s="1" customFormat="1" ht="13.5" x14ac:dyDescent="0.25">
      <c r="A43" s="112"/>
      <c r="B43" s="112"/>
      <c r="C43" s="112"/>
      <c r="D43" s="112"/>
      <c r="E43" s="112"/>
      <c r="F43" s="112"/>
      <c r="G43" s="112"/>
      <c r="H43" s="112"/>
      <c r="I43" s="112"/>
      <c r="J43" s="3"/>
      <c r="M43" s="60"/>
      <c r="N43" s="60"/>
      <c r="O43" s="60"/>
      <c r="P43" s="60"/>
      <c r="Q43" s="60"/>
      <c r="R43" s="60"/>
      <c r="S43" s="60"/>
      <c r="T43" s="60"/>
      <c r="U43" s="59"/>
    </row>
    <row r="44" spans="1:21" s="1" customFormat="1" ht="13.5" x14ac:dyDescent="0.25">
      <c r="A44" s="112" t="s">
        <v>24</v>
      </c>
      <c r="B44" s="112"/>
      <c r="C44" s="112"/>
      <c r="D44" s="112"/>
      <c r="E44" s="112"/>
      <c r="F44" s="112"/>
      <c r="G44" s="112"/>
      <c r="H44" s="112"/>
      <c r="I44" s="112"/>
      <c r="J44" s="3"/>
      <c r="M44" s="60"/>
      <c r="N44" s="60"/>
      <c r="O44" s="60"/>
      <c r="P44" s="60"/>
      <c r="Q44" s="60"/>
      <c r="R44" s="60"/>
      <c r="S44" s="60"/>
      <c r="T44" s="60"/>
      <c r="U44" s="59"/>
    </row>
    <row r="45" spans="1:21" s="1" customFormat="1" ht="15.75" x14ac:dyDescent="0.2">
      <c r="A45" s="96" t="s">
        <v>71</v>
      </c>
      <c r="B45" s="96"/>
      <c r="C45" s="96"/>
      <c r="D45" s="96"/>
      <c r="E45" s="96"/>
      <c r="F45" s="96"/>
      <c r="G45" s="96"/>
      <c r="H45" s="96"/>
      <c r="I45" s="96"/>
      <c r="J45" s="3"/>
      <c r="M45" s="87"/>
      <c r="N45" s="87"/>
      <c r="O45" s="87"/>
      <c r="P45" s="87"/>
      <c r="Q45" s="87"/>
      <c r="R45" s="87"/>
      <c r="S45" s="87"/>
      <c r="T45" s="87"/>
      <c r="U45" s="87"/>
    </row>
    <row r="46" spans="1:21" s="1" customFormat="1" ht="62.25" customHeight="1" x14ac:dyDescent="0.2">
      <c r="A46" s="96" t="s">
        <v>134</v>
      </c>
      <c r="B46" s="96"/>
      <c r="C46" s="96"/>
      <c r="D46" s="96"/>
      <c r="E46" s="96"/>
      <c r="F46" s="96"/>
      <c r="G46" s="96"/>
      <c r="H46" s="96"/>
      <c r="I46" s="96"/>
      <c r="J46" s="3"/>
      <c r="M46" s="87"/>
      <c r="N46" s="87"/>
      <c r="O46" s="87"/>
      <c r="P46" s="87"/>
      <c r="Q46" s="87"/>
      <c r="R46" s="87"/>
      <c r="S46" s="87"/>
      <c r="T46" s="87"/>
      <c r="U46" s="87"/>
    </row>
    <row r="47" spans="1:21" s="1" customFormat="1" ht="18.600000000000001" customHeight="1" x14ac:dyDescent="0.2">
      <c r="A47" s="113" t="s">
        <v>109</v>
      </c>
      <c r="B47" s="113"/>
      <c r="C47" s="113"/>
      <c r="D47" s="113"/>
      <c r="E47" s="113"/>
      <c r="F47" s="113"/>
      <c r="G47" s="113"/>
      <c r="H47" s="113"/>
      <c r="I47" s="113"/>
      <c r="J47" s="3"/>
      <c r="M47" s="87"/>
      <c r="N47" s="87"/>
      <c r="O47" s="87"/>
      <c r="P47" s="87"/>
      <c r="Q47" s="87"/>
      <c r="R47" s="87"/>
      <c r="S47" s="87"/>
      <c r="T47" s="87"/>
      <c r="U47" s="87"/>
    </row>
    <row r="48" spans="1:21" s="1" customFormat="1" ht="15.75" customHeight="1" x14ac:dyDescent="0.2">
      <c r="A48" s="114" t="s">
        <v>118</v>
      </c>
      <c r="B48" s="114"/>
      <c r="C48" s="114"/>
      <c r="D48" s="114"/>
      <c r="E48" s="114"/>
      <c r="F48" s="114"/>
      <c r="G48" s="114"/>
      <c r="H48" s="114"/>
      <c r="I48" s="114"/>
      <c r="J48" s="88"/>
      <c r="K48" s="88"/>
      <c r="L48" s="88"/>
      <c r="M48" s="88"/>
      <c r="N48" s="87"/>
      <c r="O48" s="87"/>
      <c r="P48" s="87"/>
      <c r="Q48" s="87"/>
      <c r="R48" s="87"/>
      <c r="S48" s="87"/>
      <c r="T48" s="87"/>
      <c r="U48" s="87"/>
    </row>
    <row r="49" spans="1:21" s="1" customFormat="1" ht="15.75" x14ac:dyDescent="0.2">
      <c r="A49" s="94" t="s">
        <v>119</v>
      </c>
      <c r="B49" s="94"/>
      <c r="C49" s="94"/>
      <c r="D49" s="94"/>
      <c r="E49" s="94"/>
      <c r="F49" s="94"/>
      <c r="G49" s="94"/>
      <c r="H49" s="94"/>
      <c r="I49" s="94"/>
      <c r="J49" s="7"/>
      <c r="K49" s="7"/>
      <c r="L49" s="7"/>
      <c r="M49" s="7"/>
      <c r="N49" s="87"/>
      <c r="O49" s="87"/>
      <c r="P49" s="87"/>
      <c r="Q49" s="87"/>
      <c r="R49" s="87"/>
      <c r="S49" s="87"/>
      <c r="T49" s="87"/>
      <c r="U49" s="87"/>
    </row>
    <row r="50" spans="1:21" s="1" customFormat="1" ht="20.25" customHeight="1" x14ac:dyDescent="0.2">
      <c r="A50" s="113" t="s">
        <v>120</v>
      </c>
      <c r="B50" s="113"/>
      <c r="C50" s="113"/>
      <c r="D50" s="113"/>
      <c r="E50" s="113"/>
      <c r="F50" s="113"/>
      <c r="G50" s="113"/>
      <c r="H50" s="113"/>
      <c r="I50" s="113"/>
      <c r="J50" s="91"/>
      <c r="K50" s="91"/>
      <c r="L50" s="91"/>
      <c r="M50" s="91"/>
      <c r="N50" s="87"/>
      <c r="O50" s="87"/>
      <c r="P50" s="87"/>
      <c r="Q50" s="87"/>
      <c r="R50" s="87"/>
      <c r="S50" s="87"/>
      <c r="T50" s="87"/>
      <c r="U50" s="87"/>
    </row>
    <row r="51" spans="1:21" s="1" customFormat="1" ht="33.6" customHeight="1" x14ac:dyDescent="0.2">
      <c r="A51" s="96" t="s">
        <v>121</v>
      </c>
      <c r="B51" s="96"/>
      <c r="C51" s="96"/>
      <c r="D51" s="96"/>
      <c r="E51" s="96"/>
      <c r="F51" s="96"/>
      <c r="G51" s="96"/>
      <c r="H51" s="96"/>
      <c r="I51" s="96"/>
      <c r="J51" s="96"/>
      <c r="K51" s="96"/>
      <c r="L51" s="96"/>
      <c r="M51" s="96"/>
      <c r="N51" s="87"/>
      <c r="O51" s="87"/>
      <c r="P51" s="87"/>
      <c r="Q51" s="87"/>
      <c r="R51" s="87"/>
      <c r="S51" s="87"/>
      <c r="T51" s="87"/>
      <c r="U51" s="87"/>
    </row>
    <row r="52" spans="1:21" s="1" customFormat="1" ht="15.75" x14ac:dyDescent="0.2">
      <c r="A52" s="93" t="s">
        <v>122</v>
      </c>
      <c r="B52" s="93"/>
      <c r="C52" s="93"/>
      <c r="D52" s="93"/>
      <c r="E52" s="93"/>
      <c r="F52" s="93"/>
      <c r="G52" s="93"/>
      <c r="H52" s="93"/>
      <c r="I52" s="93"/>
      <c r="J52" s="89"/>
      <c r="K52" s="89"/>
      <c r="L52" s="89"/>
      <c r="M52" s="89"/>
      <c r="N52" s="90"/>
      <c r="O52" s="90"/>
      <c r="P52" s="90"/>
      <c r="Q52" s="90"/>
      <c r="R52" s="90"/>
      <c r="S52" s="90"/>
      <c r="T52" s="90"/>
      <c r="U52" s="90"/>
    </row>
    <row r="56" spans="1:21" ht="15.75" x14ac:dyDescent="0.25">
      <c r="A56" s="67"/>
      <c r="B56" s="67"/>
      <c r="C56" s="67"/>
    </row>
    <row r="57" spans="1:21" ht="15.75" x14ac:dyDescent="0.25">
      <c r="A57" s="67"/>
      <c r="B57" s="67"/>
      <c r="C57" s="67"/>
    </row>
    <row r="58" spans="1:21" ht="15.75" x14ac:dyDescent="0.25">
      <c r="A58" s="67"/>
      <c r="B58" s="67"/>
      <c r="C58" s="67"/>
    </row>
    <row r="59" spans="1:21" ht="15.75" x14ac:dyDescent="0.25">
      <c r="A59" s="68"/>
      <c r="B59" s="68"/>
      <c r="C59" s="68"/>
    </row>
    <row r="60" spans="1:21" ht="15.75" x14ac:dyDescent="0.25">
      <c r="A60" s="67"/>
      <c r="B60" s="67"/>
      <c r="C60" s="67"/>
    </row>
    <row r="61" spans="1:21" ht="15.75" x14ac:dyDescent="0.25">
      <c r="A61" s="67"/>
      <c r="B61" s="67"/>
      <c r="C61" s="67"/>
    </row>
    <row r="62" spans="1:21" ht="15.75" x14ac:dyDescent="0.25">
      <c r="A62" s="68"/>
      <c r="B62" s="68"/>
      <c r="C62" s="68"/>
    </row>
    <row r="63" spans="1:21" ht="15.75" x14ac:dyDescent="0.25">
      <c r="A63" s="68"/>
      <c r="B63" s="68"/>
      <c r="C63" s="68"/>
    </row>
    <row r="64" spans="1:21" ht="15.75" customHeight="1" x14ac:dyDescent="0.25">
      <c r="A64" s="67"/>
      <c r="B64" s="67"/>
      <c r="C64" s="67"/>
    </row>
    <row r="65" spans="1:3" ht="15" customHeight="1" x14ac:dyDescent="0.25">
      <c r="A65" s="67"/>
      <c r="B65" s="67"/>
      <c r="C65" s="67"/>
    </row>
    <row r="66" spans="1:3" ht="15.75" x14ac:dyDescent="0.25">
      <c r="A66" s="67"/>
      <c r="B66" s="67"/>
      <c r="C66" s="67"/>
    </row>
    <row r="67" spans="1:3" ht="15.75" x14ac:dyDescent="0.25">
      <c r="A67" s="68"/>
      <c r="B67" s="68"/>
      <c r="C67" s="68"/>
    </row>
    <row r="68" spans="1:3" ht="15.75" x14ac:dyDescent="0.25">
      <c r="A68" s="68"/>
      <c r="B68" s="67"/>
      <c r="C68" s="67"/>
    </row>
    <row r="69" spans="1:3" ht="15.75" x14ac:dyDescent="0.25">
      <c r="A69" s="67"/>
      <c r="B69" s="67"/>
      <c r="C69" s="67"/>
    </row>
    <row r="70" spans="1:3" ht="15.75" x14ac:dyDescent="0.25">
      <c r="A70" s="68"/>
      <c r="B70" s="67"/>
      <c r="C70" s="67"/>
    </row>
  </sheetData>
  <sortState xmlns:xlrd2="http://schemas.microsoft.com/office/spreadsheetml/2017/richdata2" ref="A55:C70">
    <sortCondition ref="C55:C70"/>
  </sortState>
  <mergeCells count="20">
    <mergeCell ref="J51:M51"/>
    <mergeCell ref="A45:I45"/>
    <mergeCell ref="A50:I50"/>
    <mergeCell ref="A48:I48"/>
    <mergeCell ref="A52:I52"/>
    <mergeCell ref="A49:I49"/>
    <mergeCell ref="K4:L4"/>
    <mergeCell ref="A46:I46"/>
    <mergeCell ref="A22:E22"/>
    <mergeCell ref="F22:H22"/>
    <mergeCell ref="B39:E39"/>
    <mergeCell ref="B40:E40"/>
    <mergeCell ref="B41:H41"/>
    <mergeCell ref="B42:H42"/>
    <mergeCell ref="F39:H39"/>
    <mergeCell ref="F40:H40"/>
    <mergeCell ref="A44:I44"/>
    <mergeCell ref="A43:I43"/>
    <mergeCell ref="A47:I47"/>
    <mergeCell ref="A51:I51"/>
  </mergeCells>
  <phoneticPr fontId="25" type="noConversion"/>
  <pageMargins left="0.7" right="0.7" top="0.75" bottom="0.75" header="0.3" footer="0.3"/>
  <pageSetup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8443F-7CF2-4AB9-A4F5-AA1F42586018}">
  <dimension ref="A1:L24"/>
  <sheetViews>
    <sheetView workbookViewId="0">
      <selection activeCell="A3" sqref="A3:I16"/>
    </sheetView>
  </sheetViews>
  <sheetFormatPr defaultRowHeight="15" x14ac:dyDescent="0.25"/>
  <cols>
    <col min="1" max="1" width="37.5703125" customWidth="1"/>
    <col min="2" max="9" width="11.7109375" customWidth="1"/>
    <col min="10" max="10" width="8.140625" customWidth="1"/>
    <col min="11" max="11" width="11.85546875" customWidth="1"/>
  </cols>
  <sheetData>
    <row r="1" spans="1:12" ht="15.75" x14ac:dyDescent="0.25">
      <c r="A1" s="85" t="s">
        <v>142</v>
      </c>
      <c r="B1" s="1"/>
      <c r="C1" s="1"/>
      <c r="D1" s="1"/>
      <c r="E1" s="1"/>
      <c r="F1" s="1"/>
      <c r="G1" s="1"/>
      <c r="H1" s="1"/>
      <c r="I1" s="1"/>
    </row>
    <row r="2" spans="1:12" x14ac:dyDescent="0.25">
      <c r="A2" s="1"/>
      <c r="B2" s="1"/>
      <c r="C2" s="1"/>
      <c r="D2" s="1"/>
      <c r="E2" s="1"/>
      <c r="F2" s="7"/>
      <c r="G2" s="7"/>
      <c r="H2" s="7"/>
      <c r="I2" s="7"/>
    </row>
    <row r="3" spans="1:12" ht="76.5" x14ac:dyDescent="0.25">
      <c r="A3" s="33" t="s">
        <v>25</v>
      </c>
      <c r="B3" s="72" t="s">
        <v>26</v>
      </c>
      <c r="C3" s="72" t="s">
        <v>27</v>
      </c>
      <c r="D3" s="72" t="s">
        <v>28</v>
      </c>
      <c r="E3" s="72" t="s">
        <v>29</v>
      </c>
      <c r="F3" s="72" t="s">
        <v>12</v>
      </c>
      <c r="G3" s="72" t="s">
        <v>30</v>
      </c>
      <c r="H3" s="72" t="s">
        <v>31</v>
      </c>
      <c r="I3" s="72" t="s">
        <v>32</v>
      </c>
      <c r="J3" s="1"/>
      <c r="K3" s="1"/>
      <c r="L3" s="1"/>
    </row>
    <row r="4" spans="1:12" x14ac:dyDescent="0.25">
      <c r="A4" s="45" t="s">
        <v>124</v>
      </c>
      <c r="B4" s="10"/>
      <c r="C4" s="10"/>
      <c r="D4" s="10"/>
      <c r="E4" s="10"/>
      <c r="F4" s="10"/>
      <c r="G4" s="10"/>
      <c r="H4" s="10"/>
      <c r="I4" s="11"/>
      <c r="J4" s="1"/>
      <c r="K4" s="95" t="s">
        <v>17</v>
      </c>
      <c r="L4" s="95"/>
    </row>
    <row r="5" spans="1:12" ht="26.25" customHeight="1" x14ac:dyDescent="0.25">
      <c r="A5" s="45" t="s">
        <v>125</v>
      </c>
      <c r="B5" s="10">
        <v>0.5</v>
      </c>
      <c r="C5" s="10">
        <v>1</v>
      </c>
      <c r="D5" s="10">
        <f t="shared" ref="D5:D10" si="0">B5*C5</f>
        <v>0.5</v>
      </c>
      <c r="E5" s="10">
        <v>1.33</v>
      </c>
      <c r="F5" s="62">
        <f t="shared" ref="F5" si="1">D5*E5</f>
        <v>0.66500000000000004</v>
      </c>
      <c r="G5" s="62">
        <f t="shared" ref="G5" si="2">F5*0.05</f>
        <v>3.3250000000000002E-2</v>
      </c>
      <c r="H5" s="62">
        <f t="shared" ref="H5" si="3">F5*0.1</f>
        <v>6.6500000000000004E-2</v>
      </c>
      <c r="I5" s="11">
        <f t="shared" ref="I5:I6" si="4">F5*$L$6+G5*$L$5+H5*$L$7</f>
        <v>42.562660000000001</v>
      </c>
      <c r="J5" s="1"/>
      <c r="K5" s="14" t="s">
        <v>129</v>
      </c>
      <c r="L5" s="32">
        <v>76.92</v>
      </c>
    </row>
    <row r="6" spans="1:12" x14ac:dyDescent="0.25">
      <c r="A6" s="45" t="s">
        <v>127</v>
      </c>
      <c r="B6" s="10">
        <v>0.5</v>
      </c>
      <c r="C6" s="10">
        <v>1</v>
      </c>
      <c r="D6" s="10">
        <f t="shared" si="0"/>
        <v>0.5</v>
      </c>
      <c r="E6" s="10">
        <v>0</v>
      </c>
      <c r="F6" s="62">
        <f t="shared" ref="F6" si="5">D6*E6</f>
        <v>0</v>
      </c>
      <c r="G6" s="62">
        <f t="shared" ref="G6" si="6">F6*0.05</f>
        <v>0</v>
      </c>
      <c r="H6" s="62">
        <f t="shared" ref="H6" si="7">F6*0.1</f>
        <v>0</v>
      </c>
      <c r="I6" s="11">
        <f t="shared" si="4"/>
        <v>0</v>
      </c>
      <c r="J6" s="13"/>
      <c r="K6" s="14" t="s">
        <v>19</v>
      </c>
      <c r="L6" s="32">
        <v>57.07</v>
      </c>
    </row>
    <row r="7" spans="1:12" x14ac:dyDescent="0.25">
      <c r="A7" s="45" t="s">
        <v>126</v>
      </c>
      <c r="B7" s="10">
        <v>5</v>
      </c>
      <c r="C7" s="10">
        <v>1</v>
      </c>
      <c r="D7" s="10">
        <f t="shared" si="0"/>
        <v>5</v>
      </c>
      <c r="E7" s="10">
        <v>1.33</v>
      </c>
      <c r="F7" s="62">
        <f t="shared" ref="F7:F8" si="8">D7*E7</f>
        <v>6.65</v>
      </c>
      <c r="G7" s="62">
        <f t="shared" ref="G7:G8" si="9">F7*0.05</f>
        <v>0.33250000000000002</v>
      </c>
      <c r="H7" s="62">
        <f t="shared" ref="H7:H8" si="10">F7*0.1</f>
        <v>0.66500000000000004</v>
      </c>
      <c r="I7" s="11">
        <f>F7*$L$6+G7*$L$5+H7*$L$7</f>
        <v>425.6266</v>
      </c>
      <c r="J7" s="13"/>
      <c r="K7" s="14" t="s">
        <v>20</v>
      </c>
      <c r="L7" s="32">
        <v>30.88</v>
      </c>
    </row>
    <row r="8" spans="1:12" x14ac:dyDescent="0.25">
      <c r="A8" s="45" t="s">
        <v>130</v>
      </c>
      <c r="B8" s="10">
        <v>5</v>
      </c>
      <c r="C8" s="10">
        <v>1</v>
      </c>
      <c r="D8" s="10">
        <f t="shared" si="0"/>
        <v>5</v>
      </c>
      <c r="E8" s="10">
        <v>0</v>
      </c>
      <c r="F8" s="10">
        <f t="shared" si="8"/>
        <v>0</v>
      </c>
      <c r="G8" s="10">
        <f t="shared" si="9"/>
        <v>0</v>
      </c>
      <c r="H8" s="10">
        <f t="shared" si="10"/>
        <v>0</v>
      </c>
      <c r="I8" s="11">
        <f t="shared" ref="I8:I9" si="11">F8*$L$6+G8*$L$5+H8*$L$7</f>
        <v>0</v>
      </c>
      <c r="J8" s="15"/>
      <c r="K8" s="15"/>
      <c r="L8" s="47"/>
    </row>
    <row r="9" spans="1:12" x14ac:dyDescent="0.25">
      <c r="A9" s="45" t="s">
        <v>128</v>
      </c>
      <c r="B9" s="10">
        <v>10</v>
      </c>
      <c r="C9" s="10">
        <v>2</v>
      </c>
      <c r="D9" s="10">
        <f t="shared" si="0"/>
        <v>20</v>
      </c>
      <c r="E9" s="10">
        <v>4</v>
      </c>
      <c r="F9" s="10">
        <f t="shared" ref="F9:F10" si="12">D9*E9</f>
        <v>80</v>
      </c>
      <c r="G9" s="10">
        <f t="shared" ref="G9" si="13">F9*0.05</f>
        <v>4</v>
      </c>
      <c r="H9" s="10">
        <f t="shared" ref="H9" si="14">F9*0.1</f>
        <v>8</v>
      </c>
      <c r="I9" s="11">
        <f t="shared" si="11"/>
        <v>5120.3200000000006</v>
      </c>
      <c r="J9" s="1"/>
      <c r="K9" s="1"/>
      <c r="L9" s="1"/>
    </row>
    <row r="10" spans="1:12" x14ac:dyDescent="0.25">
      <c r="A10" s="45" t="s">
        <v>135</v>
      </c>
      <c r="B10" s="10">
        <v>10</v>
      </c>
      <c r="C10" s="10">
        <v>1</v>
      </c>
      <c r="D10" s="10">
        <f t="shared" si="0"/>
        <v>10</v>
      </c>
      <c r="E10" s="10">
        <v>1</v>
      </c>
      <c r="F10" s="10">
        <f t="shared" si="12"/>
        <v>10</v>
      </c>
      <c r="G10" s="10">
        <f>F10*0.05</f>
        <v>0.5</v>
      </c>
      <c r="H10" s="10">
        <f>F10*0.1</f>
        <v>1</v>
      </c>
      <c r="I10" s="11">
        <f>F10*$L$6+G10*$L$5+H10*$L$7</f>
        <v>640.04000000000008</v>
      </c>
      <c r="J10" s="1"/>
      <c r="K10" s="1"/>
      <c r="L10" s="1"/>
    </row>
    <row r="11" spans="1:12" ht="16.5" x14ac:dyDescent="0.25">
      <c r="A11" s="46" t="s">
        <v>131</v>
      </c>
      <c r="B11" s="119"/>
      <c r="C11" s="119"/>
      <c r="D11" s="119"/>
      <c r="E11" s="119"/>
      <c r="F11" s="120">
        <f>ROUND(SUM(F4:H10),0)</f>
        <v>112</v>
      </c>
      <c r="G11" s="120"/>
      <c r="H11" s="120"/>
      <c r="I11" s="75">
        <f>ROUND(SUM(I4:I9), -1)</f>
        <v>5590</v>
      </c>
      <c r="J11" s="1"/>
      <c r="K11" s="1"/>
      <c r="L11" s="1"/>
    </row>
    <row r="12" spans="1:12" ht="15" customHeight="1" x14ac:dyDescent="0.25">
      <c r="A12" s="118"/>
      <c r="B12" s="118"/>
      <c r="C12" s="118"/>
      <c r="D12" s="118"/>
      <c r="E12" s="118"/>
      <c r="F12" s="118"/>
      <c r="G12" s="118"/>
      <c r="H12" s="118"/>
      <c r="I12" s="118"/>
      <c r="J12" s="1"/>
      <c r="K12" s="1"/>
      <c r="L12" s="1"/>
    </row>
    <row r="13" spans="1:12" ht="12" customHeight="1" x14ac:dyDescent="0.25">
      <c r="A13" s="117" t="s">
        <v>24</v>
      </c>
      <c r="B13" s="117"/>
      <c r="C13" s="117"/>
      <c r="D13" s="117"/>
      <c r="E13" s="117"/>
      <c r="F13" s="117"/>
      <c r="G13" s="117"/>
      <c r="H13" s="117"/>
      <c r="I13" s="117"/>
      <c r="J13" s="1"/>
      <c r="K13" s="1"/>
      <c r="L13" s="1"/>
    </row>
    <row r="14" spans="1:12" ht="33.75" customHeight="1" x14ac:dyDescent="0.25">
      <c r="A14" s="121" t="s">
        <v>132</v>
      </c>
      <c r="B14" s="121"/>
      <c r="C14" s="121"/>
      <c r="D14" s="121"/>
      <c r="E14" s="121"/>
      <c r="F14" s="121"/>
      <c r="G14" s="121"/>
      <c r="H14" s="121"/>
      <c r="I14" s="121"/>
      <c r="J14" s="1"/>
      <c r="K14" s="1"/>
      <c r="L14" s="1"/>
    </row>
    <row r="15" spans="1:12" ht="48.75" customHeight="1" x14ac:dyDescent="0.25">
      <c r="A15" s="121" t="s">
        <v>62</v>
      </c>
      <c r="B15" s="121"/>
      <c r="C15" s="121"/>
      <c r="D15" s="121"/>
      <c r="E15" s="121"/>
      <c r="F15" s="121"/>
      <c r="G15" s="121"/>
      <c r="H15" s="121"/>
      <c r="I15" s="121"/>
      <c r="J15" s="1"/>
      <c r="K15" s="1"/>
      <c r="L15" s="1"/>
    </row>
    <row r="16" spans="1:12" ht="18.75" customHeight="1" x14ac:dyDescent="0.25">
      <c r="A16" s="115" t="s">
        <v>123</v>
      </c>
      <c r="B16" s="116"/>
      <c r="C16" s="116"/>
      <c r="D16" s="116"/>
      <c r="E16" s="116"/>
      <c r="F16" s="116"/>
      <c r="G16" s="116"/>
      <c r="H16" s="116"/>
      <c r="I16" s="116"/>
      <c r="J16" s="1"/>
      <c r="K16" s="1"/>
      <c r="L16" s="1"/>
    </row>
    <row r="17" spans="1:12" x14ac:dyDescent="0.25">
      <c r="A17" s="1"/>
      <c r="B17" s="1"/>
      <c r="C17" s="1"/>
      <c r="D17" s="1"/>
      <c r="E17" s="1"/>
      <c r="F17" s="1"/>
      <c r="G17" s="1"/>
      <c r="H17" s="1"/>
      <c r="I17" s="1"/>
      <c r="J17" s="1"/>
      <c r="K17" s="1"/>
      <c r="L17" s="1"/>
    </row>
    <row r="18" spans="1:12" x14ac:dyDescent="0.25">
      <c r="A18" s="1"/>
      <c r="B18" s="78"/>
      <c r="C18" s="78"/>
      <c r="D18" s="1"/>
      <c r="E18" s="1"/>
      <c r="F18" s="1"/>
      <c r="G18" s="1"/>
      <c r="H18" s="1"/>
      <c r="I18" s="1"/>
      <c r="J18" s="1"/>
      <c r="K18" s="1"/>
      <c r="L18" s="1"/>
    </row>
    <row r="19" spans="1:12" x14ac:dyDescent="0.25">
      <c r="A19" s="1"/>
      <c r="B19" s="78"/>
      <c r="C19" s="78"/>
      <c r="D19" s="1"/>
      <c r="E19" s="1"/>
      <c r="F19" s="1"/>
      <c r="G19" s="1"/>
      <c r="H19" s="1"/>
      <c r="I19" s="1"/>
      <c r="J19" s="1"/>
      <c r="K19" s="1"/>
      <c r="L19" s="1"/>
    </row>
    <row r="20" spans="1:12" x14ac:dyDescent="0.25">
      <c r="A20" s="1"/>
      <c r="B20" s="78"/>
      <c r="C20" s="78"/>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row>
  </sheetData>
  <mergeCells count="8">
    <mergeCell ref="A16:I16"/>
    <mergeCell ref="A13:I13"/>
    <mergeCell ref="A12:I12"/>
    <mergeCell ref="K4:L4"/>
    <mergeCell ref="B11:E11"/>
    <mergeCell ref="F11:H11"/>
    <mergeCell ref="A14:I14"/>
    <mergeCell ref="A15:I15"/>
  </mergeCells>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3E3CA-182B-4F98-B2D0-1BA8517B03CE}">
  <dimension ref="A1:I13"/>
  <sheetViews>
    <sheetView zoomScale="90" zoomScaleNormal="90" workbookViewId="0">
      <selection activeCell="K18" sqref="K18"/>
    </sheetView>
  </sheetViews>
  <sheetFormatPr defaultColWidth="22" defaultRowHeight="12.75" x14ac:dyDescent="0.2"/>
  <cols>
    <col min="1" max="1" width="15.140625" style="18" customWidth="1"/>
    <col min="2" max="2" width="13.85546875" style="18" customWidth="1"/>
    <col min="3" max="3" width="13.140625" style="18" customWidth="1"/>
    <col min="4" max="4" width="16.28515625" style="18" customWidth="1"/>
    <col min="5" max="5" width="16.42578125" style="18" customWidth="1"/>
    <col min="6" max="6" width="14" style="18" customWidth="1"/>
    <col min="7" max="7" width="13.42578125" style="18" customWidth="1"/>
    <col min="8" max="8" width="6" style="18" customWidth="1"/>
    <col min="9" max="16384" width="22" style="18"/>
  </cols>
  <sheetData>
    <row r="1" spans="1:9" x14ac:dyDescent="0.2">
      <c r="A1" s="5"/>
      <c r="B1" s="6"/>
      <c r="C1" s="6"/>
    </row>
    <row r="2" spans="1:9" x14ac:dyDescent="0.2">
      <c r="A2" s="125" t="s">
        <v>33</v>
      </c>
      <c r="B2" s="125"/>
      <c r="C2" s="125"/>
      <c r="D2" s="125"/>
      <c r="E2" s="125"/>
      <c r="F2" s="125"/>
      <c r="G2" s="125"/>
      <c r="H2" s="27"/>
    </row>
    <row r="3" spans="1:9" x14ac:dyDescent="0.2">
      <c r="A3" s="83" t="s">
        <v>34</v>
      </c>
      <c r="B3" s="83" t="s">
        <v>35</v>
      </c>
      <c r="C3" s="83" t="s">
        <v>36</v>
      </c>
      <c r="D3" s="83" t="s">
        <v>37</v>
      </c>
      <c r="E3" s="83" t="s">
        <v>38</v>
      </c>
      <c r="F3" s="83" t="s">
        <v>39</v>
      </c>
      <c r="G3" s="83" t="s">
        <v>40</v>
      </c>
      <c r="H3" s="27"/>
    </row>
    <row r="4" spans="1:9" ht="46.5" customHeight="1" x14ac:dyDescent="0.2">
      <c r="A4" s="23" t="s">
        <v>41</v>
      </c>
      <c r="B4" s="23" t="s">
        <v>42</v>
      </c>
      <c r="C4" s="23" t="s">
        <v>64</v>
      </c>
      <c r="D4" s="23" t="s">
        <v>43</v>
      </c>
      <c r="E4" s="23" t="s">
        <v>136</v>
      </c>
      <c r="F4" s="23" t="s">
        <v>63</v>
      </c>
      <c r="G4" s="23" t="s">
        <v>44</v>
      </c>
      <c r="H4" s="27"/>
    </row>
    <row r="5" spans="1:9" ht="36.75" customHeight="1" x14ac:dyDescent="0.2">
      <c r="A5" s="79" t="s">
        <v>65</v>
      </c>
      <c r="B5" s="24">
        <v>86770</v>
      </c>
      <c r="C5" s="33">
        <v>0</v>
      </c>
      <c r="D5" s="24">
        <f>B5*C5</f>
        <v>0</v>
      </c>
      <c r="E5" s="24">
        <v>186860</v>
      </c>
      <c r="F5" s="33">
        <v>4</v>
      </c>
      <c r="G5" s="24">
        <f>F5*E5</f>
        <v>747440</v>
      </c>
      <c r="H5" s="28"/>
    </row>
    <row r="6" spans="1:9" ht="36.75" customHeight="1" x14ac:dyDescent="0.2">
      <c r="A6" s="79" t="s">
        <v>66</v>
      </c>
      <c r="B6" s="24">
        <v>0</v>
      </c>
      <c r="C6" s="20">
        <v>0</v>
      </c>
      <c r="D6" s="24">
        <f>B6*C6</f>
        <v>0</v>
      </c>
      <c r="E6" s="24">
        <v>21216</v>
      </c>
      <c r="F6" s="20">
        <v>1.33</v>
      </c>
      <c r="G6" s="24">
        <f>F6*E6</f>
        <v>28217.280000000002</v>
      </c>
      <c r="H6" s="28"/>
    </row>
    <row r="7" spans="1:9" ht="36.75" customHeight="1" x14ac:dyDescent="0.2">
      <c r="A7" s="79" t="s">
        <v>67</v>
      </c>
      <c r="B7" s="24">
        <f>0</f>
        <v>0</v>
      </c>
      <c r="C7" s="20">
        <v>0</v>
      </c>
      <c r="D7" s="24">
        <f>B7*C7</f>
        <v>0</v>
      </c>
      <c r="E7" s="24">
        <v>19500</v>
      </c>
      <c r="F7" s="20">
        <v>0</v>
      </c>
      <c r="G7" s="24">
        <f>F7*E7</f>
        <v>0</v>
      </c>
      <c r="H7" s="29"/>
    </row>
    <row r="8" spans="1:9" ht="46.5" customHeight="1" x14ac:dyDescent="0.2">
      <c r="A8" s="25" t="s">
        <v>138</v>
      </c>
      <c r="B8" s="20"/>
      <c r="C8" s="20"/>
      <c r="D8" s="26">
        <f>ROUND(SUM(D5:D7), -3)</f>
        <v>0</v>
      </c>
      <c r="E8" s="20"/>
      <c r="F8" s="20"/>
      <c r="G8" s="26">
        <f>ROUND(SUM(G5:G7), -3)</f>
        <v>776000</v>
      </c>
      <c r="I8" s="70">
        <f>D8+G8</f>
        <v>776000</v>
      </c>
    </row>
    <row r="9" spans="1:9" ht="14.45" customHeight="1" x14ac:dyDescent="0.25">
      <c r="A9" s="126" t="s">
        <v>68</v>
      </c>
      <c r="B9" s="127"/>
      <c r="C9" s="127"/>
      <c r="D9" s="127"/>
      <c r="E9" s="127"/>
      <c r="F9" s="127"/>
      <c r="G9" s="127"/>
    </row>
    <row r="10" spans="1:9" ht="28.9" customHeight="1" x14ac:dyDescent="0.25">
      <c r="A10" s="123" t="s">
        <v>69</v>
      </c>
      <c r="B10" s="124"/>
      <c r="C10" s="124"/>
      <c r="D10" s="124"/>
      <c r="E10" s="124"/>
      <c r="F10" s="124"/>
      <c r="G10" s="124"/>
    </row>
    <row r="11" spans="1:9" ht="15" x14ac:dyDescent="0.25">
      <c r="A11" s="123" t="s">
        <v>70</v>
      </c>
      <c r="B11" s="124"/>
      <c r="C11" s="124"/>
      <c r="D11" s="124"/>
      <c r="E11" s="124"/>
      <c r="F11" s="124"/>
      <c r="G11" s="124"/>
    </row>
    <row r="12" spans="1:9" x14ac:dyDescent="0.2">
      <c r="A12" s="128" t="s">
        <v>137</v>
      </c>
      <c r="B12" s="128"/>
      <c r="C12" s="128"/>
      <c r="D12" s="128"/>
      <c r="E12" s="128"/>
      <c r="F12" s="128"/>
      <c r="G12" s="128"/>
    </row>
    <row r="13" spans="1:9" x14ac:dyDescent="0.2">
      <c r="A13" s="122" t="s">
        <v>139</v>
      </c>
      <c r="B13" s="122"/>
      <c r="C13" s="122"/>
      <c r="D13" s="122"/>
      <c r="E13" s="122"/>
      <c r="F13" s="122"/>
      <c r="G13" s="122"/>
    </row>
  </sheetData>
  <mergeCells count="6">
    <mergeCell ref="A13:G13"/>
    <mergeCell ref="A10:G10"/>
    <mergeCell ref="A2:G2"/>
    <mergeCell ref="A11:G11"/>
    <mergeCell ref="A9:G9"/>
    <mergeCell ref="A12:G12"/>
  </mergeCells>
  <pageMargins left="0.7" right="0.7" top="0.75" bottom="0.75" header="0.3" footer="0.3"/>
  <pageSetup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A8CA8-D06D-48F9-AB41-065F033F135F}">
  <dimension ref="A1:F10"/>
  <sheetViews>
    <sheetView zoomScale="90" zoomScaleNormal="90" workbookViewId="0">
      <selection sqref="A1:E10"/>
    </sheetView>
  </sheetViews>
  <sheetFormatPr defaultRowHeight="15" x14ac:dyDescent="0.25"/>
  <cols>
    <col min="1" max="1" width="24.28515625" customWidth="1"/>
    <col min="2" max="2" width="11.85546875" customWidth="1"/>
    <col min="3" max="3" width="12.7109375" customWidth="1"/>
    <col min="4" max="4" width="17" customWidth="1"/>
    <col min="5" max="5" width="14.7109375" customWidth="1"/>
  </cols>
  <sheetData>
    <row r="1" spans="1:6" s="18" customFormat="1" ht="15.75" x14ac:dyDescent="0.2">
      <c r="A1" s="129" t="s">
        <v>5</v>
      </c>
      <c r="B1" s="129"/>
      <c r="C1" s="129"/>
      <c r="D1" s="129"/>
      <c r="E1" s="129"/>
    </row>
    <row r="2" spans="1:6" s="18" customFormat="1" ht="12.75" x14ac:dyDescent="0.2">
      <c r="A2" s="82" t="s">
        <v>34</v>
      </c>
      <c r="B2" s="82" t="s">
        <v>35</v>
      </c>
      <c r="C2" s="82" t="s">
        <v>36</v>
      </c>
      <c r="D2" s="82" t="s">
        <v>37</v>
      </c>
      <c r="E2" s="82" t="s">
        <v>38</v>
      </c>
    </row>
    <row r="3" spans="1:6" s="18" customFormat="1" ht="54" customHeight="1" x14ac:dyDescent="0.2">
      <c r="A3" s="19" t="s">
        <v>45</v>
      </c>
      <c r="B3" s="19" t="s">
        <v>46</v>
      </c>
      <c r="C3" s="19" t="s">
        <v>47</v>
      </c>
      <c r="D3" s="19" t="s">
        <v>48</v>
      </c>
      <c r="E3" s="19" t="s">
        <v>49</v>
      </c>
    </row>
    <row r="4" spans="1:6" s="18" customFormat="1" ht="28.15" customHeight="1" x14ac:dyDescent="0.2">
      <c r="A4" s="81" t="s">
        <v>72</v>
      </c>
      <c r="B4" s="20">
        <f>'Table 1'!E17</f>
        <v>1.33</v>
      </c>
      <c r="C4" s="20">
        <v>1</v>
      </c>
      <c r="D4" s="20">
        <v>0</v>
      </c>
      <c r="E4" s="20">
        <f>(B4*C4)+D4</f>
        <v>1.33</v>
      </c>
    </row>
    <row r="5" spans="1:6" s="18" customFormat="1" ht="12.75" x14ac:dyDescent="0.2">
      <c r="A5" s="81" t="s">
        <v>73</v>
      </c>
      <c r="B5" s="20">
        <f>'Table 1'!E18</f>
        <v>1.33</v>
      </c>
      <c r="C5" s="20">
        <v>1</v>
      </c>
      <c r="D5" s="20">
        <v>0</v>
      </c>
      <c r="E5" s="20">
        <f t="shared" ref="E5:E9" si="0">(B5*C5)+D5</f>
        <v>1.33</v>
      </c>
    </row>
    <row r="6" spans="1:6" s="18" customFormat="1" ht="12.75" x14ac:dyDescent="0.2">
      <c r="A6" s="81" t="s">
        <v>74</v>
      </c>
      <c r="B6" s="41">
        <f>'Table 1'!E19</f>
        <v>0</v>
      </c>
      <c r="C6" s="20">
        <v>1</v>
      </c>
      <c r="D6" s="20">
        <v>0</v>
      </c>
      <c r="E6" s="20">
        <f t="shared" si="0"/>
        <v>0</v>
      </c>
    </row>
    <row r="7" spans="1:6" s="18" customFormat="1" ht="12.75" x14ac:dyDescent="0.2">
      <c r="A7" s="81" t="s">
        <v>133</v>
      </c>
      <c r="B7" s="41">
        <f>B6</f>
        <v>0</v>
      </c>
      <c r="C7" s="20">
        <v>1</v>
      </c>
      <c r="D7" s="20">
        <v>0</v>
      </c>
      <c r="E7" s="20">
        <f t="shared" ref="E7" si="1">(B7*C7)+D7</f>
        <v>0</v>
      </c>
    </row>
    <row r="8" spans="1:6" s="18" customFormat="1" ht="24.6" customHeight="1" x14ac:dyDescent="0.2">
      <c r="A8" s="81" t="s">
        <v>75</v>
      </c>
      <c r="B8" s="41">
        <f>'Table 1'!E20</f>
        <v>0</v>
      </c>
      <c r="C8" s="20">
        <v>1</v>
      </c>
      <c r="D8" s="20">
        <v>0</v>
      </c>
      <c r="E8" s="20">
        <f t="shared" si="0"/>
        <v>0</v>
      </c>
    </row>
    <row r="9" spans="1:6" s="18" customFormat="1" ht="12.75" x14ac:dyDescent="0.2">
      <c r="A9" s="34" t="s">
        <v>76</v>
      </c>
      <c r="B9" s="20">
        <f>'Table 1'!E21</f>
        <v>4</v>
      </c>
      <c r="C9" s="20">
        <v>2</v>
      </c>
      <c r="D9" s="20">
        <v>0</v>
      </c>
      <c r="E9" s="20">
        <f t="shared" si="0"/>
        <v>8</v>
      </c>
      <c r="F9" s="3"/>
    </row>
    <row r="10" spans="1:6" s="18" customFormat="1" ht="12.75" x14ac:dyDescent="0.2">
      <c r="A10" s="22"/>
      <c r="B10" s="20"/>
      <c r="C10" s="20"/>
      <c r="D10" s="23" t="s">
        <v>50</v>
      </c>
      <c r="E10" s="69">
        <f>SUM(E4:E9)</f>
        <v>10.66</v>
      </c>
    </row>
  </sheetData>
  <mergeCells count="1">
    <mergeCell ref="A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E7754-04D5-4DBA-B79C-283E5E0BF946}">
  <dimension ref="A1:F9"/>
  <sheetViews>
    <sheetView zoomScale="80" zoomScaleNormal="80" workbookViewId="0">
      <selection sqref="A1:F9"/>
    </sheetView>
  </sheetViews>
  <sheetFormatPr defaultColWidth="17.7109375" defaultRowHeight="31.9" customHeight="1" x14ac:dyDescent="0.25"/>
  <sheetData>
    <row r="1" spans="1:6" s="18" customFormat="1" ht="31.9" customHeight="1" x14ac:dyDescent="0.2">
      <c r="A1" s="129" t="s">
        <v>1</v>
      </c>
      <c r="B1" s="129"/>
      <c r="C1" s="129"/>
      <c r="D1" s="129"/>
      <c r="E1" s="129"/>
      <c r="F1" s="129"/>
    </row>
    <row r="2" spans="1:6" s="18" customFormat="1" ht="42.6" customHeight="1" x14ac:dyDescent="0.2">
      <c r="A2" s="84"/>
      <c r="B2" s="130" t="s">
        <v>51</v>
      </c>
      <c r="C2" s="130"/>
      <c r="D2" s="84" t="s">
        <v>52</v>
      </c>
      <c r="E2" s="130"/>
      <c r="F2" s="130"/>
    </row>
    <row r="3" spans="1:6" s="18" customFormat="1" ht="31.9" customHeight="1" x14ac:dyDescent="0.2">
      <c r="A3" s="30"/>
      <c r="B3" s="31" t="s">
        <v>34</v>
      </c>
      <c r="C3" s="31" t="s">
        <v>35</v>
      </c>
      <c r="D3" s="31" t="s">
        <v>36</v>
      </c>
      <c r="E3" s="31" t="s">
        <v>37</v>
      </c>
      <c r="F3" s="31" t="s">
        <v>38</v>
      </c>
    </row>
    <row r="4" spans="1:6" s="18" customFormat="1" ht="70.900000000000006" customHeight="1" x14ac:dyDescent="0.2">
      <c r="A4" s="31" t="s">
        <v>53</v>
      </c>
      <c r="B4" s="30" t="s">
        <v>54</v>
      </c>
      <c r="C4" s="30" t="s">
        <v>55</v>
      </c>
      <c r="D4" s="30" t="s">
        <v>56</v>
      </c>
      <c r="E4" s="30" t="s">
        <v>57</v>
      </c>
      <c r="F4" s="30" t="s">
        <v>58</v>
      </c>
    </row>
    <row r="5" spans="1:6" s="18" customFormat="1" ht="31.9" customHeight="1" x14ac:dyDescent="0.2">
      <c r="A5" s="19">
        <v>1</v>
      </c>
      <c r="B5" s="80">
        <v>0</v>
      </c>
      <c r="C5" s="80">
        <v>4</v>
      </c>
      <c r="D5" s="80">
        <v>0</v>
      </c>
      <c r="E5" s="80">
        <v>0</v>
      </c>
      <c r="F5" s="20">
        <f>B5+C5+D5-E5</f>
        <v>4</v>
      </c>
    </row>
    <row r="6" spans="1:6" s="18" customFormat="1" ht="31.9" customHeight="1" x14ac:dyDescent="0.2">
      <c r="A6" s="19">
        <v>2</v>
      </c>
      <c r="B6" s="80">
        <v>0</v>
      </c>
      <c r="C6" s="80">
        <v>4</v>
      </c>
      <c r="D6" s="80">
        <v>0</v>
      </c>
      <c r="E6" s="80">
        <v>0</v>
      </c>
      <c r="F6" s="20">
        <f>B6+C6+D6-E6</f>
        <v>4</v>
      </c>
    </row>
    <row r="7" spans="1:6" s="18" customFormat="1" ht="31.9" customHeight="1" x14ac:dyDescent="0.2">
      <c r="A7" s="19">
        <v>3</v>
      </c>
      <c r="B7" s="80">
        <v>0</v>
      </c>
      <c r="C7" s="80">
        <v>4</v>
      </c>
      <c r="D7" s="80">
        <v>0</v>
      </c>
      <c r="E7" s="80">
        <v>0</v>
      </c>
      <c r="F7" s="20">
        <f>B7+C7+D7-E7</f>
        <v>4</v>
      </c>
    </row>
    <row r="8" spans="1:6" s="18" customFormat="1" ht="31.9" customHeight="1" x14ac:dyDescent="0.2">
      <c r="A8" s="19" t="s">
        <v>59</v>
      </c>
      <c r="B8" s="20">
        <f>AVERAGE(B5:B7)</f>
        <v>0</v>
      </c>
      <c r="C8" s="20">
        <f>AVERAGE(C5:C7)</f>
        <v>4</v>
      </c>
      <c r="D8" s="20">
        <v>0</v>
      </c>
      <c r="E8" s="20">
        <v>0</v>
      </c>
      <c r="F8" s="23">
        <f>AVERAGE(F5:F7)</f>
        <v>4</v>
      </c>
    </row>
    <row r="9" spans="1:6" s="18" customFormat="1" ht="20.45" customHeight="1" x14ac:dyDescent="0.2">
      <c r="A9" s="21" t="s">
        <v>60</v>
      </c>
    </row>
  </sheetData>
  <mergeCells count="3">
    <mergeCell ref="A1:F1"/>
    <mergeCell ref="B2:C2"/>
    <mergeCell ref="E2:F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ffa91fb-a0ff-4ac5-b2db-65c790d184a4" xsi:nil="true"/>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2024-10-22T20:11:36+00:00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C2644CEF3BE14BA984F9E32D274554" ma:contentTypeVersion="16" ma:contentTypeDescription="Create a new document." ma:contentTypeScope="" ma:versionID="d513bca65c16c20fa6621e38b2352deb">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2fe02c4-dc41-46ff-9d52-90c0a1b1f611" xmlns:ns6="96fc5250-dc30-4f01-945b-7e46a880eeb3" targetNamespace="http://schemas.microsoft.com/office/2006/metadata/properties" ma:root="true" ma:fieldsID="a96de173cb04a30135a30bb001169eca" ns1:_="" ns2:_="" ns3:_="" ns4:_="" ns5:_="" ns6:_="">
    <xsd:import namespace="http://schemas.microsoft.com/sharepoint/v3"/>
    <xsd:import namespace="4ffa91fb-a0ff-4ac5-b2db-65c790d184a4"/>
    <xsd:import namespace="http://schemas.microsoft.com/sharepoint.v3"/>
    <xsd:import namespace="http://schemas.microsoft.com/sharepoint/v3/fields"/>
    <xsd:import namespace="02fe02c4-dc41-46ff-9d52-90c0a1b1f611"/>
    <xsd:import namespace="96fc5250-dc30-4f01-945b-7e46a880eeb3"/>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1:_ip_UnifiedCompliancePolicyProperties" minOccurs="0"/>
                <xsd:element ref="ns1:_ip_UnifiedCompliancePolicyUIAction" minOccurs="0"/>
                <xsd:element ref="ns5:MediaLengthInSeconds"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205dcaf-ae28-4449-b177-6e6c07e37888}" ma:internalName="TaxCatchAllLabel" ma:readOnly="true" ma:showField="CatchAllDataLabel" ma:web="96fc5250-dc30-4f01-945b-7e46a880eeb3">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205dcaf-ae28-4449-b177-6e6c07e37888}" ma:internalName="TaxCatchAll" ma:showField="CatchAllData" ma:web="96fc5250-dc30-4f01-945b-7e46a880ee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fe02c4-dc41-46ff-9d52-90c0a1b1f611"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2" nillable="true" ma:displayName="MediaServiceDateTaken" ma:hidden="true" ma:internalName="MediaServiceDateTaken"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LengthInSeconds" ma:index="39" nillable="true" ma:displayName="MediaLengthInSeconds" ma:hidden="true" ma:internalName="MediaLengthInSeconds" ma:readOnly="true">
      <xsd:simpleType>
        <xsd:restriction base="dms:Unknown"/>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fc5250-dc30-4f01-945b-7e46a880eeb3"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8DCED415-8393-4634-9968-A495AFA0611E}">
  <ds:schemaRefs>
    <ds:schemaRef ds:uri="http://schemas.microsoft.com/sharepoint/v3/contenttype/forms"/>
  </ds:schemaRefs>
</ds:datastoreItem>
</file>

<file path=customXml/itemProps2.xml><?xml version="1.0" encoding="utf-8"?>
<ds:datastoreItem xmlns:ds="http://schemas.openxmlformats.org/officeDocument/2006/customXml" ds:itemID="{1788708A-52BB-4D0F-B232-80F9E123F193}">
  <ds:schemaRefs>
    <ds:schemaRef ds:uri="1891fcec-84c2-4840-9468-b51a784ab0d1"/>
    <ds:schemaRef ds:uri="http://www.w3.org/XML/1998/namespace"/>
    <ds:schemaRef ds:uri="http://purl.org/dc/dcmitype/"/>
    <ds:schemaRef ds:uri="http://schemas.openxmlformats.org/package/2006/metadata/core-properties"/>
    <ds:schemaRef ds:uri="http://schemas.microsoft.com/office/infopath/2007/PartnerControls"/>
    <ds:schemaRef ds:uri="http://schemas.microsoft.com/office/2006/documentManagement/types"/>
    <ds:schemaRef ds:uri="http://purl.org/dc/terms/"/>
    <ds:schemaRef ds:uri="4d6aed1e-57d3-46e3-9aba-f706adbce63b"/>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C9E9B4BA-E953-4BE3-832D-9432A55D2E07}"/>
</file>

<file path=customXml/itemProps4.xml><?xml version="1.0" encoding="utf-8"?>
<ds:datastoreItem xmlns:ds="http://schemas.openxmlformats.org/officeDocument/2006/customXml" ds:itemID="{75BDFC1D-A4EE-486C-9210-4EA32DB8D08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Table 1</vt:lpstr>
      <vt:lpstr>Table 2</vt:lpstr>
      <vt:lpstr>Capital O&amp;M</vt:lpstr>
      <vt:lpstr>Responses</vt:lpstr>
      <vt:lpstr>Respondents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Denise Bevington</dc:creator>
  <cp:keywords/>
  <dc:description/>
  <cp:lastModifiedBy>Stacie Enoch</cp:lastModifiedBy>
  <cp:revision/>
  <dcterms:created xsi:type="dcterms:W3CDTF">2018-07-19T14:57:42Z</dcterms:created>
  <dcterms:modified xsi:type="dcterms:W3CDTF">2024-10-18T21:09:57Z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0x01010052C2644CEF3BE14BA984F9E32D274554</vt:lpwstr>
  </property>
  <property fmtid="{D5CDD505-2E9C-101B-9397-08002B2CF9AE}" pid="3" name="MediaServiceImageTags">
    <vt:lpwstr/>
  </property>
</Properties>
</file>