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S:\Tracy\ICRs - SPPD\FY2025\2457.05 NESHAP for Group IV Polymers and Resins\"/>
    </mc:Choice>
  </mc:AlternateContent>
  <xr:revisionPtr revIDLastSave="0" documentId="13_ncr:1_{BA793C41-DC88-4A74-AA3D-929CFF59A75E}" xr6:coauthVersionLast="47" xr6:coauthVersionMax="47" xr10:uidLastSave="{00000000-0000-0000-0000-000000000000}"/>
  <bookViews>
    <workbookView xWindow="20052" yWindow="-540" windowWidth="23256" windowHeight="12576" xr2:uid="{00000000-000D-0000-FFFF-FFFF00000000}"/>
  </bookViews>
  <sheets>
    <sheet name="Summary" sheetId="7" r:id="rId1"/>
    <sheet name="Table 1" sheetId="1" r:id="rId2"/>
    <sheet name="Table 2" sheetId="3" r:id="rId3"/>
    <sheet name="Capital and O&amp;M" sheetId="4" r:id="rId4"/>
    <sheet name="Respondents" sheetId="5" r:id="rId5"/>
    <sheet name="Response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3" l="1"/>
  <c r="I14" i="1"/>
  <c r="I7" i="4"/>
  <c r="G7" i="4"/>
  <c r="B4" i="4"/>
  <c r="B6" i="7" l="1"/>
  <c r="B5" i="7"/>
  <c r="B4" i="7"/>
  <c r="B3" i="7"/>
  <c r="B2" i="7"/>
  <c r="I51" i="1" l="1"/>
  <c r="F51" i="1"/>
  <c r="F50" i="1"/>
  <c r="I50" i="1"/>
  <c r="I35" i="1"/>
  <c r="F35" i="1"/>
  <c r="E22" i="6"/>
  <c r="E5" i="4"/>
  <c r="B6" i="4"/>
  <c r="B5" i="4"/>
  <c r="B21" i="6"/>
  <c r="E21" i="6" s="1"/>
  <c r="E20" i="6"/>
  <c r="B20" i="6"/>
  <c r="B19" i="6"/>
  <c r="E19" i="6" s="1"/>
  <c r="E18" i="6"/>
  <c r="E17" i="6"/>
  <c r="E16" i="6"/>
  <c r="E15" i="6"/>
  <c r="E14" i="6"/>
  <c r="B14" i="6"/>
  <c r="B13" i="6"/>
  <c r="E13" i="6" s="1"/>
  <c r="E12" i="6"/>
  <c r="E11" i="6"/>
  <c r="E10" i="6"/>
  <c r="E9" i="6"/>
  <c r="E8" i="6"/>
  <c r="E7" i="6"/>
  <c r="E6" i="6"/>
  <c r="B5" i="6"/>
  <c r="E5" i="6" s="1"/>
  <c r="E4" i="6"/>
  <c r="B10" i="5"/>
  <c r="F7" i="5"/>
  <c r="C8" i="5" l="1"/>
  <c r="F8" i="5" l="1"/>
  <c r="C9" i="5" l="1"/>
  <c r="F9" i="5" l="1"/>
  <c r="F10" i="5" s="1"/>
  <c r="C10" i="5"/>
  <c r="E11" i="3" l="1"/>
  <c r="E14" i="3"/>
  <c r="E14" i="1"/>
  <c r="E11" i="1"/>
  <c r="E10" i="1"/>
  <c r="F5" i="4"/>
  <c r="G5" i="4" s="1"/>
  <c r="E33" i="1" l="1"/>
  <c r="E31" i="1"/>
  <c r="E30" i="1"/>
  <c r="E26" i="1"/>
  <c r="E25" i="1" s="1"/>
  <c r="F26" i="1" l="1"/>
  <c r="H26" i="1" s="1"/>
  <c r="E22" i="3"/>
  <c r="E21" i="3"/>
  <c r="E20" i="3"/>
  <c r="E17" i="3"/>
  <c r="E18" i="3"/>
  <c r="E16" i="3"/>
  <c r="H47" i="1"/>
  <c r="F40" i="1"/>
  <c r="E32" i="1"/>
  <c r="F31" i="1"/>
  <c r="F30" i="1"/>
  <c r="H30" i="1" s="1"/>
  <c r="F48" i="1"/>
  <c r="H48" i="1" s="1"/>
  <c r="F47" i="1"/>
  <c r="F46" i="1"/>
  <c r="G46" i="1" s="1"/>
  <c r="F45" i="1"/>
  <c r="H45" i="1" s="1"/>
  <c r="F34" i="1"/>
  <c r="H34" i="1"/>
  <c r="H27" i="1"/>
  <c r="F24" i="1"/>
  <c r="H24" i="1" s="1"/>
  <c r="F14" i="1"/>
  <c r="H14" i="1" s="1"/>
  <c r="F10" i="1"/>
  <c r="H10" i="1" s="1"/>
  <c r="F9" i="1"/>
  <c r="H9" i="1" s="1"/>
  <c r="F8" i="1"/>
  <c r="D8" i="1"/>
  <c r="D40" i="1"/>
  <c r="D33" i="1"/>
  <c r="F33" i="1" s="1"/>
  <c r="D32" i="1"/>
  <c r="D31" i="1"/>
  <c r="D30" i="1"/>
  <c r="D29" i="1"/>
  <c r="F29" i="1" s="1"/>
  <c r="H29" i="1" s="1"/>
  <c r="D28" i="1"/>
  <c r="F28" i="1" s="1"/>
  <c r="D27" i="1"/>
  <c r="F27" i="1" s="1"/>
  <c r="D26" i="1"/>
  <c r="D25" i="1"/>
  <c r="F25" i="1" s="1"/>
  <c r="D24" i="1"/>
  <c r="D23" i="1"/>
  <c r="D22" i="1"/>
  <c r="D21" i="1"/>
  <c r="D20" i="1"/>
  <c r="D19" i="1"/>
  <c r="D18" i="1"/>
  <c r="D17" i="1"/>
  <c r="D16" i="1"/>
  <c r="D15" i="1"/>
  <c r="D14" i="1"/>
  <c r="D13" i="1"/>
  <c r="D9" i="1"/>
  <c r="D10" i="1"/>
  <c r="D11" i="1"/>
  <c r="F11" i="1" s="1"/>
  <c r="H11" i="1" s="1"/>
  <c r="G28" i="1" l="1"/>
  <c r="H28" i="1"/>
  <c r="H46" i="1"/>
  <c r="G40" i="1"/>
  <c r="I40" i="1" s="1"/>
  <c r="F32" i="1"/>
  <c r="H32" i="1" s="1"/>
  <c r="H40" i="1"/>
  <c r="G11" i="1"/>
  <c r="G8" i="1"/>
  <c r="I8" i="1" s="1"/>
  <c r="H8" i="1"/>
  <c r="H33" i="1"/>
  <c r="G33" i="1"/>
  <c r="H31" i="1"/>
  <c r="G31" i="1"/>
  <c r="G47" i="1"/>
  <c r="G45" i="1"/>
  <c r="G48" i="1"/>
  <c r="I48" i="1" s="1"/>
  <c r="G26" i="1"/>
  <c r="G25" i="1"/>
  <c r="H25" i="1"/>
  <c r="G34" i="1"/>
  <c r="G32" i="1"/>
  <c r="G30" i="1"/>
  <c r="G29" i="1"/>
  <c r="G24" i="1"/>
  <c r="G27" i="1"/>
  <c r="G14" i="1"/>
  <c r="G9" i="1"/>
  <c r="G10" i="1"/>
  <c r="G6" i="4" l="1"/>
  <c r="G4" i="4"/>
  <c r="D5" i="4"/>
  <c r="D6" i="4"/>
  <c r="D4" i="4"/>
  <c r="I45" i="1"/>
  <c r="I46" i="1"/>
  <c r="I47" i="1"/>
  <c r="I12" i="1"/>
  <c r="I13" i="1"/>
  <c r="I15" i="1"/>
  <c r="I16" i="1"/>
  <c r="I17" i="1"/>
  <c r="I18" i="1"/>
  <c r="I19" i="1"/>
  <c r="I20" i="1"/>
  <c r="I21" i="1"/>
  <c r="I22" i="1"/>
  <c r="I23" i="1"/>
  <c r="I24" i="1"/>
  <c r="I25" i="1"/>
  <c r="I26" i="1"/>
  <c r="I27" i="1"/>
  <c r="I28" i="1"/>
  <c r="I29" i="1"/>
  <c r="I30" i="1"/>
  <c r="I31" i="1"/>
  <c r="I32" i="1"/>
  <c r="I33" i="1"/>
  <c r="I34" i="1"/>
  <c r="I9" i="1"/>
  <c r="I10" i="1"/>
  <c r="I11" i="1"/>
  <c r="D22" i="3"/>
  <c r="F22" i="3" s="1"/>
  <c r="D21" i="3"/>
  <c r="F21" i="3" s="1"/>
  <c r="D20" i="3"/>
  <c r="F20" i="3" s="1"/>
  <c r="D19" i="3"/>
  <c r="F19" i="3" s="1"/>
  <c r="D18" i="3"/>
  <c r="F18" i="3" s="1"/>
  <c r="D17" i="3"/>
  <c r="F17" i="3" s="1"/>
  <c r="D16" i="3"/>
  <c r="F16" i="3" s="1"/>
  <c r="D15" i="3"/>
  <c r="F15" i="3" s="1"/>
  <c r="D14" i="3"/>
  <c r="F14" i="3" s="1"/>
  <c r="D13" i="3"/>
  <c r="F13" i="3" s="1"/>
  <c r="D12" i="3"/>
  <c r="F12" i="3" s="1"/>
  <c r="D11" i="3"/>
  <c r="F11" i="3" s="1"/>
  <c r="D10" i="3"/>
  <c r="F10" i="3" s="1"/>
  <c r="D9" i="3"/>
  <c r="F9" i="3" s="1"/>
  <c r="D8" i="3"/>
  <c r="F8" i="3" s="1"/>
  <c r="D6" i="3"/>
  <c r="F6" i="3" s="1"/>
  <c r="D5" i="3"/>
  <c r="F5" i="3" s="1"/>
  <c r="H5" i="3" l="1"/>
  <c r="G5" i="3"/>
  <c r="G8" i="3"/>
  <c r="G9" i="3"/>
  <c r="G10" i="3"/>
  <c r="G11" i="3"/>
  <c r="G12" i="3"/>
  <c r="G13" i="3"/>
  <c r="G14" i="3"/>
  <c r="G15" i="3"/>
  <c r="G16" i="3"/>
  <c r="G17" i="3"/>
  <c r="G18" i="3"/>
  <c r="G19" i="3"/>
  <c r="G20" i="3"/>
  <c r="G21" i="3"/>
  <c r="G22" i="3"/>
  <c r="H10" i="3"/>
  <c r="H13" i="3"/>
  <c r="H14" i="3"/>
  <c r="H15" i="3"/>
  <c r="H16" i="3"/>
  <c r="H17" i="3"/>
  <c r="H18" i="3"/>
  <c r="H19" i="3"/>
  <c r="H20" i="3"/>
  <c r="H21" i="3"/>
  <c r="H22" i="3"/>
  <c r="H8" i="3"/>
  <c r="H9" i="3"/>
  <c r="H11" i="3"/>
  <c r="I11" i="3" s="1"/>
  <c r="H12" i="3"/>
  <c r="G6" i="3"/>
  <c r="H6" i="3"/>
  <c r="D7" i="4"/>
  <c r="I52" i="1" l="1"/>
  <c r="I22" i="3"/>
  <c r="I21" i="3"/>
  <c r="I13" i="3"/>
  <c r="I9" i="3"/>
  <c r="I10" i="3"/>
  <c r="I19" i="3"/>
  <c r="I20" i="3"/>
  <c r="I16" i="3"/>
  <c r="I8" i="3"/>
  <c r="I15" i="3"/>
  <c r="I17" i="3"/>
  <c r="I12" i="3"/>
  <c r="I5" i="3"/>
  <c r="I6" i="3"/>
  <c r="I18" i="3"/>
  <c r="I14" i="3"/>
  <c r="I53" i="1" l="1"/>
  <c r="I23" i="3"/>
  <c r="K51" i="1" l="1"/>
  <c r="L51" i="1" s="1"/>
</calcChain>
</file>

<file path=xl/sharedStrings.xml><?xml version="1.0" encoding="utf-8"?>
<sst xmlns="http://schemas.openxmlformats.org/spreadsheetml/2006/main" count="237" uniqueCount="204">
  <si>
    <t>Burden Item</t>
  </si>
  <si>
    <t>N/A</t>
  </si>
  <si>
    <t>Subtotal for Reporting Requirements</t>
  </si>
  <si>
    <t>(A) 
Person-hours per occurrence</t>
  </si>
  <si>
    <t>(B) 
Number of occurrences per year</t>
  </si>
  <si>
    <t>(C) 
Person-hours per respondent 
(C=AxB)</t>
  </si>
  <si>
    <t>(E)
Technical person-hours (E=CxD)</t>
  </si>
  <si>
    <t>(F) 
Management person-hours (F=Ex0.05)</t>
  </si>
  <si>
    <t>(G) 
Clerical person-hours 
(G=Ex0.1)</t>
  </si>
  <si>
    <r>
      <t xml:space="preserve">(H) 
Total Cost </t>
    </r>
    <r>
      <rPr>
        <b/>
        <vertAlign val="superscript"/>
        <sz val="10"/>
        <color rgb="FF000000"/>
        <rFont val="Times New Roman"/>
        <family val="1"/>
      </rPr>
      <t>b</t>
    </r>
    <r>
      <rPr>
        <b/>
        <sz val="10"/>
        <color rgb="FF000000"/>
        <rFont val="Times New Roman"/>
        <family val="1"/>
      </rPr>
      <t xml:space="preserve"> ($)</t>
    </r>
  </si>
  <si>
    <r>
      <t xml:space="preserve">(D) 
Respondents per year </t>
    </r>
    <r>
      <rPr>
        <b/>
        <vertAlign val="superscript"/>
        <sz val="10"/>
        <color rgb="FF000000"/>
        <rFont val="Times New Roman"/>
        <family val="1"/>
      </rPr>
      <t>a</t>
    </r>
  </si>
  <si>
    <t>Assumptions:</t>
  </si>
  <si>
    <t>Number of Respondents</t>
  </si>
  <si>
    <t>Respondents That Submit Reports</t>
  </si>
  <si>
    <t>Respondents That Do Not Submit Any Reports</t>
  </si>
  <si>
    <t>Year</t>
  </si>
  <si>
    <t>(A)</t>
  </si>
  <si>
    <t>(B)</t>
  </si>
  <si>
    <t>Number of Existing Respondents</t>
  </si>
  <si>
    <t>(C)</t>
  </si>
  <si>
    <t>Number of Existing  Respondents that keep records but do not submit reports</t>
  </si>
  <si>
    <t>(D)</t>
  </si>
  <si>
    <t>Number of Existing Respondents That Are Also New Respondents</t>
  </si>
  <si>
    <t>(E)</t>
  </si>
  <si>
    <t>Average</t>
  </si>
  <si>
    <t>Number of Respondents (E=A+B+C-D)</t>
  </si>
  <si>
    <t>Activity</t>
  </si>
  <si>
    <t>(F)</t>
  </si>
  <si>
    <t>(A)
EPA person-hours per occurrence</t>
  </si>
  <si>
    <t>(C) 
EPA Person-hours per plant 
(C=AxB)</t>
  </si>
  <si>
    <r>
      <t xml:space="preserve">(D) 
Plants per year </t>
    </r>
    <r>
      <rPr>
        <b/>
        <vertAlign val="superscript"/>
        <sz val="10"/>
        <color rgb="FF000000"/>
        <rFont val="Times New Roman"/>
        <family val="1"/>
      </rPr>
      <t>a</t>
    </r>
  </si>
  <si>
    <t>Capital/Startup vs. Operation and Maintenance (O&amp;M) Costs</t>
  </si>
  <si>
    <t>Burden</t>
  </si>
  <si>
    <t>Capital/Startup Cost for One Respondent</t>
  </si>
  <si>
    <t>Number of New Respondents</t>
  </si>
  <si>
    <t>Total Capital/Startup Cost,  (B X C)</t>
  </si>
  <si>
    <r>
      <t xml:space="preserve">Annual O&amp;M Costs for One Respondent </t>
    </r>
    <r>
      <rPr>
        <vertAlign val="superscript"/>
        <sz val="10"/>
        <color rgb="FF000000"/>
        <rFont val="Times New Roman"/>
        <family val="1"/>
      </rPr>
      <t>a</t>
    </r>
  </si>
  <si>
    <t>Number of Respondents  with O&amp;M</t>
  </si>
  <si>
    <t>(G)</t>
  </si>
  <si>
    <t>Total O&amp;M, (ExF)</t>
  </si>
  <si>
    <t>responses</t>
  </si>
  <si>
    <t>hr/response</t>
  </si>
  <si>
    <t>Labor Rates</t>
  </si>
  <si>
    <t>Management</t>
  </si>
  <si>
    <t>Technical</t>
  </si>
  <si>
    <t>Clerical</t>
  </si>
  <si>
    <r>
      <t xml:space="preserve">TOTAL (rounded) </t>
    </r>
    <r>
      <rPr>
        <b/>
        <vertAlign val="superscript"/>
        <sz val="10"/>
        <color rgb="FF000000"/>
        <rFont val="Times New Roman"/>
        <family val="1"/>
      </rPr>
      <t>e</t>
    </r>
  </si>
  <si>
    <t>Total Annual Responses</t>
  </si>
  <si>
    <t>Information Collection Activity</t>
  </si>
  <si>
    <t>Number of Responses</t>
  </si>
  <si>
    <t>Number of Existing Respondents That Keep Records But Do Not Submit Reports</t>
  </si>
  <si>
    <t>Total Annual Responses
E=(BxC)+D</t>
  </si>
  <si>
    <r>
      <t xml:space="preserve">Number of New Respondents </t>
    </r>
    <r>
      <rPr>
        <vertAlign val="superscript"/>
        <sz val="10"/>
        <color theme="1"/>
        <rFont val="Times New Roman"/>
        <family val="1"/>
      </rPr>
      <t>a</t>
    </r>
  </si>
  <si>
    <t>Subtotal for Recordkeeping Requirements</t>
  </si>
  <si>
    <t>Table 1: Annual Respondent Burden and Cost – NESHAP for Group IV Polymers and Resins (40 CFR Part 63, Subpart JJJ) (Renewal)</t>
  </si>
  <si>
    <t xml:space="preserve">Table 2: Average Annual EPA Burden – NESHAP for Group IV Polymers and Resins (40 CFR Part 63, Subpart JJJ) (Renewal)
</t>
  </si>
  <si>
    <t>1.  Performance Tests: Initial</t>
  </si>
  <si>
    <r>
      <t xml:space="preserve">2.  Performance Tests: Repeat </t>
    </r>
    <r>
      <rPr>
        <vertAlign val="superscript"/>
        <sz val="10"/>
        <color rgb="FF000000"/>
        <rFont val="Times New Roman"/>
        <family val="1"/>
      </rPr>
      <t>c</t>
    </r>
  </si>
  <si>
    <t>Reports Review:</t>
  </si>
  <si>
    <r>
      <t xml:space="preserve">1.  Initial </t>
    </r>
    <r>
      <rPr>
        <vertAlign val="superscript"/>
        <sz val="10"/>
        <color rgb="FF000000"/>
        <rFont val="Times New Roman"/>
        <family val="1"/>
      </rPr>
      <t>d</t>
    </r>
  </si>
  <si>
    <r>
      <t xml:space="preserve">3.  Compliance status </t>
    </r>
    <r>
      <rPr>
        <vertAlign val="superscript"/>
        <sz val="10"/>
        <color rgb="FF000000"/>
        <rFont val="Times New Roman"/>
        <family val="1"/>
      </rPr>
      <t>d</t>
    </r>
  </si>
  <si>
    <r>
      <t xml:space="preserve">4.  Review equipment leak monitoring </t>
    </r>
    <r>
      <rPr>
        <vertAlign val="superscript"/>
        <sz val="10"/>
        <color rgb="FF000000"/>
        <rFont val="Times New Roman"/>
        <family val="1"/>
      </rPr>
      <t>d</t>
    </r>
  </si>
  <si>
    <r>
      <t xml:space="preserve">5.  Report of construction/reconstruction </t>
    </r>
    <r>
      <rPr>
        <vertAlign val="superscript"/>
        <sz val="10"/>
        <color rgb="FF000000"/>
        <rFont val="Times New Roman"/>
        <family val="1"/>
      </rPr>
      <t>d</t>
    </r>
  </si>
  <si>
    <r>
      <t xml:space="preserve">6.  Notification of performance test </t>
    </r>
    <r>
      <rPr>
        <vertAlign val="superscript"/>
        <sz val="10"/>
        <color rgb="FF000000"/>
        <rFont val="Times New Roman"/>
        <family val="1"/>
      </rPr>
      <t>d</t>
    </r>
  </si>
  <si>
    <r>
      <t xml:space="preserve">7.  Notification of storage vessel inspection </t>
    </r>
    <r>
      <rPr>
        <vertAlign val="superscript"/>
        <sz val="10"/>
        <color rgb="FF000000"/>
        <rFont val="Times New Roman"/>
        <family val="1"/>
      </rPr>
      <t>e</t>
    </r>
  </si>
  <si>
    <r>
      <t xml:space="preserve">8.  Review updates to emission averaging plan </t>
    </r>
    <r>
      <rPr>
        <vertAlign val="superscript"/>
        <sz val="10"/>
        <color rgb="FF000000"/>
        <rFont val="Times New Roman"/>
        <family val="1"/>
      </rPr>
      <t>f</t>
    </r>
  </si>
  <si>
    <r>
      <t xml:space="preserve">9.  Review report of changes to the primary product for a TPPU or process unit </t>
    </r>
    <r>
      <rPr>
        <vertAlign val="superscript"/>
        <sz val="10"/>
        <color rgb="FF000000"/>
        <rFont val="Times New Roman"/>
        <family val="1"/>
      </rPr>
      <t>g</t>
    </r>
  </si>
  <si>
    <r>
      <t xml:space="preserve">10.  Review report for batch process vents </t>
    </r>
    <r>
      <rPr>
        <vertAlign val="superscript"/>
        <sz val="10"/>
        <color rgb="FF000000"/>
        <rFont val="Times New Roman"/>
        <family val="1"/>
      </rPr>
      <t>h</t>
    </r>
  </si>
  <si>
    <r>
      <t xml:space="preserve">11.  Review report for PET sources using dimethyl terephthalate process </t>
    </r>
    <r>
      <rPr>
        <vertAlign val="superscript"/>
        <sz val="10"/>
        <color rgb="FF000000"/>
        <rFont val="Times New Roman"/>
        <family val="1"/>
      </rPr>
      <t>i</t>
    </r>
  </si>
  <si>
    <r>
      <t xml:space="preserve">12.  Review of test results </t>
    </r>
    <r>
      <rPr>
        <vertAlign val="superscript"/>
        <sz val="10"/>
        <color rgb="FF000000"/>
        <rFont val="Times New Roman"/>
        <family val="1"/>
      </rPr>
      <t>d</t>
    </r>
  </si>
  <si>
    <r>
      <t xml:space="preserve">13.  Review malfunction reports </t>
    </r>
    <r>
      <rPr>
        <vertAlign val="superscript"/>
        <sz val="10"/>
        <color rgb="FF000000"/>
        <rFont val="Times New Roman"/>
        <family val="1"/>
      </rPr>
      <t>j</t>
    </r>
  </si>
  <si>
    <r>
      <t xml:space="preserve">14.  Review semiannual periodic reports </t>
    </r>
    <r>
      <rPr>
        <vertAlign val="superscript"/>
        <sz val="10"/>
        <color rgb="FF000000"/>
        <rFont val="Times New Roman"/>
        <family val="1"/>
      </rPr>
      <t>d, k</t>
    </r>
  </si>
  <si>
    <r>
      <t xml:space="preserve">15.  Review of quarterly periodic reports </t>
    </r>
    <r>
      <rPr>
        <vertAlign val="superscript"/>
        <sz val="10"/>
        <color rgb="FF000000"/>
        <rFont val="Times New Roman"/>
        <family val="1"/>
      </rPr>
      <t>d, k</t>
    </r>
  </si>
  <si>
    <r>
      <t xml:space="preserve">2.  Implementation plan, pre-compliance report or permit </t>
    </r>
    <r>
      <rPr>
        <vertAlign val="superscript"/>
        <sz val="10"/>
        <color rgb="FF000000"/>
        <rFont val="Times New Roman"/>
        <family val="1"/>
      </rPr>
      <t>d</t>
    </r>
  </si>
  <si>
    <r>
      <t>c</t>
    </r>
    <r>
      <rPr>
        <sz val="10"/>
        <color rgb="FF000000"/>
        <rFont val="Times New Roman"/>
        <family val="1"/>
      </rPr>
      <t xml:space="preserve">  This ICR assumes 20% of sources will have to repeat performance tests.</t>
    </r>
  </si>
  <si>
    <r>
      <t>d</t>
    </r>
    <r>
      <rPr>
        <sz val="10"/>
        <color rgb="FF000000"/>
        <rFont val="Times New Roman"/>
        <family val="1"/>
      </rPr>
      <t xml:space="preserve">  The burden for these activities are based on similar requirements in the HON (Subparts F, G, H, and I). The HON describes these activities as follows:</t>
    </r>
  </si>
  <si>
    <r>
      <t xml:space="preserve">1. </t>
    </r>
    <r>
      <rPr>
        <u/>
        <sz val="10"/>
        <color rgb="FF000000"/>
        <rFont val="Times New Roman"/>
        <family val="1"/>
      </rPr>
      <t>Initial</t>
    </r>
    <r>
      <rPr>
        <sz val="10"/>
        <color rgb="FF000000"/>
        <rFont val="Times New Roman"/>
        <family val="1"/>
      </rPr>
      <t xml:space="preserve"> represents the EPA review of all initial reports received.</t>
    </r>
  </si>
  <si>
    <r>
      <t xml:space="preserve">2. </t>
    </r>
    <r>
      <rPr>
        <u/>
        <sz val="10"/>
        <color rgb="FF000000"/>
        <rFont val="Times New Roman"/>
        <family val="1"/>
      </rPr>
      <t>Implementation plan or permit</t>
    </r>
    <r>
      <rPr>
        <sz val="10"/>
        <color rgb="FF000000"/>
        <rFont val="Times New Roman"/>
        <family val="1"/>
      </rPr>
      <t xml:space="preserve"> represents the EPA review of all implementation plans, or permit applications if submitted in lieu of an implementation plan.</t>
    </r>
  </si>
  <si>
    <r>
      <t xml:space="preserve">3. </t>
    </r>
    <r>
      <rPr>
        <u/>
        <sz val="10"/>
        <color rgb="FF000000"/>
        <rFont val="Times New Roman"/>
        <family val="1"/>
      </rPr>
      <t>Compliance status</t>
    </r>
    <r>
      <rPr>
        <sz val="10"/>
        <color rgb="FF000000"/>
        <rFont val="Times New Roman"/>
        <family val="1"/>
      </rPr>
      <t xml:space="preserve"> represents compliance status verification by the EPA for the portions of the standard which a source must comply with before the compliance date.</t>
    </r>
  </si>
  <si>
    <r>
      <t xml:space="preserve">4. </t>
    </r>
    <r>
      <rPr>
        <u/>
        <sz val="10"/>
        <color rgb="FF000000"/>
        <rFont val="Times New Roman"/>
        <family val="1"/>
      </rPr>
      <t>Review equipment leak monitoring</t>
    </r>
    <r>
      <rPr>
        <sz val="10"/>
        <color rgb="FF000000"/>
        <rFont val="Times New Roman"/>
        <family val="1"/>
      </rPr>
      <t xml:space="preserve"> represents the review and screening of periodic reports received as a result of the equipment leaks standard.</t>
    </r>
  </si>
  <si>
    <r>
      <t xml:space="preserve">5. </t>
    </r>
    <r>
      <rPr>
        <u/>
        <sz val="10"/>
        <color rgb="FF000000"/>
        <rFont val="Times New Roman"/>
        <family val="1"/>
      </rPr>
      <t>Report of construction/reconstruction</t>
    </r>
    <r>
      <rPr>
        <sz val="10"/>
        <color rgb="FF000000"/>
        <rFont val="Times New Roman"/>
        <family val="1"/>
      </rPr>
      <t xml:space="preserve"> represents the EPA review of this notification from new sources.</t>
    </r>
  </si>
  <si>
    <r>
      <t xml:space="preserve">6. </t>
    </r>
    <r>
      <rPr>
        <u/>
        <sz val="10"/>
        <color rgb="FF000000"/>
        <rFont val="Times New Roman"/>
        <family val="1"/>
      </rPr>
      <t>Notification of performance test</t>
    </r>
    <r>
      <rPr>
        <sz val="10"/>
        <color rgb="FF000000"/>
        <rFont val="Times New Roman"/>
        <family val="1"/>
      </rPr>
      <t xml:space="preserve"> represents the EPA review of this notification from new sources.</t>
    </r>
  </si>
  <si>
    <r>
      <t xml:space="preserve">7. </t>
    </r>
    <r>
      <rPr>
        <u/>
        <sz val="10"/>
        <color rgb="FF000000"/>
        <rFont val="Times New Roman"/>
        <family val="1"/>
      </rPr>
      <t>Review of test results</t>
    </r>
    <r>
      <rPr>
        <sz val="10"/>
        <color rgb="FF000000"/>
        <rFont val="Times New Roman"/>
        <family val="1"/>
      </rPr>
      <t xml:space="preserve"> represents the EPA review of performance test results for new sources.</t>
    </r>
  </si>
  <si>
    <r>
      <t xml:space="preserve">8. </t>
    </r>
    <r>
      <rPr>
        <u/>
        <sz val="10"/>
        <color rgb="FF000000"/>
        <rFont val="Times New Roman"/>
        <family val="1"/>
      </rPr>
      <t>Review periodic reports</t>
    </r>
    <r>
      <rPr>
        <sz val="10"/>
        <color rgb="FF000000"/>
        <rFont val="Times New Roman"/>
        <family val="1"/>
      </rPr>
      <t xml:space="preserve"> represents the EPA review of periodic reports.</t>
    </r>
  </si>
  <si>
    <r>
      <t>e</t>
    </r>
    <r>
      <rPr>
        <sz val="10"/>
        <color rgb="FF000000"/>
        <rFont val="Times New Roman"/>
        <family val="1"/>
      </rPr>
      <t xml:space="preserve">  This ICR assumes that each facility will refill storage vessels that have been emptied and degassed 6 times per year.</t>
    </r>
  </si>
  <si>
    <r>
      <t>f</t>
    </r>
    <r>
      <rPr>
        <sz val="10"/>
        <color rgb="FF000000"/>
        <rFont val="Times New Roman"/>
        <family val="1"/>
      </rPr>
      <t xml:space="preserve">  This ICR assumes 1 facility per year using an emissions averaging plan will make changes requiring an update to the emissions averaging plan. This activity may also include review of front-end or back-end operations limits. </t>
    </r>
  </si>
  <si>
    <r>
      <t>g</t>
    </r>
    <r>
      <rPr>
        <sz val="10"/>
        <color rgb="FF000000"/>
        <rFont val="Times New Roman"/>
        <family val="1"/>
      </rPr>
      <t xml:space="preserve">  This ICR assumes that 10% of sources will have changes to their primary product.</t>
    </r>
  </si>
  <si>
    <r>
      <t>h</t>
    </r>
    <r>
      <rPr>
        <sz val="10"/>
        <color rgb="FF000000"/>
        <rFont val="Times New Roman"/>
        <family val="1"/>
      </rPr>
      <t xml:space="preserve">  This ICR assumes that 10% of sources will makes changes to batch process vents.</t>
    </r>
  </si>
  <si>
    <r>
      <t>i</t>
    </r>
    <r>
      <rPr>
        <sz val="10"/>
        <color rgb="FF000000"/>
        <rFont val="Times New Roman"/>
        <family val="1"/>
      </rPr>
      <t xml:space="preserve">  This ICR assumes that 10% of PET sources will make changes to a dimethyl terephthalate process. There is a total of 15 PET facilities subject to the rule. (15 facilities x 1.1 sources/facility x 10% = 1.65 sources, rounded to 2)</t>
    </r>
  </si>
  <si>
    <r>
      <t>j</t>
    </r>
    <r>
      <rPr>
        <sz val="10"/>
        <color rgb="FF000000"/>
        <rFont val="Times New Roman"/>
        <family val="1"/>
      </rPr>
      <t xml:space="preserve">  This ICR assumes that 10% of sources will have to submit malfunction reports.</t>
    </r>
  </si>
  <si>
    <r>
      <t>l</t>
    </r>
    <r>
      <rPr>
        <sz val="10"/>
        <color rgb="FF000000"/>
        <rFont val="Times New Roman"/>
        <family val="1"/>
      </rPr>
      <t xml:space="preserve">  Totals have been rounded to 3 significant figures. Figures may not add exactly due to rounding. </t>
    </r>
  </si>
  <si>
    <r>
      <t>c</t>
    </r>
    <r>
      <rPr>
        <sz val="10"/>
        <color theme="1"/>
        <rFont val="Times New Roman"/>
        <family val="1"/>
      </rPr>
      <t xml:space="preserve">  This ICR assumes all existing sources will have to familiarize with the regulatory requirements each year.</t>
    </r>
  </si>
  <si>
    <r>
      <t>e</t>
    </r>
    <r>
      <rPr>
        <sz val="10"/>
        <color theme="1"/>
        <rFont val="Times New Roman"/>
        <family val="1"/>
      </rPr>
      <t xml:space="preserve">  This ICR assumes that each facility will refill storage vessels that have been emptied and degassed 6 times per year.</t>
    </r>
  </si>
  <si>
    <r>
      <t>f</t>
    </r>
    <r>
      <rPr>
        <sz val="10"/>
        <color theme="1"/>
        <rFont val="Times New Roman"/>
        <family val="1"/>
      </rPr>
      <t xml:space="preserve">  This ICR assumes that 5% of new sources will use alternative test methods. </t>
    </r>
  </si>
  <si>
    <r>
      <t>g</t>
    </r>
    <r>
      <rPr>
        <sz val="10"/>
        <color theme="1"/>
        <rFont val="Times New Roman"/>
        <family val="1"/>
      </rPr>
      <t xml:space="preserve">  This ICR assumes that 5% of new sources will use special compliance requirements.</t>
    </r>
  </si>
  <si>
    <r>
      <t>h</t>
    </r>
    <r>
      <rPr>
        <sz val="10"/>
        <color theme="1"/>
        <rFont val="Times New Roman"/>
        <family val="1"/>
      </rPr>
      <t xml:space="preserve">  This ICR assumes that 10% of new sources will have to submit precompliance reports.</t>
    </r>
  </si>
  <si>
    <r>
      <t>i</t>
    </r>
    <r>
      <rPr>
        <sz val="10"/>
        <color theme="1"/>
        <rFont val="Times New Roman"/>
        <family val="1"/>
      </rPr>
      <t xml:space="preserve">  This ICR assumes that all existing sources are already in compliance; new sources cannot receive compliance extensions. </t>
    </r>
  </si>
  <si>
    <r>
      <t>k</t>
    </r>
    <r>
      <rPr>
        <sz val="10"/>
        <color theme="1"/>
        <rFont val="Times New Roman"/>
        <family val="1"/>
      </rPr>
      <t xml:space="preserve">  This ICR assumes 1 facility per year using an emissions averaging plan will make changes requiring an update to the emissions averaging plan. </t>
    </r>
  </si>
  <si>
    <r>
      <t>o</t>
    </r>
    <r>
      <rPr>
        <sz val="10"/>
        <color theme="1"/>
        <rFont val="Times New Roman"/>
        <family val="1"/>
      </rPr>
      <t xml:space="preserve">  This ICR assumes that 10% of PET sources will make changes to a dimethyl terephthalate process. There is a total of 15 PET facilities subject to the rule. (15 facilities x 1.1 sources/facility x 10% = 1.65 sources, rounded to 2)</t>
    </r>
  </si>
  <si>
    <r>
      <t>q</t>
    </r>
    <r>
      <rPr>
        <sz val="10"/>
        <color theme="1"/>
        <rFont val="Times New Roman"/>
        <family val="1"/>
      </rPr>
      <t xml:space="preserve">  Totals have been rounded to 3 significant figures. Figures may not add exactly due to rounding.</t>
    </r>
  </si>
  <si>
    <t>1. Applications</t>
  </si>
  <si>
    <t>2. Survey and Studies</t>
  </si>
  <si>
    <t>3. Acquisition, Installation, &amp; Utilization of Tech. &amp; Systems</t>
  </si>
  <si>
    <t>4. Reporting Requirements</t>
  </si>
  <si>
    <r>
      <t xml:space="preserve">A. Familiarize with regulatory requirements </t>
    </r>
    <r>
      <rPr>
        <vertAlign val="superscript"/>
        <sz val="10"/>
        <color rgb="FF000000"/>
        <rFont val="Times New Roman"/>
        <family val="1"/>
      </rPr>
      <t>c</t>
    </r>
  </si>
  <si>
    <r>
      <t xml:space="preserve">B. Required activities </t>
    </r>
    <r>
      <rPr>
        <vertAlign val="superscript"/>
        <sz val="10"/>
        <color rgb="FF000000"/>
        <rFont val="Times New Roman"/>
        <family val="1"/>
      </rPr>
      <t>d</t>
    </r>
  </si>
  <si>
    <r>
      <t xml:space="preserve">C. Create information </t>
    </r>
    <r>
      <rPr>
        <vertAlign val="superscript"/>
        <sz val="10"/>
        <color rgb="FF000000"/>
        <rFont val="Times New Roman"/>
        <family val="1"/>
      </rPr>
      <t>d</t>
    </r>
  </si>
  <si>
    <r>
      <t xml:space="preserve">D. Gather existing information </t>
    </r>
    <r>
      <rPr>
        <vertAlign val="superscript"/>
        <sz val="10"/>
        <color rgb="FF000000"/>
        <rFont val="Times New Roman"/>
        <family val="1"/>
      </rPr>
      <t>d</t>
    </r>
  </si>
  <si>
    <t>E. Write report</t>
  </si>
  <si>
    <t>Notification of compliance status</t>
  </si>
  <si>
    <r>
      <t xml:space="preserve">Notification of storage vessel inspection </t>
    </r>
    <r>
      <rPr>
        <vertAlign val="superscript"/>
        <sz val="10"/>
        <color rgb="FF000000"/>
        <rFont val="Times New Roman"/>
        <family val="1"/>
      </rPr>
      <t>e</t>
    </r>
  </si>
  <si>
    <t>Notification of performance tests</t>
  </si>
  <si>
    <r>
      <t xml:space="preserve">Notification of alternative test method </t>
    </r>
    <r>
      <rPr>
        <vertAlign val="superscript"/>
        <sz val="10"/>
        <color rgb="FF000000"/>
        <rFont val="Times New Roman"/>
        <family val="1"/>
      </rPr>
      <t>f</t>
    </r>
  </si>
  <si>
    <r>
      <t xml:space="preserve">Notification of special compliance requirements </t>
    </r>
    <r>
      <rPr>
        <vertAlign val="superscript"/>
        <sz val="10"/>
        <color rgb="FF000000"/>
        <rFont val="Times New Roman"/>
        <family val="1"/>
      </rPr>
      <t>g</t>
    </r>
  </si>
  <si>
    <t>Report of newly constructed/reconstructed source</t>
  </si>
  <si>
    <t>Operating permit application</t>
  </si>
  <si>
    <r>
      <t xml:space="preserve">Precompliance report </t>
    </r>
    <r>
      <rPr>
        <vertAlign val="superscript"/>
        <sz val="10"/>
        <color rgb="FF000000"/>
        <rFont val="Times New Roman"/>
        <family val="1"/>
      </rPr>
      <t>h</t>
    </r>
  </si>
  <si>
    <r>
      <t xml:space="preserve">Progress reports for affected sources receiving an extension of compliance </t>
    </r>
    <r>
      <rPr>
        <vertAlign val="superscript"/>
        <sz val="10"/>
        <color rgb="FF000000"/>
        <rFont val="Times New Roman"/>
        <family val="1"/>
      </rPr>
      <t>i</t>
    </r>
  </si>
  <si>
    <r>
      <t xml:space="preserve">Emissions averaging plans </t>
    </r>
    <r>
      <rPr>
        <vertAlign val="superscript"/>
        <sz val="10"/>
        <color rgb="FF000000"/>
        <rFont val="Times New Roman"/>
        <family val="1"/>
      </rPr>
      <t>j</t>
    </r>
  </si>
  <si>
    <r>
      <t xml:space="preserve">Request for approval for a nominal control efficiency for use in calculating credits for emission averaging </t>
    </r>
    <r>
      <rPr>
        <vertAlign val="superscript"/>
        <sz val="10"/>
        <color rgb="FF000000"/>
        <rFont val="Times New Roman"/>
        <family val="1"/>
      </rPr>
      <t>j</t>
    </r>
  </si>
  <si>
    <r>
      <t xml:space="preserve">Updates to emissions averaging plan </t>
    </r>
    <r>
      <rPr>
        <vertAlign val="superscript"/>
        <sz val="10"/>
        <color rgb="FF000000"/>
        <rFont val="Times New Roman"/>
        <family val="1"/>
      </rPr>
      <t>k</t>
    </r>
  </si>
  <si>
    <r>
      <t xml:space="preserve">Semiannual periodic reports </t>
    </r>
    <r>
      <rPr>
        <vertAlign val="superscript"/>
        <sz val="10"/>
        <color rgb="FF000000"/>
        <rFont val="Times New Roman"/>
        <family val="1"/>
      </rPr>
      <t>l</t>
    </r>
  </si>
  <si>
    <r>
      <t xml:space="preserve">Quarterly periodic reports for facilities using emission averaging and where a respondent did not qualify for semiannual reporting </t>
    </r>
    <r>
      <rPr>
        <vertAlign val="superscript"/>
        <sz val="10"/>
        <color rgb="FF000000"/>
        <rFont val="Times New Roman"/>
        <family val="1"/>
      </rPr>
      <t>l</t>
    </r>
  </si>
  <si>
    <t>Semiannual periodic reports (PRD monitoring)</t>
  </si>
  <si>
    <t>Semiannual periodic reports (Equip. leaks)</t>
  </si>
  <si>
    <t>Semiannual periodic reports (PCCT)</t>
  </si>
  <si>
    <r>
      <t xml:space="preserve">Report of changes to the primary product for a TPPU or process unit </t>
    </r>
    <r>
      <rPr>
        <vertAlign val="superscript"/>
        <sz val="10"/>
        <color rgb="FF000000"/>
        <rFont val="Times New Roman"/>
        <family val="1"/>
      </rPr>
      <t>m</t>
    </r>
  </si>
  <si>
    <r>
      <t xml:space="preserve">Report for batch process vents </t>
    </r>
    <r>
      <rPr>
        <vertAlign val="superscript"/>
        <sz val="10"/>
        <color rgb="FF000000"/>
        <rFont val="Times New Roman"/>
        <family val="1"/>
      </rPr>
      <t>n</t>
    </r>
  </si>
  <si>
    <r>
      <t xml:space="preserve">Report for PET sources using a dimethyl terephthalate process </t>
    </r>
    <r>
      <rPr>
        <vertAlign val="superscript"/>
        <sz val="10"/>
        <color rgb="FF000000"/>
        <rFont val="Times New Roman"/>
        <family val="1"/>
      </rPr>
      <t>o</t>
    </r>
  </si>
  <si>
    <r>
      <t xml:space="preserve">Malfunction Reports </t>
    </r>
    <r>
      <rPr>
        <vertAlign val="superscript"/>
        <sz val="10"/>
        <color rgb="FF000000"/>
        <rFont val="Times New Roman"/>
        <family val="1"/>
      </rPr>
      <t>p</t>
    </r>
  </si>
  <si>
    <t>Affirmative defense</t>
  </si>
  <si>
    <t>-</t>
  </si>
  <si>
    <t>5.  Recordkeeping Requirements</t>
  </si>
  <si>
    <t>A. Familiarize with regulatory requirements</t>
  </si>
  <si>
    <t>See 4A</t>
  </si>
  <si>
    <r>
      <t xml:space="preserve">B.  Plan activities </t>
    </r>
    <r>
      <rPr>
        <vertAlign val="superscript"/>
        <sz val="10"/>
        <color rgb="FF000000"/>
        <rFont val="Times New Roman"/>
        <family val="1"/>
      </rPr>
      <t>d</t>
    </r>
  </si>
  <si>
    <t>See 4B</t>
  </si>
  <si>
    <r>
      <t xml:space="preserve">C.  Implement activities </t>
    </r>
    <r>
      <rPr>
        <vertAlign val="superscript"/>
        <sz val="10"/>
        <color rgb="FF000000"/>
        <rFont val="Times New Roman"/>
        <family val="1"/>
      </rPr>
      <t>d</t>
    </r>
  </si>
  <si>
    <t>D.  Develop record system</t>
  </si>
  <si>
    <r>
      <t xml:space="preserve">E.  Time to enter information </t>
    </r>
    <r>
      <rPr>
        <vertAlign val="superscript"/>
        <sz val="10"/>
        <color rgb="FF000000"/>
        <rFont val="Times New Roman"/>
        <family val="1"/>
      </rPr>
      <t>d</t>
    </r>
  </si>
  <si>
    <t>Plan Activities</t>
  </si>
  <si>
    <t>Create, Test, Research, Develop</t>
  </si>
  <si>
    <t>See 4C</t>
  </si>
  <si>
    <t>Gather information, Monitor, Inspect</t>
  </si>
  <si>
    <t>See 4D</t>
  </si>
  <si>
    <t>Process, Compile, Review</t>
  </si>
  <si>
    <r>
      <t xml:space="preserve">F.  Time to train personnel </t>
    </r>
    <r>
      <rPr>
        <vertAlign val="superscript"/>
        <sz val="10"/>
        <color rgb="FF000000"/>
        <rFont val="Times New Roman"/>
        <family val="1"/>
      </rPr>
      <t>d</t>
    </r>
  </si>
  <si>
    <r>
      <t xml:space="preserve">G.  Time to Record and disclose information </t>
    </r>
    <r>
      <rPr>
        <vertAlign val="superscript"/>
        <sz val="10"/>
        <color rgb="FF000000"/>
        <rFont val="Times New Roman"/>
        <family val="1"/>
      </rPr>
      <t>d</t>
    </r>
  </si>
  <si>
    <r>
      <t xml:space="preserve">H.  Store, file and maintain records </t>
    </r>
    <r>
      <rPr>
        <vertAlign val="superscript"/>
        <sz val="10"/>
        <color rgb="FF000000"/>
        <rFont val="Times New Roman"/>
        <family val="1"/>
      </rPr>
      <t>d</t>
    </r>
  </si>
  <si>
    <t>I.  Time for audits</t>
  </si>
  <si>
    <r>
      <t xml:space="preserve">TOTAL LABOR BURDEN AND COST (rounded) </t>
    </r>
    <r>
      <rPr>
        <b/>
        <vertAlign val="superscript"/>
        <sz val="10"/>
        <color rgb="FF000000"/>
        <rFont val="Times New Roman"/>
        <family val="1"/>
      </rPr>
      <t>q</t>
    </r>
  </si>
  <si>
    <r>
      <t xml:space="preserve">TOTAL CAPITAL AND O&amp;M COST (rounded) </t>
    </r>
    <r>
      <rPr>
        <b/>
        <vertAlign val="superscript"/>
        <sz val="10"/>
        <color rgb="FF000000"/>
        <rFont val="Times New Roman"/>
        <family val="1"/>
      </rPr>
      <t>q</t>
    </r>
  </si>
  <si>
    <r>
      <t xml:space="preserve">GRAND TOTAL (rounded) </t>
    </r>
    <r>
      <rPr>
        <b/>
        <vertAlign val="superscript"/>
        <sz val="10"/>
        <color rgb="FF000000"/>
        <rFont val="Times New Roman"/>
        <family val="1"/>
      </rPr>
      <t>q</t>
    </r>
  </si>
  <si>
    <t>1. Subpart G</t>
  </si>
  <si>
    <t>2. Subpart H</t>
  </si>
  <si>
    <r>
      <t>c</t>
    </r>
    <r>
      <rPr>
        <sz val="10"/>
        <color rgb="FF000000"/>
        <rFont val="Times New Roman"/>
        <family val="1"/>
      </rPr>
      <t xml:space="preserve">  Totals have been rounded to 3 significant figures. Figures may not add exactly due to rounding.</t>
    </r>
  </si>
  <si>
    <r>
      <t xml:space="preserve">Total  (rounded) </t>
    </r>
    <r>
      <rPr>
        <b/>
        <vertAlign val="superscript"/>
        <sz val="10"/>
        <color rgb="FF000000"/>
        <rFont val="Times New Roman"/>
        <family val="1"/>
      </rPr>
      <t>c</t>
    </r>
  </si>
  <si>
    <r>
      <t xml:space="preserve">Electronic indicators for PRD </t>
    </r>
    <r>
      <rPr>
        <vertAlign val="superscript"/>
        <sz val="10"/>
        <color rgb="FF000000"/>
        <rFont val="Times New Roman"/>
        <family val="1"/>
      </rPr>
      <t>a</t>
    </r>
  </si>
  <si>
    <r>
      <t xml:space="preserve">Monitoring equipment for process vents and wastewater </t>
    </r>
    <r>
      <rPr>
        <vertAlign val="superscript"/>
        <sz val="10"/>
        <color rgb="FF000000"/>
        <rFont val="Times New Roman"/>
        <family val="1"/>
      </rPr>
      <t>b</t>
    </r>
  </si>
  <si>
    <r>
      <t xml:space="preserve">Monitoring equipment for equipment leaks </t>
    </r>
    <r>
      <rPr>
        <vertAlign val="superscript"/>
        <sz val="10"/>
        <color rgb="FF000000"/>
        <rFont val="Times New Roman"/>
        <family val="1"/>
      </rPr>
      <t>b</t>
    </r>
  </si>
  <si>
    <t>Notification of storage vessel inspection</t>
  </si>
  <si>
    <t>Notification of alternative test method</t>
  </si>
  <si>
    <t>Notification of special compliance requirements</t>
  </si>
  <si>
    <t>Progress reports for affected sources receiving an extension of compliance</t>
  </si>
  <si>
    <t>Emissions averaging plans</t>
  </si>
  <si>
    <t>Request for approval for a nominal control efficiency for use in calculating credits for emission averaging</t>
  </si>
  <si>
    <t>Updates to emissions averaging plan</t>
  </si>
  <si>
    <t>Report of changes to the primary product for a TPPU or process unit</t>
  </si>
  <si>
    <t>Report for batch process vents</t>
  </si>
  <si>
    <t>Report for PET sources using a dimethyl terephthalate process</t>
  </si>
  <si>
    <t>Malfunction Reports</t>
  </si>
  <si>
    <t>Quarterly periodic reports for facilities using emission averaging and where a respondent did not qualify for semiannual reporting</t>
  </si>
  <si>
    <r>
      <t xml:space="preserve">Semiannual reports </t>
    </r>
    <r>
      <rPr>
        <vertAlign val="superscript"/>
        <sz val="10"/>
        <color rgb="FF000000"/>
        <rFont val="Times New Roman"/>
        <family val="1"/>
      </rPr>
      <t>a</t>
    </r>
  </si>
  <si>
    <r>
      <t xml:space="preserve">Total (rounded) </t>
    </r>
    <r>
      <rPr>
        <b/>
        <vertAlign val="superscript"/>
        <sz val="10"/>
        <color rgb="FF000000"/>
        <rFont val="Times New Roman"/>
        <family val="1"/>
      </rPr>
      <t>b</t>
    </r>
  </si>
  <si>
    <r>
      <rPr>
        <vertAlign val="superscript"/>
        <sz val="10"/>
        <color rgb="FF000000"/>
        <rFont val="Times New Roman"/>
        <family val="1"/>
      </rPr>
      <t>b</t>
    </r>
    <r>
      <rPr>
        <sz val="10"/>
        <color rgb="FF000000"/>
        <rFont val="Times New Roman"/>
        <family val="1"/>
      </rPr>
      <t xml:space="preserve">  Totals have been rounded to 3 significant figures. Figures may not add exactly due to rounding.</t>
    </r>
  </si>
  <si>
    <t>Pre-compliance report</t>
  </si>
  <si>
    <r>
      <t>d</t>
    </r>
    <r>
      <rPr>
        <sz val="10"/>
        <color theme="1"/>
        <rFont val="Times New Roman"/>
        <family val="1"/>
      </rPr>
      <t xml:space="preserve"> Since the activities within each burden category (i.e., process vents, equipment leaks, wastewater, heat exchangers, and equipment leaks) can vary significantly, it is too inaccurate to assume an average activity time (Column A) to calculate hours per facility (Column C). Therefore, we estimated the total hours per facility and the number activities per year (Column B) to back-calculate the person-hrs per occurrence value in Column A. The burden for these activities are based on the approach used in the HON (Subparts F, G, H, and I).  Since so much variability exists, it is important to note that this is an estimate and is only used to back-calculate Column A.</t>
    </r>
  </si>
  <si>
    <t>3. The HON does not estimate any capital or O&amp;M costs for Subparts F and I.</t>
  </si>
  <si>
    <r>
      <t>a</t>
    </r>
    <r>
      <rPr>
        <sz val="10"/>
        <color theme="1"/>
        <rFont val="Times New Roman"/>
        <family val="1"/>
      </rPr>
      <t xml:space="preserve">  We assume there are an average of 27 sources (TPPUs) at 24 facilities subject to the rule and no additional sources per year will become subject to the rule during the three-year period of this ICR.</t>
    </r>
  </si>
  <si>
    <r>
      <t>m</t>
    </r>
    <r>
      <rPr>
        <sz val="10"/>
        <color theme="1"/>
        <rFont val="Times New Roman"/>
        <family val="1"/>
      </rPr>
      <t xml:space="preserve">  This ICR assumes that 10% of sources will have changes to their primary product. (27 sources x 0.10 = 2.7, rounded to 3)</t>
    </r>
  </si>
  <si>
    <r>
      <t>n</t>
    </r>
    <r>
      <rPr>
        <sz val="10"/>
        <color theme="1"/>
        <rFont val="Times New Roman"/>
        <family val="1"/>
      </rPr>
      <t xml:space="preserve">  This ICR assumes that 10% of sources will makes changes to batch process vents. (27 sources x 0.10 = 2.7, rounded to 3)</t>
    </r>
  </si>
  <si>
    <r>
      <t>p</t>
    </r>
    <r>
      <rPr>
        <sz val="10"/>
        <color theme="1"/>
        <rFont val="Times New Roman"/>
        <family val="1"/>
      </rPr>
      <t xml:space="preserve">  This ICR assumes that 10% of sources will have to submit malfunction reports.</t>
    </r>
    <r>
      <rPr>
        <vertAlign val="superscript"/>
        <sz val="10"/>
        <color theme="1"/>
        <rFont val="Times New Roman"/>
        <family val="1"/>
      </rPr>
      <t xml:space="preserve"> </t>
    </r>
    <r>
      <rPr>
        <sz val="10"/>
        <color theme="1"/>
        <rFont val="Times New Roman"/>
        <family val="1"/>
      </rPr>
      <t>(27 sources x 0.10 = 2.7, rounded to 3)</t>
    </r>
  </si>
  <si>
    <r>
      <t>a</t>
    </r>
    <r>
      <rPr>
        <sz val="10"/>
        <color rgb="FF000000"/>
        <rFont val="Times New Roman"/>
        <family val="1"/>
      </rPr>
      <t xml:space="preserve">  We assume there are an average of 27 sources at 24 facilities subject to the rule and no additional sources per year will become subject to the rule during the three-year period of this ICR.</t>
    </r>
  </si>
  <si>
    <r>
      <t>a</t>
    </r>
    <r>
      <rPr>
        <sz val="10"/>
        <color rgb="FF000000"/>
        <rFont val="Times New Roman"/>
        <family val="1"/>
      </rPr>
      <t xml:space="preserve">  There are 27 affected sources (PRD) monitored at 24 facilities. For the 23 sources qualifying for semiannual reports, this information will be included in the required periodic report and is not considered a separate response. For the 4 sources required to submit quarterly reports, we assume this information will be submitted quarterly as a separate report. </t>
    </r>
  </si>
  <si>
    <r>
      <t>l</t>
    </r>
    <r>
      <rPr>
        <sz val="10"/>
        <color theme="1"/>
        <rFont val="Times New Roman"/>
        <family val="1"/>
      </rPr>
      <t xml:space="preserve">  This ICR assumes that 5% of the 27 sources (TPPUs) will not qualify for semiannual reports and will be required to submit quarterly reports. (27 TPPUs x 0.05 = 1.35) In addition, 10% of the 24 facilities using emissions averaging are required to submit quarterly reports. (24 respondents x (0.10) = 2.4). Therefore we estimate quarterly reports will be submitted for 4 sources. (1.35 + 2.4 = 3.75, rounded to 4) The remaining 23 sources will all submit semiannual reports. </t>
    </r>
  </si>
  <si>
    <r>
      <t>k</t>
    </r>
    <r>
      <rPr>
        <sz val="10"/>
        <color rgb="FF000000"/>
        <rFont val="Times New Roman"/>
        <family val="1"/>
      </rPr>
      <t xml:space="preserve">  This ICR assumes that 5% of the 27 sources (TPPUs) will not qualify for semiannual reports and will be required to submit quarterly reports. (27 TPPUs x 0.05 = 1.35) In addition, 10% of the 24 facilities using emissions averaging are required to submit quarterly reports. (24 respondents x (0.10) = 2.4). Therefore we estimate quarterly reports will be submitted for 4 sources. (1.35 + 2.4 = 3.75, rounded to 4) The remaining 23 sources will all submit semiannual reports. </t>
    </r>
  </si>
  <si>
    <t>CEPCI 2014</t>
  </si>
  <si>
    <t>CEPCI 2023</t>
  </si>
  <si>
    <t>ICR Summary Information</t>
  </si>
  <si>
    <t>Hours Per Response</t>
  </si>
  <si>
    <t>Total Estimated Burden Hours</t>
  </si>
  <si>
    <t>Total Estimated Costs</t>
  </si>
  <si>
    <t>Annualized Capital O&amp;M</t>
  </si>
  <si>
    <t>Form Number</t>
  </si>
  <si>
    <t>Not Applicable</t>
  </si>
  <si>
    <r>
      <t>b</t>
    </r>
    <r>
      <rPr>
        <sz val="10"/>
        <rFont val="Times New Roman"/>
        <family val="1"/>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</si>
  <si>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t>b</t>
    </r>
    <r>
      <rPr>
        <sz val="10"/>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</si>
  <si>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t>a</t>
    </r>
    <r>
      <rPr>
        <sz val="10"/>
        <rFont val="Times New Roman"/>
        <family val="1"/>
      </rPr>
      <t xml:space="preserve">  Based on costs from the 2014 final rule, the total capital cost for the electronic indicators for PRDs across all facilities is estimated to be $3,814,120 (see ICR No. 2457.02). This cost has been annualized by multiplying the capital recovery factor by the capital cost. The capital recovery factor is based on an interest rate of 7 percent and an assumed equipment life of 10 years. (Capital cost per monitoring system = $3,814,120 x 0.142 / 34 monitoring system = $15,930/monitoring system. Costs have been adjusted from 2014 dollars to 2023 dollars using the CEPCI CE index. The operation and maintenance (O&amp;M) costs expected from operating the electronic indicators is assumed to be minimal.</t>
    </r>
  </si>
  <si>
    <r>
      <t>b</t>
    </r>
    <r>
      <rPr>
        <sz val="10"/>
        <rFont val="Times New Roman"/>
        <family val="1"/>
      </rPr>
      <t xml:space="preserve">  Capital and O&amp;M costs for process vents, wastewater, and equipment leaks are based on estimates for similar requirements in the HON (Subparts F, G, H and I). The HON uses the following assumptions:</t>
    </r>
  </si>
  <si>
    <r>
      <t>-</t>
    </r>
    <r>
      <rPr>
        <i/>
        <sz val="10"/>
        <rFont val="Times New Roman"/>
        <family val="1"/>
      </rPr>
      <t>Total Capital/Startup Cost of Monitoring Equipment:</t>
    </r>
    <r>
      <rPr>
        <sz val="10"/>
        <rFont val="Times New Roman"/>
        <family val="1"/>
      </rPr>
      <t xml:space="preserve"> The cost to purchase monitoring equipment is approximately $20-30K for process vents and wastewater operations, or an average of $25K with a 10-year life expectancy and a 7 percent depreciation rate, or $2,225 per year. Costs have been adjusted from 2014 dollars to 2023 dollars using the CEPCI CE index. There are no associated costs for transfer racks and storage tanks.  Only new sources need to buy monitoring equipment.</t>
    </r>
  </si>
  <si>
    <r>
      <t>-</t>
    </r>
    <r>
      <rPr>
        <i/>
        <sz val="10"/>
        <rFont val="Times New Roman"/>
        <family val="1"/>
      </rPr>
      <t xml:space="preserve">Total Cost of Operation and Maintenance of Monitoring Equipment: </t>
    </r>
    <r>
      <rPr>
        <sz val="10"/>
        <rFont val="Times New Roman"/>
        <family val="1"/>
      </rPr>
      <t>The cost to industry associated with the operation and maintenance (O&amp;M) is approximately $100-500K per year (capital/startup depreciation not included) for reactor process vents and wastewater operations.  The cost associated with the operation and maintenance is $50-100K per year (capital/startup depreciation not included) for distillation unit process vents.  There are no associated costs for transfer racks and storage tanks.  The average O&amp;M cost is assumed to be the average of the two ranges, or $275,000 per year. Costs have been adjusted from 2014 dollars to 2023 dollars using the CEPCI CE index. Operation and maintenance incur for both new and existing sources.</t>
    </r>
  </si>
  <si>
    <r>
      <t>-</t>
    </r>
    <r>
      <rPr>
        <i/>
        <sz val="10"/>
        <rFont val="Times New Roman"/>
        <family val="1"/>
      </rPr>
      <t>Total Capital/Startup Cost of Monitoring Equipment:</t>
    </r>
    <r>
      <rPr>
        <sz val="10"/>
        <rFont val="Times New Roman"/>
        <family val="1"/>
      </rPr>
      <t xml:space="preserve"> Only new sources will buy an organic volatile analyzer.  Estimate the average cost of a monitor is $7,000 with a 5-year expected life. The equipment is not capitalized, so no discount rate applies.  The average annual cost is, therefore, $7,000/5, or $1,400/yr.  Costs have been adjusted from 2014 dollars to 2023 dollars using the CEPCI CE index.</t>
    </r>
  </si>
  <si>
    <r>
      <t>-</t>
    </r>
    <r>
      <rPr>
        <i/>
        <sz val="10"/>
        <rFont val="Times New Roman"/>
        <family val="1"/>
      </rPr>
      <t>Total Cost of Operation and Maintenance of Monitoring Equipment:</t>
    </r>
    <r>
      <rPr>
        <sz val="10"/>
        <rFont val="Times New Roman"/>
        <family val="1"/>
      </rPr>
      <t xml:space="preserve"> The operation of the monitors is included in the monitoring equipment costs.  Maintenance costs on these units is incidental; therefore, no maintenance or operation costs are incurred.
</t>
    </r>
  </si>
  <si>
    <r>
      <t>j</t>
    </r>
    <r>
      <rPr>
        <sz val="10"/>
        <rFont val="Times New Roman"/>
        <family val="1"/>
      </rPr>
      <t xml:space="preserve">  This ICR assumes 10% of existing facilities have elected to use emission averaging and that all existing respondents were expected to be in compliance with the submittal of an emissions averaging plan as of the 2014 final rule. New facilities cannot use emissions averaging, therefore no new emissions averaging plans will be submitted. This ICR also assumes no existing facilities will elect to use nominal control after submitting the initial emissions averaging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</si>
</sst>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0.0"/>
  </numFmts>
  <fonts count="23" x14ac:knownFonts="1">
    <font>
      <sz val="11"/>
      <color theme="1"/>
      <name val="Calibri"/>
      <family val="2"/>
      <scheme val="minor"/>
    </font>
    <font>
      <sz val="10"/>
      <color theme="1"/>
      <name val="Times New Roman"/>
      <family val="1"/>
    </font>
    <font>
      <b/>
      <sz val="10"/>
      <color rgb="FF000000"/>
      <name val="Times New Roman"/>
      <family val="1"/>
    </font>
    <font>
      <sz val="10"/>
      <color rgb="FF000000"/>
      <name val="Times New Roman"/>
      <family val="1"/>
    </font>
    <font>
      <vertAlign val="superscript"/>
      <sz val="10"/>
      <color rgb="FF000000"/>
      <name val="Times New Roman"/>
      <family val="1"/>
    </font>
    <font>
      <b/>
      <vertAlign val="superscript"/>
      <sz val="10"/>
      <color rgb="FF000000"/>
      <name val="Times New Roman"/>
      <family val="1"/>
    </font>
    <font>
      <b/>
      <sz val="10"/>
      <color theme="1"/>
      <name val="Times New Roman"/>
      <family val="1"/>
    </font>
    <font>
      <vertAlign val="superscript"/>
      <sz val="10"/>
      <color theme="1"/>
      <name val="Times New Roman"/>
      <family val="1"/>
    </font>
    <font>
      <sz val="10"/>
      <name val="Times New Roman"/>
      <family val="1"/>
    </font>
    <font>
      <b/>
      <sz val="11"/>
      <color theme="1"/>
      <name val="Times New Roman"/>
      <family val="1"/>
    </font>
    <font>
      <sz val="11"/>
      <color theme="1"/>
      <name val="Times New Roman"/>
      <family val="1"/>
    </font>
    <font>
      <b/>
      <sz val="12"/>
      <color theme="1"/>
      <name val="Times New Roman"/>
      <family val="1"/>
    </font>
    <font>
      <u/>
      <sz val="10"/>
      <color rgb="FF000000"/>
      <name val="Times New Roman"/>
      <family val="1"/>
    </font>
    <font>
      <b/>
      <i/>
      <sz val="10"/>
      <color rgb="FF000000"/>
      <name val="Times New Roman"/>
      <family val="1"/>
    </font>
    <font>
      <i/>
      <sz val="10"/>
      <color rgb="FF000000"/>
      <name val="Times New Roman"/>
      <family val="1"/>
    </font>
    <font>
      <sz val="11"/>
      <color rgb="FF000000"/>
      <name val="Times New Roman"/>
      <family val="1"/>
    </font>
    <font>
      <b/>
      <sz val="12"/>
      <color rgb="FF000000"/>
      <name val="Times New Roman"/>
      <family val="1"/>
    </font>
    <font>
      <sz val="10"/>
      <color rgb="FFFF0000"/>
      <name val="Times New Roman"/>
      <family val="1"/>
    </font>
    <font>
      <sz val="11"/>
      <color rgb="FFFF0000"/>
      <name val="Times New Roman"/>
      <family val="1"/>
    </font>
    <font>
      <vertAlign val="superscript"/>
      <sz val="10"/>
      <name val="Times New Roman"/>
      <family val="1"/>
    </font>
    <font>
      <sz val="8"/>
      <name val="Calibri"/>
      <family val="2"/>
      <scheme val="minor"/>
    </font>
    <font>
      <b/>
      <sz val="11"/>
      <color rgb="FF000000"/>
      <name val="Times New Roman"/>
      <family val="1"/>
    </font>
    <font>
      <i/>
      <sz val="1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83">
    <xf numFmtId="0" fontId="0" fillId="0" borderId="0" xfId="0"/>
    <xf numFmtId="0" fontId="2" fillId="0" borderId="1" xfId="0" applyFont="1" applyBorder="1" applyAlignment="1">
      <alignment horizontal="center" vertical="center" wrapText="1"/>
    </xf>
    <xf numFmtId="0" fontId="10" fillId="0" borderId="0" xfId="0" applyFont="1"/>
    <xf numFmtId="164" fontId="1" fillId="0" borderId="0" xfId="0" applyNumberFormat="1" applyFont="1"/>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8" fontId="3" fillId="0" borderId="4" xfId="0" applyNumberFormat="1" applyFont="1" applyBorder="1" applyAlignment="1">
      <alignment horizontal="right" vertical="center"/>
    </xf>
    <xf numFmtId="0" fontId="8" fillId="0" borderId="1" xfId="0" applyFont="1" applyBorder="1" applyAlignment="1">
      <alignment vertical="center"/>
    </xf>
    <xf numFmtId="0" fontId="3" fillId="0" borderId="1" xfId="0" applyFont="1" applyBorder="1" applyAlignment="1">
      <alignment horizontal="left" vertical="center" wrapText="1"/>
    </xf>
    <xf numFmtId="3" fontId="3" fillId="0" borderId="1" xfId="0" applyNumberFormat="1" applyFont="1" applyBorder="1" applyAlignment="1">
      <alignment horizontal="center" vertical="center"/>
    </xf>
    <xf numFmtId="0" fontId="18" fillId="0" borderId="0" xfId="0" applyFont="1"/>
    <xf numFmtId="1" fontId="3" fillId="0" borderId="1" xfId="0" applyNumberFormat="1" applyFont="1" applyBorder="1" applyAlignment="1">
      <alignment horizontal="center" vertical="center"/>
    </xf>
    <xf numFmtId="6" fontId="3" fillId="0" borderId="4" xfId="0" applyNumberFormat="1" applyFont="1" applyBorder="1" applyAlignment="1">
      <alignment horizontal="right" vertical="center"/>
    </xf>
    <xf numFmtId="165" fontId="3" fillId="0" borderId="1" xfId="0" applyNumberFormat="1" applyFont="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6" fontId="13" fillId="0" borderId="1" xfId="0" applyNumberFormat="1" applyFont="1" applyBorder="1" applyAlignment="1">
      <alignment horizontal="right" vertical="center"/>
    </xf>
    <xf numFmtId="0" fontId="3" fillId="0" borderId="4" xfId="0" applyFont="1" applyBorder="1" applyAlignment="1">
      <alignment horizontal="right" vertical="center"/>
    </xf>
    <xf numFmtId="0" fontId="15" fillId="0" borderId="1" xfId="0" applyFont="1" applyBorder="1" applyAlignment="1">
      <alignment vertical="center"/>
    </xf>
    <xf numFmtId="8" fontId="3" fillId="0" borderId="1" xfId="0" applyNumberFormat="1" applyFont="1" applyBorder="1" applyAlignment="1">
      <alignment horizontal="right" vertical="center"/>
    </xf>
    <xf numFmtId="6" fontId="3" fillId="0" borderId="1" xfId="0" applyNumberFormat="1" applyFont="1" applyBorder="1" applyAlignment="1">
      <alignment horizontal="righ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6" fontId="2" fillId="0" borderId="1" xfId="0" applyNumberFormat="1" applyFont="1" applyBorder="1" applyAlignment="1">
      <alignment horizontal="right" vertical="center"/>
    </xf>
    <xf numFmtId="3" fontId="10" fillId="0" borderId="0" xfId="0" applyNumberFormat="1" applyFont="1"/>
    <xf numFmtId="1" fontId="10" fillId="0" borderId="0" xfId="0" applyNumberFormat="1" applyFont="1"/>
    <xf numFmtId="0" fontId="10" fillId="0" borderId="1" xfId="0" applyFont="1" applyBorder="1"/>
    <xf numFmtId="0" fontId="6" fillId="0" borderId="0" xfId="0" applyFont="1" applyAlignment="1">
      <alignment vertical="center"/>
    </xf>
    <xf numFmtId="0" fontId="7" fillId="0" borderId="0" xfId="0" applyFont="1" applyAlignment="1">
      <alignment vertical="center"/>
    </xf>
    <xf numFmtId="2" fontId="10" fillId="0" borderId="0" xfId="0" applyNumberFormat="1"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 xfId="0" applyFont="1" applyBorder="1" applyAlignment="1">
      <alignment horizontal="right" vertical="center"/>
    </xf>
    <xf numFmtId="0" fontId="1" fillId="0" borderId="1" xfId="0" applyFont="1" applyBorder="1" applyAlignment="1">
      <alignment horizontal="center" vertical="center"/>
    </xf>
    <xf numFmtId="0" fontId="4" fillId="0" borderId="0" xfId="0" applyFont="1" applyAlignment="1">
      <alignment vertical="center"/>
    </xf>
    <xf numFmtId="0" fontId="1" fillId="0" borderId="0" xfId="0" applyFont="1"/>
    <xf numFmtId="0" fontId="3" fillId="0" borderId="1" xfId="0" applyFont="1" applyBorder="1" applyAlignment="1">
      <alignment horizontal="center" vertical="center" wrapText="1"/>
    </xf>
    <xf numFmtId="6"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6" fontId="2" fillId="0" borderId="1" xfId="0" applyNumberFormat="1" applyFont="1" applyBorder="1" applyAlignment="1">
      <alignment horizontal="center" vertical="center" wrapText="1"/>
    </xf>
    <xf numFmtId="6" fontId="2" fillId="0" borderId="1" xfId="0" applyNumberFormat="1" applyFont="1" applyBorder="1" applyAlignment="1">
      <alignment horizontal="right" vertical="center" wrapText="1"/>
    </xf>
    <xf numFmtId="6" fontId="1" fillId="0" borderId="0" xfId="0" applyNumberFormat="1" applyFont="1"/>
    <xf numFmtId="0" fontId="17" fillId="0" borderId="0" xfId="0" applyFont="1"/>
    <xf numFmtId="0" fontId="1" fillId="0" borderId="0" xfId="0" applyFont="1" applyAlignment="1">
      <alignment horizontal="left" vertical="top"/>
    </xf>
    <xf numFmtId="0" fontId="1" fillId="0" borderId="1" xfId="0" applyFont="1" applyBorder="1" applyAlignment="1">
      <alignment wrapText="1"/>
    </xf>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horizontal="center" vertical="center" wrapText="1"/>
    </xf>
    <xf numFmtId="3" fontId="1" fillId="0" borderId="0" xfId="0" applyNumberFormat="1" applyFont="1"/>
    <xf numFmtId="3" fontId="1" fillId="0" borderId="1" xfId="0" applyNumberFormat="1" applyFont="1" applyBorder="1" applyAlignment="1">
      <alignment horizontal="center" vertical="center"/>
    </xf>
    <xf numFmtId="0" fontId="3" fillId="0" borderId="0" xfId="0" applyFont="1" applyAlignment="1">
      <alignment horizontal="center" vertical="center"/>
    </xf>
    <xf numFmtId="3" fontId="2" fillId="0" borderId="1" xfId="0" applyNumberFormat="1" applyFont="1" applyBorder="1" applyAlignment="1">
      <alignment horizontal="center" vertical="center" wrapText="1"/>
    </xf>
    <xf numFmtId="0" fontId="10" fillId="0" borderId="0" xfId="0" applyFont="1" applyAlignment="1">
      <alignment vertical="center" wrapText="1"/>
    </xf>
    <xf numFmtId="6" fontId="10" fillId="0" borderId="0" xfId="0" applyNumberFormat="1" applyFont="1"/>
    <xf numFmtId="0" fontId="21" fillId="0" borderId="0" xfId="0" applyFont="1" applyAlignment="1">
      <alignment horizontal="center"/>
    </xf>
    <xf numFmtId="0" fontId="8" fillId="0" borderId="1" xfId="0" applyFont="1" applyBorder="1" applyAlignment="1">
      <alignment horizontal="center"/>
    </xf>
    <xf numFmtId="0" fontId="7" fillId="0" borderId="0" xfId="0" applyFont="1" applyAlignment="1">
      <alignment horizontal="left" vertical="top" wrapText="1"/>
    </xf>
    <xf numFmtId="0" fontId="7" fillId="0" borderId="0" xfId="0" applyFont="1" applyAlignment="1">
      <alignment horizontal="left" vertical="top"/>
    </xf>
    <xf numFmtId="0" fontId="11" fillId="0" borderId="0" xfId="0" applyFont="1" applyAlignment="1">
      <alignment horizontal="left" vertical="top" wrapText="1"/>
    </xf>
    <xf numFmtId="3" fontId="13"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0" fontId="19" fillId="0" borderId="0" xfId="0" applyFont="1" applyAlignment="1">
      <alignment horizontal="left" vertical="top" wrapText="1"/>
    </xf>
    <xf numFmtId="0" fontId="4" fillId="0" borderId="0" xfId="0" applyFont="1" applyAlignment="1">
      <alignment horizontal="left" vertical="top" wrapText="1"/>
    </xf>
    <xf numFmtId="0" fontId="9" fillId="0" borderId="0" xfId="0" applyFont="1" applyAlignment="1">
      <alignment horizontal="left" vertical="top" wrapText="1"/>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3" fontId="6" fillId="0" borderId="4" xfId="0" applyNumberFormat="1" applyFont="1" applyBorder="1" applyAlignment="1">
      <alignment horizontal="center" vertical="center"/>
    </xf>
    <xf numFmtId="0" fontId="8" fillId="0" borderId="2" xfId="0" applyFont="1" applyBorder="1" applyAlignment="1">
      <alignment horizontal="center"/>
    </xf>
    <xf numFmtId="0" fontId="8" fillId="0" borderId="4" xfId="0" applyFont="1" applyBorder="1" applyAlignment="1">
      <alignment horizontal="center"/>
    </xf>
    <xf numFmtId="0" fontId="3" fillId="0" borderId="0" xfId="0" applyFont="1" applyAlignment="1">
      <alignment horizontal="left" vertical="top" wrapText="1" indent="1"/>
    </xf>
    <xf numFmtId="0" fontId="16" fillId="0" borderId="1" xfId="0" applyFont="1" applyBorder="1" applyAlignment="1">
      <alignment horizontal="center" vertical="center" wrapText="1"/>
    </xf>
    <xf numFmtId="0" fontId="4" fillId="0" borderId="5" xfId="0" applyFont="1" applyBorder="1" applyAlignment="1">
      <alignment horizontal="left" vertical="top" wrapText="1"/>
    </xf>
    <xf numFmtId="0" fontId="3" fillId="0" borderId="0" xfId="0" applyFont="1" applyAlignment="1">
      <alignment horizontal="left" vertical="top" wrapText="1"/>
    </xf>
    <xf numFmtId="0" fontId="3" fillId="0" borderId="0" xfId="0" quotePrefix="1" applyFont="1" applyAlignment="1">
      <alignment horizontal="left" vertical="top"/>
    </xf>
    <xf numFmtId="0" fontId="11" fillId="0" borderId="1" xfId="0" applyFont="1" applyBorder="1" applyAlignment="1">
      <alignment horizontal="center" wrapText="1"/>
    </xf>
    <xf numFmtId="0" fontId="1" fillId="0" borderId="1" xfId="0" applyFont="1" applyBorder="1" applyAlignment="1">
      <alignment horizontal="center" wrapText="1"/>
    </xf>
    <xf numFmtId="0" fontId="3" fillId="0" borderId="1" xfId="0" applyFont="1" applyFill="1" applyBorder="1" applyAlignment="1">
      <alignment horizontal="center" vertical="center"/>
    </xf>
    <xf numFmtId="164" fontId="8" fillId="0" borderId="1" xfId="0" applyNumberFormat="1" applyFont="1" applyBorder="1"/>
    <xf numFmtId="0" fontId="19" fillId="0" borderId="5" xfId="0" applyFont="1" applyBorder="1" applyAlignment="1">
      <alignment horizontal="left" vertical="top" wrapText="1"/>
    </xf>
    <xf numFmtId="0" fontId="8" fillId="0" borderId="0" xfId="0" applyFont="1" applyAlignment="1">
      <alignment horizontal="left" vertical="top" wrapText="1"/>
    </xf>
    <xf numFmtId="0" fontId="8" fillId="0" borderId="0" xfId="0" quotePrefix="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A0A46-5341-4222-AA9F-226B5BB3522C}">
  <dimension ref="A1:B7"/>
  <sheetViews>
    <sheetView tabSelected="1" workbookViewId="0">
      <selection activeCell="C7" sqref="C7"/>
    </sheetView>
  </sheetViews>
  <sheetFormatPr defaultRowHeight="15" x14ac:dyDescent="0.25"/>
  <cols>
    <col min="1" max="1" width="27.140625" bestFit="1" customWidth="1"/>
    <col min="2" max="2" width="13.7109375" bestFit="1" customWidth="1"/>
  </cols>
  <sheetData>
    <row r="1" spans="1:2" x14ac:dyDescent="0.25">
      <c r="A1" s="56" t="s">
        <v>188</v>
      </c>
      <c r="B1" s="56"/>
    </row>
    <row r="2" spans="1:2" x14ac:dyDescent="0.25">
      <c r="A2" s="54" t="s">
        <v>189</v>
      </c>
      <c r="B2" s="27">
        <f>'Table 1'!L51</f>
        <v>646.78899082568807</v>
      </c>
    </row>
    <row r="3" spans="1:2" x14ac:dyDescent="0.25">
      <c r="A3" s="54" t="s">
        <v>12</v>
      </c>
      <c r="B3" s="26">
        <f>Respondents!F10</f>
        <v>24</v>
      </c>
    </row>
    <row r="4" spans="1:2" x14ac:dyDescent="0.25">
      <c r="A4" s="54" t="s">
        <v>190</v>
      </c>
      <c r="B4" s="26">
        <f>'Table 1'!$F$51</f>
        <v>141000</v>
      </c>
    </row>
    <row r="5" spans="1:2" x14ac:dyDescent="0.25">
      <c r="A5" s="54" t="s">
        <v>191</v>
      </c>
      <c r="B5" s="55">
        <f>'Table 1'!I51</f>
        <v>19300000</v>
      </c>
    </row>
    <row r="6" spans="1:2" x14ac:dyDescent="0.25">
      <c r="A6" s="54" t="s">
        <v>192</v>
      </c>
      <c r="B6" s="55">
        <f>'Capital and O&amp;M'!G7</f>
        <v>10300000</v>
      </c>
    </row>
    <row r="7" spans="1:2" x14ac:dyDescent="0.25">
      <c r="A7" s="54" t="s">
        <v>193</v>
      </c>
      <c r="B7" s="2" t="s">
        <v>194</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2"/>
  <sheetViews>
    <sheetView topLeftCell="A56" zoomScaleNormal="100" workbookViewId="0">
      <selection activeCell="A65" sqref="A65:I65"/>
    </sheetView>
  </sheetViews>
  <sheetFormatPr defaultColWidth="9.140625" defaultRowHeight="15" x14ac:dyDescent="0.25"/>
  <cols>
    <col min="1" max="1" width="52.42578125" style="2" customWidth="1"/>
    <col min="2" max="2" width="10.42578125" style="2" customWidth="1"/>
    <col min="3" max="3" width="9.140625" style="2"/>
    <col min="4" max="4" width="11" style="2" customWidth="1"/>
    <col min="5" max="5" width="13.42578125" style="2" customWidth="1"/>
    <col min="6" max="6" width="9.140625" style="2"/>
    <col min="7" max="7" width="10.140625" style="2" customWidth="1"/>
    <col min="8" max="8" width="9.85546875" style="2" customWidth="1"/>
    <col min="9" max="9" width="13.5703125" style="2" customWidth="1"/>
    <col min="10" max="10" width="9.140625" style="2"/>
    <col min="11" max="11" width="12.28515625" style="2" customWidth="1"/>
    <col min="12" max="12" width="12.85546875" style="2" customWidth="1"/>
    <col min="13" max="13" width="10.28515625" style="2" customWidth="1"/>
    <col min="14" max="14" width="9.140625" style="2"/>
    <col min="15" max="15" width="10" style="2" customWidth="1"/>
    <col min="16" max="16384" width="9.140625" style="2"/>
  </cols>
  <sheetData>
    <row r="1" spans="1:12" ht="31.5" customHeight="1" x14ac:dyDescent="0.25">
      <c r="A1" s="60" t="s">
        <v>54</v>
      </c>
      <c r="B1" s="60"/>
      <c r="C1" s="60"/>
      <c r="D1" s="60"/>
      <c r="E1" s="60"/>
      <c r="F1" s="60"/>
      <c r="G1" s="60"/>
      <c r="H1" s="60"/>
      <c r="I1" s="60"/>
    </row>
    <row r="2" spans="1:12" x14ac:dyDescent="0.25">
      <c r="F2" s="3"/>
      <c r="G2" s="3"/>
      <c r="H2" s="3"/>
    </row>
    <row r="3" spans="1:12" ht="80.25" customHeight="1" x14ac:dyDescent="0.25">
      <c r="A3" s="1" t="s">
        <v>0</v>
      </c>
      <c r="B3" s="1" t="s">
        <v>3</v>
      </c>
      <c r="C3" s="1" t="s">
        <v>4</v>
      </c>
      <c r="D3" s="1" t="s">
        <v>5</v>
      </c>
      <c r="E3" s="1" t="s">
        <v>10</v>
      </c>
      <c r="F3" s="1" t="s">
        <v>6</v>
      </c>
      <c r="G3" s="1" t="s">
        <v>7</v>
      </c>
      <c r="H3" s="1" t="s">
        <v>8</v>
      </c>
      <c r="I3" s="1" t="s">
        <v>9</v>
      </c>
    </row>
    <row r="4" spans="1:12" x14ac:dyDescent="0.25">
      <c r="A4" s="4" t="s">
        <v>100</v>
      </c>
      <c r="B4" s="5" t="s">
        <v>1</v>
      </c>
      <c r="C4" s="5"/>
      <c r="D4" s="5"/>
      <c r="E4" s="5"/>
      <c r="F4" s="5"/>
      <c r="G4" s="5"/>
      <c r="H4" s="5"/>
      <c r="I4" s="6"/>
      <c r="K4" s="57" t="s">
        <v>42</v>
      </c>
      <c r="L4" s="57"/>
    </row>
    <row r="5" spans="1:12" x14ac:dyDescent="0.25">
      <c r="A5" s="4" t="s">
        <v>101</v>
      </c>
      <c r="B5" s="5" t="s">
        <v>1</v>
      </c>
      <c r="C5" s="5"/>
      <c r="D5" s="5"/>
      <c r="E5" s="5"/>
      <c r="F5" s="5"/>
      <c r="G5" s="5"/>
      <c r="H5" s="5"/>
      <c r="I5" s="7"/>
      <c r="K5" s="8" t="s">
        <v>43</v>
      </c>
      <c r="L5" s="79">
        <v>172.41</v>
      </c>
    </row>
    <row r="6" spans="1:12" x14ac:dyDescent="0.25">
      <c r="A6" s="4" t="s">
        <v>102</v>
      </c>
      <c r="B6" s="5" t="s">
        <v>1</v>
      </c>
      <c r="C6" s="5"/>
      <c r="D6" s="5"/>
      <c r="E6" s="5"/>
      <c r="F6" s="5"/>
      <c r="G6" s="5"/>
      <c r="H6" s="5"/>
      <c r="I6" s="7"/>
      <c r="K6" s="8" t="s">
        <v>44</v>
      </c>
      <c r="L6" s="79">
        <v>141.75</v>
      </c>
    </row>
    <row r="7" spans="1:12" x14ac:dyDescent="0.25">
      <c r="A7" s="4" t="s">
        <v>103</v>
      </c>
      <c r="B7" s="5"/>
      <c r="C7" s="5"/>
      <c r="D7" s="5"/>
      <c r="E7" s="5"/>
      <c r="F7" s="5"/>
      <c r="G7" s="5"/>
      <c r="H7" s="5"/>
      <c r="I7" s="7"/>
      <c r="K7" s="8" t="s">
        <v>45</v>
      </c>
      <c r="L7" s="79">
        <v>71.36</v>
      </c>
    </row>
    <row r="8" spans="1:12" ht="15.75" x14ac:dyDescent="0.25">
      <c r="A8" s="9" t="s">
        <v>104</v>
      </c>
      <c r="B8" s="5">
        <v>40</v>
      </c>
      <c r="C8" s="5">
        <v>1</v>
      </c>
      <c r="D8" s="5">
        <f>B8*C8</f>
        <v>40</v>
      </c>
      <c r="E8" s="5">
        <v>24</v>
      </c>
      <c r="F8" s="10">
        <f>D8*E8</f>
        <v>960</v>
      </c>
      <c r="G8" s="10">
        <f>F8*0.05</f>
        <v>48</v>
      </c>
      <c r="H8" s="10">
        <f>F8*0.1</f>
        <v>96</v>
      </c>
      <c r="I8" s="7">
        <f>$L$6*F8+$L$5*G8+$L$7*H8</f>
        <v>151206.24</v>
      </c>
      <c r="J8" s="11"/>
    </row>
    <row r="9" spans="1:12" ht="15.75" x14ac:dyDescent="0.25">
      <c r="A9" s="9" t="s">
        <v>105</v>
      </c>
      <c r="B9" s="5">
        <v>6.08</v>
      </c>
      <c r="C9" s="5">
        <v>13</v>
      </c>
      <c r="D9" s="12">
        <f t="shared" ref="D9:D11" si="0">B9*C9</f>
        <v>79.040000000000006</v>
      </c>
      <c r="E9" s="5">
        <v>27</v>
      </c>
      <c r="F9" s="10">
        <f t="shared" ref="F9:F11" si="1">D9*E9</f>
        <v>2134.0800000000004</v>
      </c>
      <c r="G9" s="10">
        <f t="shared" ref="G9:G11" si="2">F9*0.05</f>
        <v>106.70400000000002</v>
      </c>
      <c r="H9" s="10">
        <f t="shared" ref="H9:H11" si="3">F9*0.1</f>
        <v>213.40800000000004</v>
      </c>
      <c r="I9" s="7">
        <f t="shared" ref="I9:I34" si="4">$L$6*F9+$L$5*G9+$L$7*H9</f>
        <v>336131.47152000002</v>
      </c>
      <c r="J9" s="11"/>
    </row>
    <row r="10" spans="1:12" ht="15.75" x14ac:dyDescent="0.25">
      <c r="A10" s="9" t="s">
        <v>106</v>
      </c>
      <c r="B10" s="5">
        <v>17.850000000000001</v>
      </c>
      <c r="C10" s="5">
        <v>99</v>
      </c>
      <c r="D10" s="10">
        <f t="shared" si="0"/>
        <v>1767.15</v>
      </c>
      <c r="E10" s="5">
        <f>E9</f>
        <v>27</v>
      </c>
      <c r="F10" s="10">
        <f t="shared" si="1"/>
        <v>47713.05</v>
      </c>
      <c r="G10" s="10">
        <f t="shared" si="2"/>
        <v>2385.6525000000001</v>
      </c>
      <c r="H10" s="10">
        <f t="shared" si="3"/>
        <v>4771.3050000000003</v>
      </c>
      <c r="I10" s="7">
        <f t="shared" si="4"/>
        <v>7515115.5098249996</v>
      </c>
      <c r="J10" s="11"/>
    </row>
    <row r="11" spans="1:12" ht="15.75" x14ac:dyDescent="0.25">
      <c r="A11" s="9" t="s">
        <v>107</v>
      </c>
      <c r="B11" s="5">
        <v>2.5</v>
      </c>
      <c r="C11" s="5">
        <v>677</v>
      </c>
      <c r="D11" s="10">
        <f t="shared" si="0"/>
        <v>1692.5</v>
      </c>
      <c r="E11" s="5">
        <f>E9</f>
        <v>27</v>
      </c>
      <c r="F11" s="10">
        <f t="shared" si="1"/>
        <v>45697.5</v>
      </c>
      <c r="G11" s="10">
        <f t="shared" si="2"/>
        <v>2284.875</v>
      </c>
      <c r="H11" s="10">
        <f t="shared" si="3"/>
        <v>4569.75</v>
      </c>
      <c r="I11" s="7">
        <f>$L$6*F11+$L$5*G11+$L$7*H11</f>
        <v>7197653.2837500004</v>
      </c>
      <c r="J11" s="11"/>
    </row>
    <row r="12" spans="1:12" x14ac:dyDescent="0.25">
      <c r="A12" s="9" t="s">
        <v>108</v>
      </c>
      <c r="B12" s="5"/>
      <c r="C12" s="5"/>
      <c r="D12" s="5"/>
      <c r="E12" s="5"/>
      <c r="F12" s="5"/>
      <c r="G12" s="5"/>
      <c r="H12" s="5"/>
      <c r="I12" s="13">
        <f t="shared" si="4"/>
        <v>0</v>
      </c>
    </row>
    <row r="13" spans="1:12" x14ac:dyDescent="0.25">
      <c r="A13" s="9" t="s">
        <v>109</v>
      </c>
      <c r="B13" s="5">
        <v>20</v>
      </c>
      <c r="C13" s="5">
        <v>1</v>
      </c>
      <c r="D13" s="5">
        <f t="shared" ref="D13:D33" si="5">B13*C13</f>
        <v>20</v>
      </c>
      <c r="E13" s="5">
        <v>0</v>
      </c>
      <c r="F13" s="5">
        <v>0</v>
      </c>
      <c r="G13" s="5">
        <v>0</v>
      </c>
      <c r="H13" s="5">
        <v>0</v>
      </c>
      <c r="I13" s="13">
        <f t="shared" si="4"/>
        <v>0</v>
      </c>
    </row>
    <row r="14" spans="1:12" ht="15.75" x14ac:dyDescent="0.25">
      <c r="A14" s="9" t="s">
        <v>110</v>
      </c>
      <c r="B14" s="5">
        <v>5</v>
      </c>
      <c r="C14" s="5">
        <v>6</v>
      </c>
      <c r="D14" s="5">
        <f t="shared" si="5"/>
        <v>30</v>
      </c>
      <c r="E14" s="5">
        <f>E8</f>
        <v>24</v>
      </c>
      <c r="F14" s="10">
        <f>D14*E14</f>
        <v>720</v>
      </c>
      <c r="G14" s="10">
        <f>F14*0.05</f>
        <v>36</v>
      </c>
      <c r="H14" s="10">
        <f>F14*0.1</f>
        <v>72</v>
      </c>
      <c r="I14" s="7">
        <f>$L$6*F14+$L$5*G14+$L$7*H14</f>
        <v>113404.68</v>
      </c>
      <c r="J14" s="11"/>
    </row>
    <row r="15" spans="1:12" x14ac:dyDescent="0.25">
      <c r="A15" s="9" t="s">
        <v>111</v>
      </c>
      <c r="B15" s="5">
        <v>10</v>
      </c>
      <c r="C15" s="5">
        <v>1</v>
      </c>
      <c r="D15" s="5">
        <f t="shared" si="5"/>
        <v>10</v>
      </c>
      <c r="E15" s="5">
        <v>0</v>
      </c>
      <c r="F15" s="5">
        <v>0</v>
      </c>
      <c r="G15" s="5">
        <v>0</v>
      </c>
      <c r="H15" s="5">
        <v>0</v>
      </c>
      <c r="I15" s="13">
        <f t="shared" si="4"/>
        <v>0</v>
      </c>
    </row>
    <row r="16" spans="1:12" ht="15.75" x14ac:dyDescent="0.25">
      <c r="A16" s="9" t="s">
        <v>112</v>
      </c>
      <c r="B16" s="5">
        <v>5</v>
      </c>
      <c r="C16" s="5">
        <v>1</v>
      </c>
      <c r="D16" s="5">
        <f t="shared" si="5"/>
        <v>5</v>
      </c>
      <c r="E16" s="5">
        <v>0</v>
      </c>
      <c r="F16" s="5">
        <v>0</v>
      </c>
      <c r="G16" s="5">
        <v>0</v>
      </c>
      <c r="H16" s="5">
        <v>0</v>
      </c>
      <c r="I16" s="13">
        <f t="shared" si="4"/>
        <v>0</v>
      </c>
    </row>
    <row r="17" spans="1:10" ht="15.75" x14ac:dyDescent="0.25">
      <c r="A17" s="9" t="s">
        <v>113</v>
      </c>
      <c r="B17" s="5">
        <v>5</v>
      </c>
      <c r="C17" s="5">
        <v>1</v>
      </c>
      <c r="D17" s="5">
        <f t="shared" si="5"/>
        <v>5</v>
      </c>
      <c r="E17" s="5">
        <v>0</v>
      </c>
      <c r="F17" s="5">
        <v>0</v>
      </c>
      <c r="G17" s="5">
        <v>0</v>
      </c>
      <c r="H17" s="5">
        <v>0</v>
      </c>
      <c r="I17" s="13">
        <f t="shared" si="4"/>
        <v>0</v>
      </c>
    </row>
    <row r="18" spans="1:10" x14ac:dyDescent="0.25">
      <c r="A18" s="9" t="s">
        <v>114</v>
      </c>
      <c r="B18" s="5">
        <v>2</v>
      </c>
      <c r="C18" s="5">
        <v>1</v>
      </c>
      <c r="D18" s="5">
        <f t="shared" si="5"/>
        <v>2</v>
      </c>
      <c r="E18" s="5">
        <v>0</v>
      </c>
      <c r="F18" s="5">
        <v>0</v>
      </c>
      <c r="G18" s="5">
        <v>0</v>
      </c>
      <c r="H18" s="5">
        <v>0</v>
      </c>
      <c r="I18" s="13">
        <f t="shared" si="4"/>
        <v>0</v>
      </c>
    </row>
    <row r="19" spans="1:10" x14ac:dyDescent="0.25">
      <c r="A19" s="9" t="s">
        <v>115</v>
      </c>
      <c r="B19" s="5">
        <v>40</v>
      </c>
      <c r="C19" s="5">
        <v>1</v>
      </c>
      <c r="D19" s="5">
        <f t="shared" si="5"/>
        <v>40</v>
      </c>
      <c r="E19" s="5">
        <v>0</v>
      </c>
      <c r="F19" s="5">
        <v>0</v>
      </c>
      <c r="G19" s="5">
        <v>0</v>
      </c>
      <c r="H19" s="5">
        <v>0</v>
      </c>
      <c r="I19" s="13">
        <f t="shared" si="4"/>
        <v>0</v>
      </c>
    </row>
    <row r="20" spans="1:10" ht="15.75" x14ac:dyDescent="0.25">
      <c r="A20" s="9" t="s">
        <v>116</v>
      </c>
      <c r="B20" s="5">
        <v>40</v>
      </c>
      <c r="C20" s="5">
        <v>1</v>
      </c>
      <c r="D20" s="5">
        <f t="shared" si="5"/>
        <v>40</v>
      </c>
      <c r="E20" s="5">
        <v>0</v>
      </c>
      <c r="F20" s="5">
        <v>0</v>
      </c>
      <c r="G20" s="5">
        <v>0</v>
      </c>
      <c r="H20" s="5">
        <v>0</v>
      </c>
      <c r="I20" s="13">
        <f t="shared" si="4"/>
        <v>0</v>
      </c>
    </row>
    <row r="21" spans="1:10" ht="28.5" x14ac:dyDescent="0.25">
      <c r="A21" s="9" t="s">
        <v>117</v>
      </c>
      <c r="B21" s="5">
        <v>4</v>
      </c>
      <c r="C21" s="5">
        <v>2</v>
      </c>
      <c r="D21" s="5">
        <f t="shared" si="5"/>
        <v>8</v>
      </c>
      <c r="E21" s="5">
        <v>0</v>
      </c>
      <c r="F21" s="5">
        <v>0</v>
      </c>
      <c r="G21" s="5">
        <v>0</v>
      </c>
      <c r="H21" s="5">
        <v>0</v>
      </c>
      <c r="I21" s="13">
        <f t="shared" si="4"/>
        <v>0</v>
      </c>
    </row>
    <row r="22" spans="1:10" ht="15.75" x14ac:dyDescent="0.25">
      <c r="A22" s="9" t="s">
        <v>118</v>
      </c>
      <c r="B22" s="5">
        <v>120</v>
      </c>
      <c r="C22" s="5">
        <v>1</v>
      </c>
      <c r="D22" s="5">
        <f t="shared" si="5"/>
        <v>120</v>
      </c>
      <c r="E22" s="78">
        <v>0</v>
      </c>
      <c r="F22" s="5">
        <v>0</v>
      </c>
      <c r="G22" s="5">
        <v>0</v>
      </c>
      <c r="H22" s="5">
        <v>0</v>
      </c>
      <c r="I22" s="13">
        <f t="shared" si="4"/>
        <v>0</v>
      </c>
    </row>
    <row r="23" spans="1:10" ht="28.5" x14ac:dyDescent="0.25">
      <c r="A23" s="9" t="s">
        <v>119</v>
      </c>
      <c r="B23" s="5">
        <v>2</v>
      </c>
      <c r="C23" s="5">
        <v>1</v>
      </c>
      <c r="D23" s="5">
        <f t="shared" si="5"/>
        <v>2</v>
      </c>
      <c r="E23" s="5">
        <v>0</v>
      </c>
      <c r="F23" s="5">
        <v>0</v>
      </c>
      <c r="G23" s="5">
        <v>0</v>
      </c>
      <c r="H23" s="5">
        <v>0</v>
      </c>
      <c r="I23" s="13">
        <f t="shared" si="4"/>
        <v>0</v>
      </c>
    </row>
    <row r="24" spans="1:10" ht="15.75" x14ac:dyDescent="0.25">
      <c r="A24" s="9" t="s">
        <v>120</v>
      </c>
      <c r="B24" s="5">
        <v>20</v>
      </c>
      <c r="C24" s="5">
        <v>1</v>
      </c>
      <c r="D24" s="5">
        <f t="shared" si="5"/>
        <v>20</v>
      </c>
      <c r="E24" s="5">
        <v>1</v>
      </c>
      <c r="F24" s="10">
        <f t="shared" ref="F24:F32" si="6">D24*E24</f>
        <v>20</v>
      </c>
      <c r="G24" s="10">
        <f t="shared" ref="G24:G34" si="7">F24*0.05</f>
        <v>1</v>
      </c>
      <c r="H24" s="10">
        <f t="shared" ref="H24:H34" si="8">F24*0.1</f>
        <v>2</v>
      </c>
      <c r="I24" s="7">
        <f t="shared" si="4"/>
        <v>3150.1299999999997</v>
      </c>
    </row>
    <row r="25" spans="1:10" ht="15.75" x14ac:dyDescent="0.25">
      <c r="A25" s="9" t="s">
        <v>121</v>
      </c>
      <c r="B25" s="5">
        <v>80</v>
      </c>
      <c r="C25" s="5">
        <v>2</v>
      </c>
      <c r="D25" s="5">
        <f t="shared" si="5"/>
        <v>160</v>
      </c>
      <c r="E25" s="5">
        <f>E9-E26</f>
        <v>23</v>
      </c>
      <c r="F25" s="10">
        <f>D25*E25</f>
        <v>3680</v>
      </c>
      <c r="G25" s="10">
        <f t="shared" si="7"/>
        <v>184</v>
      </c>
      <c r="H25" s="10">
        <f t="shared" si="8"/>
        <v>368</v>
      </c>
      <c r="I25" s="7">
        <f t="shared" si="4"/>
        <v>579623.91999999993</v>
      </c>
    </row>
    <row r="26" spans="1:10" ht="28.5" x14ac:dyDescent="0.25">
      <c r="A26" s="9" t="s">
        <v>122</v>
      </c>
      <c r="B26" s="5">
        <v>80</v>
      </c>
      <c r="C26" s="5">
        <v>4</v>
      </c>
      <c r="D26" s="5">
        <f t="shared" si="5"/>
        <v>320</v>
      </c>
      <c r="E26" s="5">
        <f>ROUND(E9*0.05+E8*0.1,0)</f>
        <v>4</v>
      </c>
      <c r="F26" s="10">
        <f>D26*E26</f>
        <v>1280</v>
      </c>
      <c r="G26" s="10">
        <f t="shared" si="7"/>
        <v>64</v>
      </c>
      <c r="H26" s="10">
        <f t="shared" si="8"/>
        <v>128</v>
      </c>
      <c r="I26" s="7">
        <f t="shared" si="4"/>
        <v>201608.31999999998</v>
      </c>
    </row>
    <row r="27" spans="1:10" x14ac:dyDescent="0.25">
      <c r="A27" s="9" t="s">
        <v>123</v>
      </c>
      <c r="B27" s="5">
        <v>5.5</v>
      </c>
      <c r="C27" s="5">
        <v>2</v>
      </c>
      <c r="D27" s="5">
        <f t="shared" si="5"/>
        <v>11</v>
      </c>
      <c r="E27" s="5">
        <v>27</v>
      </c>
      <c r="F27" s="10">
        <f>D27*E27</f>
        <v>297</v>
      </c>
      <c r="G27" s="10">
        <f t="shared" si="7"/>
        <v>14.850000000000001</v>
      </c>
      <c r="H27" s="10">
        <f t="shared" si="8"/>
        <v>29.700000000000003</v>
      </c>
      <c r="I27" s="7">
        <f t="shared" si="4"/>
        <v>46779.430500000002</v>
      </c>
      <c r="J27" s="11"/>
    </row>
    <row r="28" spans="1:10" x14ac:dyDescent="0.25">
      <c r="A28" s="9" t="s">
        <v>124</v>
      </c>
      <c r="B28" s="5">
        <v>3</v>
      </c>
      <c r="C28" s="5">
        <v>2</v>
      </c>
      <c r="D28" s="5">
        <f t="shared" si="5"/>
        <v>6</v>
      </c>
      <c r="E28" s="5">
        <v>1</v>
      </c>
      <c r="F28" s="10">
        <f t="shared" si="6"/>
        <v>6</v>
      </c>
      <c r="G28" s="14">
        <f t="shared" si="7"/>
        <v>0.30000000000000004</v>
      </c>
      <c r="H28" s="14">
        <f t="shared" si="8"/>
        <v>0.60000000000000009</v>
      </c>
      <c r="I28" s="7">
        <f t="shared" si="4"/>
        <v>945.03899999999999</v>
      </c>
    </row>
    <row r="29" spans="1:10" x14ac:dyDescent="0.25">
      <c r="A29" s="9" t="s">
        <v>125</v>
      </c>
      <c r="B29" s="5">
        <v>1</v>
      </c>
      <c r="C29" s="5">
        <v>2</v>
      </c>
      <c r="D29" s="5">
        <f t="shared" si="5"/>
        <v>2</v>
      </c>
      <c r="E29" s="5">
        <v>1</v>
      </c>
      <c r="F29" s="10">
        <f t="shared" si="6"/>
        <v>2</v>
      </c>
      <c r="G29" s="14">
        <f t="shared" si="7"/>
        <v>0.1</v>
      </c>
      <c r="H29" s="14">
        <f t="shared" si="8"/>
        <v>0.2</v>
      </c>
      <c r="I29" s="7">
        <f t="shared" si="4"/>
        <v>315.01299999999998</v>
      </c>
    </row>
    <row r="30" spans="1:10" ht="28.5" x14ac:dyDescent="0.25">
      <c r="A30" s="9" t="s">
        <v>126</v>
      </c>
      <c r="B30" s="5">
        <v>2</v>
      </c>
      <c r="C30" s="5">
        <v>1</v>
      </c>
      <c r="D30" s="5">
        <f t="shared" si="5"/>
        <v>2</v>
      </c>
      <c r="E30" s="5">
        <f>ROUND(E$9*0.1,0)</f>
        <v>3</v>
      </c>
      <c r="F30" s="10">
        <f t="shared" si="6"/>
        <v>6</v>
      </c>
      <c r="G30" s="14">
        <f t="shared" si="7"/>
        <v>0.30000000000000004</v>
      </c>
      <c r="H30" s="14">
        <f t="shared" si="8"/>
        <v>0.60000000000000009</v>
      </c>
      <c r="I30" s="7">
        <f t="shared" si="4"/>
        <v>945.03899999999999</v>
      </c>
    </row>
    <row r="31" spans="1:10" ht="15.75" x14ac:dyDescent="0.25">
      <c r="A31" s="9" t="s">
        <v>127</v>
      </c>
      <c r="B31" s="5">
        <v>2</v>
      </c>
      <c r="C31" s="5">
        <v>1</v>
      </c>
      <c r="D31" s="5">
        <f t="shared" si="5"/>
        <v>2</v>
      </c>
      <c r="E31" s="5">
        <f>ROUND(E$9*0.1,0)</f>
        <v>3</v>
      </c>
      <c r="F31" s="10">
        <f t="shared" si="6"/>
        <v>6</v>
      </c>
      <c r="G31" s="14">
        <f t="shared" si="7"/>
        <v>0.30000000000000004</v>
      </c>
      <c r="H31" s="14">
        <f t="shared" si="8"/>
        <v>0.60000000000000009</v>
      </c>
      <c r="I31" s="7">
        <f t="shared" si="4"/>
        <v>945.03899999999999</v>
      </c>
    </row>
    <row r="32" spans="1:10" ht="15.75" x14ac:dyDescent="0.25">
      <c r="A32" s="9" t="s">
        <v>128</v>
      </c>
      <c r="B32" s="5">
        <v>2</v>
      </c>
      <c r="C32" s="5">
        <v>1</v>
      </c>
      <c r="D32" s="5">
        <f t="shared" si="5"/>
        <v>2</v>
      </c>
      <c r="E32" s="5">
        <f>ROUND(15*1.1*0.1,0)</f>
        <v>2</v>
      </c>
      <c r="F32" s="10">
        <f t="shared" si="6"/>
        <v>4</v>
      </c>
      <c r="G32" s="14">
        <f t="shared" si="7"/>
        <v>0.2</v>
      </c>
      <c r="H32" s="14">
        <f t="shared" si="8"/>
        <v>0.4</v>
      </c>
      <c r="I32" s="7">
        <f t="shared" si="4"/>
        <v>630.02599999999995</v>
      </c>
    </row>
    <row r="33" spans="1:10" ht="15.75" x14ac:dyDescent="0.25">
      <c r="A33" s="9" t="s">
        <v>129</v>
      </c>
      <c r="B33" s="5">
        <v>8</v>
      </c>
      <c r="C33" s="5">
        <v>1</v>
      </c>
      <c r="D33" s="5">
        <f t="shared" si="5"/>
        <v>8</v>
      </c>
      <c r="E33" s="5">
        <f>ROUND(E$9*0.1,0)</f>
        <v>3</v>
      </c>
      <c r="F33" s="10">
        <f>D33*E33</f>
        <v>24</v>
      </c>
      <c r="G33" s="14">
        <f t="shared" si="7"/>
        <v>1.2000000000000002</v>
      </c>
      <c r="H33" s="14">
        <f t="shared" si="8"/>
        <v>2.4000000000000004</v>
      </c>
      <c r="I33" s="7">
        <f t="shared" si="4"/>
        <v>3780.1559999999999</v>
      </c>
    </row>
    <row r="34" spans="1:10" x14ac:dyDescent="0.25">
      <c r="A34" s="9" t="s">
        <v>130</v>
      </c>
      <c r="B34" s="5">
        <v>30</v>
      </c>
      <c r="C34" s="5" t="s">
        <v>131</v>
      </c>
      <c r="D34" s="5" t="s">
        <v>131</v>
      </c>
      <c r="E34" s="5">
        <v>0</v>
      </c>
      <c r="F34" s="10">
        <f>0</f>
        <v>0</v>
      </c>
      <c r="G34" s="10">
        <f t="shared" si="7"/>
        <v>0</v>
      </c>
      <c r="H34" s="10">
        <f t="shared" si="8"/>
        <v>0</v>
      </c>
      <c r="I34" s="13">
        <f t="shared" si="4"/>
        <v>0</v>
      </c>
    </row>
    <row r="35" spans="1:10" x14ac:dyDescent="0.25">
      <c r="A35" s="15" t="s">
        <v>2</v>
      </c>
      <c r="B35" s="16"/>
      <c r="C35" s="16"/>
      <c r="D35" s="17"/>
      <c r="E35" s="16"/>
      <c r="F35" s="61">
        <f>SUM(F7:H34)</f>
        <v>117932.07450000003</v>
      </c>
      <c r="G35" s="61"/>
      <c r="H35" s="61"/>
      <c r="I35" s="18">
        <f>SUM(I4:I34)</f>
        <v>16152233.297595005</v>
      </c>
    </row>
    <row r="36" spans="1:10" x14ac:dyDescent="0.25">
      <c r="A36" s="4" t="s">
        <v>132</v>
      </c>
      <c r="B36" s="5"/>
      <c r="C36" s="5"/>
      <c r="D36" s="5"/>
      <c r="E36" s="5"/>
      <c r="F36" s="5"/>
      <c r="G36" s="5"/>
      <c r="H36" s="5"/>
      <c r="I36" s="19"/>
    </row>
    <row r="37" spans="1:10" x14ac:dyDescent="0.25">
      <c r="A37" s="9" t="s">
        <v>133</v>
      </c>
      <c r="B37" s="5" t="s">
        <v>134</v>
      </c>
      <c r="C37" s="5"/>
      <c r="D37" s="5"/>
      <c r="E37" s="5"/>
      <c r="F37" s="20"/>
      <c r="G37" s="20"/>
      <c r="H37" s="20"/>
      <c r="I37" s="19"/>
    </row>
    <row r="38" spans="1:10" ht="15.75" x14ac:dyDescent="0.25">
      <c r="A38" s="9" t="s">
        <v>135</v>
      </c>
      <c r="B38" s="5" t="s">
        <v>136</v>
      </c>
      <c r="C38" s="5"/>
      <c r="D38" s="5"/>
      <c r="E38" s="5"/>
      <c r="F38" s="5"/>
      <c r="G38" s="5"/>
      <c r="H38" s="5"/>
      <c r="I38" s="19"/>
    </row>
    <row r="39" spans="1:10" ht="15.75" x14ac:dyDescent="0.25">
      <c r="A39" s="9" t="s">
        <v>137</v>
      </c>
      <c r="B39" s="5" t="s">
        <v>136</v>
      </c>
      <c r="C39" s="5"/>
      <c r="D39" s="5"/>
      <c r="E39" s="5"/>
      <c r="F39" s="5"/>
      <c r="G39" s="5"/>
      <c r="H39" s="5"/>
      <c r="I39" s="21"/>
    </row>
    <row r="40" spans="1:10" x14ac:dyDescent="0.25">
      <c r="A40" s="9" t="s">
        <v>138</v>
      </c>
      <c r="B40" s="5">
        <v>40</v>
      </c>
      <c r="C40" s="5">
        <v>1</v>
      </c>
      <c r="D40" s="5">
        <f>B40*C40</f>
        <v>40</v>
      </c>
      <c r="E40" s="5">
        <v>0</v>
      </c>
      <c r="F40" s="10">
        <f>0</f>
        <v>0</v>
      </c>
      <c r="G40" s="10">
        <f t="shared" ref="G40" si="9">F40*0.05</f>
        <v>0</v>
      </c>
      <c r="H40" s="10">
        <f t="shared" ref="H40" si="10">F40*0.1</f>
        <v>0</v>
      </c>
      <c r="I40" s="22">
        <f>$L$6*F40+$L$5*G40+$L$7*H40</f>
        <v>0</v>
      </c>
    </row>
    <row r="41" spans="1:10" ht="15.75" x14ac:dyDescent="0.25">
      <c r="A41" s="9" t="s">
        <v>139</v>
      </c>
      <c r="B41" s="5"/>
      <c r="C41" s="5"/>
      <c r="D41" s="5"/>
      <c r="E41" s="5"/>
      <c r="F41" s="5"/>
      <c r="G41" s="5"/>
      <c r="H41" s="5"/>
      <c r="I41" s="21"/>
    </row>
    <row r="42" spans="1:10" x14ac:dyDescent="0.25">
      <c r="A42" s="9" t="s">
        <v>140</v>
      </c>
      <c r="B42" s="5" t="s">
        <v>136</v>
      </c>
      <c r="C42" s="5"/>
      <c r="D42" s="5"/>
      <c r="E42" s="5"/>
      <c r="F42" s="5"/>
      <c r="G42" s="5"/>
      <c r="H42" s="5"/>
      <c r="I42" s="21"/>
    </row>
    <row r="43" spans="1:10" x14ac:dyDescent="0.25">
      <c r="A43" s="9" t="s">
        <v>141</v>
      </c>
      <c r="B43" s="5" t="s">
        <v>142</v>
      </c>
      <c r="C43" s="5"/>
      <c r="D43" s="5"/>
      <c r="E43" s="5"/>
      <c r="F43" s="5"/>
      <c r="G43" s="5"/>
      <c r="H43" s="5"/>
      <c r="I43" s="21"/>
    </row>
    <row r="44" spans="1:10" x14ac:dyDescent="0.25">
      <c r="A44" s="9" t="s">
        <v>143</v>
      </c>
      <c r="B44" s="5" t="s">
        <v>144</v>
      </c>
      <c r="C44" s="5"/>
      <c r="D44" s="5"/>
      <c r="E44" s="5"/>
      <c r="F44" s="5"/>
      <c r="G44" s="5"/>
      <c r="H44" s="5"/>
      <c r="I44" s="21"/>
    </row>
    <row r="45" spans="1:10" x14ac:dyDescent="0.25">
      <c r="A45" s="9" t="s">
        <v>145</v>
      </c>
      <c r="B45" s="5">
        <v>20</v>
      </c>
      <c r="C45" s="5">
        <v>1</v>
      </c>
      <c r="D45" s="5">
        <v>20</v>
      </c>
      <c r="E45" s="5">
        <v>27</v>
      </c>
      <c r="F45" s="10">
        <f t="shared" ref="F45:F48" si="11">D45*E45</f>
        <v>540</v>
      </c>
      <c r="G45" s="10">
        <f t="shared" ref="G45:G48" si="12">F45*0.05</f>
        <v>27</v>
      </c>
      <c r="H45" s="10">
        <f>F45*0.1</f>
        <v>54</v>
      </c>
      <c r="I45" s="21">
        <f>$L$6*F45+$L$5*G45+$L$7*H45</f>
        <v>85053.510000000009</v>
      </c>
      <c r="J45" s="11"/>
    </row>
    <row r="46" spans="1:10" ht="15.75" x14ac:dyDescent="0.25">
      <c r="A46" s="9" t="s">
        <v>146</v>
      </c>
      <c r="B46" s="5">
        <v>5.25</v>
      </c>
      <c r="C46" s="5">
        <v>4</v>
      </c>
      <c r="D46" s="5">
        <v>21</v>
      </c>
      <c r="E46" s="5">
        <v>27</v>
      </c>
      <c r="F46" s="10">
        <f t="shared" si="11"/>
        <v>567</v>
      </c>
      <c r="G46" s="10">
        <f>F46*0.05</f>
        <v>28.35</v>
      </c>
      <c r="H46" s="10">
        <f t="shared" ref="H46:H48" si="13">F46*0.1</f>
        <v>56.7</v>
      </c>
      <c r="I46" s="21">
        <f t="shared" ref="I46:I47" si="14">$L$6*F46+$L$5*G46+$L$7*H46</f>
        <v>89306.185499999992</v>
      </c>
      <c r="J46" s="11"/>
    </row>
    <row r="47" spans="1:10" ht="15.75" x14ac:dyDescent="0.25">
      <c r="A47" s="9" t="s">
        <v>147</v>
      </c>
      <c r="B47" s="5">
        <v>17.46</v>
      </c>
      <c r="C47" s="5">
        <v>26</v>
      </c>
      <c r="D47" s="5">
        <v>454</v>
      </c>
      <c r="E47" s="5">
        <v>27</v>
      </c>
      <c r="F47" s="10">
        <f t="shared" si="11"/>
        <v>12258</v>
      </c>
      <c r="G47" s="10">
        <f t="shared" si="12"/>
        <v>612.9</v>
      </c>
      <c r="H47" s="10">
        <f>F47*0.1</f>
        <v>1225.8</v>
      </c>
      <c r="I47" s="21">
        <f t="shared" si="14"/>
        <v>1930714.6769999999</v>
      </c>
      <c r="J47" s="11"/>
    </row>
    <row r="48" spans="1:10" ht="15.75" x14ac:dyDescent="0.25">
      <c r="A48" s="9" t="s">
        <v>148</v>
      </c>
      <c r="B48" s="5">
        <v>6.77</v>
      </c>
      <c r="C48" s="5">
        <v>35</v>
      </c>
      <c r="D48" s="5">
        <v>237</v>
      </c>
      <c r="E48" s="5">
        <v>27</v>
      </c>
      <c r="F48" s="10">
        <f t="shared" si="11"/>
        <v>6399</v>
      </c>
      <c r="G48" s="10">
        <f t="shared" si="12"/>
        <v>319.95000000000005</v>
      </c>
      <c r="H48" s="10">
        <f t="shared" si="13"/>
        <v>639.90000000000009</v>
      </c>
      <c r="I48" s="21">
        <f>$L$6*F48+$L$5*G48+$L$7*H48</f>
        <v>1007884.0935</v>
      </c>
      <c r="J48" s="11"/>
    </row>
    <row r="49" spans="1:12" x14ac:dyDescent="0.25">
      <c r="A49" s="9" t="s">
        <v>149</v>
      </c>
      <c r="B49" s="5" t="s">
        <v>1</v>
      </c>
      <c r="C49" s="5"/>
      <c r="D49" s="5"/>
      <c r="E49" s="5"/>
      <c r="F49" s="5"/>
      <c r="G49" s="5"/>
      <c r="H49" s="5"/>
      <c r="I49" s="21"/>
    </row>
    <row r="50" spans="1:12" x14ac:dyDescent="0.25">
      <c r="A50" s="15" t="s">
        <v>53</v>
      </c>
      <c r="B50" s="16"/>
      <c r="C50" s="16"/>
      <c r="D50" s="16"/>
      <c r="E50" s="16"/>
      <c r="F50" s="61">
        <f>SUM(F36:H49)</f>
        <v>22728.600000000002</v>
      </c>
      <c r="G50" s="61"/>
      <c r="H50" s="61"/>
      <c r="I50" s="18">
        <f>SUM(I36:I49)</f>
        <v>3112958.466</v>
      </c>
      <c r="K50" s="2" t="s">
        <v>40</v>
      </c>
      <c r="L50" s="2" t="s">
        <v>41</v>
      </c>
    </row>
    <row r="51" spans="1:12" ht="15.75" x14ac:dyDescent="0.25">
      <c r="A51" s="23" t="s">
        <v>150</v>
      </c>
      <c r="B51" s="24"/>
      <c r="C51" s="24"/>
      <c r="D51" s="24"/>
      <c r="E51" s="24"/>
      <c r="F51" s="62">
        <f>ROUND(F35+F50,-3)</f>
        <v>141000</v>
      </c>
      <c r="G51" s="62"/>
      <c r="H51" s="62"/>
      <c r="I51" s="25">
        <f>ROUND(I35+I50,-5)</f>
        <v>19300000</v>
      </c>
      <c r="K51" s="26">
        <f>Responses!E22</f>
        <v>218</v>
      </c>
      <c r="L51" s="27">
        <f>+F51/K51</f>
        <v>646.78899082568807</v>
      </c>
    </row>
    <row r="52" spans="1:12" ht="15.75" x14ac:dyDescent="0.25">
      <c r="A52" s="23" t="s">
        <v>151</v>
      </c>
      <c r="B52" s="28"/>
      <c r="C52" s="28"/>
      <c r="D52" s="28"/>
      <c r="E52" s="28"/>
      <c r="F52" s="28"/>
      <c r="G52" s="28"/>
      <c r="H52" s="28"/>
      <c r="I52" s="25">
        <f>ROUND('Capital and O&amp;M'!G7+'Capital and O&amp;M'!D7,-4)</f>
        <v>10300000</v>
      </c>
    </row>
    <row r="53" spans="1:12" ht="15.75" x14ac:dyDescent="0.25">
      <c r="A53" s="23" t="s">
        <v>152</v>
      </c>
      <c r="B53" s="28"/>
      <c r="C53" s="28"/>
      <c r="D53" s="28"/>
      <c r="E53" s="28"/>
      <c r="F53" s="28"/>
      <c r="G53" s="28"/>
      <c r="H53" s="28"/>
      <c r="I53" s="25">
        <f>+ROUND(I51+I52,-5)</f>
        <v>29600000</v>
      </c>
    </row>
    <row r="55" spans="1:12" x14ac:dyDescent="0.25">
      <c r="A55" s="29" t="s">
        <v>11</v>
      </c>
    </row>
    <row r="56" spans="1:12" ht="30.75" customHeight="1" x14ac:dyDescent="0.25">
      <c r="A56" s="58" t="s">
        <v>178</v>
      </c>
      <c r="B56" s="58"/>
      <c r="C56" s="58"/>
      <c r="D56" s="58"/>
      <c r="E56" s="58"/>
      <c r="F56" s="58"/>
      <c r="G56" s="58"/>
      <c r="H56" s="58"/>
      <c r="I56" s="58"/>
    </row>
    <row r="57" spans="1:12" ht="54.75" customHeight="1" x14ac:dyDescent="0.25">
      <c r="A57" s="63" t="s">
        <v>195</v>
      </c>
      <c r="B57" s="63"/>
      <c r="C57" s="63"/>
      <c r="D57" s="63"/>
      <c r="E57" s="63"/>
      <c r="F57" s="63"/>
      <c r="G57" s="63"/>
      <c r="H57" s="63"/>
      <c r="I57" s="63"/>
      <c r="J57" s="30"/>
    </row>
    <row r="58" spans="1:12" ht="15.75" x14ac:dyDescent="0.25">
      <c r="A58" s="59" t="s">
        <v>91</v>
      </c>
      <c r="B58" s="59"/>
      <c r="C58" s="59"/>
      <c r="D58" s="59"/>
      <c r="E58" s="59"/>
      <c r="F58" s="59"/>
      <c r="G58" s="59"/>
      <c r="H58" s="59"/>
      <c r="I58" s="59"/>
    </row>
    <row r="59" spans="1:12" ht="57.75" customHeight="1" x14ac:dyDescent="0.25">
      <c r="A59" s="58" t="s">
        <v>176</v>
      </c>
      <c r="B59" s="58"/>
      <c r="C59" s="58"/>
      <c r="D59" s="58"/>
      <c r="E59" s="58"/>
      <c r="F59" s="58"/>
      <c r="G59" s="58"/>
      <c r="H59" s="58"/>
      <c r="I59" s="58"/>
    </row>
    <row r="60" spans="1:12" ht="15.75" x14ac:dyDescent="0.25">
      <c r="A60" s="59" t="s">
        <v>92</v>
      </c>
      <c r="B60" s="59"/>
      <c r="C60" s="59"/>
      <c r="D60" s="59"/>
      <c r="E60" s="59"/>
      <c r="F60" s="59"/>
      <c r="G60" s="59"/>
      <c r="H60" s="59"/>
      <c r="I60" s="59"/>
    </row>
    <row r="61" spans="1:12" ht="15.75" x14ac:dyDescent="0.25">
      <c r="A61" s="59" t="s">
        <v>93</v>
      </c>
      <c r="B61" s="59"/>
      <c r="C61" s="59"/>
      <c r="D61" s="59"/>
      <c r="E61" s="59"/>
      <c r="F61" s="59"/>
      <c r="G61" s="59"/>
      <c r="H61" s="59"/>
      <c r="I61" s="59"/>
      <c r="K61" s="31"/>
    </row>
    <row r="62" spans="1:12" ht="15.75" x14ac:dyDescent="0.25">
      <c r="A62" s="59" t="s">
        <v>94</v>
      </c>
      <c r="B62" s="59"/>
      <c r="C62" s="59"/>
      <c r="D62" s="59"/>
      <c r="E62" s="59"/>
      <c r="F62" s="59"/>
      <c r="G62" s="59"/>
      <c r="H62" s="59"/>
      <c r="I62" s="59"/>
    </row>
    <row r="63" spans="1:12" ht="15.75" x14ac:dyDescent="0.25">
      <c r="A63" s="59" t="s">
        <v>95</v>
      </c>
      <c r="B63" s="59"/>
      <c r="C63" s="59"/>
      <c r="D63" s="59"/>
      <c r="E63" s="59"/>
      <c r="F63" s="59"/>
      <c r="G63" s="59"/>
      <c r="H63" s="59"/>
      <c r="I63" s="59"/>
    </row>
    <row r="64" spans="1:12" ht="15.75" x14ac:dyDescent="0.25">
      <c r="A64" s="59" t="s">
        <v>96</v>
      </c>
      <c r="B64" s="59"/>
      <c r="C64" s="59"/>
      <c r="D64" s="59"/>
      <c r="E64" s="59"/>
      <c r="F64" s="59"/>
      <c r="G64" s="59"/>
      <c r="H64" s="59"/>
      <c r="I64" s="59"/>
    </row>
    <row r="65" spans="1:10" ht="51" customHeight="1" x14ac:dyDescent="0.25">
      <c r="A65" s="63" t="s">
        <v>203</v>
      </c>
      <c r="B65" s="63"/>
      <c r="C65" s="63"/>
      <c r="D65" s="63"/>
      <c r="E65" s="63"/>
      <c r="F65" s="63"/>
      <c r="G65" s="63"/>
      <c r="H65" s="63"/>
      <c r="I65" s="63"/>
      <c r="J65" s="11"/>
    </row>
    <row r="66" spans="1:10" ht="15.75" x14ac:dyDescent="0.25">
      <c r="A66" s="59" t="s">
        <v>97</v>
      </c>
      <c r="B66" s="59"/>
      <c r="C66" s="59"/>
      <c r="D66" s="59"/>
      <c r="E66" s="59"/>
      <c r="F66" s="59"/>
      <c r="G66" s="59"/>
      <c r="H66" s="59"/>
      <c r="I66" s="59"/>
    </row>
    <row r="67" spans="1:10" ht="45" customHeight="1" x14ac:dyDescent="0.25">
      <c r="A67" s="58" t="s">
        <v>184</v>
      </c>
      <c r="B67" s="58"/>
      <c r="C67" s="58"/>
      <c r="D67" s="58"/>
      <c r="E67" s="58"/>
      <c r="F67" s="58"/>
      <c r="G67" s="58"/>
      <c r="H67" s="58"/>
      <c r="I67" s="58"/>
      <c r="J67" s="11"/>
    </row>
    <row r="68" spans="1:10" ht="15.75" x14ac:dyDescent="0.25">
      <c r="A68" s="59" t="s">
        <v>179</v>
      </c>
      <c r="B68" s="59"/>
      <c r="C68" s="59"/>
      <c r="D68" s="59"/>
      <c r="E68" s="59"/>
      <c r="F68" s="59"/>
      <c r="G68" s="59"/>
      <c r="H68" s="59"/>
      <c r="I68" s="59"/>
      <c r="J68" s="11"/>
    </row>
    <row r="69" spans="1:10" ht="15.75" x14ac:dyDescent="0.25">
      <c r="A69" s="59" t="s">
        <v>180</v>
      </c>
      <c r="B69" s="59"/>
      <c r="C69" s="59"/>
      <c r="D69" s="59"/>
      <c r="E69" s="59"/>
      <c r="F69" s="59"/>
      <c r="G69" s="59"/>
      <c r="H69" s="59"/>
      <c r="I69" s="59"/>
      <c r="J69" s="11"/>
    </row>
    <row r="70" spans="1:10" ht="32.25" customHeight="1" x14ac:dyDescent="0.25">
      <c r="A70" s="58" t="s">
        <v>98</v>
      </c>
      <c r="B70" s="58"/>
      <c r="C70" s="58"/>
      <c r="D70" s="58"/>
      <c r="E70" s="58"/>
      <c r="F70" s="58"/>
      <c r="G70" s="58"/>
      <c r="H70" s="58"/>
      <c r="I70" s="58"/>
    </row>
    <row r="71" spans="1:10" ht="15.75" x14ac:dyDescent="0.25">
      <c r="A71" s="59" t="s">
        <v>181</v>
      </c>
      <c r="B71" s="59"/>
      <c r="C71" s="59"/>
      <c r="D71" s="59"/>
      <c r="E71" s="59"/>
      <c r="F71" s="59"/>
      <c r="G71" s="59"/>
      <c r="H71" s="59"/>
      <c r="I71" s="59"/>
      <c r="J71" s="11"/>
    </row>
    <row r="72" spans="1:10" ht="15.75" x14ac:dyDescent="0.25">
      <c r="A72" s="59" t="s">
        <v>99</v>
      </c>
      <c r="B72" s="59"/>
      <c r="C72" s="59"/>
      <c r="D72" s="59"/>
      <c r="E72" s="59"/>
      <c r="F72" s="59"/>
      <c r="G72" s="59"/>
      <c r="H72" s="59"/>
      <c r="I72" s="59"/>
    </row>
  </sheetData>
  <mergeCells count="22">
    <mergeCell ref="A70:I70"/>
    <mergeCell ref="A71:I71"/>
    <mergeCell ref="A72:I72"/>
    <mergeCell ref="A65:I65"/>
    <mergeCell ref="A66:I66"/>
    <mergeCell ref="A67:I67"/>
    <mergeCell ref="A68:I68"/>
    <mergeCell ref="A69:I69"/>
    <mergeCell ref="A60:I60"/>
    <mergeCell ref="A61:I61"/>
    <mergeCell ref="A62:I62"/>
    <mergeCell ref="A63:I63"/>
    <mergeCell ref="A64:I64"/>
    <mergeCell ref="K4:L4"/>
    <mergeCell ref="A56:I56"/>
    <mergeCell ref="A58:I58"/>
    <mergeCell ref="A59:I59"/>
    <mergeCell ref="A1:I1"/>
    <mergeCell ref="A57:I57"/>
    <mergeCell ref="F35:H35"/>
    <mergeCell ref="F50:H50"/>
    <mergeCell ref="F51:H51"/>
  </mergeCells>
  <phoneticPr fontId="2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27" zoomScaleNormal="100" workbookViewId="0">
      <selection activeCell="A3" sqref="A3:I45"/>
    </sheetView>
  </sheetViews>
  <sheetFormatPr defaultColWidth="9.140625" defaultRowHeight="15" x14ac:dyDescent="0.25"/>
  <cols>
    <col min="1" max="1" width="43.28515625" style="2" customWidth="1"/>
    <col min="2" max="2" width="10.28515625" style="2" customWidth="1"/>
    <col min="3" max="3" width="10.140625" style="2" customWidth="1"/>
    <col min="4" max="4" width="9.85546875" style="2" customWidth="1"/>
    <col min="5" max="5" width="10.7109375" style="2" customWidth="1"/>
    <col min="6" max="8" width="9.140625" style="2"/>
    <col min="9" max="9" width="11.5703125" style="2" customWidth="1"/>
    <col min="10" max="10" width="9.140625" style="2"/>
    <col min="11" max="11" width="12.28515625" style="2" customWidth="1"/>
    <col min="12" max="16384" width="9.140625" style="2"/>
  </cols>
  <sheetData>
    <row r="1" spans="1:12" ht="29.25" customHeight="1" x14ac:dyDescent="0.25">
      <c r="A1" s="65" t="s">
        <v>55</v>
      </c>
      <c r="B1" s="65"/>
      <c r="C1" s="65"/>
      <c r="D1" s="65"/>
      <c r="E1" s="65"/>
      <c r="F1" s="65"/>
      <c r="G1" s="65"/>
      <c r="H1" s="65"/>
      <c r="I1" s="65"/>
    </row>
    <row r="2" spans="1:12" x14ac:dyDescent="0.25">
      <c r="F2" s="3"/>
      <c r="G2" s="3"/>
      <c r="H2" s="3"/>
    </row>
    <row r="3" spans="1:12" ht="76.5" x14ac:dyDescent="0.25">
      <c r="A3" s="32" t="s">
        <v>26</v>
      </c>
      <c r="B3" s="33" t="s">
        <v>28</v>
      </c>
      <c r="C3" s="33" t="s">
        <v>4</v>
      </c>
      <c r="D3" s="1" t="s">
        <v>29</v>
      </c>
      <c r="E3" s="1" t="s">
        <v>30</v>
      </c>
      <c r="F3" s="1" t="s">
        <v>6</v>
      </c>
      <c r="G3" s="1" t="s">
        <v>7</v>
      </c>
      <c r="H3" s="1" t="s">
        <v>8</v>
      </c>
      <c r="I3" s="1" t="s">
        <v>9</v>
      </c>
    </row>
    <row r="4" spans="1:12" x14ac:dyDescent="0.25">
      <c r="A4" s="4" t="s">
        <v>26</v>
      </c>
      <c r="B4" s="5"/>
      <c r="C4" s="5"/>
      <c r="D4" s="5"/>
      <c r="E4" s="5"/>
      <c r="F4" s="5"/>
      <c r="G4" s="5"/>
      <c r="H4" s="5"/>
      <c r="I4" s="5"/>
      <c r="K4" s="69" t="s">
        <v>42</v>
      </c>
      <c r="L4" s="70"/>
    </row>
    <row r="5" spans="1:12" x14ac:dyDescent="0.25">
      <c r="A5" s="9" t="s">
        <v>56</v>
      </c>
      <c r="B5" s="5">
        <v>40</v>
      </c>
      <c r="C5" s="5">
        <v>1</v>
      </c>
      <c r="D5" s="5">
        <f>B5*C5</f>
        <v>40</v>
      </c>
      <c r="E5" s="5">
        <v>0</v>
      </c>
      <c r="F5" s="5">
        <f>D5*E5</f>
        <v>0</v>
      </c>
      <c r="G5" s="5">
        <f>F5*0.05</f>
        <v>0</v>
      </c>
      <c r="H5" s="5">
        <f>F5*0.1</f>
        <v>0</v>
      </c>
      <c r="I5" s="22">
        <f>F5*L$6+G5*L$5+H5*L$7</f>
        <v>0</v>
      </c>
      <c r="K5" s="8" t="s">
        <v>43</v>
      </c>
      <c r="L5" s="79">
        <v>76.92</v>
      </c>
    </row>
    <row r="6" spans="1:12" ht="15.75" x14ac:dyDescent="0.25">
      <c r="A6" s="9" t="s">
        <v>57</v>
      </c>
      <c r="B6" s="5">
        <v>40</v>
      </c>
      <c r="C6" s="5">
        <v>1</v>
      </c>
      <c r="D6" s="5">
        <f>B6*C6</f>
        <v>40</v>
      </c>
      <c r="E6" s="5">
        <v>0</v>
      </c>
      <c r="F6" s="5">
        <f>D6*E6</f>
        <v>0</v>
      </c>
      <c r="G6" s="5">
        <f>F6*0.05</f>
        <v>0</v>
      </c>
      <c r="H6" s="5">
        <f>F6*0.1</f>
        <v>0</v>
      </c>
      <c r="I6" s="22">
        <f>F6*L$6+G6*L$5+H6*L$7</f>
        <v>0</v>
      </c>
      <c r="K6" s="8" t="s">
        <v>44</v>
      </c>
      <c r="L6" s="79">
        <v>57.07</v>
      </c>
    </row>
    <row r="7" spans="1:12" x14ac:dyDescent="0.25">
      <c r="A7" s="4" t="s">
        <v>58</v>
      </c>
      <c r="B7" s="5"/>
      <c r="C7" s="5"/>
      <c r="D7" s="5"/>
      <c r="E7" s="5"/>
      <c r="F7" s="5"/>
      <c r="G7" s="5"/>
      <c r="H7" s="5"/>
      <c r="I7" s="34"/>
      <c r="K7" s="8" t="s">
        <v>45</v>
      </c>
      <c r="L7" s="79">
        <v>30.88</v>
      </c>
    </row>
    <row r="8" spans="1:12" ht="15.75" x14ac:dyDescent="0.25">
      <c r="A8" s="9" t="s">
        <v>59</v>
      </c>
      <c r="B8" s="5">
        <v>2</v>
      </c>
      <c r="C8" s="5">
        <v>1</v>
      </c>
      <c r="D8" s="5">
        <f t="shared" ref="D8:D22" si="0">B8*C8</f>
        <v>2</v>
      </c>
      <c r="E8" s="5">
        <v>0</v>
      </c>
      <c r="F8" s="5">
        <f t="shared" ref="F8:F22" si="1">D8*E8</f>
        <v>0</v>
      </c>
      <c r="G8" s="5">
        <f t="shared" ref="G8:G22" si="2">F8*0.05</f>
        <v>0</v>
      </c>
      <c r="H8" s="5">
        <f t="shared" ref="H8:H22" si="3">F8*0.1</f>
        <v>0</v>
      </c>
      <c r="I8" s="22">
        <f t="shared" ref="I8:I21" si="4">F8*L$6+G8*L$5+H8*L$7</f>
        <v>0</v>
      </c>
    </row>
    <row r="9" spans="1:12" ht="28.5" x14ac:dyDescent="0.25">
      <c r="A9" s="9" t="s">
        <v>73</v>
      </c>
      <c r="B9" s="5">
        <v>20</v>
      </c>
      <c r="C9" s="5">
        <v>1</v>
      </c>
      <c r="D9" s="5">
        <f t="shared" si="0"/>
        <v>20</v>
      </c>
      <c r="E9" s="5">
        <v>0</v>
      </c>
      <c r="F9" s="5">
        <f t="shared" si="1"/>
        <v>0</v>
      </c>
      <c r="G9" s="5">
        <f t="shared" si="2"/>
        <v>0</v>
      </c>
      <c r="H9" s="5">
        <f t="shared" si="3"/>
        <v>0</v>
      </c>
      <c r="I9" s="22">
        <f t="shared" si="4"/>
        <v>0</v>
      </c>
    </row>
    <row r="10" spans="1:12" ht="15.75" x14ac:dyDescent="0.25">
      <c r="A10" s="9" t="s">
        <v>60</v>
      </c>
      <c r="B10" s="5">
        <v>40</v>
      </c>
      <c r="C10" s="5">
        <v>1</v>
      </c>
      <c r="D10" s="5">
        <f t="shared" si="0"/>
        <v>40</v>
      </c>
      <c r="E10" s="5">
        <v>0</v>
      </c>
      <c r="F10" s="5">
        <f t="shared" si="1"/>
        <v>0</v>
      </c>
      <c r="G10" s="5">
        <f t="shared" si="2"/>
        <v>0</v>
      </c>
      <c r="H10" s="5">
        <f t="shared" si="3"/>
        <v>0</v>
      </c>
      <c r="I10" s="22">
        <f t="shared" si="4"/>
        <v>0</v>
      </c>
    </row>
    <row r="11" spans="1:12" ht="15.75" x14ac:dyDescent="0.25">
      <c r="A11" s="9" t="s">
        <v>61</v>
      </c>
      <c r="B11" s="5">
        <v>7</v>
      </c>
      <c r="C11" s="5">
        <v>1</v>
      </c>
      <c r="D11" s="5">
        <f t="shared" si="0"/>
        <v>7</v>
      </c>
      <c r="E11" s="5">
        <f>'Table 1'!E27</f>
        <v>27</v>
      </c>
      <c r="F11" s="5">
        <f t="shared" si="1"/>
        <v>189</v>
      </c>
      <c r="G11" s="12">
        <f t="shared" si="2"/>
        <v>9.4500000000000011</v>
      </c>
      <c r="H11" s="12">
        <f t="shared" si="3"/>
        <v>18.900000000000002</v>
      </c>
      <c r="I11" s="21">
        <f t="shared" si="4"/>
        <v>12096.755999999999</v>
      </c>
    </row>
    <row r="12" spans="1:12" ht="15.75" x14ac:dyDescent="0.25">
      <c r="A12" s="9" t="s">
        <v>62</v>
      </c>
      <c r="B12" s="5">
        <v>2</v>
      </c>
      <c r="C12" s="5">
        <v>1</v>
      </c>
      <c r="D12" s="5">
        <f t="shared" si="0"/>
        <v>2</v>
      </c>
      <c r="E12" s="5">
        <v>0</v>
      </c>
      <c r="F12" s="5">
        <f t="shared" si="1"/>
        <v>0</v>
      </c>
      <c r="G12" s="5">
        <f t="shared" si="2"/>
        <v>0</v>
      </c>
      <c r="H12" s="5">
        <f t="shared" si="3"/>
        <v>0</v>
      </c>
      <c r="I12" s="22">
        <f t="shared" si="4"/>
        <v>0</v>
      </c>
    </row>
    <row r="13" spans="1:12" ht="15.75" x14ac:dyDescent="0.25">
      <c r="A13" s="9" t="s">
        <v>63</v>
      </c>
      <c r="B13" s="5">
        <v>2</v>
      </c>
      <c r="C13" s="5">
        <v>1</v>
      </c>
      <c r="D13" s="5">
        <f t="shared" si="0"/>
        <v>2</v>
      </c>
      <c r="E13" s="5">
        <v>0</v>
      </c>
      <c r="F13" s="5">
        <f t="shared" si="1"/>
        <v>0</v>
      </c>
      <c r="G13" s="5">
        <f t="shared" si="2"/>
        <v>0</v>
      </c>
      <c r="H13" s="5">
        <f t="shared" si="3"/>
        <v>0</v>
      </c>
      <c r="I13" s="22">
        <f t="shared" si="4"/>
        <v>0</v>
      </c>
    </row>
    <row r="14" spans="1:12" ht="15.75" x14ac:dyDescent="0.25">
      <c r="A14" s="9" t="s">
        <v>64</v>
      </c>
      <c r="B14" s="5">
        <v>2</v>
      </c>
      <c r="C14" s="5">
        <v>6</v>
      </c>
      <c r="D14" s="5">
        <f t="shared" si="0"/>
        <v>12</v>
      </c>
      <c r="E14" s="5">
        <f>'Table 1'!E14</f>
        <v>24</v>
      </c>
      <c r="F14" s="5">
        <f t="shared" si="1"/>
        <v>288</v>
      </c>
      <c r="G14" s="12">
        <f t="shared" si="2"/>
        <v>14.4</v>
      </c>
      <c r="H14" s="12">
        <f t="shared" si="3"/>
        <v>28.8</v>
      </c>
      <c r="I14" s="21">
        <f t="shared" si="4"/>
        <v>18433.152000000002</v>
      </c>
    </row>
    <row r="15" spans="1:12" ht="15.75" x14ac:dyDescent="0.25">
      <c r="A15" s="9" t="s">
        <v>65</v>
      </c>
      <c r="B15" s="5">
        <v>5</v>
      </c>
      <c r="C15" s="5">
        <v>1</v>
      </c>
      <c r="D15" s="5">
        <f t="shared" si="0"/>
        <v>5</v>
      </c>
      <c r="E15" s="5">
        <v>1</v>
      </c>
      <c r="F15" s="5">
        <f t="shared" si="1"/>
        <v>5</v>
      </c>
      <c r="G15" s="5">
        <f t="shared" si="2"/>
        <v>0.25</v>
      </c>
      <c r="H15" s="5">
        <f t="shared" si="3"/>
        <v>0.5</v>
      </c>
      <c r="I15" s="21">
        <f t="shared" si="4"/>
        <v>320.02000000000004</v>
      </c>
    </row>
    <row r="16" spans="1:12" ht="28.5" x14ac:dyDescent="0.25">
      <c r="A16" s="9" t="s">
        <v>66</v>
      </c>
      <c r="B16" s="5">
        <v>2</v>
      </c>
      <c r="C16" s="5">
        <v>1</v>
      </c>
      <c r="D16" s="5">
        <f t="shared" si="0"/>
        <v>2</v>
      </c>
      <c r="E16" s="5">
        <f>'Table 1'!E30</f>
        <v>3</v>
      </c>
      <c r="F16" s="5">
        <f t="shared" si="1"/>
        <v>6</v>
      </c>
      <c r="G16" s="5">
        <f t="shared" si="2"/>
        <v>0.30000000000000004</v>
      </c>
      <c r="H16" s="5">
        <f t="shared" si="3"/>
        <v>0.60000000000000009</v>
      </c>
      <c r="I16" s="21">
        <f t="shared" si="4"/>
        <v>384.02400000000006</v>
      </c>
    </row>
    <row r="17" spans="1:10" ht="15.75" x14ac:dyDescent="0.25">
      <c r="A17" s="9" t="s">
        <v>67</v>
      </c>
      <c r="B17" s="5">
        <v>2</v>
      </c>
      <c r="C17" s="5">
        <v>1</v>
      </c>
      <c r="D17" s="5">
        <f t="shared" si="0"/>
        <v>2</v>
      </c>
      <c r="E17" s="5">
        <f>'Table 1'!E31</f>
        <v>3</v>
      </c>
      <c r="F17" s="5">
        <f t="shared" si="1"/>
        <v>6</v>
      </c>
      <c r="G17" s="5">
        <f t="shared" si="2"/>
        <v>0.30000000000000004</v>
      </c>
      <c r="H17" s="5">
        <f t="shared" si="3"/>
        <v>0.60000000000000009</v>
      </c>
      <c r="I17" s="21">
        <f t="shared" si="4"/>
        <v>384.02400000000006</v>
      </c>
    </row>
    <row r="18" spans="1:10" ht="28.5" x14ac:dyDescent="0.25">
      <c r="A18" s="9" t="s">
        <v>68</v>
      </c>
      <c r="B18" s="5">
        <v>2</v>
      </c>
      <c r="C18" s="5">
        <v>1</v>
      </c>
      <c r="D18" s="5">
        <f t="shared" si="0"/>
        <v>2</v>
      </c>
      <c r="E18" s="5">
        <f>'Table 1'!E32</f>
        <v>2</v>
      </c>
      <c r="F18" s="5">
        <f t="shared" si="1"/>
        <v>4</v>
      </c>
      <c r="G18" s="5">
        <f t="shared" si="2"/>
        <v>0.2</v>
      </c>
      <c r="H18" s="5">
        <f t="shared" si="3"/>
        <v>0.4</v>
      </c>
      <c r="I18" s="21">
        <f t="shared" si="4"/>
        <v>256.01599999999996</v>
      </c>
    </row>
    <row r="19" spans="1:10" ht="15.75" x14ac:dyDescent="0.25">
      <c r="A19" s="9" t="s">
        <v>69</v>
      </c>
      <c r="B19" s="5">
        <v>8</v>
      </c>
      <c r="C19" s="5">
        <v>1</v>
      </c>
      <c r="D19" s="5">
        <f t="shared" si="0"/>
        <v>8</v>
      </c>
      <c r="E19" s="5">
        <v>0</v>
      </c>
      <c r="F19" s="5">
        <f t="shared" si="1"/>
        <v>0</v>
      </c>
      <c r="G19" s="5">
        <f t="shared" si="2"/>
        <v>0</v>
      </c>
      <c r="H19" s="5">
        <f t="shared" si="3"/>
        <v>0</v>
      </c>
      <c r="I19" s="22">
        <f t="shared" si="4"/>
        <v>0</v>
      </c>
    </row>
    <row r="20" spans="1:10" ht="15.75" x14ac:dyDescent="0.25">
      <c r="A20" s="9" t="s">
        <v>70</v>
      </c>
      <c r="B20" s="5">
        <v>2</v>
      </c>
      <c r="C20" s="5">
        <v>1</v>
      </c>
      <c r="D20" s="5">
        <f t="shared" si="0"/>
        <v>2</v>
      </c>
      <c r="E20" s="5">
        <f>'Table 1'!E33</f>
        <v>3</v>
      </c>
      <c r="F20" s="5">
        <f t="shared" si="1"/>
        <v>6</v>
      </c>
      <c r="G20" s="5">
        <f t="shared" si="2"/>
        <v>0.30000000000000004</v>
      </c>
      <c r="H20" s="5">
        <f t="shared" si="3"/>
        <v>0.60000000000000009</v>
      </c>
      <c r="I20" s="21">
        <f t="shared" si="4"/>
        <v>384.02400000000006</v>
      </c>
    </row>
    <row r="21" spans="1:10" ht="15.75" x14ac:dyDescent="0.25">
      <c r="A21" s="9" t="s">
        <v>71</v>
      </c>
      <c r="B21" s="5">
        <v>3</v>
      </c>
      <c r="C21" s="5">
        <v>2</v>
      </c>
      <c r="D21" s="5">
        <f t="shared" si="0"/>
        <v>6</v>
      </c>
      <c r="E21" s="5">
        <f>'Table 1'!E25</f>
        <v>23</v>
      </c>
      <c r="F21" s="5">
        <f t="shared" si="1"/>
        <v>138</v>
      </c>
      <c r="G21" s="5">
        <f t="shared" si="2"/>
        <v>6.9</v>
      </c>
      <c r="H21" s="12">
        <f t="shared" si="3"/>
        <v>13.8</v>
      </c>
      <c r="I21" s="21">
        <f t="shared" si="4"/>
        <v>8832.5519999999997</v>
      </c>
    </row>
    <row r="22" spans="1:10" ht="15.75" x14ac:dyDescent="0.25">
      <c r="A22" s="9" t="s">
        <v>72</v>
      </c>
      <c r="B22" s="5">
        <v>4</v>
      </c>
      <c r="C22" s="5">
        <v>4</v>
      </c>
      <c r="D22" s="5">
        <f t="shared" si="0"/>
        <v>16</v>
      </c>
      <c r="E22" s="5">
        <f>'Table 1'!E26</f>
        <v>4</v>
      </c>
      <c r="F22" s="5">
        <f t="shared" si="1"/>
        <v>64</v>
      </c>
      <c r="G22" s="12">
        <f t="shared" si="2"/>
        <v>3.2</v>
      </c>
      <c r="H22" s="12">
        <f t="shared" si="3"/>
        <v>6.4</v>
      </c>
      <c r="I22" s="21">
        <f>F22*L$6+G22*L$5+H22*L$7</f>
        <v>4096.2559999999994</v>
      </c>
    </row>
    <row r="23" spans="1:10" ht="15.75" x14ac:dyDescent="0.25">
      <c r="A23" s="23" t="s">
        <v>46</v>
      </c>
      <c r="B23" s="35"/>
      <c r="C23" s="35"/>
      <c r="D23" s="28"/>
      <c r="E23" s="35"/>
      <c r="F23" s="66">
        <f>ROUND(SUM(F5:H22),0)</f>
        <v>812</v>
      </c>
      <c r="G23" s="67"/>
      <c r="H23" s="68"/>
      <c r="I23" s="25">
        <f>ROUND(SUM(I5:I22),-2)</f>
        <v>45200</v>
      </c>
    </row>
    <row r="25" spans="1:10" x14ac:dyDescent="0.25">
      <c r="A25" s="29" t="s">
        <v>11</v>
      </c>
    </row>
    <row r="26" spans="1:10" ht="32.25" customHeight="1" x14ac:dyDescent="0.25">
      <c r="A26" s="64" t="s">
        <v>182</v>
      </c>
      <c r="B26" s="64"/>
      <c r="C26" s="64"/>
      <c r="D26" s="64"/>
      <c r="E26" s="64"/>
      <c r="F26" s="64"/>
      <c r="G26" s="64"/>
      <c r="H26" s="64"/>
      <c r="I26" s="64"/>
    </row>
    <row r="27" spans="1:10" ht="57.75" customHeight="1" x14ac:dyDescent="0.25">
      <c r="A27" s="63" t="s">
        <v>196</v>
      </c>
      <c r="B27" s="63"/>
      <c r="C27" s="63"/>
      <c r="D27" s="63"/>
      <c r="E27" s="63"/>
      <c r="F27" s="63"/>
      <c r="G27" s="63"/>
      <c r="H27" s="63"/>
      <c r="I27" s="63"/>
      <c r="J27" s="36"/>
    </row>
    <row r="28" spans="1:10" ht="15.75" x14ac:dyDescent="0.25">
      <c r="A28" s="64" t="s">
        <v>74</v>
      </c>
      <c r="B28" s="64"/>
      <c r="C28" s="64"/>
      <c r="D28" s="64"/>
      <c r="E28" s="64"/>
      <c r="F28" s="64"/>
      <c r="G28" s="64"/>
      <c r="H28" s="64"/>
      <c r="I28" s="64"/>
    </row>
    <row r="29" spans="1:10" ht="15.75" x14ac:dyDescent="0.25">
      <c r="A29" s="64" t="s">
        <v>75</v>
      </c>
      <c r="B29" s="64"/>
      <c r="C29" s="64"/>
      <c r="D29" s="64"/>
      <c r="E29" s="64"/>
      <c r="F29" s="64"/>
      <c r="G29" s="64"/>
      <c r="H29" s="64"/>
      <c r="I29" s="64"/>
    </row>
    <row r="30" spans="1:10" x14ac:dyDescent="0.25">
      <c r="A30" s="71" t="s">
        <v>76</v>
      </c>
      <c r="B30" s="71"/>
      <c r="C30" s="71"/>
      <c r="D30" s="71"/>
      <c r="E30" s="71"/>
      <c r="F30" s="71"/>
      <c r="G30" s="71"/>
      <c r="H30" s="71"/>
      <c r="I30" s="71"/>
    </row>
    <row r="31" spans="1:10" x14ac:dyDescent="0.25">
      <c r="A31" s="71" t="s">
        <v>77</v>
      </c>
      <c r="B31" s="71"/>
      <c r="C31" s="71"/>
      <c r="D31" s="71"/>
      <c r="E31" s="71"/>
      <c r="F31" s="71"/>
      <c r="G31" s="71"/>
      <c r="H31" s="71"/>
      <c r="I31" s="71"/>
    </row>
    <row r="32" spans="1:10" ht="29.25" customHeight="1" x14ac:dyDescent="0.25">
      <c r="A32" s="71" t="s">
        <v>78</v>
      </c>
      <c r="B32" s="71"/>
      <c r="C32" s="71"/>
      <c r="D32" s="71"/>
      <c r="E32" s="71"/>
      <c r="F32" s="71"/>
      <c r="G32" s="71"/>
      <c r="H32" s="71"/>
      <c r="I32" s="71"/>
    </row>
    <row r="33" spans="1:10" x14ac:dyDescent="0.25">
      <c r="A33" s="71" t="s">
        <v>79</v>
      </c>
      <c r="B33" s="71"/>
      <c r="C33" s="71"/>
      <c r="D33" s="71"/>
      <c r="E33" s="71"/>
      <c r="F33" s="71"/>
      <c r="G33" s="71"/>
      <c r="H33" s="71"/>
      <c r="I33" s="71"/>
    </row>
    <row r="34" spans="1:10" x14ac:dyDescent="0.25">
      <c r="A34" s="71" t="s">
        <v>80</v>
      </c>
      <c r="B34" s="71"/>
      <c r="C34" s="71"/>
      <c r="D34" s="71"/>
      <c r="E34" s="71"/>
      <c r="F34" s="71"/>
      <c r="G34" s="71"/>
      <c r="H34" s="71"/>
      <c r="I34" s="71"/>
    </row>
    <row r="35" spans="1:10" x14ac:dyDescent="0.25">
      <c r="A35" s="71" t="s">
        <v>81</v>
      </c>
      <c r="B35" s="71"/>
      <c r="C35" s="71"/>
      <c r="D35" s="71"/>
      <c r="E35" s="71"/>
      <c r="F35" s="71"/>
      <c r="G35" s="71"/>
      <c r="H35" s="71"/>
      <c r="I35" s="71"/>
    </row>
    <row r="36" spans="1:10" x14ac:dyDescent="0.25">
      <c r="A36" s="71" t="s">
        <v>82</v>
      </c>
      <c r="B36" s="71"/>
      <c r="C36" s="71"/>
      <c r="D36" s="71"/>
      <c r="E36" s="71"/>
      <c r="F36" s="71"/>
      <c r="G36" s="71"/>
      <c r="H36" s="71"/>
      <c r="I36" s="71"/>
    </row>
    <row r="37" spans="1:10" x14ac:dyDescent="0.25">
      <c r="A37" s="71" t="s">
        <v>83</v>
      </c>
      <c r="B37" s="71"/>
      <c r="C37" s="71"/>
      <c r="D37" s="71"/>
      <c r="E37" s="71"/>
      <c r="F37" s="71"/>
      <c r="G37" s="71"/>
      <c r="H37" s="71"/>
      <c r="I37" s="71"/>
    </row>
    <row r="38" spans="1:10" ht="15.75" x14ac:dyDescent="0.25">
      <c r="A38" s="64" t="s">
        <v>84</v>
      </c>
      <c r="B38" s="64"/>
      <c r="C38" s="64"/>
      <c r="D38" s="64"/>
      <c r="E38" s="64"/>
      <c r="F38" s="64"/>
      <c r="G38" s="64"/>
      <c r="H38" s="64"/>
      <c r="I38" s="64"/>
    </row>
    <row r="39" spans="1:10" ht="31.5" customHeight="1" x14ac:dyDescent="0.25">
      <c r="A39" s="64" t="s">
        <v>85</v>
      </c>
      <c r="B39" s="64"/>
      <c r="C39" s="64"/>
      <c r="D39" s="64"/>
      <c r="E39" s="64"/>
      <c r="F39" s="64"/>
      <c r="G39" s="64"/>
      <c r="H39" s="64"/>
      <c r="I39" s="64"/>
    </row>
    <row r="40" spans="1:10" ht="15.75" x14ac:dyDescent="0.25">
      <c r="A40" s="64" t="s">
        <v>86</v>
      </c>
      <c r="B40" s="64"/>
      <c r="C40" s="64"/>
      <c r="D40" s="64"/>
      <c r="E40" s="64"/>
      <c r="F40" s="64"/>
      <c r="G40" s="64"/>
      <c r="H40" s="64"/>
      <c r="I40" s="64"/>
    </row>
    <row r="41" spans="1:10" ht="15.75" x14ac:dyDescent="0.25">
      <c r="A41" s="64" t="s">
        <v>87</v>
      </c>
      <c r="B41" s="64"/>
      <c r="C41" s="64"/>
      <c r="D41" s="64"/>
      <c r="E41" s="64"/>
      <c r="F41" s="64"/>
      <c r="G41" s="64"/>
      <c r="H41" s="64"/>
      <c r="I41" s="64"/>
    </row>
    <row r="42" spans="1:10" ht="31.5" customHeight="1" x14ac:dyDescent="0.25">
      <c r="A42" s="64" t="s">
        <v>88</v>
      </c>
      <c r="B42" s="64"/>
      <c r="C42" s="64"/>
      <c r="D42" s="64"/>
      <c r="E42" s="64"/>
      <c r="F42" s="64"/>
      <c r="G42" s="64"/>
      <c r="H42" s="64"/>
      <c r="I42" s="64"/>
    </row>
    <row r="43" spans="1:10" ht="15.75" x14ac:dyDescent="0.25">
      <c r="A43" s="64" t="s">
        <v>89</v>
      </c>
      <c r="B43" s="64"/>
      <c r="C43" s="64"/>
      <c r="D43" s="64"/>
      <c r="E43" s="64"/>
      <c r="F43" s="64"/>
      <c r="G43" s="64"/>
      <c r="H43" s="64"/>
      <c r="I43" s="64"/>
    </row>
    <row r="44" spans="1:10" ht="50.25" customHeight="1" x14ac:dyDescent="0.25">
      <c r="A44" s="64" t="s">
        <v>185</v>
      </c>
      <c r="B44" s="64"/>
      <c r="C44" s="64"/>
      <c r="D44" s="64"/>
      <c r="E44" s="64"/>
      <c r="F44" s="64"/>
      <c r="G44" s="64"/>
      <c r="H44" s="64"/>
      <c r="I44" s="64"/>
      <c r="J44" s="11"/>
    </row>
    <row r="45" spans="1:10" ht="15.75" x14ac:dyDescent="0.25">
      <c r="A45" s="64" t="s">
        <v>90</v>
      </c>
      <c r="B45" s="64"/>
      <c r="C45" s="64"/>
      <c r="D45" s="64"/>
      <c r="E45" s="64"/>
      <c r="F45" s="64"/>
      <c r="G45" s="64"/>
      <c r="H45" s="64"/>
      <c r="I45" s="64"/>
    </row>
  </sheetData>
  <mergeCells count="23">
    <mergeCell ref="A43:I43"/>
    <mergeCell ref="A44:I44"/>
    <mergeCell ref="A45:I45"/>
    <mergeCell ref="A26:I26"/>
    <mergeCell ref="A34:I34"/>
    <mergeCell ref="A35:I35"/>
    <mergeCell ref="A28:I28"/>
    <mergeCell ref="A27:I27"/>
    <mergeCell ref="A30:I30"/>
    <mergeCell ref="A29:I29"/>
    <mergeCell ref="A33:I33"/>
    <mergeCell ref="A32:I32"/>
    <mergeCell ref="A31:I31"/>
    <mergeCell ref="A38:I38"/>
    <mergeCell ref="A39:I39"/>
    <mergeCell ref="A40:I40"/>
    <mergeCell ref="A41:I41"/>
    <mergeCell ref="A42:I42"/>
    <mergeCell ref="A1:I1"/>
    <mergeCell ref="F23:H23"/>
    <mergeCell ref="K4:L4"/>
    <mergeCell ref="A36:I36"/>
    <mergeCell ref="A37:I37"/>
  </mergeCells>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
  <sheetViews>
    <sheetView topLeftCell="A7" zoomScale="124" zoomScaleNormal="124" workbookViewId="0">
      <selection sqref="A1:G17"/>
    </sheetView>
  </sheetViews>
  <sheetFormatPr defaultColWidth="9.140625" defaultRowHeight="12.75" x14ac:dyDescent="0.2"/>
  <cols>
    <col min="1" max="1" width="32.85546875" style="37" customWidth="1"/>
    <col min="2" max="4" width="13.5703125" style="37" customWidth="1"/>
    <col min="5" max="5" width="14.140625" style="37" customWidth="1"/>
    <col min="6" max="6" width="11" style="37" customWidth="1"/>
    <col min="7" max="7" width="13.42578125" style="37" customWidth="1"/>
    <col min="8" max="8" width="9.140625" style="37"/>
    <col min="9" max="9" width="12" style="37" customWidth="1"/>
    <col min="10" max="10" width="13" style="37" customWidth="1"/>
    <col min="11" max="16384" width="9.140625" style="37"/>
  </cols>
  <sheetData>
    <row r="1" spans="1:11" ht="15.75" x14ac:dyDescent="0.2">
      <c r="A1" s="72" t="s">
        <v>31</v>
      </c>
      <c r="B1" s="72"/>
      <c r="C1" s="72"/>
      <c r="D1" s="72"/>
      <c r="E1" s="72"/>
      <c r="F1" s="72"/>
      <c r="G1" s="72"/>
    </row>
    <row r="2" spans="1:11" x14ac:dyDescent="0.2">
      <c r="A2" s="38" t="s">
        <v>16</v>
      </c>
      <c r="B2" s="38" t="s">
        <v>17</v>
      </c>
      <c r="C2" s="38" t="s">
        <v>19</v>
      </c>
      <c r="D2" s="38" t="s">
        <v>21</v>
      </c>
      <c r="E2" s="38" t="s">
        <v>23</v>
      </c>
      <c r="F2" s="38" t="s">
        <v>27</v>
      </c>
      <c r="G2" s="38" t="s">
        <v>38</v>
      </c>
    </row>
    <row r="3" spans="1:11" ht="41.25" x14ac:dyDescent="0.2">
      <c r="A3" s="38" t="s">
        <v>32</v>
      </c>
      <c r="B3" s="38" t="s">
        <v>33</v>
      </c>
      <c r="C3" s="38" t="s">
        <v>34</v>
      </c>
      <c r="D3" s="38" t="s">
        <v>35</v>
      </c>
      <c r="E3" s="38" t="s">
        <v>36</v>
      </c>
      <c r="F3" s="38" t="s">
        <v>37</v>
      </c>
      <c r="G3" s="38" t="s">
        <v>39</v>
      </c>
    </row>
    <row r="4" spans="1:11" ht="15.75" x14ac:dyDescent="0.2">
      <c r="A4" s="4" t="s">
        <v>157</v>
      </c>
      <c r="B4" s="39">
        <f>15930*K5/K4</f>
        <v>22063.091477174101</v>
      </c>
      <c r="C4" s="40">
        <v>0</v>
      </c>
      <c r="D4" s="39">
        <f>B4*C4</f>
        <v>0</v>
      </c>
      <c r="E4" s="39">
        <v>0</v>
      </c>
      <c r="F4" s="40">
        <v>0</v>
      </c>
      <c r="G4" s="39">
        <f>E4*F4</f>
        <v>0</v>
      </c>
      <c r="J4" s="37" t="s">
        <v>186</v>
      </c>
      <c r="K4" s="37">
        <v>576.1</v>
      </c>
    </row>
    <row r="5" spans="1:11" ht="28.5" x14ac:dyDescent="0.2">
      <c r="A5" s="4" t="s">
        <v>158</v>
      </c>
      <c r="B5" s="39">
        <f>25000*K5/K4</f>
        <v>34625.065092865821</v>
      </c>
      <c r="C5" s="40">
        <v>0</v>
      </c>
      <c r="D5" s="39">
        <f>B5*C5</f>
        <v>0</v>
      </c>
      <c r="E5" s="39">
        <f>275000*K5/K4</f>
        <v>380875.71602152404</v>
      </c>
      <c r="F5" s="40">
        <f>24+3</f>
        <v>27</v>
      </c>
      <c r="G5" s="39">
        <f>E5*F5</f>
        <v>10283644.332581149</v>
      </c>
      <c r="J5" s="37" t="s">
        <v>187</v>
      </c>
      <c r="K5" s="37">
        <v>797.9</v>
      </c>
    </row>
    <row r="6" spans="1:11" ht="23.1" customHeight="1" x14ac:dyDescent="0.2">
      <c r="A6" s="4" t="s">
        <v>159</v>
      </c>
      <c r="B6" s="39">
        <f>1400*K5/K4</f>
        <v>1939.0036452004861</v>
      </c>
      <c r="C6" s="40">
        <v>0</v>
      </c>
      <c r="D6" s="39">
        <f>B6*C6</f>
        <v>0</v>
      </c>
      <c r="E6" s="39">
        <v>0</v>
      </c>
      <c r="F6" s="40">
        <v>0</v>
      </c>
      <c r="G6" s="39">
        <f>E6*F6</f>
        <v>0</v>
      </c>
    </row>
    <row r="7" spans="1:11" ht="15.75" x14ac:dyDescent="0.2">
      <c r="A7" s="23" t="s">
        <v>156</v>
      </c>
      <c r="B7" s="1"/>
      <c r="C7" s="1"/>
      <c r="D7" s="41">
        <f>SUM(D4:D6)</f>
        <v>0</v>
      </c>
      <c r="E7" s="1"/>
      <c r="F7" s="1"/>
      <c r="G7" s="42">
        <f>ROUND(SUM(G4:G6),-5)</f>
        <v>10300000</v>
      </c>
      <c r="I7" s="43">
        <f>G7+D7</f>
        <v>10300000</v>
      </c>
    </row>
    <row r="8" spans="1:11" ht="69" customHeight="1" x14ac:dyDescent="0.2">
      <c r="A8" s="80" t="s">
        <v>197</v>
      </c>
      <c r="B8" s="80"/>
      <c r="C8" s="80"/>
      <c r="D8" s="80"/>
      <c r="E8" s="80"/>
      <c r="F8" s="80"/>
      <c r="G8" s="80"/>
    </row>
    <row r="9" spans="1:11" ht="30" customHeight="1" x14ac:dyDescent="0.2">
      <c r="A9" s="63" t="s">
        <v>198</v>
      </c>
      <c r="B9" s="63"/>
      <c r="C9" s="63"/>
      <c r="D9" s="63"/>
      <c r="E9" s="63"/>
      <c r="F9" s="63"/>
      <c r="G9" s="63"/>
    </row>
    <row r="10" spans="1:11" x14ac:dyDescent="0.2">
      <c r="A10" s="81" t="s">
        <v>153</v>
      </c>
      <c r="B10" s="81"/>
      <c r="C10" s="81"/>
      <c r="D10" s="81"/>
      <c r="E10" s="81"/>
      <c r="F10" s="81"/>
      <c r="G10" s="81"/>
    </row>
    <row r="11" spans="1:11" ht="39" customHeight="1" x14ac:dyDescent="0.2">
      <c r="A11" s="82" t="s">
        <v>199</v>
      </c>
      <c r="B11" s="81"/>
      <c r="C11" s="81"/>
      <c r="D11" s="81"/>
      <c r="E11" s="81"/>
      <c r="F11" s="81"/>
      <c r="G11" s="81"/>
    </row>
    <row r="12" spans="1:11" ht="80.25" customHeight="1" x14ac:dyDescent="0.2">
      <c r="A12" s="82" t="s">
        <v>200</v>
      </c>
      <c r="B12" s="81"/>
      <c r="C12" s="81"/>
      <c r="D12" s="81"/>
      <c r="E12" s="81"/>
      <c r="F12" s="81"/>
      <c r="G12" s="81"/>
    </row>
    <row r="13" spans="1:11" x14ac:dyDescent="0.2">
      <c r="A13" s="81" t="s">
        <v>154</v>
      </c>
      <c r="B13" s="81"/>
      <c r="C13" s="81"/>
      <c r="D13" s="81"/>
      <c r="E13" s="81"/>
      <c r="F13" s="81"/>
      <c r="G13" s="81"/>
    </row>
    <row r="14" spans="1:11" ht="41.25" customHeight="1" x14ac:dyDescent="0.2">
      <c r="A14" s="82" t="s">
        <v>201</v>
      </c>
      <c r="B14" s="81"/>
      <c r="C14" s="81"/>
      <c r="D14" s="81"/>
      <c r="E14" s="81"/>
      <c r="F14" s="81"/>
      <c r="G14" s="81"/>
    </row>
    <row r="15" spans="1:11" ht="32.25" customHeight="1" x14ac:dyDescent="0.2">
      <c r="A15" s="82" t="s">
        <v>202</v>
      </c>
      <c r="B15" s="81"/>
      <c r="C15" s="81"/>
      <c r="D15" s="81"/>
      <c r="E15" s="81"/>
      <c r="F15" s="81"/>
      <c r="G15" s="81"/>
      <c r="H15" s="44"/>
    </row>
    <row r="16" spans="1:11" ht="15" customHeight="1" x14ac:dyDescent="0.2">
      <c r="A16" s="75" t="s">
        <v>177</v>
      </c>
      <c r="B16" s="75"/>
      <c r="C16" s="75"/>
      <c r="D16" s="75"/>
      <c r="E16" s="75"/>
      <c r="F16" s="75"/>
      <c r="G16" s="75"/>
      <c r="H16" s="44"/>
    </row>
    <row r="17" spans="1:7" ht="15.75" x14ac:dyDescent="0.2">
      <c r="A17" s="64" t="s">
        <v>155</v>
      </c>
      <c r="B17" s="64"/>
      <c r="C17" s="64"/>
      <c r="D17" s="64"/>
      <c r="E17" s="64"/>
      <c r="F17" s="64"/>
      <c r="G17" s="64"/>
    </row>
    <row r="18" spans="1:7" x14ac:dyDescent="0.2">
      <c r="A18" s="45"/>
    </row>
    <row r="30" spans="1:7" x14ac:dyDescent="0.2">
      <c r="A30" s="52"/>
    </row>
  </sheetData>
  <mergeCells count="11">
    <mergeCell ref="A12:G12"/>
    <mergeCell ref="A13:G13"/>
    <mergeCell ref="A14:G14"/>
    <mergeCell ref="A15:G15"/>
    <mergeCell ref="A17:G17"/>
    <mergeCell ref="A16:G16"/>
    <mergeCell ref="A1:G1"/>
    <mergeCell ref="A8:G8"/>
    <mergeCell ref="A9:G9"/>
    <mergeCell ref="A10:G10"/>
    <mergeCell ref="A11:G11"/>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8CD7D-BBF9-43CC-B840-3C404F7B5863}">
  <dimension ref="A3:K10"/>
  <sheetViews>
    <sheetView workbookViewId="0">
      <selection activeCell="A3" sqref="A3:F10"/>
    </sheetView>
  </sheetViews>
  <sheetFormatPr defaultRowHeight="15" x14ac:dyDescent="0.25"/>
  <cols>
    <col min="2" max="2" width="26" customWidth="1"/>
    <col min="3" max="3" width="20.28515625" customWidth="1"/>
    <col min="4" max="4" width="19.85546875" customWidth="1"/>
    <col min="5" max="5" width="21.85546875" customWidth="1"/>
    <col min="6" max="6" width="19.85546875" customWidth="1"/>
  </cols>
  <sheetData>
    <row r="3" spans="1:11" s="37" customFormat="1" ht="15.75" x14ac:dyDescent="0.25">
      <c r="A3" s="76" t="s">
        <v>12</v>
      </c>
      <c r="B3" s="76"/>
      <c r="C3" s="76"/>
      <c r="D3" s="76"/>
      <c r="E3" s="76"/>
      <c r="F3" s="76"/>
    </row>
    <row r="4" spans="1:11" s="37" customFormat="1" ht="38.25" x14ac:dyDescent="0.2">
      <c r="A4" s="46"/>
      <c r="B4" s="77" t="s">
        <v>13</v>
      </c>
      <c r="C4" s="77"/>
      <c r="D4" s="46" t="s">
        <v>14</v>
      </c>
      <c r="E4" s="46"/>
      <c r="F4" s="46"/>
    </row>
    <row r="5" spans="1:11" s="37" customFormat="1" ht="12.75" x14ac:dyDescent="0.2">
      <c r="A5" s="47"/>
      <c r="B5" s="48" t="s">
        <v>16</v>
      </c>
      <c r="C5" s="48" t="s">
        <v>17</v>
      </c>
      <c r="D5" s="48" t="s">
        <v>19</v>
      </c>
      <c r="E5" s="48" t="s">
        <v>21</v>
      </c>
      <c r="F5" s="48" t="s">
        <v>23</v>
      </c>
    </row>
    <row r="6" spans="1:11" s="37" customFormat="1" ht="51" x14ac:dyDescent="0.2">
      <c r="A6" s="35" t="s">
        <v>15</v>
      </c>
      <c r="B6" s="49" t="s">
        <v>52</v>
      </c>
      <c r="C6" s="49" t="s">
        <v>18</v>
      </c>
      <c r="D6" s="49" t="s">
        <v>20</v>
      </c>
      <c r="E6" s="49" t="s">
        <v>22</v>
      </c>
      <c r="F6" s="49" t="s">
        <v>25</v>
      </c>
      <c r="K6" s="50"/>
    </row>
    <row r="7" spans="1:11" s="37" customFormat="1" ht="12.75" x14ac:dyDescent="0.2">
      <c r="A7" s="35">
        <v>1</v>
      </c>
      <c r="B7" s="35">
        <v>0</v>
      </c>
      <c r="C7" s="51">
        <v>24</v>
      </c>
      <c r="D7" s="35">
        <v>0</v>
      </c>
      <c r="E7" s="35">
        <v>0</v>
      </c>
      <c r="F7" s="51">
        <f>+B7+C7+D7-E7</f>
        <v>24</v>
      </c>
      <c r="G7" s="50"/>
    </row>
    <row r="8" spans="1:11" s="37" customFormat="1" ht="12.75" x14ac:dyDescent="0.2">
      <c r="A8" s="35">
        <v>2</v>
      </c>
      <c r="B8" s="35">
        <v>0</v>
      </c>
      <c r="C8" s="51">
        <f>F7</f>
        <v>24</v>
      </c>
      <c r="D8" s="35">
        <v>0</v>
      </c>
      <c r="E8" s="35">
        <v>0</v>
      </c>
      <c r="F8" s="51">
        <f>+B8+C8+D8-E8</f>
        <v>24</v>
      </c>
    </row>
    <row r="9" spans="1:11" s="37" customFormat="1" ht="12.75" x14ac:dyDescent="0.2">
      <c r="A9" s="35">
        <v>3</v>
      </c>
      <c r="B9" s="35">
        <v>0</v>
      </c>
      <c r="C9" s="51">
        <f>F8</f>
        <v>24</v>
      </c>
      <c r="D9" s="35">
        <v>0</v>
      </c>
      <c r="E9" s="35">
        <v>0</v>
      </c>
      <c r="F9" s="51">
        <f>+B9+C9+D9-E9</f>
        <v>24</v>
      </c>
    </row>
    <row r="10" spans="1:11" s="37" customFormat="1" ht="12.75" x14ac:dyDescent="0.2">
      <c r="A10" s="35" t="s">
        <v>24</v>
      </c>
      <c r="B10" s="51">
        <f>AVERAGE(B7:B9)</f>
        <v>0</v>
      </c>
      <c r="C10" s="51">
        <f>AVERAGE(C7:C9)</f>
        <v>24</v>
      </c>
      <c r="D10" s="35">
        <v>0</v>
      </c>
      <c r="E10" s="35">
        <v>0</v>
      </c>
      <c r="F10" s="51">
        <f>AVERAGE(F7:F9)</f>
        <v>24</v>
      </c>
    </row>
  </sheetData>
  <mergeCells count="2">
    <mergeCell ref="A3:F3"/>
    <mergeCell ref="B4:C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6BC70-5C5B-4F41-A4D3-E1E86936612F}">
  <dimension ref="A1:E24"/>
  <sheetViews>
    <sheetView topLeftCell="A16" workbookViewId="0">
      <selection sqref="A1:E24"/>
    </sheetView>
  </sheetViews>
  <sheetFormatPr defaultRowHeight="15" x14ac:dyDescent="0.25"/>
  <cols>
    <col min="1" max="1" width="25.28515625" customWidth="1"/>
    <col min="2" max="2" width="11.85546875" customWidth="1"/>
    <col min="4" max="4" width="13.85546875" customWidth="1"/>
    <col min="5" max="5" width="16.85546875" customWidth="1"/>
  </cols>
  <sheetData>
    <row r="1" spans="1:5" s="37" customFormat="1" ht="24" customHeight="1" x14ac:dyDescent="0.2">
      <c r="A1" s="72" t="s">
        <v>47</v>
      </c>
      <c r="B1" s="72"/>
      <c r="C1" s="72"/>
      <c r="D1" s="72"/>
      <c r="E1" s="72"/>
    </row>
    <row r="2" spans="1:5" s="37" customFormat="1" ht="24" customHeight="1" x14ac:dyDescent="0.2">
      <c r="A2" s="38" t="s">
        <v>16</v>
      </c>
      <c r="B2" s="38" t="s">
        <v>17</v>
      </c>
      <c r="C2" s="38" t="s">
        <v>19</v>
      </c>
      <c r="D2" s="38" t="s">
        <v>21</v>
      </c>
      <c r="E2" s="38" t="s">
        <v>23</v>
      </c>
    </row>
    <row r="3" spans="1:5" s="37" customFormat="1" ht="24" customHeight="1" x14ac:dyDescent="0.2">
      <c r="A3" s="4" t="s">
        <v>48</v>
      </c>
      <c r="B3" s="38" t="s">
        <v>12</v>
      </c>
      <c r="C3" s="38" t="s">
        <v>49</v>
      </c>
      <c r="D3" s="38" t="s">
        <v>50</v>
      </c>
      <c r="E3" s="38" t="s">
        <v>51</v>
      </c>
    </row>
    <row r="4" spans="1:5" s="37" customFormat="1" ht="24" customHeight="1" x14ac:dyDescent="0.2">
      <c r="A4" s="4" t="s">
        <v>109</v>
      </c>
      <c r="B4" s="38">
        <v>0</v>
      </c>
      <c r="C4" s="38">
        <v>1</v>
      </c>
      <c r="D4" s="38">
        <v>0</v>
      </c>
      <c r="E4" s="38">
        <f t="shared" ref="E4:E21" si="0">B4*C4+D4</f>
        <v>0</v>
      </c>
    </row>
    <row r="5" spans="1:5" s="37" customFormat="1" ht="24" customHeight="1" x14ac:dyDescent="0.2">
      <c r="A5" s="4" t="s">
        <v>160</v>
      </c>
      <c r="B5" s="38">
        <f>'Table 1'!E14</f>
        <v>24</v>
      </c>
      <c r="C5" s="38">
        <v>6</v>
      </c>
      <c r="D5" s="38">
        <v>0</v>
      </c>
      <c r="E5" s="38">
        <f t="shared" si="0"/>
        <v>144</v>
      </c>
    </row>
    <row r="6" spans="1:5" s="37" customFormat="1" ht="24" customHeight="1" x14ac:dyDescent="0.2">
      <c r="A6" s="4" t="s">
        <v>111</v>
      </c>
      <c r="B6" s="38">
        <v>0</v>
      </c>
      <c r="C6" s="38">
        <v>1</v>
      </c>
      <c r="D6" s="38">
        <v>0</v>
      </c>
      <c r="E6" s="38">
        <f t="shared" si="0"/>
        <v>0</v>
      </c>
    </row>
    <row r="7" spans="1:5" s="37" customFormat="1" ht="24" customHeight="1" x14ac:dyDescent="0.2">
      <c r="A7" s="4" t="s">
        <v>161</v>
      </c>
      <c r="B7" s="38">
        <v>0</v>
      </c>
      <c r="C7" s="38">
        <v>1</v>
      </c>
      <c r="D7" s="38">
        <v>0</v>
      </c>
      <c r="E7" s="38">
        <f t="shared" si="0"/>
        <v>0</v>
      </c>
    </row>
    <row r="8" spans="1:5" s="37" customFormat="1" ht="24" customHeight="1" x14ac:dyDescent="0.2">
      <c r="A8" s="4" t="s">
        <v>162</v>
      </c>
      <c r="B8" s="38">
        <v>0</v>
      </c>
      <c r="C8" s="38">
        <v>1</v>
      </c>
      <c r="D8" s="38">
        <v>0</v>
      </c>
      <c r="E8" s="38">
        <f t="shared" si="0"/>
        <v>0</v>
      </c>
    </row>
    <row r="9" spans="1:5" s="37" customFormat="1" ht="24" customHeight="1" x14ac:dyDescent="0.2">
      <c r="A9" s="4" t="s">
        <v>175</v>
      </c>
      <c r="B9" s="38">
        <v>0</v>
      </c>
      <c r="C9" s="38">
        <v>1</v>
      </c>
      <c r="D9" s="38">
        <v>0</v>
      </c>
      <c r="E9" s="38">
        <f t="shared" si="0"/>
        <v>0</v>
      </c>
    </row>
    <row r="10" spans="1:5" s="37" customFormat="1" ht="24" customHeight="1" x14ac:dyDescent="0.2">
      <c r="A10" s="4" t="s">
        <v>163</v>
      </c>
      <c r="B10" s="38">
        <v>0</v>
      </c>
      <c r="C10" s="38">
        <v>2</v>
      </c>
      <c r="D10" s="38">
        <v>0</v>
      </c>
      <c r="E10" s="38">
        <f t="shared" si="0"/>
        <v>0</v>
      </c>
    </row>
    <row r="11" spans="1:5" s="37" customFormat="1" ht="24" customHeight="1" x14ac:dyDescent="0.2">
      <c r="A11" s="4" t="s">
        <v>164</v>
      </c>
      <c r="B11" s="38">
        <v>0</v>
      </c>
      <c r="C11" s="38">
        <v>1</v>
      </c>
      <c r="D11" s="38">
        <v>0</v>
      </c>
      <c r="E11" s="38">
        <f t="shared" si="0"/>
        <v>0</v>
      </c>
    </row>
    <row r="12" spans="1:5" s="37" customFormat="1" ht="24" customHeight="1" x14ac:dyDescent="0.2">
      <c r="A12" s="4" t="s">
        <v>165</v>
      </c>
      <c r="B12" s="38">
        <v>0</v>
      </c>
      <c r="C12" s="38">
        <v>1</v>
      </c>
      <c r="D12" s="38">
        <v>0</v>
      </c>
      <c r="E12" s="38">
        <f t="shared" si="0"/>
        <v>0</v>
      </c>
    </row>
    <row r="13" spans="1:5" s="37" customFormat="1" ht="24" customHeight="1" x14ac:dyDescent="0.2">
      <c r="A13" s="4" t="s">
        <v>166</v>
      </c>
      <c r="B13" s="38">
        <f>'Table 1'!E24</f>
        <v>1</v>
      </c>
      <c r="C13" s="38">
        <v>1</v>
      </c>
      <c r="D13" s="38">
        <v>0</v>
      </c>
      <c r="E13" s="38">
        <f t="shared" si="0"/>
        <v>1</v>
      </c>
    </row>
    <row r="14" spans="1:5" s="37" customFormat="1" ht="24" customHeight="1" x14ac:dyDescent="0.2">
      <c r="A14" s="4" t="s">
        <v>167</v>
      </c>
      <c r="B14" s="38">
        <f>'Table 1'!E30</f>
        <v>3</v>
      </c>
      <c r="C14" s="38">
        <v>1</v>
      </c>
      <c r="D14" s="38">
        <v>0</v>
      </c>
      <c r="E14" s="38">
        <f t="shared" si="0"/>
        <v>3</v>
      </c>
    </row>
    <row r="15" spans="1:5" s="37" customFormat="1" ht="24" customHeight="1" x14ac:dyDescent="0.2">
      <c r="A15" s="4" t="s">
        <v>114</v>
      </c>
      <c r="B15" s="38">
        <v>0</v>
      </c>
      <c r="C15" s="38">
        <v>1</v>
      </c>
      <c r="D15" s="38">
        <v>0</v>
      </c>
      <c r="E15" s="38">
        <f t="shared" si="0"/>
        <v>0</v>
      </c>
    </row>
    <row r="16" spans="1:5" s="37" customFormat="1" ht="24" customHeight="1" x14ac:dyDescent="0.2">
      <c r="A16" s="4" t="s">
        <v>115</v>
      </c>
      <c r="B16" s="38">
        <v>0</v>
      </c>
      <c r="C16" s="38">
        <v>1</v>
      </c>
      <c r="D16" s="38">
        <v>0</v>
      </c>
      <c r="E16" s="38">
        <f t="shared" si="0"/>
        <v>0</v>
      </c>
    </row>
    <row r="17" spans="1:5" s="37" customFormat="1" ht="24" customHeight="1" x14ac:dyDescent="0.2">
      <c r="A17" s="4" t="s">
        <v>168</v>
      </c>
      <c r="B17" s="38">
        <v>3</v>
      </c>
      <c r="C17" s="38">
        <v>1</v>
      </c>
      <c r="D17" s="38">
        <v>0</v>
      </c>
      <c r="E17" s="38">
        <f t="shared" si="0"/>
        <v>3</v>
      </c>
    </row>
    <row r="18" spans="1:5" s="37" customFormat="1" ht="24" customHeight="1" x14ac:dyDescent="0.2">
      <c r="A18" s="4" t="s">
        <v>169</v>
      </c>
      <c r="B18" s="38">
        <v>2</v>
      </c>
      <c r="C18" s="38">
        <v>1</v>
      </c>
      <c r="D18" s="38">
        <v>0</v>
      </c>
      <c r="E18" s="38">
        <f t="shared" si="0"/>
        <v>2</v>
      </c>
    </row>
    <row r="19" spans="1:5" s="37" customFormat="1" ht="24" customHeight="1" x14ac:dyDescent="0.2">
      <c r="A19" s="4" t="s">
        <v>170</v>
      </c>
      <c r="B19" s="38">
        <f>'Table 1'!E33</f>
        <v>3</v>
      </c>
      <c r="C19" s="38">
        <v>1</v>
      </c>
      <c r="D19" s="38">
        <v>0</v>
      </c>
      <c r="E19" s="38">
        <f t="shared" si="0"/>
        <v>3</v>
      </c>
    </row>
    <row r="20" spans="1:5" s="37" customFormat="1" ht="24" customHeight="1" x14ac:dyDescent="0.2">
      <c r="A20" s="4" t="s">
        <v>172</v>
      </c>
      <c r="B20" s="38">
        <f>'Table 1'!E25</f>
        <v>23</v>
      </c>
      <c r="C20" s="38">
        <v>2</v>
      </c>
      <c r="D20" s="38">
        <v>0</v>
      </c>
      <c r="E20" s="38">
        <f t="shared" si="0"/>
        <v>46</v>
      </c>
    </row>
    <row r="21" spans="1:5" s="37" customFormat="1" ht="24" customHeight="1" x14ac:dyDescent="0.2">
      <c r="A21" s="4" t="s">
        <v>171</v>
      </c>
      <c r="B21" s="38">
        <f>'Table 1'!E26</f>
        <v>4</v>
      </c>
      <c r="C21" s="38">
        <v>4</v>
      </c>
      <c r="D21" s="38">
        <v>0</v>
      </c>
      <c r="E21" s="38">
        <f t="shared" si="0"/>
        <v>16</v>
      </c>
    </row>
    <row r="22" spans="1:5" s="37" customFormat="1" ht="24" customHeight="1" x14ac:dyDescent="0.2">
      <c r="A22" s="23" t="s">
        <v>173</v>
      </c>
      <c r="B22" s="38"/>
      <c r="C22" s="38"/>
      <c r="D22" s="38"/>
      <c r="E22" s="53">
        <f>SUM(E4:E21)</f>
        <v>218</v>
      </c>
    </row>
    <row r="23" spans="1:5" s="37" customFormat="1" ht="69" customHeight="1" x14ac:dyDescent="0.2">
      <c r="A23" s="73" t="s">
        <v>183</v>
      </c>
      <c r="B23" s="73"/>
      <c r="C23" s="73"/>
      <c r="D23" s="73"/>
      <c r="E23" s="73"/>
    </row>
    <row r="24" spans="1:5" s="37" customFormat="1" ht="33" customHeight="1" x14ac:dyDescent="0.2">
      <c r="A24" s="74" t="s">
        <v>174</v>
      </c>
      <c r="B24" s="74"/>
      <c r="C24" s="74"/>
      <c r="D24" s="74"/>
      <c r="E24" s="74"/>
    </row>
  </sheetData>
  <mergeCells count="3">
    <mergeCell ref="A24:E24"/>
    <mergeCell ref="A1:E1"/>
    <mergeCell ref="A23:E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2024-10-31T14:37:57+00:00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EB27C9F-BC19-4857-A62E-FF1D76AE957E}">
  <ds:schemaRefs>
    <ds:schemaRef ds:uri="http://purl.org/dc/terms/"/>
    <ds:schemaRef ds:uri="4ffa91fb-a0ff-4ac5-b2db-65c790d184a4"/>
    <ds:schemaRef ds:uri="http://schemas.microsoft.com/sharepoint/v3"/>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0a649cfe-4b5c-4768-8616-91f3c5fa8351"/>
    <ds:schemaRef ds:uri="80377dfa-2fcc-4c15-9433-ebfcd06defd6"/>
    <ds:schemaRef ds:uri="http://schemas.microsoft.com/sharepoint/v3/fields"/>
    <ds:schemaRef ds:uri="http://schemas.microsoft.com/office/2006/metadata/propertie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7B806C92-47CE-4A48-9E6A-81147533877A}"/>
</file>

<file path=customXml/itemProps3.xml><?xml version="1.0" encoding="utf-8"?>
<ds:datastoreItem xmlns:ds="http://schemas.openxmlformats.org/officeDocument/2006/customXml" ds:itemID="{56EFB4D9-D348-4C94-8F0B-55957C88BCD7}">
  <ds:schemaRefs>
    <ds:schemaRef ds:uri="Microsoft.SharePoint.Taxonomy.ContentTypeSync"/>
  </ds:schemaRefs>
</ds:datastoreItem>
</file>

<file path=customXml/itemProps4.xml><?xml version="1.0" encoding="utf-8"?>
<ds:datastoreItem xmlns:ds="http://schemas.openxmlformats.org/officeDocument/2006/customXml" ds:itemID="{168B6EC9-41BA-4046-BD76-E3019A269643}">
  <ds:schemaRefs>
    <ds:schemaRef ds:uri="http://schemas.microsoft.com/sharepoint/v3/contenttype/forms"/>
  </ds:schemaRefs>
</ds:datastoreItem>
</file>

<file path=customXml/itemProps5.xml><?xml version="1.0" encoding="utf-8"?>
<ds:datastoreItem xmlns:ds="http://schemas.openxmlformats.org/officeDocument/2006/customXml" ds:itemID="{9EB61D48-0C06-4A2C-B9D1-B7AC3617DD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and O&amp;M</vt:lpstr>
      <vt:lpstr>Respondents</vt:lpstr>
      <vt:lpstr>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Tracy Curtis</cp:lastModifiedBy>
  <dcterms:created xsi:type="dcterms:W3CDTF">2016-10-18T13:02:41Z</dcterms:created>
  <dcterms:modified xsi:type="dcterms:W3CDTF">2024-10-28T23:56:10Z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ies>
</file>