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Z:\PDD\PDD General\PDD Rules\FRA Work Requirements\(9) Final Rule\(4) PRA\"/>
    </mc:Choice>
  </mc:AlternateContent>
  <xr:revisionPtr revIDLastSave="0" documentId="13_ncr:1_{915D08CF-A328-4DF6-AC24-C6BD5F356876}" xr6:coauthVersionLast="47" xr6:coauthVersionMax="47" xr10:uidLastSave="{00000000-0000-0000-0000-000000000000}"/>
  <bookViews>
    <workbookView xWindow="-108" yWindow="-108" windowWidth="23256" windowHeight="12456" xr2:uid="{00000000-000D-0000-FFFF-FFFF00000000}"/>
  </bookViews>
  <sheets>
    <sheet name="Burden Summary" sheetId="8" r:id="rId1"/>
    <sheet name="Assumptions" sheetId="2" r:id="rId2"/>
    <sheet name="Federal Cost Summary" sheetId="5" r:id="rId3"/>
    <sheet name="Respondents Cost Summary" sheetId="6" r:id="rId4"/>
    <sheet name="Labor Rates" sheetId="3" r:id="rId5"/>
    <sheet name="ESRI_MAPINFO_SHEET" sheetId="4" state="very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8" l="1"/>
  <c r="E37" i="6"/>
  <c r="E8" i="5"/>
  <c r="E23" i="6" l="1"/>
  <c r="E24" i="6" s="1"/>
  <c r="C17" i="6"/>
  <c r="E34" i="6"/>
  <c r="E29" i="6"/>
  <c r="E28" i="6"/>
  <c r="C35" i="6"/>
  <c r="E35" i="6" s="1"/>
  <c r="C34" i="6"/>
  <c r="C33" i="6"/>
  <c r="E33" i="6" s="1"/>
  <c r="C32" i="6"/>
  <c r="E32" i="6" s="1"/>
  <c r="C31" i="6"/>
  <c r="C30" i="6"/>
  <c r="C29" i="6"/>
  <c r="C28" i="6"/>
  <c r="D35" i="6"/>
  <c r="D34" i="6"/>
  <c r="D33" i="6"/>
  <c r="D32" i="6"/>
  <c r="D31" i="6"/>
  <c r="E31" i="6" s="1"/>
  <c r="D30" i="6"/>
  <c r="E30" i="6" s="1"/>
  <c r="D29" i="6"/>
  <c r="D28" i="6"/>
  <c r="G11" i="8"/>
  <c r="D36" i="8"/>
  <c r="I10" i="8"/>
  <c r="J10" i="8"/>
  <c r="H10" i="8"/>
  <c r="D11" i="8"/>
  <c r="K11" i="8"/>
  <c r="F10" i="8"/>
  <c r="D10" i="8"/>
  <c r="C10" i="3"/>
  <c r="C9" i="3"/>
  <c r="C8" i="3"/>
  <c r="C7" i="3"/>
  <c r="C6" i="3"/>
  <c r="C5" i="3"/>
  <c r="D15" i="2"/>
  <c r="D8" i="2"/>
  <c r="D7" i="2"/>
  <c r="D10" i="2"/>
  <c r="D8" i="6"/>
  <c r="D10" i="6"/>
  <c r="C10" i="6"/>
  <c r="K27" i="8"/>
  <c r="I26" i="8"/>
  <c r="D22" i="6" s="1"/>
  <c r="F26" i="8"/>
  <c r="H26" i="8" s="1"/>
  <c r="F25" i="8"/>
  <c r="H25" i="8" s="1"/>
  <c r="G17" i="8"/>
  <c r="E36" i="6" l="1"/>
  <c r="I25" i="8"/>
  <c r="D21" i="6" s="1"/>
  <c r="C21" i="6"/>
  <c r="L25" i="8"/>
  <c r="M25" i="8" s="1"/>
  <c r="J26" i="8"/>
  <c r="C22" i="6"/>
  <c r="E22" i="6" s="1"/>
  <c r="L26" i="8"/>
  <c r="M26" i="8" s="1"/>
  <c r="K39" i="8"/>
  <c r="D9" i="6"/>
  <c r="D13" i="6"/>
  <c r="D7" i="6"/>
  <c r="J25" i="8" l="1"/>
  <c r="E21" i="6"/>
  <c r="I9" i="8"/>
  <c r="I8" i="8"/>
  <c r="F8" i="8" l="1"/>
  <c r="H8" i="8" s="1"/>
  <c r="F9" i="8"/>
  <c r="F7" i="8"/>
  <c r="I33" i="8"/>
  <c r="F11" i="8" l="1"/>
  <c r="J8" i="8"/>
  <c r="C8" i="6"/>
  <c r="E8" i="6" s="1"/>
  <c r="C9" i="6"/>
  <c r="E9" i="6" s="1"/>
  <c r="I7" i="8"/>
  <c r="L8" i="8"/>
  <c r="M8" i="8" s="1"/>
  <c r="K40" i="8"/>
  <c r="H7" i="8"/>
  <c r="D31" i="8"/>
  <c r="D32" i="8"/>
  <c r="D30" i="8"/>
  <c r="D33" i="8"/>
  <c r="I38" i="8"/>
  <c r="I37" i="8"/>
  <c r="I36" i="8"/>
  <c r="I35" i="8"/>
  <c r="I32" i="8"/>
  <c r="I31" i="8"/>
  <c r="I30" i="8"/>
  <c r="G16" i="8"/>
  <c r="G31" i="8"/>
  <c r="G15" i="8"/>
  <c r="G30" i="8"/>
  <c r="G32" i="8"/>
  <c r="G33" i="8"/>
  <c r="G18" i="8"/>
  <c r="G38" i="8"/>
  <c r="G37" i="8"/>
  <c r="G36" i="8"/>
  <c r="G35" i="8"/>
  <c r="G23" i="8"/>
  <c r="G22" i="8"/>
  <c r="G21" i="8"/>
  <c r="G20" i="8"/>
  <c r="J7" i="8" l="1"/>
  <c r="K41" i="8"/>
  <c r="C7" i="6"/>
  <c r="E7" i="6" s="1"/>
  <c r="E11" i="8"/>
  <c r="H9" i="8"/>
  <c r="J9" i="8" s="1"/>
  <c r="L7" i="8"/>
  <c r="F33" i="8"/>
  <c r="H33" i="8" s="1"/>
  <c r="F30" i="8"/>
  <c r="F32" i="8"/>
  <c r="H32" i="8" s="1"/>
  <c r="F31" i="8"/>
  <c r="H31" i="8" s="1"/>
  <c r="J11" i="8" l="1"/>
  <c r="H11" i="8"/>
  <c r="L33" i="8"/>
  <c r="M33" i="8" s="1"/>
  <c r="J33" i="8"/>
  <c r="L31" i="8"/>
  <c r="M31" i="8" s="1"/>
  <c r="J31" i="8"/>
  <c r="L32" i="8"/>
  <c r="M32" i="8" s="1"/>
  <c r="J32" i="8"/>
  <c r="E10" i="6"/>
  <c r="E11" i="6" s="1"/>
  <c r="M7" i="8"/>
  <c r="L9" i="8"/>
  <c r="L11" i="8" s="1"/>
  <c r="F18" i="8"/>
  <c r="F16" i="8"/>
  <c r="H16" i="8" s="1"/>
  <c r="F17" i="8"/>
  <c r="H17" i="8" s="1"/>
  <c r="H30" i="8"/>
  <c r="F15" i="8"/>
  <c r="J30" i="8" l="1"/>
  <c r="I11" i="8"/>
  <c r="M9" i="8"/>
  <c r="M11" i="8" s="1"/>
  <c r="L30" i="8"/>
  <c r="H18" i="8"/>
  <c r="E18" i="8"/>
  <c r="E15" i="8"/>
  <c r="H15" i="8"/>
  <c r="C14" i="6"/>
  <c r="E16" i="8"/>
  <c r="C15" i="6"/>
  <c r="E17" i="8"/>
  <c r="C16" i="6" l="1"/>
  <c r="C13" i="6"/>
  <c r="M30" i="8"/>
  <c r="L18" i="8"/>
  <c r="M18" i="8" s="1"/>
  <c r="L16" i="8"/>
  <c r="M16" i="8" s="1"/>
  <c r="L15" i="8"/>
  <c r="L17" i="8"/>
  <c r="M17" i="8" s="1"/>
  <c r="M15" i="8" l="1"/>
  <c r="D38" i="8" l="1"/>
  <c r="F38" i="8" s="1"/>
  <c r="F23" i="8" s="1"/>
  <c r="H23" i="8" s="1"/>
  <c r="C20" i="6" s="1"/>
  <c r="D37" i="8"/>
  <c r="F37" i="8" s="1"/>
  <c r="D35" i="8"/>
  <c r="D6" i="5"/>
  <c r="D5" i="5"/>
  <c r="D39" i="8" l="1"/>
  <c r="I18" i="8"/>
  <c r="J18" i="8" s="1"/>
  <c r="I17" i="8"/>
  <c r="J17" i="8" s="1"/>
  <c r="I16" i="8"/>
  <c r="J16" i="8" s="1"/>
  <c r="I23" i="8"/>
  <c r="J23" i="8" s="1"/>
  <c r="I20" i="8"/>
  <c r="I22" i="8"/>
  <c r="I21" i="8"/>
  <c r="I15" i="8"/>
  <c r="J15" i="8" s="1"/>
  <c r="L23" i="8"/>
  <c r="M23" i="8" s="1"/>
  <c r="D16" i="6"/>
  <c r="E16" i="6" s="1"/>
  <c r="D15" i="6"/>
  <c r="E15" i="6" s="1"/>
  <c r="D14" i="6"/>
  <c r="E14" i="6" s="1"/>
  <c r="E13" i="6"/>
  <c r="D17" i="6"/>
  <c r="F35" i="8"/>
  <c r="D20" i="6"/>
  <c r="D19" i="6"/>
  <c r="D18" i="6"/>
  <c r="F22" i="8"/>
  <c r="H22" i="8" s="1"/>
  <c r="H37" i="8"/>
  <c r="E23" i="8"/>
  <c r="H38" i="8"/>
  <c r="F36" i="8"/>
  <c r="L38" i="8" l="1"/>
  <c r="M38" i="8" s="1"/>
  <c r="J38" i="8"/>
  <c r="L37" i="8"/>
  <c r="M37" i="8" s="1"/>
  <c r="J37" i="8"/>
  <c r="J22" i="8"/>
  <c r="F39" i="8"/>
  <c r="D40" i="8"/>
  <c r="D41" i="8" s="1"/>
  <c r="L22" i="8"/>
  <c r="M22" i="8" s="1"/>
  <c r="H35" i="8"/>
  <c r="F20" i="8"/>
  <c r="E20" i="6"/>
  <c r="F21" i="8"/>
  <c r="H21" i="8" s="1"/>
  <c r="J21" i="8" s="1"/>
  <c r="E22" i="8"/>
  <c r="C19" i="6"/>
  <c r="E19" i="6" s="1"/>
  <c r="H36" i="8"/>
  <c r="F27" i="8" l="1"/>
  <c r="J35" i="8"/>
  <c r="H39" i="8"/>
  <c r="J36" i="8"/>
  <c r="F40" i="8"/>
  <c r="F41" i="8" s="1"/>
  <c r="E39" i="8"/>
  <c r="E21" i="8"/>
  <c r="E20" i="8"/>
  <c r="L21" i="8"/>
  <c r="M21" i="8" s="1"/>
  <c r="L35" i="8"/>
  <c r="C18" i="6"/>
  <c r="E18" i="6" s="1"/>
  <c r="H20" i="8"/>
  <c r="H27" i="8" s="1"/>
  <c r="G27" i="8" s="1"/>
  <c r="L36" i="8"/>
  <c r="L39" i="8" s="1"/>
  <c r="J20" i="8" l="1"/>
  <c r="J27" i="8" s="1"/>
  <c r="I27" i="8" s="1"/>
  <c r="H40" i="8"/>
  <c r="H41" i="8" s="1"/>
  <c r="J39" i="8"/>
  <c r="I39" i="8" s="1"/>
  <c r="G39" i="8"/>
  <c r="E27" i="8"/>
  <c r="E17" i="6"/>
  <c r="M35" i="8"/>
  <c r="M36" i="8"/>
  <c r="L20" i="8"/>
  <c r="L27" i="8" s="1"/>
  <c r="E25" i="6" l="1"/>
  <c r="J40" i="8"/>
  <c r="J41" i="8" s="1"/>
  <c r="I41" i="8" s="1"/>
  <c r="M39" i="8"/>
  <c r="E40" i="8"/>
  <c r="G40" i="8"/>
  <c r="L40" i="8"/>
  <c r="L41" i="8" s="1"/>
  <c r="M20" i="8"/>
  <c r="M27" i="8" s="1"/>
  <c r="I40" i="8" l="1"/>
  <c r="G41" i="8"/>
  <c r="M40" i="8"/>
  <c r="M41" i="8" s="1"/>
  <c r="E5" i="5"/>
  <c r="E6" i="5" l="1"/>
  <c r="E7" i="5" l="1"/>
  <c r="E9" i="5" s="1"/>
  <c r="E41" i="8"/>
</calcChain>
</file>

<file path=xl/sharedStrings.xml><?xml version="1.0" encoding="utf-8"?>
<sst xmlns="http://schemas.openxmlformats.org/spreadsheetml/2006/main" count="183" uniqueCount="125">
  <si>
    <t>FNS SNAP ABAWD ICR Reporting Estimate (OMB Control No. 0584-0479)</t>
  </si>
  <si>
    <t>Activity</t>
  </si>
  <si>
    <t>Citation</t>
  </si>
  <si>
    <t>Number of Respondents</t>
  </si>
  <si>
    <t>Frequency of Response</t>
  </si>
  <si>
    <t>Total Annual Responses</t>
  </si>
  <si>
    <t>Hours per Response</t>
  </si>
  <si>
    <t>Annual Burden (hours)</t>
  </si>
  <si>
    <t>Hourly Wage Rate</t>
  </si>
  <si>
    <t>Total Annualized Cost of Respondent Burden</t>
  </si>
  <si>
    <t>Previously Approved Burden Hours</t>
  </si>
  <si>
    <t>Change in Burden Hours Due to an  Program Change</t>
  </si>
  <si>
    <t>Total Change in Burden Hours</t>
  </si>
  <si>
    <t>A</t>
  </si>
  <si>
    <t>B</t>
  </si>
  <si>
    <t>C</t>
  </si>
  <si>
    <t>D</t>
  </si>
  <si>
    <t>E = C x D</t>
  </si>
  <si>
    <t>F</t>
  </si>
  <si>
    <t>G = E x F</t>
  </si>
  <si>
    <t>H</t>
  </si>
  <si>
    <t>I = (G x H)</t>
  </si>
  <si>
    <t>J</t>
  </si>
  <si>
    <t>K = G - J</t>
  </si>
  <si>
    <t>L = J + K</t>
  </si>
  <si>
    <t>Start-Up Burden</t>
  </si>
  <si>
    <t>Affected Public: State Agencies</t>
  </si>
  <si>
    <t>Update of eligibility system with new requirements (including coding for modified exceptions, updating language on the Notice of Adverse Action and Consolidation Work Notice)</t>
  </si>
  <si>
    <t>7 CFR 273.24(c)(7), (8), (9), and (10)</t>
  </si>
  <si>
    <t>Update policy manuals, guidance, and other documents with new requirements</t>
  </si>
  <si>
    <t>7 CFR 273.24(c)(7), (8), (9), and (10), 273.24(k), 273.24(l), 273.7(b)(3)</t>
  </si>
  <si>
    <t>Develop and provide training to staff on new requirements</t>
  </si>
  <si>
    <t>Take training on new requirements</t>
  </si>
  <si>
    <t>Reporting Burden Total for Start-Up Burden</t>
  </si>
  <si>
    <t>Ongoing Burden</t>
  </si>
  <si>
    <t>Applying Modified Exception Criteria</t>
  </si>
  <si>
    <t>Additional verification of hours worked and countable months in another State at initial or recertification application for ABAWDs newly subject to the work requirement</t>
  </si>
  <si>
    <t>7 CFR 273.2(f)(1), (f)(2), and (f)(8)(i)</t>
  </si>
  <si>
    <t>Additional issuance of the Consolidated Work Notice for ABAWDs newly subject to the work requirement</t>
  </si>
  <si>
    <t>7 CFR 273.7(c)(1)</t>
  </si>
  <si>
    <t>Additional review of the oral explanation of the work requirements for ABAWDs newly subject to the work requirement</t>
  </si>
  <si>
    <t>Additional issuance of the Notice of Adverse Action for ABAWDs newly subject to the work requirement who do not meet it</t>
  </si>
  <si>
    <t>7 CFR 273.13(a)</t>
  </si>
  <si>
    <t>Screening</t>
  </si>
  <si>
    <t xml:space="preserve"> </t>
  </si>
  <si>
    <t>Screening for exemptions from the general work requirement at initial application</t>
  </si>
  <si>
    <t>7 CFR 273.7(b)(3)</t>
  </si>
  <si>
    <t>Screening for exemptions from the general work requirement at recertification application</t>
  </si>
  <si>
    <t>Screening for exceptions from the ABAWD work requirement and time limit at initial application</t>
  </si>
  <si>
    <t>7 CFR 273.24(k)</t>
  </si>
  <si>
    <t>Screening for exceptions from the ABAWD work requirement and time limit at recertification application or during the certification period</t>
  </si>
  <si>
    <t>ABAWD Waivers</t>
  </si>
  <si>
    <t xml:space="preserve">Preparation and submission of Labor Market Data to support ABAWD waiver request </t>
  </si>
  <si>
    <t>7 CFR 273.24(f)</t>
  </si>
  <si>
    <t>Preparation and submission of Labor Surplus Area designation or EB Trigger Notice criteria to support ABAWD waiver request</t>
  </si>
  <si>
    <t xml:space="preserve">7 CFR 273.24(f) </t>
  </si>
  <si>
    <t>Reporting Burden Sub-Total for Ongoing Burden to State Agencies</t>
  </si>
  <si>
    <t>Affected Public: Individuals</t>
  </si>
  <si>
    <t>Additional response to verification of hours worked and countable months in another State at initial or recertification application for ABAWDs newly subject to the work requirement</t>
  </si>
  <si>
    <t>Additional review of of the Consolidated Work Notice for ABAWDs newly subject to the work requirement</t>
  </si>
  <si>
    <t>Additional review of the Notice of Adverse Action for ABAWDs newly subject to the work requirement who do not meet it</t>
  </si>
  <si>
    <t>leave a note as to why we did that</t>
  </si>
  <si>
    <t>Reporting Burden Sub-Total for Ongoing Burden to Individuals</t>
  </si>
  <si>
    <t>Reporting Burden Total for Ongoing Burden</t>
  </si>
  <si>
    <t>Reporting Burden Total for All Burden (Start-Up + Ongoing)</t>
  </si>
  <si>
    <t>FNS SNAP ICR Assumptions (OMB Control No. 0584-0479)</t>
  </si>
  <si>
    <t>Item</t>
  </si>
  <si>
    <t>Regulatory Citation</t>
  </si>
  <si>
    <t>Estimate</t>
  </si>
  <si>
    <t>Number</t>
  </si>
  <si>
    <t>Data Source</t>
  </si>
  <si>
    <t>Annual Costs</t>
  </si>
  <si>
    <t xml:space="preserve">Number of individuals newly subject to the time limit who will need to verify work hours </t>
  </si>
  <si>
    <t>Estimated based on the average projected SNAP caseloads for FY 2025-2030 and FNS projections of the number of individuals age 50 to 54 who will be newly subject to the time limit and are not exempt. This number may include individuals who may be exempt as a veteran or individual experiencing homelessness.</t>
  </si>
  <si>
    <t>Number of individuals newly subject to the time limit who will need to receive the Consolidated Work Notice and oral explanation of the work requirements</t>
  </si>
  <si>
    <t>Estimated based on the average projected SNAP caseloads for FY 2025-2030 and FNS projections of the number of individuals age 50 to 54 who will be newly subject to the time limit, are not exempt, and do not live in an area covered by a waiver. This number may include individuals who may be exempt as a veteran or individual experiencing homelessness.</t>
  </si>
  <si>
    <t>Number of individuals newly subject to the time limit who are not meeting the work requirement and will receive a Notice of Adverse Action</t>
  </si>
  <si>
    <t>Estimated based on the average projected SNAP caseloads for FY 2025-2030 and FNS projections of the number of individuals age 50 to 54 who will be newly subject to the time limit, are not working at least 20 hours, are not exempt, and do not live in an area covered by a waiver.</t>
  </si>
  <si>
    <t>Number of staff who will be trained on new requirements</t>
  </si>
  <si>
    <t xml:space="preserve">Estimated based Bureau of Labor Statistics (BLS) Occupational Employment and Wages Statistics data from May 2023; Occupation Code 43-4061 Eligibility Interviewers, Government Programs, which estimates 54,920 individuals are employed in this occupation State Government (excluding schools and hospitals) and 50,110 in Local Government (excluding schools and hospitals). Available at https://www.bls.gov/oes/2023/may/oes434061.htm. </t>
  </si>
  <si>
    <t>Number of individuals who need to be screened for the general work requirements at initial application</t>
  </si>
  <si>
    <t>Estimated from the Characteristics of Supplemental Nutrition Assistance Program Households: Fiscal Year 2022; Table A.23, Number of participants who are non-elderly adults. https://fns-prod.azureedge.us/sites/default/files/resource-files/ops-snap-fy22-characteristics.pdf</t>
  </si>
  <si>
    <t>Number of individuals who need to be screened for the general work requirements at recertification application</t>
  </si>
  <si>
    <t>Estimated from the Characteristics of Supplemental Nutrition Assistance Program Households: Fiscal Year 2022; Table A.25, Number of participants with work registrant status. https://fns-prod.azureedge.us/sites/default/files/resource-files/ops-snap-fy22-characteristics.pdf</t>
  </si>
  <si>
    <t>Number of individuals who need to be screened for the ABAWD time limit at initial application</t>
  </si>
  <si>
    <t>Number of individuals who need to be screened for the ABAWD time limit at recertification application or during the certification period</t>
  </si>
  <si>
    <t>Estimated based on the average projected SNAP caseloads for FY 2025-2030 and FNS projections of the share of ABAWDs in the caseload after implementation of changes to ABAWD eligbility (approximately 9.2% of the SNAP caseload)</t>
  </si>
  <si>
    <t>FNS SNAP ICR Federal Cost Estimate (OMB Control No. 0584-0479)</t>
  </si>
  <si>
    <t>Estimated Total Annual Burden Hours </t>
  </si>
  <si>
    <r>
      <t>Estimated Hourly Wage Rate</t>
    </r>
    <r>
      <rPr>
        <i/>
        <sz val="11"/>
        <color rgb="FF000000"/>
        <rFont val="Calibri"/>
        <family val="2"/>
        <scheme val="minor"/>
      </rPr>
      <t> </t>
    </r>
  </si>
  <si>
    <r>
      <t>Cost (US$) (approx.)</t>
    </r>
    <r>
      <rPr>
        <i/>
        <sz val="11"/>
        <color rgb="FF000000"/>
        <rFont val="Calibri"/>
        <family val="2"/>
        <scheme val="minor"/>
      </rPr>
      <t> </t>
    </r>
  </si>
  <si>
    <t>Drafting – National Office Program Analyst (GS 13/1)</t>
  </si>
  <si>
    <t>Reviewing – National Office Branch Chief (14/1)</t>
  </si>
  <si>
    <t>Costs to Federal Workers  </t>
  </si>
  <si>
    <t xml:space="preserve">Add 50% Federal Share of State Cost </t>
  </si>
  <si>
    <t>Total Cost to Federal Government (Federal workers cost + 50% State Cost) </t>
  </si>
  <si>
    <t>Burden Activity</t>
  </si>
  <si>
    <t>Start-Up Costs</t>
  </si>
  <si>
    <t>Estimated Start-Up Costs (Before 50% Federal reimbursement offset)</t>
  </si>
  <si>
    <t>Ongoing Costs</t>
  </si>
  <si>
    <t>Additional issuance of of the Consolidated Work Notice for ABAWDs newly subject to the work requirement</t>
  </si>
  <si>
    <t>Additional issuance of the Notice of Adverse Action for ABAWDs newly subject to the work requirement who do not meet it</t>
  </si>
  <si>
    <t>Estimated Ongoing Costs (Before 50% Federal reimbursement offset)</t>
  </si>
  <si>
    <t>Estimated Total Cost to State Agencies (Before 50% Federal reimbursement offset)</t>
  </si>
  <si>
    <t>Total Cost to State Agencies (State worker cost minus 50% Federal reimbursement)</t>
  </si>
  <si>
    <t>FNS SNAP ICR Labor Rates (OMB Control No. 0584-0479)</t>
  </si>
  <si>
    <t>Type</t>
  </si>
  <si>
    <t>Updated Estimate</t>
  </si>
  <si>
    <t>State Agency Program Staff</t>
  </si>
  <si>
    <t xml:space="preserve">Bureau of Labor Statistics (BLS) Occupational Employment and Wages Statistics data from May 2023; Occupation Code 43-4061 Eligibility Interviewers, Government Programs, Median Hourly Wage Rate = $24.17. Available at https://www.bls.gov/oes/2023/may/oes_nat.htm. We have multiplied this wage rate by 1.33 to represent fully-loaded wages, resulting in a reimbursement value of $32.15 ($24.17 x 1.33) per burden hour. </t>
  </si>
  <si>
    <t>State Agency Program Manager</t>
  </si>
  <si>
    <t xml:space="preserve">Bureau of Labor Statistics (BLS) Occupational Employment and Wages Statistics data from May 2023; Occupation Code 11-9151 Social and Community Service Managers, Median Hourly Wage Rate for State Government = $39.92. Available at https://www.bls.gov/oes/2023/may/naics4_999200.htm#11-9151. We have multiplied this wage rate by 1.33 to represent fully-loaded wages, resulting in a reimbursement value of $53.09 ($39.92 x 1.33) per burden hour. </t>
  </si>
  <si>
    <t>Computer Developers</t>
  </si>
  <si>
    <t xml:space="preserve">Bureau of Labor Statistics (BLS) Occupational Employment and Wages Statistics data from May 2023; Occupation Code 15-0000 Computer and Mathematical Operations, Median Hourly Wage Rate for State Government = $39.82. Available at https://www.bls.gov/oes/2023/may/naics4_999200.htm#15-0000. We have multiplied this wage rate by 1.33 to represent fully-loaded wages, resulting in a reimbursement value of $52.96 ($39.82 x 1.33) per burden hour. </t>
  </si>
  <si>
    <t>Program Analyst (GS-13/1) </t>
  </si>
  <si>
    <t>OPM Salary Table data for 2024, including locality pay for Washington-Baltimore-Arlington, DC-MD-WV-PA, for GS-13/1 = $56.52. Available at https://www.opm.gov/policy-data-oversight/pay-leave/salaries-wages/salary-tables/24Tables/html/DCB_h.aspx. We have multiplied this wage rate by 1.33 to represent fully-loaded wages.</t>
  </si>
  <si>
    <r>
      <t>Branch Chief </t>
    </r>
    <r>
      <rPr>
        <strike/>
        <sz val="10"/>
        <color rgb="FFD13438"/>
        <rFont val="Calibri"/>
        <family val="2"/>
        <scheme val="minor"/>
      </rPr>
      <t xml:space="preserve"> </t>
    </r>
    <r>
      <rPr>
        <sz val="10"/>
        <color rgb="FF000000"/>
        <rFont val="Calibri"/>
        <family val="2"/>
        <scheme val="minor"/>
      </rPr>
      <t>(GS-14/1) </t>
    </r>
  </si>
  <si>
    <t>OPM Salary Table data for 2024, including locality pay for Washington-Baltimore-Arlington, DC-MD-WV-PA, for GS-14/1 = $66.79. Available at https://www.opm.gov/policy-data-oversight/pay-leave/salaries-wages/salary-tables/24Tables/html/DCB_h.aspx. We have multiplied this wage rate by 1.33 to represent fully-loaded wages.</t>
  </si>
  <si>
    <t>Public</t>
  </si>
  <si>
    <t>Bureau of Labor Statistics (BLS) Current Population Survey data for median weekly earnings for full time workers over age 16 over last four quarters (Q3 2023 through Q2 2024). Available at: https://beta.bls.gov/dataViewer/view/timeseries/LES1252881500. We have converted the earnings into an hourly wage rate and applied a 20 percent reduction to account for taxes and other work-related costs ($1,137 / 40 = $28.43 * 0.80 = $22.74).</t>
  </si>
  <si>
    <t>Additional review of the Consolidated Work Notice for ABAWDs newly subject to the work requirement</t>
  </si>
  <si>
    <t>Additional review of the Notice of Adverse Action for ABAWDs newly subject to the work requirement who do not meet it</t>
  </si>
  <si>
    <t>Total Costs to Respondents (State Agencies + Individuals)</t>
  </si>
  <si>
    <t>Estimated Total Costs to Individuals</t>
  </si>
  <si>
    <t>Preparation of Information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</si>
</sst>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quot;$&quot;#,##0.00"/>
    <numFmt numFmtId="165" formatCode="0.000"/>
    <numFmt numFmtId="166" formatCode="#,##0.000"/>
    <numFmt numFmtId="167" formatCode="#,##0.0000"/>
  </numFmts>
  <fonts count="20" x14ac:knownFonts="1">
    <font>
      <sz val="11"/>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b/>
      <sz val="10"/>
      <color rgb="FF000000"/>
      <name val="Calibri"/>
      <family val="2"/>
      <scheme val="minor"/>
    </font>
    <font>
      <b/>
      <sz val="11"/>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i/>
      <sz val="11"/>
      <color rgb="FF000000"/>
      <name val="Calibri"/>
      <family val="2"/>
      <scheme val="minor"/>
    </font>
    <font>
      <sz val="11"/>
      <color rgb="FF000000"/>
      <name val="Calibri"/>
      <family val="2"/>
      <scheme val="minor"/>
    </font>
    <font>
      <strike/>
      <sz val="10"/>
      <color rgb="FFD13438"/>
      <name val="Calibri"/>
      <family val="2"/>
      <scheme val="minor"/>
    </font>
    <font>
      <b/>
      <sz val="10"/>
      <color theme="1"/>
      <name val="Calibri"/>
      <family val="2"/>
      <scheme val="minor"/>
    </font>
    <font>
      <i/>
      <sz val="10"/>
      <color rgb="FF000000"/>
      <name val="Calibri"/>
      <family val="2"/>
      <scheme val="minor"/>
    </font>
    <font>
      <sz val="10"/>
      <color rgb="FF000000"/>
      <name val="Calibri"/>
    </font>
    <font>
      <sz val="10"/>
      <name val="Calibri"/>
    </font>
    <font>
      <i/>
      <sz val="10"/>
      <color rgb="FF000000"/>
      <name val="Calibri"/>
    </font>
    <font>
      <sz val="11"/>
      <color rgb="FF000000"/>
      <name val="Calibri"/>
      <family val="2"/>
    </font>
    <font>
      <b/>
      <i/>
      <sz val="11"/>
      <color rgb="FF000000"/>
      <name val="Times New Roman"/>
      <family val="1"/>
    </font>
    <font>
      <b/>
      <i/>
      <sz val="11"/>
      <color rgb="FF00000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2" tint="-0.249977111117893"/>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thin">
        <color indexed="64"/>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medium">
        <color rgb="FF000000"/>
      </left>
      <right style="thin">
        <color indexed="64"/>
      </right>
      <top/>
      <bottom style="thin">
        <color indexed="64"/>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style="medium">
        <color indexed="64"/>
      </left>
      <right style="thin">
        <color rgb="FF000000"/>
      </right>
      <top/>
      <bottom style="medium">
        <color indexed="64"/>
      </bottom>
      <diagonal/>
    </border>
    <border>
      <left style="medium">
        <color rgb="FF000000"/>
      </left>
      <right style="thin">
        <color rgb="FF000000"/>
      </right>
      <top style="thin">
        <color rgb="FF000000"/>
      </top>
      <bottom style="medium">
        <color rgb="FF000000"/>
      </bottom>
      <diagonal/>
    </border>
    <border>
      <left style="thin">
        <color indexed="64"/>
      </left>
      <right/>
      <top style="thin">
        <color indexed="64"/>
      </top>
      <bottom style="medium">
        <color rgb="FF000000"/>
      </bottom>
      <diagonal/>
    </border>
    <border>
      <left style="thin">
        <color indexed="64"/>
      </left>
      <right style="thin">
        <color indexed="64"/>
      </right>
      <top/>
      <bottom style="thin">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bottom/>
      <diagonal/>
    </border>
    <border>
      <left style="medium">
        <color rgb="FF000000"/>
      </left>
      <right/>
      <top style="medium">
        <color rgb="FF000000"/>
      </top>
      <bottom/>
      <diagonal/>
    </border>
    <border>
      <left style="medium">
        <color indexed="64"/>
      </left>
      <right/>
      <top style="medium">
        <color rgb="FF000000"/>
      </top>
      <bottom/>
      <diagonal/>
    </border>
    <border>
      <left style="medium">
        <color indexed="64"/>
      </left>
      <right style="medium">
        <color rgb="FF000000"/>
      </right>
      <top style="medium">
        <color rgb="FF000000"/>
      </top>
      <bottom/>
      <diagonal/>
    </border>
    <border>
      <left style="thin">
        <color indexed="64"/>
      </left>
      <right/>
      <top/>
      <bottom style="medium">
        <color rgb="FF000000"/>
      </bottom>
      <diagonal/>
    </border>
    <border>
      <left style="thin">
        <color indexed="64"/>
      </left>
      <right style="medium">
        <color rgb="FF000000"/>
      </right>
      <top/>
      <bottom style="medium">
        <color rgb="FF000000"/>
      </bottom>
      <diagonal/>
    </border>
    <border>
      <left style="medium">
        <color rgb="FF000000"/>
      </left>
      <right/>
      <top/>
      <bottom style="thin">
        <color indexed="64"/>
      </bottom>
      <diagonal/>
    </border>
  </borders>
  <cellStyleXfs count="2">
    <xf numFmtId="0" fontId="0" fillId="0" borderId="0"/>
    <xf numFmtId="44" fontId="2" fillId="0" borderId="0" applyFont="0" applyFill="0" applyBorder="0" applyAlignment="0" applyProtection="0"/>
  </cellStyleXfs>
  <cellXfs count="339">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vertical="center"/>
    </xf>
    <xf numFmtId="0" fontId="1" fillId="0" borderId="1" xfId="0" applyFont="1" applyBorder="1" applyAlignment="1">
      <alignment horizontal="center" vertical="center"/>
    </xf>
    <xf numFmtId="44" fontId="0" fillId="0" borderId="0" xfId="1" applyFont="1" applyAlignment="1">
      <alignment horizontal="center"/>
    </xf>
    <xf numFmtId="164" fontId="0" fillId="0" borderId="0" xfId="0" applyNumberFormat="1"/>
    <xf numFmtId="3" fontId="8" fillId="0" borderId="1" xfId="0" applyNumberFormat="1" applyFont="1" applyBorder="1" applyAlignment="1">
      <alignment horizontal="center" vertical="center"/>
    </xf>
    <xf numFmtId="3" fontId="1" fillId="0" borderId="11" xfId="0" applyNumberFormat="1" applyFont="1" applyBorder="1" applyAlignment="1">
      <alignment horizontal="center" vertical="center"/>
    </xf>
    <xf numFmtId="3" fontId="7" fillId="0" borderId="14" xfId="0" applyNumberFormat="1" applyFont="1" applyBorder="1" applyAlignment="1">
      <alignment horizontal="center" vertical="center" wrapText="1"/>
    </xf>
    <xf numFmtId="0" fontId="1" fillId="0" borderId="10" xfId="0" applyFont="1" applyBorder="1" applyAlignment="1">
      <alignment horizontal="left" vertical="center" wrapText="1"/>
    </xf>
    <xf numFmtId="3" fontId="8" fillId="0" borderId="17" xfId="0" applyNumberFormat="1" applyFont="1" applyBorder="1" applyAlignment="1">
      <alignment horizontal="center" vertical="center"/>
    </xf>
    <xf numFmtId="3" fontId="8" fillId="0" borderId="8" xfId="0" applyNumberFormat="1" applyFont="1" applyBorder="1" applyAlignment="1">
      <alignment horizontal="center" vertical="center"/>
    </xf>
    <xf numFmtId="0" fontId="1" fillId="0" borderId="17" xfId="0" applyFont="1" applyBorder="1" applyAlignment="1">
      <alignment horizontal="center" vertical="center"/>
    </xf>
    <xf numFmtId="164" fontId="8" fillId="0" borderId="17" xfId="1" applyNumberFormat="1" applyFont="1" applyFill="1" applyBorder="1" applyAlignment="1">
      <alignment horizontal="center" vertical="center"/>
    </xf>
    <xf numFmtId="3" fontId="1" fillId="0" borderId="16" xfId="0" applyNumberFormat="1" applyFont="1" applyBorder="1" applyAlignment="1">
      <alignment horizontal="center" vertical="center"/>
    </xf>
    <xf numFmtId="0" fontId="4" fillId="0" borderId="14" xfId="0" applyFont="1" applyBorder="1" applyAlignment="1">
      <alignment horizontal="center" vertical="center" wrapText="1"/>
    </xf>
    <xf numFmtId="0" fontId="7" fillId="0" borderId="14" xfId="0" applyFont="1" applyBorder="1" applyAlignment="1">
      <alignment horizontal="center" vertical="center" wrapText="1"/>
    </xf>
    <xf numFmtId="3" fontId="0" fillId="0" borderId="0" xfId="0" applyNumberFormat="1"/>
    <xf numFmtId="4" fontId="1" fillId="0" borderId="17" xfId="0" applyNumberFormat="1" applyFont="1" applyBorder="1" applyAlignment="1">
      <alignment horizontal="center" vertical="center"/>
    </xf>
    <xf numFmtId="3" fontId="8" fillId="0" borderId="20" xfId="0" applyNumberFormat="1" applyFont="1" applyBorder="1" applyAlignment="1">
      <alignment horizontal="center" vertical="center"/>
    </xf>
    <xf numFmtId="0" fontId="0" fillId="0" borderId="0" xfId="0" applyAlignment="1">
      <alignment horizontal="center" vertical="center"/>
    </xf>
    <xf numFmtId="0" fontId="6" fillId="0" borderId="7" xfId="0" applyFont="1" applyBorder="1" applyAlignment="1">
      <alignment vertical="center" wrapText="1"/>
    </xf>
    <xf numFmtId="164" fontId="1" fillId="0" borderId="8" xfId="0" applyNumberFormat="1" applyFont="1" applyBorder="1" applyAlignment="1">
      <alignment horizontal="center"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164" fontId="1" fillId="0" borderId="1" xfId="0" applyNumberFormat="1" applyFont="1" applyBorder="1" applyAlignment="1">
      <alignment horizontal="center" vertical="center"/>
    </xf>
    <xf numFmtId="0" fontId="1" fillId="0" borderId="18" xfId="0" applyFont="1" applyBorder="1" applyAlignment="1">
      <alignment horizontal="left" vertical="center"/>
    </xf>
    <xf numFmtId="164" fontId="1" fillId="0" borderId="20" xfId="0" applyNumberFormat="1" applyFont="1" applyBorder="1" applyAlignment="1">
      <alignment horizontal="center" vertical="center"/>
    </xf>
    <xf numFmtId="8" fontId="8" fillId="0" borderId="17" xfId="0" applyNumberFormat="1" applyFont="1" applyBorder="1" applyAlignment="1">
      <alignment horizontal="center" vertical="center"/>
    </xf>
    <xf numFmtId="3" fontId="10" fillId="0" borderId="1" xfId="0" applyNumberFormat="1" applyFont="1" applyBorder="1" applyAlignment="1">
      <alignment horizontal="center" vertical="center" wrapText="1"/>
    </xf>
    <xf numFmtId="164" fontId="10" fillId="0" borderId="11" xfId="0" applyNumberFormat="1" applyFont="1" applyBorder="1" applyAlignment="1">
      <alignment horizontal="center" vertical="center" wrapText="1"/>
    </xf>
    <xf numFmtId="0" fontId="1" fillId="0" borderId="4" xfId="0" applyFont="1" applyBorder="1" applyAlignment="1">
      <alignment vertical="center" wrapText="1"/>
    </xf>
    <xf numFmtId="164" fontId="10" fillId="0" borderId="4" xfId="0" applyNumberFormat="1" applyFont="1" applyBorder="1" applyAlignment="1">
      <alignment horizontal="center" vertical="center" wrapText="1"/>
    </xf>
    <xf numFmtId="4" fontId="1" fillId="0" borderId="1" xfId="0" applyNumberFormat="1" applyFont="1" applyBorder="1" applyAlignment="1">
      <alignment horizontal="center" vertical="center"/>
    </xf>
    <xf numFmtId="165" fontId="8" fillId="0" borderId="1" xfId="0" applyNumberFormat="1" applyFont="1" applyBorder="1" applyAlignment="1">
      <alignment horizontal="center" vertical="center"/>
    </xf>
    <xf numFmtId="8" fontId="8" fillId="0" borderId="1" xfId="0" applyNumberFormat="1" applyFont="1" applyBorder="1" applyAlignment="1">
      <alignment horizontal="center" vertical="center"/>
    </xf>
    <xf numFmtId="4" fontId="1" fillId="0" borderId="20" xfId="0" applyNumberFormat="1" applyFont="1" applyBorder="1" applyAlignment="1">
      <alignment horizontal="center" vertical="center"/>
    </xf>
    <xf numFmtId="8" fontId="8" fillId="0" borderId="20" xfId="0" applyNumberFormat="1" applyFont="1" applyBorder="1" applyAlignment="1">
      <alignment horizontal="center" vertical="center"/>
    </xf>
    <xf numFmtId="3" fontId="1" fillId="0" borderId="19" xfId="0" applyNumberFormat="1" applyFont="1" applyBorder="1" applyAlignment="1">
      <alignment horizontal="center" vertical="center"/>
    </xf>
    <xf numFmtId="0" fontId="1" fillId="0" borderId="20" xfId="0" applyFont="1" applyBorder="1" applyAlignment="1">
      <alignment horizontal="center" vertical="center"/>
    </xf>
    <xf numFmtId="165" fontId="8" fillId="0" borderId="17" xfId="0" applyNumberFormat="1" applyFont="1" applyBorder="1" applyAlignment="1">
      <alignment horizontal="center" vertical="center"/>
    </xf>
    <xf numFmtId="0" fontId="7"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10" fillId="0" borderId="15" xfId="0" applyFont="1" applyBorder="1" applyAlignment="1">
      <alignment horizontal="left" wrapText="1"/>
    </xf>
    <xf numFmtId="0" fontId="10" fillId="0" borderId="17" xfId="0" applyFont="1" applyBorder="1" applyAlignment="1">
      <alignment horizontal="center" vertical="center" wrapText="1"/>
    </xf>
    <xf numFmtId="164" fontId="0" fillId="0" borderId="17" xfId="0" applyNumberFormat="1" applyBorder="1" applyAlignment="1">
      <alignment horizontal="center" vertical="center"/>
    </xf>
    <xf numFmtId="164" fontId="10" fillId="0" borderId="16" xfId="0" applyNumberFormat="1" applyFont="1" applyBorder="1" applyAlignment="1">
      <alignment horizontal="center" vertical="center" wrapText="1"/>
    </xf>
    <xf numFmtId="0" fontId="10" fillId="0" borderId="2" xfId="0" applyFont="1" applyBorder="1" applyAlignment="1">
      <alignment horizontal="left" wrapText="1"/>
    </xf>
    <xf numFmtId="0" fontId="10" fillId="0" borderId="3" xfId="0" applyFont="1" applyBorder="1" applyAlignment="1">
      <alignment horizontal="center" vertical="center" wrapText="1"/>
    </xf>
    <xf numFmtId="164" fontId="0" fillId="0" borderId="3" xfId="0" applyNumberFormat="1" applyBorder="1" applyAlignment="1">
      <alignment horizontal="center" vertical="center"/>
    </xf>
    <xf numFmtId="164" fontId="5" fillId="0" borderId="30" xfId="0" applyNumberFormat="1" applyFont="1" applyBorder="1" applyAlignment="1">
      <alignment horizontal="center" vertical="center" wrapText="1"/>
    </xf>
    <xf numFmtId="3" fontId="10" fillId="0" borderId="3" xfId="0" applyNumberFormat="1" applyFont="1" applyBorder="1" applyAlignment="1">
      <alignment horizontal="center" vertical="center" wrapText="1"/>
    </xf>
    <xf numFmtId="0" fontId="0" fillId="0" borderId="15" xfId="0" applyBorder="1" applyAlignment="1">
      <alignment horizontal="left" vertical="center" wrapText="1"/>
    </xf>
    <xf numFmtId="0" fontId="0" fillId="0" borderId="10" xfId="0" applyBorder="1" applyAlignment="1">
      <alignment horizontal="left" vertical="center" wrapText="1"/>
    </xf>
    <xf numFmtId="0" fontId="1" fillId="0" borderId="7" xfId="0" applyFont="1" applyBorder="1" applyAlignment="1">
      <alignment horizontal="left" vertical="center" wrapText="1"/>
    </xf>
    <xf numFmtId="0" fontId="1" fillId="0" borderId="0" xfId="0" applyFont="1"/>
    <xf numFmtId="3" fontId="1" fillId="0" borderId="1" xfId="0" applyNumberFormat="1" applyFont="1" applyBorder="1" applyAlignment="1">
      <alignment horizontal="center" vertical="center"/>
    </xf>
    <xf numFmtId="164" fontId="10" fillId="0" borderId="1" xfId="0" applyNumberFormat="1" applyFont="1" applyBorder="1" applyAlignment="1">
      <alignment horizontal="center" vertical="center"/>
    </xf>
    <xf numFmtId="164" fontId="10"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xf>
    <xf numFmtId="3" fontId="7" fillId="0" borderId="29" xfId="0" applyNumberFormat="1" applyFont="1" applyBorder="1" applyAlignment="1">
      <alignment horizontal="center" vertical="center" wrapText="1"/>
    </xf>
    <xf numFmtId="0" fontId="4" fillId="0" borderId="36" xfId="0" applyFont="1" applyBorder="1" applyAlignment="1">
      <alignment horizontal="center" vertical="center" wrapText="1"/>
    </xf>
    <xf numFmtId="0" fontId="4" fillId="0" borderId="29"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1" fillId="0" borderId="8" xfId="0" applyFont="1" applyBorder="1" applyAlignment="1">
      <alignment horizontal="center" vertical="center" wrapText="1"/>
    </xf>
    <xf numFmtId="167" fontId="1" fillId="0" borderId="8" xfId="0" applyNumberFormat="1" applyFont="1" applyBorder="1" applyAlignment="1">
      <alignment horizontal="center" vertical="center"/>
    </xf>
    <xf numFmtId="8" fontId="8" fillId="0" borderId="8" xfId="0" applyNumberFormat="1" applyFont="1" applyBorder="1" applyAlignment="1">
      <alignment horizontal="center" vertical="center"/>
    </xf>
    <xf numFmtId="3" fontId="1" fillId="0" borderId="9" xfId="0" applyNumberFormat="1" applyFont="1" applyBorder="1" applyAlignment="1">
      <alignment horizontal="center" vertical="center"/>
    </xf>
    <xf numFmtId="3" fontId="1" fillId="0" borderId="20" xfId="0" applyNumberFormat="1" applyFont="1" applyBorder="1" applyAlignment="1">
      <alignment horizontal="center" vertical="center"/>
    </xf>
    <xf numFmtId="165" fontId="8" fillId="0" borderId="20" xfId="0" applyNumberFormat="1" applyFont="1" applyBorder="1" applyAlignment="1">
      <alignment horizontal="center" vertical="center"/>
    </xf>
    <xf numFmtId="0" fontId="1" fillId="0" borderId="7" xfId="0" applyFont="1" applyBorder="1" applyAlignment="1">
      <alignment vertical="center" wrapText="1"/>
    </xf>
    <xf numFmtId="164" fontId="10" fillId="0" borderId="8" xfId="0" applyNumberFormat="1" applyFont="1" applyBorder="1" applyAlignment="1">
      <alignment horizontal="center" vertical="center" wrapText="1"/>
    </xf>
    <xf numFmtId="164" fontId="10" fillId="0" borderId="9" xfId="0" applyNumberFormat="1" applyFont="1" applyBorder="1" applyAlignment="1">
      <alignment horizontal="center" vertical="center" wrapText="1"/>
    </xf>
    <xf numFmtId="0" fontId="1" fillId="0" borderId="10" xfId="0" applyFont="1" applyBorder="1" applyAlignment="1">
      <alignment vertical="center" wrapText="1"/>
    </xf>
    <xf numFmtId="0" fontId="8" fillId="0" borderId="10" xfId="0" applyFont="1" applyBorder="1" applyAlignment="1">
      <alignment vertical="center" wrapText="1"/>
    </xf>
    <xf numFmtId="0" fontId="1" fillId="0" borderId="2" xfId="0" applyFont="1" applyBorder="1" applyAlignment="1">
      <alignment wrapText="1"/>
    </xf>
    <xf numFmtId="164" fontId="10" fillId="0" borderId="3" xfId="0" applyNumberFormat="1" applyFont="1" applyBorder="1" applyAlignment="1">
      <alignment horizontal="center" vertical="center" wrapText="1"/>
    </xf>
    <xf numFmtId="3" fontId="10" fillId="0" borderId="17" xfId="0" applyNumberFormat="1" applyFont="1" applyBorder="1" applyAlignment="1">
      <alignment horizontal="center" vertical="center" wrapText="1"/>
    </xf>
    <xf numFmtId="164" fontId="10" fillId="0" borderId="17" xfId="0" applyNumberFormat="1" applyFont="1" applyBorder="1" applyAlignment="1">
      <alignment horizontal="center" vertic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164" fontId="5" fillId="0" borderId="22" xfId="0" applyNumberFormat="1" applyFont="1" applyBorder="1" applyAlignment="1">
      <alignment horizontal="center" vertical="center" wrapText="1"/>
    </xf>
    <xf numFmtId="0" fontId="5" fillId="0" borderId="23" xfId="0" applyFont="1" applyBorder="1" applyAlignment="1">
      <alignment horizontal="center" vertical="center" wrapText="1"/>
    </xf>
    <xf numFmtId="0" fontId="4" fillId="0" borderId="19" xfId="0" applyFont="1" applyBorder="1" applyAlignment="1">
      <alignment horizontal="center" vertical="center"/>
    </xf>
    <xf numFmtId="0" fontId="1" fillId="0" borderId="9" xfId="0" applyFont="1" applyBorder="1" applyAlignment="1">
      <alignment vertical="center" wrapText="1"/>
    </xf>
    <xf numFmtId="0" fontId="1" fillId="0" borderId="11"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vertical="center" wrapText="1"/>
    </xf>
    <xf numFmtId="0" fontId="3" fillId="0" borderId="34" xfId="0" applyFont="1" applyBorder="1" applyAlignment="1">
      <alignment horizontal="center" vertical="center"/>
    </xf>
    <xf numFmtId="3" fontId="8" fillId="0" borderId="26" xfId="0" applyNumberFormat="1" applyFont="1" applyBorder="1" applyAlignment="1">
      <alignment horizontal="center" vertical="center"/>
    </xf>
    <xf numFmtId="3" fontId="8" fillId="0" borderId="37" xfId="0" applyNumberFormat="1" applyFont="1" applyBorder="1" applyAlignment="1">
      <alignment horizontal="center" vertical="center"/>
    </xf>
    <xf numFmtId="3" fontId="8" fillId="0" borderId="38" xfId="0" applyNumberFormat="1" applyFont="1" applyBorder="1" applyAlignment="1">
      <alignment horizontal="center" vertical="center"/>
    </xf>
    <xf numFmtId="3" fontId="8" fillId="0" borderId="39" xfId="0" applyNumberFormat="1" applyFont="1" applyBorder="1" applyAlignment="1">
      <alignment horizontal="center" vertical="center"/>
    </xf>
    <xf numFmtId="0" fontId="4" fillId="0" borderId="20" xfId="0" applyFont="1" applyBorder="1" applyAlignment="1">
      <alignment horizontal="center" vertical="center"/>
    </xf>
    <xf numFmtId="0" fontId="1" fillId="0" borderId="17" xfId="0" applyFont="1" applyBorder="1" applyAlignment="1">
      <alignment horizontal="center" vertical="center" wrapText="1"/>
    </xf>
    <xf numFmtId="3" fontId="1" fillId="0" borderId="17" xfId="0" applyNumberFormat="1" applyFont="1" applyBorder="1" applyAlignment="1">
      <alignment horizontal="center" vertical="center"/>
    </xf>
    <xf numFmtId="167" fontId="1" fillId="0" borderId="17" xfId="0" applyNumberFormat="1" applyFont="1" applyBorder="1" applyAlignment="1">
      <alignment horizontal="center" vertical="center"/>
    </xf>
    <xf numFmtId="0" fontId="6" fillId="0" borderId="1" xfId="0" applyFont="1" applyBorder="1" applyAlignment="1">
      <alignment horizontal="center" vertical="center" wrapText="1"/>
    </xf>
    <xf numFmtId="3" fontId="6" fillId="0" borderId="8" xfId="0" applyNumberFormat="1" applyFont="1" applyBorder="1" applyAlignment="1">
      <alignment horizontal="center" vertical="center"/>
    </xf>
    <xf numFmtId="3" fontId="6" fillId="0" borderId="17" xfId="0" applyNumberFormat="1" applyFont="1" applyBorder="1" applyAlignment="1">
      <alignment horizontal="center" vertical="center"/>
    </xf>
    <xf numFmtId="0" fontId="4" fillId="0" borderId="24" xfId="0" applyFont="1" applyBorder="1" applyAlignment="1">
      <alignment horizontal="center" vertical="center" wrapText="1"/>
    </xf>
    <xf numFmtId="0" fontId="1" fillId="0" borderId="15" xfId="0" applyFont="1" applyBorder="1" applyAlignment="1">
      <alignment vertical="center" wrapText="1"/>
    </xf>
    <xf numFmtId="0" fontId="6" fillId="0" borderId="15" xfId="0" applyFont="1" applyBorder="1" applyAlignment="1">
      <alignment horizontal="left" vertical="center" wrapText="1"/>
    </xf>
    <xf numFmtId="0" fontId="1" fillId="0" borderId="3" xfId="0" applyFont="1" applyBorder="1" applyAlignment="1">
      <alignment horizontal="center" vertical="center"/>
    </xf>
    <xf numFmtId="4" fontId="1" fillId="0" borderId="3" xfId="0" applyNumberFormat="1" applyFont="1" applyBorder="1" applyAlignment="1">
      <alignment horizontal="center" vertical="center"/>
    </xf>
    <xf numFmtId="3" fontId="1" fillId="0" borderId="3" xfId="0" applyNumberFormat="1" applyFont="1" applyBorder="1" applyAlignment="1">
      <alignment horizontal="center" vertical="center"/>
    </xf>
    <xf numFmtId="0" fontId="1" fillId="0" borderId="15"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center" vertical="center" wrapText="1"/>
    </xf>
    <xf numFmtId="3" fontId="8" fillId="0" borderId="3" xfId="0" applyNumberFormat="1" applyFont="1" applyBorder="1" applyAlignment="1">
      <alignment horizontal="center" vertical="center"/>
    </xf>
    <xf numFmtId="165" fontId="8" fillId="0" borderId="3" xfId="0" applyNumberFormat="1" applyFont="1" applyBorder="1" applyAlignment="1">
      <alignment horizontal="center" vertical="center"/>
    </xf>
    <xf numFmtId="8" fontId="8" fillId="0" borderId="3" xfId="0" applyNumberFormat="1" applyFont="1" applyBorder="1" applyAlignment="1">
      <alignment horizontal="center" vertical="center"/>
    </xf>
    <xf numFmtId="3" fontId="8" fillId="0" borderId="47" xfId="0" applyNumberFormat="1" applyFont="1" applyBorder="1" applyAlignment="1">
      <alignment horizontal="center" vertical="center"/>
    </xf>
    <xf numFmtId="3" fontId="1" fillId="0" borderId="4" xfId="0" applyNumberFormat="1" applyFont="1" applyBorder="1" applyAlignment="1">
      <alignment horizontal="center" vertical="center"/>
    </xf>
    <xf numFmtId="0" fontId="6" fillId="0" borderId="15" xfId="0" applyFont="1" applyBorder="1" applyAlignment="1">
      <alignment vertical="center" wrapText="1"/>
    </xf>
    <xf numFmtId="164" fontId="1" fillId="0" borderId="17" xfId="0" applyNumberFormat="1" applyFont="1" applyBorder="1" applyAlignment="1">
      <alignment horizontal="center" vertical="center" wrapText="1"/>
    </xf>
    <xf numFmtId="0" fontId="0" fillId="0" borderId="0" xfId="0" applyAlignment="1">
      <alignment horizontal="left" wrapText="1"/>
    </xf>
    <xf numFmtId="0" fontId="6" fillId="0" borderId="16" xfId="0" applyFont="1" applyBorder="1" applyAlignment="1">
      <alignment horizontal="left" vertical="center" wrapText="1"/>
    </xf>
    <xf numFmtId="0" fontId="6" fillId="0" borderId="10" xfId="0" applyFont="1" applyBorder="1" applyAlignment="1">
      <alignment vertical="center" wrapText="1"/>
    </xf>
    <xf numFmtId="0" fontId="6" fillId="0" borderId="11" xfId="0" applyFont="1" applyBorder="1" applyAlignment="1">
      <alignment horizontal="left" vertical="center" wrapText="1"/>
    </xf>
    <xf numFmtId="164" fontId="10" fillId="0" borderId="17" xfId="0" applyNumberFormat="1" applyFont="1" applyBorder="1" applyAlignment="1">
      <alignment horizontal="center" vertical="center" wrapText="1"/>
    </xf>
    <xf numFmtId="0" fontId="6" fillId="0" borderId="18" xfId="0" applyFont="1" applyBorder="1" applyAlignment="1">
      <alignment horizontal="left" vertical="center" wrapText="1"/>
    </xf>
    <xf numFmtId="3" fontId="10" fillId="0" borderId="20" xfId="0" applyNumberFormat="1" applyFont="1" applyBorder="1" applyAlignment="1">
      <alignment horizontal="center" vertical="center" wrapText="1"/>
    </xf>
    <xf numFmtId="164" fontId="10" fillId="0" borderId="20" xfId="0" applyNumberFormat="1" applyFont="1" applyBorder="1" applyAlignment="1">
      <alignment horizontal="center" vertical="center" wrapText="1"/>
    </xf>
    <xf numFmtId="164" fontId="10" fillId="0" borderId="19" xfId="0" applyNumberFormat="1" applyFont="1" applyBorder="1" applyAlignment="1">
      <alignment horizontal="center" vertical="center" wrapText="1"/>
    </xf>
    <xf numFmtId="3" fontId="10" fillId="0" borderId="8" xfId="0" applyNumberFormat="1" applyFont="1" applyBorder="1" applyAlignment="1">
      <alignment horizontal="center" vertical="center" wrapText="1"/>
    </xf>
    <xf numFmtId="0" fontId="6" fillId="0" borderId="3" xfId="0" applyFont="1" applyBorder="1" applyAlignment="1">
      <alignment horizontal="center" vertical="center" wrapText="1"/>
    </xf>
    <xf numFmtId="3" fontId="1" fillId="0" borderId="35" xfId="0" applyNumberFormat="1" applyFont="1" applyBorder="1" applyAlignment="1">
      <alignment horizontal="center" vertical="center"/>
    </xf>
    <xf numFmtId="3" fontId="8" fillId="0" borderId="35" xfId="0" applyNumberFormat="1" applyFont="1" applyBorder="1" applyAlignment="1">
      <alignment horizontal="center" vertical="center"/>
    </xf>
    <xf numFmtId="8" fontId="8" fillId="0" borderId="35" xfId="0" applyNumberFormat="1" applyFont="1" applyBorder="1" applyAlignment="1">
      <alignment horizontal="center" vertical="center"/>
    </xf>
    <xf numFmtId="0" fontId="1" fillId="0" borderId="19" xfId="0" applyFont="1" applyBorder="1" applyAlignment="1">
      <alignment horizontal="left" vertical="center" wrapText="1"/>
    </xf>
    <xf numFmtId="1" fontId="1" fillId="0" borderId="8" xfId="0" applyNumberFormat="1" applyFont="1" applyBorder="1" applyAlignment="1">
      <alignment horizontal="center" vertical="center"/>
    </xf>
    <xf numFmtId="1" fontId="1" fillId="0" borderId="1" xfId="0" applyNumberFormat="1" applyFont="1" applyBorder="1" applyAlignment="1">
      <alignment horizontal="center" vertical="center"/>
    </xf>
    <xf numFmtId="1" fontId="1" fillId="0" borderId="20" xfId="0" applyNumberFormat="1" applyFont="1" applyBorder="1" applyAlignment="1">
      <alignment horizontal="center" vertical="center"/>
    </xf>
    <xf numFmtId="4" fontId="7" fillId="7" borderId="52" xfId="0" applyNumberFormat="1" applyFont="1" applyFill="1" applyBorder="1" applyAlignment="1">
      <alignment horizontal="center" vertical="center" wrapText="1"/>
    </xf>
    <xf numFmtId="3" fontId="7" fillId="7" borderId="52" xfId="0" applyNumberFormat="1" applyFont="1" applyFill="1" applyBorder="1" applyAlignment="1">
      <alignment horizontal="center" vertical="center" wrapText="1"/>
    </xf>
    <xf numFmtId="166" fontId="7" fillId="7" borderId="52" xfId="0" applyNumberFormat="1" applyFont="1" applyFill="1" applyBorder="1" applyAlignment="1">
      <alignment horizontal="center" vertical="center"/>
    </xf>
    <xf numFmtId="8" fontId="7" fillId="7" borderId="52" xfId="0" applyNumberFormat="1" applyFont="1" applyFill="1" applyBorder="1" applyAlignment="1">
      <alignment horizontal="center" vertical="center"/>
    </xf>
    <xf numFmtId="164" fontId="7" fillId="7" borderId="52" xfId="0" applyNumberFormat="1" applyFont="1" applyFill="1" applyBorder="1" applyAlignment="1">
      <alignment horizontal="center" vertical="center" wrapText="1"/>
    </xf>
    <xf numFmtId="4" fontId="7" fillId="7" borderId="53" xfId="0" applyNumberFormat="1" applyFont="1" applyFill="1" applyBorder="1" applyAlignment="1">
      <alignment horizontal="center" vertical="center" wrapText="1"/>
    </xf>
    <xf numFmtId="4" fontId="7" fillId="2" borderId="52" xfId="0" applyNumberFormat="1" applyFont="1" applyFill="1" applyBorder="1" applyAlignment="1">
      <alignment horizontal="center" vertical="center"/>
    </xf>
    <xf numFmtId="3" fontId="7" fillId="2" borderId="52" xfId="0" applyNumberFormat="1" applyFont="1" applyFill="1" applyBorder="1" applyAlignment="1">
      <alignment horizontal="center" vertical="center"/>
    </xf>
    <xf numFmtId="166" fontId="7" fillId="2" borderId="52" xfId="0" applyNumberFormat="1" applyFont="1" applyFill="1" applyBorder="1" applyAlignment="1">
      <alignment horizontal="center" vertical="center"/>
    </xf>
    <xf numFmtId="8" fontId="7" fillId="2" borderId="52" xfId="0" applyNumberFormat="1" applyFont="1" applyFill="1" applyBorder="1" applyAlignment="1">
      <alignment horizontal="center" vertical="center"/>
    </xf>
    <xf numFmtId="164" fontId="7" fillId="2" borderId="52" xfId="1" applyNumberFormat="1" applyFont="1" applyFill="1" applyBorder="1" applyAlignment="1">
      <alignment horizontal="center" vertical="center" wrapText="1"/>
    </xf>
    <xf numFmtId="4" fontId="7" fillId="2" borderId="53" xfId="0" applyNumberFormat="1" applyFont="1" applyFill="1" applyBorder="1" applyAlignment="1">
      <alignment horizontal="center" vertical="center"/>
    </xf>
    <xf numFmtId="164" fontId="8" fillId="0" borderId="35" xfId="1" applyNumberFormat="1" applyFont="1" applyFill="1" applyBorder="1" applyAlignment="1">
      <alignment horizontal="center" vertical="center"/>
    </xf>
    <xf numFmtId="0" fontId="8" fillId="0" borderId="3" xfId="0" applyFont="1" applyBorder="1" applyAlignment="1">
      <alignment horizontal="center" vertical="center"/>
    </xf>
    <xf numFmtId="4" fontId="7" fillId="5" borderId="35" xfId="0" applyNumberFormat="1" applyFont="1" applyFill="1" applyBorder="1" applyAlignment="1">
      <alignment horizontal="center" vertical="center" wrapText="1"/>
    </xf>
    <xf numFmtId="3" fontId="7" fillId="5" borderId="35" xfId="0" applyNumberFormat="1" applyFont="1" applyFill="1" applyBorder="1" applyAlignment="1">
      <alignment horizontal="center" vertical="center" wrapText="1"/>
    </xf>
    <xf numFmtId="166" fontId="7" fillId="5" borderId="35" xfId="0" applyNumberFormat="1" applyFont="1" applyFill="1" applyBorder="1" applyAlignment="1">
      <alignment horizontal="center" vertical="center"/>
    </xf>
    <xf numFmtId="8" fontId="7" fillId="5" borderId="35" xfId="0" applyNumberFormat="1" applyFont="1" applyFill="1" applyBorder="1" applyAlignment="1">
      <alignment horizontal="center" vertical="center"/>
    </xf>
    <xf numFmtId="164" fontId="7" fillId="5" borderId="35" xfId="0" applyNumberFormat="1" applyFont="1" applyFill="1" applyBorder="1" applyAlignment="1">
      <alignment horizontal="center" vertical="center" wrapText="1"/>
    </xf>
    <xf numFmtId="4" fontId="7" fillId="5" borderId="49" xfId="0" applyNumberFormat="1" applyFont="1" applyFill="1" applyBorder="1" applyAlignment="1">
      <alignment horizontal="center" vertical="center" wrapText="1"/>
    </xf>
    <xf numFmtId="3" fontId="7" fillId="2" borderId="29" xfId="0" applyNumberFormat="1" applyFont="1" applyFill="1" applyBorder="1" applyAlignment="1">
      <alignment horizontal="center" vertical="center"/>
    </xf>
    <xf numFmtId="4" fontId="7" fillId="2" borderId="29" xfId="0" applyNumberFormat="1" applyFont="1" applyFill="1" applyBorder="1" applyAlignment="1">
      <alignment horizontal="center" vertical="center"/>
    </xf>
    <xf numFmtId="166" fontId="7" fillId="2" borderId="29" xfId="0" applyNumberFormat="1" applyFont="1" applyFill="1" applyBorder="1" applyAlignment="1">
      <alignment horizontal="center" vertical="center"/>
    </xf>
    <xf numFmtId="8" fontId="7" fillId="2" borderId="29" xfId="0" applyNumberFormat="1" applyFont="1" applyFill="1" applyBorder="1" applyAlignment="1">
      <alignment horizontal="center" vertical="center"/>
    </xf>
    <xf numFmtId="164" fontId="7" fillId="2" borderId="29" xfId="1" applyNumberFormat="1" applyFont="1" applyFill="1" applyBorder="1" applyAlignment="1">
      <alignment horizontal="center" vertical="center" wrapText="1"/>
    </xf>
    <xf numFmtId="3" fontId="10" fillId="0" borderId="35" xfId="0" applyNumberFormat="1" applyFont="1" applyBorder="1" applyAlignment="1">
      <alignment horizontal="center" vertical="center" wrapText="1"/>
    </xf>
    <xf numFmtId="164" fontId="10" fillId="0" borderId="49" xfId="0" applyNumberFormat="1" applyFont="1" applyBorder="1" applyAlignment="1">
      <alignment horizontal="center" vertical="center" wrapText="1"/>
    </xf>
    <xf numFmtId="3" fontId="0" fillId="0" borderId="58" xfId="0" applyNumberFormat="1" applyBorder="1" applyAlignment="1">
      <alignment horizontal="center" vertical="center" wrapText="1"/>
    </xf>
    <xf numFmtId="164" fontId="0" fillId="0" borderId="58" xfId="0" applyNumberFormat="1" applyBorder="1" applyAlignment="1">
      <alignment horizontal="center" vertical="center" wrapText="1"/>
    </xf>
    <xf numFmtId="164" fontId="0" fillId="0" borderId="59" xfId="0" applyNumberFormat="1" applyBorder="1" applyAlignment="1">
      <alignment horizontal="center" vertical="center" wrapText="1"/>
    </xf>
    <xf numFmtId="0" fontId="6" fillId="0" borderId="42" xfId="0" applyFont="1" applyBorder="1" applyAlignment="1">
      <alignment horizontal="left" vertical="center" wrapText="1"/>
    </xf>
    <xf numFmtId="164" fontId="10" fillId="0" borderId="35" xfId="0" applyNumberFormat="1" applyFont="1" applyBorder="1" applyAlignment="1">
      <alignment horizontal="center" vertical="center" wrapText="1"/>
    </xf>
    <xf numFmtId="3" fontId="10" fillId="0" borderId="67" xfId="0" applyNumberFormat="1" applyFont="1" applyBorder="1" applyAlignment="1">
      <alignment horizontal="center" vertical="center" wrapText="1"/>
    </xf>
    <xf numFmtId="164" fontId="10" fillId="0" borderId="67" xfId="0" applyNumberFormat="1" applyFont="1" applyBorder="1" applyAlignment="1">
      <alignment horizontal="center" vertical="center" wrapText="1"/>
    </xf>
    <xf numFmtId="164" fontId="10" fillId="0" borderId="68" xfId="0" applyNumberFormat="1" applyFont="1" applyBorder="1" applyAlignment="1">
      <alignment horizontal="center" vertical="center" wrapText="1"/>
    </xf>
    <xf numFmtId="4" fontId="4" fillId="7" borderId="52" xfId="0" applyNumberFormat="1" applyFont="1" applyFill="1" applyBorder="1" applyAlignment="1">
      <alignment horizontal="center" vertical="center" wrapText="1"/>
    </xf>
    <xf numFmtId="0" fontId="14" fillId="0" borderId="17" xfId="0" applyFont="1" applyBorder="1" applyAlignment="1">
      <alignment horizontal="center" vertical="center" wrapText="1"/>
    </xf>
    <xf numFmtId="0" fontId="1" fillId="0" borderId="56" xfId="0" applyFont="1" applyBorder="1" applyAlignment="1">
      <alignment horizontal="center" vertical="center"/>
    </xf>
    <xf numFmtId="3" fontId="1" fillId="0" borderId="56" xfId="0" applyNumberFormat="1" applyFont="1" applyBorder="1" applyAlignment="1">
      <alignment horizontal="center" vertical="center"/>
    </xf>
    <xf numFmtId="3" fontId="8" fillId="0" borderId="56" xfId="0" applyNumberFormat="1" applyFont="1" applyBorder="1" applyAlignment="1">
      <alignment horizontal="center" vertical="center"/>
    </xf>
    <xf numFmtId="8" fontId="15" fillId="0" borderId="17" xfId="0" applyNumberFormat="1" applyFont="1" applyBorder="1" applyAlignment="1">
      <alignment horizontal="center" vertical="center"/>
    </xf>
    <xf numFmtId="164" fontId="8" fillId="0" borderId="56" xfId="1" applyNumberFormat="1" applyFont="1" applyFill="1" applyBorder="1" applyAlignment="1">
      <alignment horizontal="center" vertical="center"/>
    </xf>
    <xf numFmtId="3" fontId="15" fillId="0" borderId="17" xfId="0" applyNumberFormat="1" applyFont="1" applyBorder="1" applyAlignment="1">
      <alignment horizontal="center" vertical="center"/>
    </xf>
    <xf numFmtId="3" fontId="1" fillId="0" borderId="63" xfId="0" applyNumberFormat="1" applyFont="1" applyBorder="1" applyAlignment="1">
      <alignment horizontal="center" vertical="center"/>
    </xf>
    <xf numFmtId="0" fontId="14" fillId="0" borderId="61" xfId="0" applyFont="1" applyBorder="1" applyAlignment="1">
      <alignment horizontal="center" vertical="center" wrapText="1"/>
    </xf>
    <xf numFmtId="0" fontId="1" fillId="0" borderId="58" xfId="0" applyFont="1" applyBorder="1" applyAlignment="1">
      <alignment horizontal="center" vertical="center"/>
    </xf>
    <xf numFmtId="3" fontId="1" fillId="0" borderId="58" xfId="0" applyNumberFormat="1" applyFont="1" applyBorder="1" applyAlignment="1">
      <alignment horizontal="center" vertical="center"/>
    </xf>
    <xf numFmtId="3" fontId="8" fillId="0" borderId="58" xfId="0" applyNumberFormat="1" applyFont="1" applyBorder="1" applyAlignment="1">
      <alignment horizontal="center" vertical="center"/>
    </xf>
    <xf numFmtId="1" fontId="8" fillId="0" borderId="58" xfId="0" applyNumberFormat="1" applyFont="1" applyBorder="1" applyAlignment="1">
      <alignment horizontal="center" vertical="center"/>
    </xf>
    <xf numFmtId="8" fontId="15" fillId="0" borderId="61" xfId="0" applyNumberFormat="1" applyFont="1" applyBorder="1" applyAlignment="1">
      <alignment horizontal="center" vertical="center"/>
    </xf>
    <xf numFmtId="164" fontId="8" fillId="0" borderId="58" xfId="1" applyNumberFormat="1" applyFont="1" applyFill="1" applyBorder="1" applyAlignment="1">
      <alignment horizontal="center" vertical="center"/>
    </xf>
    <xf numFmtId="3" fontId="1" fillId="0" borderId="59" xfId="0" applyNumberFormat="1" applyFont="1" applyBorder="1" applyAlignment="1">
      <alignment horizontal="center" vertical="center"/>
    </xf>
    <xf numFmtId="0" fontId="17" fillId="0" borderId="57" xfId="0" applyFont="1" applyBorder="1" applyAlignment="1">
      <alignment wrapText="1"/>
    </xf>
    <xf numFmtId="0" fontId="1" fillId="0" borderId="70" xfId="0" applyFont="1" applyBorder="1" applyAlignment="1">
      <alignment horizontal="left" vertical="center" wrapText="1"/>
    </xf>
    <xf numFmtId="0" fontId="6" fillId="0" borderId="71" xfId="0" applyFont="1" applyBorder="1" applyAlignment="1">
      <alignment horizontal="center" vertical="center" wrapText="1"/>
    </xf>
    <xf numFmtId="3" fontId="8" fillId="0" borderId="59" xfId="0" applyNumberFormat="1" applyFont="1" applyBorder="1" applyAlignment="1">
      <alignment horizontal="left" vertical="center" wrapText="1"/>
    </xf>
    <xf numFmtId="0" fontId="1" fillId="0" borderId="16" xfId="0" applyFont="1" applyBorder="1" applyAlignment="1">
      <alignment vertical="center" wrapText="1"/>
    </xf>
    <xf numFmtId="164" fontId="8" fillId="0" borderId="72" xfId="1" applyNumberFormat="1" applyFont="1" applyFill="1" applyBorder="1" applyAlignment="1">
      <alignment horizontal="center" vertical="center"/>
    </xf>
    <xf numFmtId="0" fontId="6" fillId="0" borderId="73" xfId="0" applyFont="1" applyBorder="1" applyAlignment="1">
      <alignment horizontal="left" vertical="center" wrapText="1"/>
    </xf>
    <xf numFmtId="0" fontId="6" fillId="0" borderId="74" xfId="0" applyFont="1" applyBorder="1" applyAlignment="1">
      <alignment horizontal="center" vertical="center" wrapText="1"/>
    </xf>
    <xf numFmtId="3" fontId="1" fillId="0" borderId="74" xfId="0" applyNumberFormat="1" applyFont="1" applyBorder="1" applyAlignment="1">
      <alignment horizontal="center" vertical="center"/>
    </xf>
    <xf numFmtId="3" fontId="8" fillId="0" borderId="74" xfId="0" applyNumberFormat="1" applyFont="1" applyBorder="1" applyAlignment="1">
      <alignment horizontal="center" vertical="center"/>
    </xf>
    <xf numFmtId="8" fontId="8" fillId="0" borderId="74" xfId="0" applyNumberFormat="1" applyFont="1" applyBorder="1" applyAlignment="1">
      <alignment horizontal="center" vertical="center"/>
    </xf>
    <xf numFmtId="164" fontId="8" fillId="0" borderId="74" xfId="1" applyNumberFormat="1" applyFont="1" applyFill="1" applyBorder="1" applyAlignment="1">
      <alignment horizontal="center" vertical="center"/>
    </xf>
    <xf numFmtId="3" fontId="1" fillId="0" borderId="75" xfId="0" applyNumberFormat="1" applyFont="1" applyBorder="1" applyAlignment="1">
      <alignment horizontal="center" vertical="center"/>
    </xf>
    <xf numFmtId="0" fontId="6" fillId="0" borderId="62" xfId="0" applyFont="1" applyBorder="1" applyAlignment="1">
      <alignment horizontal="left" vertical="center" wrapText="1"/>
    </xf>
    <xf numFmtId="3" fontId="1" fillId="0" borderId="76" xfId="0" applyNumberFormat="1" applyFont="1" applyBorder="1" applyAlignment="1">
      <alignment horizontal="center" vertical="center"/>
    </xf>
    <xf numFmtId="0" fontId="6" fillId="0" borderId="77" xfId="0" applyFont="1" applyBorder="1" applyAlignment="1">
      <alignment horizontal="left" vertical="center" wrapText="1"/>
    </xf>
    <xf numFmtId="3" fontId="1" fillId="0" borderId="78" xfId="0" applyNumberFormat="1" applyFont="1" applyBorder="1" applyAlignment="1">
      <alignment horizontal="center" vertical="center"/>
    </xf>
    <xf numFmtId="0" fontId="6" fillId="0" borderId="70" xfId="0" applyFont="1" applyBorder="1" applyAlignment="1">
      <alignment horizontal="left" vertical="center" wrapText="1"/>
    </xf>
    <xf numFmtId="0" fontId="6" fillId="0" borderId="58" xfId="0" applyFont="1" applyBorder="1" applyAlignment="1">
      <alignment horizontal="center" vertical="center" wrapText="1"/>
    </xf>
    <xf numFmtId="8" fontId="8" fillId="0" borderId="58" xfId="0" applyNumberFormat="1" applyFont="1" applyBorder="1" applyAlignment="1">
      <alignment horizontal="center" vertical="center"/>
    </xf>
    <xf numFmtId="164" fontId="8" fillId="0" borderId="61" xfId="1" applyNumberFormat="1" applyFont="1" applyFill="1" applyBorder="1" applyAlignment="1">
      <alignment horizontal="center" vertical="center"/>
    </xf>
    <xf numFmtId="0" fontId="1" fillId="0" borderId="0" xfId="0" applyFont="1" applyAlignment="1">
      <alignment vertical="center"/>
    </xf>
    <xf numFmtId="0" fontId="1" fillId="0" borderId="69" xfId="0" applyFont="1" applyBorder="1" applyAlignment="1">
      <alignment vertical="center" wrapText="1"/>
    </xf>
    <xf numFmtId="0" fontId="14" fillId="0" borderId="62" xfId="0" applyFont="1" applyBorder="1" applyAlignment="1">
      <alignment vertical="center" wrapText="1"/>
    </xf>
    <xf numFmtId="0" fontId="14" fillId="0" borderId="60" xfId="0" applyFont="1" applyBorder="1" applyAlignment="1">
      <alignment vertical="center" wrapText="1"/>
    </xf>
    <xf numFmtId="0" fontId="1" fillId="0" borderId="18" xfId="0" applyFont="1" applyBorder="1" applyAlignment="1">
      <alignment vertical="center" wrapText="1"/>
    </xf>
    <xf numFmtId="4" fontId="8" fillId="0" borderId="1" xfId="0" applyNumberFormat="1" applyFont="1" applyBorder="1" applyAlignment="1">
      <alignment horizontal="center" vertical="center"/>
    </xf>
    <xf numFmtId="4" fontId="1" fillId="0" borderId="8" xfId="0" applyNumberFormat="1" applyFont="1" applyBorder="1" applyAlignment="1">
      <alignment horizontal="center" vertical="center"/>
    </xf>
    <xf numFmtId="4" fontId="8" fillId="0" borderId="8" xfId="0" applyNumberFormat="1" applyFont="1" applyBorder="1" applyAlignment="1">
      <alignment horizontal="center" vertical="center"/>
    </xf>
    <xf numFmtId="3" fontId="7" fillId="2" borderId="61" xfId="0" applyNumberFormat="1" applyFont="1" applyFill="1" applyBorder="1" applyAlignment="1">
      <alignment horizontal="center" vertical="center"/>
    </xf>
    <xf numFmtId="8" fontId="7" fillId="2" borderId="61" xfId="0" applyNumberFormat="1" applyFont="1" applyFill="1" applyBorder="1" applyAlignment="1">
      <alignment horizontal="center" vertical="center"/>
    </xf>
    <xf numFmtId="164" fontId="7" fillId="2" borderId="61" xfId="1" applyNumberFormat="1" applyFont="1" applyFill="1" applyBorder="1" applyAlignment="1">
      <alignment horizontal="center" vertical="center" wrapText="1"/>
    </xf>
    <xf numFmtId="3" fontId="7" fillId="2" borderId="83" xfId="0" applyNumberFormat="1" applyFont="1" applyFill="1" applyBorder="1" applyAlignment="1">
      <alignment horizontal="center" vertical="center"/>
    </xf>
    <xf numFmtId="4" fontId="0" fillId="0" borderId="0" xfId="0" applyNumberFormat="1"/>
    <xf numFmtId="8" fontId="0" fillId="0" borderId="0" xfId="0" applyNumberFormat="1"/>
    <xf numFmtId="8" fontId="18" fillId="0" borderId="0" xfId="0" applyNumberFormat="1" applyFont="1"/>
    <xf numFmtId="8" fontId="10" fillId="0" borderId="1" xfId="0" applyNumberFormat="1" applyFont="1" applyBorder="1" applyAlignment="1">
      <alignment horizontal="center" vertical="center" wrapText="1"/>
    </xf>
    <xf numFmtId="0" fontId="10" fillId="0" borderId="7" xfId="0" applyFont="1" applyBorder="1" applyAlignment="1">
      <alignment vertical="center" wrapText="1"/>
    </xf>
    <xf numFmtId="8" fontId="10" fillId="0" borderId="8" xfId="0" applyNumberFormat="1" applyFont="1" applyBorder="1" applyAlignment="1">
      <alignment horizontal="center" vertical="center" wrapText="1"/>
    </xf>
    <xf numFmtId="164" fontId="0" fillId="0" borderId="9" xfId="0" applyNumberFormat="1" applyBorder="1" applyAlignment="1">
      <alignment horizontal="center" vertical="center" wrapText="1"/>
    </xf>
    <xf numFmtId="0" fontId="10" fillId="0" borderId="10" xfId="0" applyFont="1" applyBorder="1" applyAlignment="1">
      <alignment vertical="center" wrapText="1"/>
    </xf>
    <xf numFmtId="164" fontId="0" fillId="0" borderId="11" xfId="0" applyNumberFormat="1" applyBorder="1" applyAlignment="1">
      <alignment horizontal="center" vertical="center" wrapText="1"/>
    </xf>
    <xf numFmtId="0" fontId="10" fillId="0" borderId="18" xfId="0" applyFont="1" applyBorder="1" applyAlignment="1">
      <alignment vertical="center" wrapText="1"/>
    </xf>
    <xf numFmtId="8" fontId="10" fillId="0" borderId="20" xfId="0" applyNumberFormat="1" applyFont="1" applyBorder="1" applyAlignment="1">
      <alignment horizontal="center" vertical="center" wrapText="1"/>
    </xf>
    <xf numFmtId="164" fontId="0" fillId="0" borderId="19" xfId="0" applyNumberFormat="1" applyBorder="1" applyAlignment="1">
      <alignment horizontal="center" vertical="center" wrapText="1"/>
    </xf>
    <xf numFmtId="164" fontId="5" fillId="2" borderId="13" xfId="0" applyNumberFormat="1" applyFont="1" applyFill="1" applyBorder="1" applyAlignment="1">
      <alignment horizontal="center" vertical="center" wrapText="1"/>
    </xf>
    <xf numFmtId="164" fontId="5" fillId="2" borderId="30" xfId="0" applyNumberFormat="1" applyFont="1" applyFill="1" applyBorder="1" applyAlignment="1">
      <alignment horizontal="center" vertical="center" wrapText="1"/>
    </xf>
    <xf numFmtId="8" fontId="5" fillId="7" borderId="13" xfId="0" applyNumberFormat="1" applyFont="1" applyFill="1" applyBorder="1" applyAlignment="1">
      <alignment horizontal="center" vertical="center" wrapText="1"/>
    </xf>
    <xf numFmtId="164" fontId="5" fillId="7" borderId="13" xfId="0" applyNumberFormat="1" applyFont="1" applyFill="1" applyBorder="1" applyAlignment="1">
      <alignment horizontal="center" vertical="center" wrapText="1"/>
    </xf>
    <xf numFmtId="164" fontId="5" fillId="5" borderId="13" xfId="0" applyNumberFormat="1" applyFont="1" applyFill="1" applyBorder="1" applyAlignment="1">
      <alignment horizontal="center" vertical="center" wrapText="1"/>
    </xf>
    <xf numFmtId="8" fontId="19" fillId="5" borderId="13" xfId="0" applyNumberFormat="1" applyFont="1" applyFill="1" applyBorder="1" applyAlignment="1">
      <alignment horizontal="center" vertical="center" wrapText="1"/>
    </xf>
    <xf numFmtId="164" fontId="9" fillId="0" borderId="16" xfId="0" applyNumberFormat="1" applyFont="1" applyBorder="1" applyAlignment="1">
      <alignment horizontal="center" vertical="center" wrapText="1"/>
    </xf>
    <xf numFmtId="164" fontId="9" fillId="0" borderId="13" xfId="0" applyNumberFormat="1" applyFont="1" applyBorder="1" applyAlignment="1">
      <alignment horizontal="center" vertical="center" wrapText="1"/>
    </xf>
    <xf numFmtId="0" fontId="17" fillId="0" borderId="84" xfId="0" applyFont="1" applyBorder="1" applyAlignment="1">
      <alignment wrapText="1"/>
    </xf>
    <xf numFmtId="3" fontId="0" fillId="0" borderId="56" xfId="0" applyNumberFormat="1" applyBorder="1" applyAlignment="1">
      <alignment horizontal="center" vertical="center" wrapText="1"/>
    </xf>
    <xf numFmtId="164" fontId="0" fillId="0" borderId="56" xfId="0" applyNumberFormat="1" applyBorder="1" applyAlignment="1">
      <alignment horizontal="center" vertical="center" wrapText="1"/>
    </xf>
    <xf numFmtId="164" fontId="0" fillId="0" borderId="63" xfId="0" applyNumberFormat="1" applyBorder="1" applyAlignment="1">
      <alignment horizontal="center" vertical="center" wrapText="1"/>
    </xf>
    <xf numFmtId="0" fontId="7" fillId="7" borderId="51" xfId="0" applyFont="1" applyFill="1" applyBorder="1" applyAlignment="1">
      <alignment horizontal="right" vertical="center"/>
    </xf>
    <xf numFmtId="0" fontId="7" fillId="7" borderId="52" xfId="0" applyFont="1" applyFill="1" applyBorder="1" applyAlignment="1">
      <alignment horizontal="right" vertical="center"/>
    </xf>
    <xf numFmtId="0" fontId="4" fillId="3" borderId="41"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46"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79" xfId="0" applyFont="1" applyFill="1" applyBorder="1" applyAlignment="1">
      <alignment horizontal="center" vertical="center" wrapText="1"/>
    </xf>
    <xf numFmtId="0" fontId="4" fillId="4" borderId="80" xfId="0" applyFont="1" applyFill="1" applyBorder="1" applyAlignment="1">
      <alignment horizontal="center" vertical="center" wrapText="1"/>
    </xf>
    <xf numFmtId="0" fontId="4" fillId="4" borderId="81"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7" fillId="2" borderId="60" xfId="0" applyFont="1" applyFill="1" applyBorder="1" applyAlignment="1">
      <alignment horizontal="right" vertical="center"/>
    </xf>
    <xf numFmtId="0" fontId="7" fillId="2" borderId="82" xfId="0" applyFont="1" applyFill="1" applyBorder="1" applyAlignment="1">
      <alignment horizontal="right" vertical="center"/>
    </xf>
    <xf numFmtId="0" fontId="7" fillId="2" borderId="36" xfId="0" applyFont="1" applyFill="1" applyBorder="1" applyAlignment="1">
      <alignment horizontal="right" vertical="center"/>
    </xf>
    <xf numFmtId="0" fontId="7" fillId="2" borderId="29" xfId="0" applyFont="1" applyFill="1" applyBorder="1" applyAlignment="1">
      <alignment horizontal="right" vertical="center"/>
    </xf>
    <xf numFmtId="0" fontId="13" fillId="6" borderId="41" xfId="0" applyFont="1" applyFill="1" applyBorder="1" applyAlignment="1">
      <alignment horizontal="center" vertical="center" wrapText="1"/>
    </xf>
    <xf numFmtId="0" fontId="12" fillId="2" borderId="54" xfId="0" applyFont="1" applyFill="1" applyBorder="1" applyAlignment="1">
      <alignment horizontal="right" vertical="center" wrapText="1"/>
    </xf>
    <xf numFmtId="0" fontId="12" fillId="2" borderId="55" xfId="0" applyFont="1" applyFill="1" applyBorder="1" applyAlignment="1">
      <alignment horizontal="right" vertical="center" wrapText="1"/>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66" xfId="0" applyFont="1" applyBorder="1" applyAlignment="1">
      <alignment horizontal="center" vertical="center" wrapText="1"/>
    </xf>
    <xf numFmtId="0" fontId="5" fillId="2" borderId="24" xfId="0" applyFont="1" applyFill="1" applyBorder="1" applyAlignment="1">
      <alignment horizontal="center" vertical="center" wrapText="1"/>
    </xf>
    <xf numFmtId="0" fontId="7" fillId="5" borderId="50" xfId="0" applyFont="1" applyFill="1" applyBorder="1" applyAlignment="1">
      <alignment horizontal="right" vertical="center"/>
    </xf>
    <xf numFmtId="0" fontId="7" fillId="5" borderId="35" xfId="0" applyFont="1" applyFill="1" applyBorder="1" applyAlignment="1">
      <alignment horizontal="right" vertical="center"/>
    </xf>
    <xf numFmtId="0" fontId="4" fillId="3" borderId="5" xfId="0" applyFont="1" applyFill="1" applyBorder="1" applyAlignment="1">
      <alignment horizontal="center"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0" xfId="0" applyFont="1" applyBorder="1" applyAlignment="1">
      <alignment horizontal="center" vertical="center" wrapText="1"/>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7" xfId="0" applyFont="1" applyFill="1" applyBorder="1" applyAlignment="1">
      <alignment horizontal="center" vertical="center"/>
    </xf>
    <xf numFmtId="0" fontId="4" fillId="0" borderId="7" xfId="0" applyFont="1" applyBorder="1" applyAlignment="1">
      <alignment horizontal="center" vertical="center"/>
    </xf>
    <xf numFmtId="0" fontId="4" fillId="0" borderId="18"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27" xfId="0" applyFont="1" applyFill="1" applyBorder="1" applyAlignment="1">
      <alignment horizontal="center"/>
    </xf>
    <xf numFmtId="0" fontId="5" fillId="0" borderId="12" xfId="0" applyFont="1" applyBorder="1" applyAlignment="1">
      <alignment horizontal="left"/>
    </xf>
    <xf numFmtId="0" fontId="5" fillId="0" borderId="14" xfId="0" applyFont="1" applyBorder="1" applyAlignment="1">
      <alignment horizontal="left"/>
    </xf>
    <xf numFmtId="0" fontId="5" fillId="0" borderId="13" xfId="0" applyFont="1" applyBorder="1" applyAlignment="1">
      <alignment horizontal="left"/>
    </xf>
    <xf numFmtId="0" fontId="3" fillId="0" borderId="32" xfId="0" applyFont="1" applyBorder="1" applyAlignment="1">
      <alignment horizontal="left" wrapText="1"/>
    </xf>
    <xf numFmtId="0" fontId="3" fillId="0" borderId="33" xfId="0" applyFont="1" applyBorder="1" applyAlignment="1">
      <alignment horizontal="left" wrapText="1"/>
    </xf>
    <xf numFmtId="0" fontId="3" fillId="0" borderId="31" xfId="0" applyFont="1" applyBorder="1" applyAlignment="1">
      <alignment horizontal="left" wrapText="1"/>
    </xf>
    <xf numFmtId="0" fontId="9" fillId="0" borderId="12"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7" xfId="0" applyFont="1" applyBorder="1" applyAlignment="1">
      <alignment horizontal="left" vertical="center" wrapText="1"/>
    </xf>
    <xf numFmtId="0" fontId="5" fillId="3" borderId="12"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19" fillId="5" borderId="12" xfId="0" applyFont="1" applyFill="1" applyBorder="1" applyAlignment="1">
      <alignment horizontal="left" vertical="center" wrapText="1"/>
    </xf>
    <xf numFmtId="0" fontId="19" fillId="5" borderId="14" xfId="0" applyFont="1" applyFill="1" applyBorder="1" applyAlignment="1">
      <alignment horizontal="left" vertical="center" wrapText="1"/>
    </xf>
    <xf numFmtId="0" fontId="5" fillId="7" borderId="12" xfId="0" applyFont="1" applyFill="1" applyBorder="1" applyAlignment="1">
      <alignment horizontal="left" vertical="center" wrapText="1"/>
    </xf>
    <xf numFmtId="0" fontId="5" fillId="7" borderId="14" xfId="0" applyFont="1" applyFill="1" applyBorder="1" applyAlignment="1">
      <alignment horizontal="left" vertical="center" wrapText="1"/>
    </xf>
    <xf numFmtId="0" fontId="3" fillId="2" borderId="5" xfId="0" applyFont="1" applyFill="1" applyBorder="1" applyAlignment="1">
      <alignment horizontal="center"/>
    </xf>
    <xf numFmtId="0" fontId="3" fillId="2" borderId="28" xfId="0" applyFont="1" applyFill="1" applyBorder="1" applyAlignment="1">
      <alignment horizontal="center"/>
    </xf>
    <xf numFmtId="0" fontId="3" fillId="2" borderId="6" xfId="0" applyFont="1" applyFill="1" applyBorder="1" applyAlignment="1">
      <alignment horizontal="center"/>
    </xf>
    <xf numFmtId="0" fontId="9" fillId="4" borderId="2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34" xfId="0" applyFont="1" applyFill="1" applyBorder="1" applyAlignment="1">
      <alignment horizontal="center" vertical="center" wrapText="1"/>
    </xf>
    <xf numFmtId="0" fontId="5" fillId="2" borderId="12"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3" fillId="5" borderId="24" xfId="0" applyFont="1" applyFill="1" applyBorder="1" applyAlignment="1">
      <alignment horizontal="left"/>
    </xf>
    <xf numFmtId="0" fontId="3" fillId="5" borderId="25" xfId="0" applyFont="1" applyFill="1" applyBorder="1" applyAlignment="1">
      <alignment horizontal="left"/>
    </xf>
    <xf numFmtId="0" fontId="3" fillId="5" borderId="40" xfId="0" applyFont="1" applyFill="1" applyBorder="1" applyAlignment="1">
      <alignment horizontal="left"/>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4" fillId="0" borderId="7" xfId="0" applyFont="1" applyBorder="1" applyAlignment="1">
      <alignment horizontal="center" vertical="center" wrapText="1"/>
    </xf>
    <xf numFmtId="0" fontId="4" fillId="0" borderId="18"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3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700B8-1C50-4C7F-ADC6-70B1B7C59685}">
  <sheetPr>
    <pageSetUpPr fitToPage="1"/>
  </sheetPr>
  <dimension ref="A1:N45"/>
  <sheetViews>
    <sheetView showGridLines="0" tabSelected="1" zoomScale="80" zoomScaleNormal="80" workbookViewId="0">
      <pane ySplit="1" topLeftCell="A2" activePane="bottomLeft" state="frozen"/>
      <selection activeCell="B1" sqref="B1"/>
      <selection pane="bottomLeft"/>
    </sheetView>
  </sheetViews>
  <sheetFormatPr defaultColWidth="9.33203125" defaultRowHeight="14.4" x14ac:dyDescent="0.3"/>
  <cols>
    <col min="1" max="1" width="6.88671875" customWidth="1"/>
    <col min="2" max="2" width="41.88671875" style="58" customWidth="1"/>
    <col min="3" max="3" width="20.6640625" style="1" customWidth="1"/>
    <col min="4" max="4" width="15.33203125" customWidth="1"/>
    <col min="5" max="5" width="17.6640625" customWidth="1"/>
    <col min="6" max="6" width="14.33203125" style="18" customWidth="1"/>
    <col min="7" max="7" width="15.44140625" customWidth="1"/>
    <col min="8" max="8" width="14.5546875" customWidth="1"/>
    <col min="9" max="9" width="13.33203125" customWidth="1"/>
    <col min="10" max="10" width="14.88671875" customWidth="1"/>
    <col min="11" max="11" width="12" customWidth="1"/>
    <col min="12" max="12" width="15.6640625" customWidth="1"/>
    <col min="13" max="13" width="13.33203125" customWidth="1"/>
  </cols>
  <sheetData>
    <row r="1" spans="1:13" ht="15" thickBot="1" x14ac:dyDescent="0.35"/>
    <row r="2" spans="1:13" ht="15" customHeight="1" x14ac:dyDescent="0.3">
      <c r="A2" s="3"/>
      <c r="B2" s="274" t="s">
        <v>0</v>
      </c>
      <c r="C2" s="274"/>
      <c r="D2" s="274"/>
      <c r="E2" s="274"/>
      <c r="F2" s="274"/>
      <c r="G2" s="274"/>
      <c r="H2" s="274"/>
      <c r="I2" s="274"/>
      <c r="J2" s="274"/>
      <c r="K2" s="274"/>
      <c r="L2" s="274"/>
      <c r="M2" s="274"/>
    </row>
    <row r="3" spans="1:13" ht="55.2" x14ac:dyDescent="0.3">
      <c r="A3" s="3"/>
      <c r="B3" s="104" t="s">
        <v>1</v>
      </c>
      <c r="C3" s="16" t="s">
        <v>2</v>
      </c>
      <c r="D3" s="16" t="s">
        <v>3</v>
      </c>
      <c r="E3" s="16" t="s">
        <v>4</v>
      </c>
      <c r="F3" s="9" t="s">
        <v>5</v>
      </c>
      <c r="G3" s="17" t="s">
        <v>6</v>
      </c>
      <c r="H3" s="17" t="s">
        <v>7</v>
      </c>
      <c r="I3" s="17" t="s">
        <v>8</v>
      </c>
      <c r="J3" s="17" t="s">
        <v>9</v>
      </c>
      <c r="K3" s="17" t="s">
        <v>10</v>
      </c>
      <c r="L3" s="17" t="s">
        <v>11</v>
      </c>
      <c r="M3" s="42" t="s">
        <v>12</v>
      </c>
    </row>
    <row r="4" spans="1:13" x14ac:dyDescent="0.3">
      <c r="A4" s="3"/>
      <c r="B4" s="64" t="s">
        <v>13</v>
      </c>
      <c r="C4" s="65" t="s">
        <v>14</v>
      </c>
      <c r="D4" s="65" t="s">
        <v>15</v>
      </c>
      <c r="E4" s="65" t="s">
        <v>16</v>
      </c>
      <c r="F4" s="63" t="s">
        <v>17</v>
      </c>
      <c r="G4" s="66" t="s">
        <v>18</v>
      </c>
      <c r="H4" s="66" t="s">
        <v>19</v>
      </c>
      <c r="I4" s="66" t="s">
        <v>20</v>
      </c>
      <c r="J4" s="66" t="s">
        <v>21</v>
      </c>
      <c r="K4" s="66" t="s">
        <v>22</v>
      </c>
      <c r="L4" s="67" t="s">
        <v>23</v>
      </c>
      <c r="M4" s="92" t="s">
        <v>24</v>
      </c>
    </row>
    <row r="5" spans="1:13" ht="15" customHeight="1" x14ac:dyDescent="0.3">
      <c r="A5" s="3"/>
      <c r="B5" s="277" t="s">
        <v>25</v>
      </c>
      <c r="C5" s="277"/>
      <c r="D5" s="277"/>
      <c r="E5" s="277"/>
      <c r="F5" s="277"/>
      <c r="G5" s="277"/>
      <c r="H5" s="277"/>
      <c r="I5" s="277"/>
      <c r="J5" s="277"/>
      <c r="K5" s="277"/>
      <c r="L5" s="277"/>
      <c r="M5" s="277"/>
    </row>
    <row r="6" spans="1:13" ht="15" customHeight="1" x14ac:dyDescent="0.3">
      <c r="A6" s="3"/>
      <c r="B6" s="255" t="s">
        <v>26</v>
      </c>
      <c r="C6" s="256"/>
      <c r="D6" s="256"/>
      <c r="E6" s="256"/>
      <c r="F6" s="256"/>
      <c r="G6" s="256"/>
      <c r="H6" s="256"/>
      <c r="I6" s="256"/>
      <c r="J6" s="256"/>
      <c r="K6" s="256"/>
      <c r="L6" s="256"/>
      <c r="M6" s="257"/>
    </row>
    <row r="7" spans="1:13" ht="55.2" x14ac:dyDescent="0.3">
      <c r="A7" s="3"/>
      <c r="B7" s="196" t="s">
        <v>27</v>
      </c>
      <c r="C7" s="197" t="s">
        <v>28</v>
      </c>
      <c r="D7" s="198">
        <v>53</v>
      </c>
      <c r="E7" s="198">
        <v>1</v>
      </c>
      <c r="F7" s="198">
        <f>D7*E7</f>
        <v>53</v>
      </c>
      <c r="G7" s="198">
        <v>4729</v>
      </c>
      <c r="H7" s="199">
        <f>F7*G7</f>
        <v>250637</v>
      </c>
      <c r="I7" s="200">
        <f>'Labor Rates'!C$7</f>
        <v>52.960600000000007</v>
      </c>
      <c r="J7" s="201">
        <f>(H7*I7)</f>
        <v>13273885.902200002</v>
      </c>
      <c r="K7" s="199">
        <v>0</v>
      </c>
      <c r="L7" s="199">
        <f>H7-K7</f>
        <v>250637</v>
      </c>
      <c r="M7" s="202">
        <f>SUM(L7:L7)</f>
        <v>250637</v>
      </c>
    </row>
    <row r="8" spans="1:13" ht="41.4" x14ac:dyDescent="0.3">
      <c r="A8" s="3"/>
      <c r="B8" s="203" t="s">
        <v>29</v>
      </c>
      <c r="C8" s="101" t="s">
        <v>30</v>
      </c>
      <c r="D8" s="99">
        <v>53</v>
      </c>
      <c r="E8" s="99">
        <v>1</v>
      </c>
      <c r="F8" s="99">
        <f>D8*E8</f>
        <v>53</v>
      </c>
      <c r="G8" s="99">
        <v>80</v>
      </c>
      <c r="H8" s="11">
        <f>F8*G8</f>
        <v>4240</v>
      </c>
      <c r="I8" s="29">
        <f>'Labor Rates'!C$6</f>
        <v>53.093600000000002</v>
      </c>
      <c r="J8" s="14">
        <f>(H8*I8)</f>
        <v>225116.864</v>
      </c>
      <c r="K8" s="11">
        <v>0</v>
      </c>
      <c r="L8" s="11">
        <f>H8-K8</f>
        <v>4240</v>
      </c>
      <c r="M8" s="204">
        <f>SUM(L8:L8)</f>
        <v>4240</v>
      </c>
    </row>
    <row r="9" spans="1:13" ht="41.4" x14ac:dyDescent="0.3">
      <c r="A9" s="3"/>
      <c r="B9" s="205" t="s">
        <v>31</v>
      </c>
      <c r="C9" s="130" t="s">
        <v>30</v>
      </c>
      <c r="D9" s="131">
        <v>53</v>
      </c>
      <c r="E9" s="131">
        <v>1</v>
      </c>
      <c r="F9" s="131">
        <f>D9*E9</f>
        <v>53</v>
      </c>
      <c r="G9" s="132">
        <v>80</v>
      </c>
      <c r="H9" s="132">
        <f>F9*G9</f>
        <v>4240</v>
      </c>
      <c r="I9" s="133">
        <f>'Labor Rates'!C$6</f>
        <v>53.093600000000002</v>
      </c>
      <c r="J9" s="195">
        <f>(H9*I9)</f>
        <v>225116.864</v>
      </c>
      <c r="K9" s="132">
        <v>0</v>
      </c>
      <c r="L9" s="132">
        <f>H9-K9</f>
        <v>4240</v>
      </c>
      <c r="M9" s="206">
        <f>SUM(L9:L9)</f>
        <v>4240</v>
      </c>
    </row>
    <row r="10" spans="1:13" ht="41.4" x14ac:dyDescent="0.3">
      <c r="A10" s="3"/>
      <c r="B10" s="207" t="s">
        <v>32</v>
      </c>
      <c r="C10" s="208" t="s">
        <v>30</v>
      </c>
      <c r="D10" s="184">
        <f>Assumptions!D10</f>
        <v>105030</v>
      </c>
      <c r="E10" s="184">
        <v>1</v>
      </c>
      <c r="F10" s="184">
        <f>D10*E10</f>
        <v>105030</v>
      </c>
      <c r="G10" s="185">
        <v>2</v>
      </c>
      <c r="H10" s="185">
        <f>F10*G10</f>
        <v>210060</v>
      </c>
      <c r="I10" s="209">
        <f>'Labor Rates'!C5</f>
        <v>32.146100000000004</v>
      </c>
      <c r="J10" s="210">
        <f>(H10*I10)</f>
        <v>6752609.7660000008</v>
      </c>
      <c r="K10" s="185">
        <v>0</v>
      </c>
      <c r="L10" s="185">
        <v>214740</v>
      </c>
      <c r="M10" s="189">
        <v>214740</v>
      </c>
    </row>
    <row r="11" spans="1:13" x14ac:dyDescent="0.3">
      <c r="A11" s="3"/>
      <c r="B11" s="264" t="s">
        <v>33</v>
      </c>
      <c r="C11" s="265"/>
      <c r="D11" s="219">
        <f>D9+D10</f>
        <v>105083</v>
      </c>
      <c r="E11" s="219">
        <f>F11/D11</f>
        <v>1.001008726435294</v>
      </c>
      <c r="F11" s="219">
        <f>SUM(F7:F10)</f>
        <v>105189</v>
      </c>
      <c r="G11" s="159">
        <f>H11/F11</f>
        <v>4.4603237981157724</v>
      </c>
      <c r="H11" s="219">
        <f>SUM(H7:H10)</f>
        <v>469177</v>
      </c>
      <c r="I11" s="220">
        <f>(J11/H11)</f>
        <v>43.643932665497246</v>
      </c>
      <c r="J11" s="221">
        <f>SUM(J7:J10)</f>
        <v>20476729.396200001</v>
      </c>
      <c r="K11" s="219">
        <f>SUM(K7:K10)</f>
        <v>0</v>
      </c>
      <c r="L11" s="219">
        <f>SUM(L7:L10)</f>
        <v>473857</v>
      </c>
      <c r="M11" s="222">
        <f>SUM(M7:M10)</f>
        <v>473857</v>
      </c>
    </row>
    <row r="12" spans="1:13" x14ac:dyDescent="0.3">
      <c r="A12" s="3"/>
      <c r="B12" s="249" t="s">
        <v>34</v>
      </c>
      <c r="C12" s="250"/>
      <c r="D12" s="250"/>
      <c r="E12" s="250"/>
      <c r="F12" s="250"/>
      <c r="G12" s="250"/>
      <c r="H12" s="250"/>
      <c r="I12" s="250"/>
      <c r="J12" s="250"/>
      <c r="K12" s="250"/>
      <c r="L12" s="250"/>
      <c r="M12" s="251"/>
    </row>
    <row r="13" spans="1:13" x14ac:dyDescent="0.3">
      <c r="A13" s="3"/>
      <c r="B13" s="252" t="s">
        <v>26</v>
      </c>
      <c r="C13" s="253"/>
      <c r="D13" s="253"/>
      <c r="E13" s="253"/>
      <c r="F13" s="253"/>
      <c r="G13" s="253"/>
      <c r="H13" s="253"/>
      <c r="I13" s="253"/>
      <c r="J13" s="253"/>
      <c r="K13" s="253"/>
      <c r="L13" s="253"/>
      <c r="M13" s="254"/>
    </row>
    <row r="14" spans="1:13" ht="14.4" customHeight="1" x14ac:dyDescent="0.3">
      <c r="A14" s="3"/>
      <c r="B14" s="261" t="s">
        <v>35</v>
      </c>
      <c r="C14" s="262"/>
      <c r="D14" s="262"/>
      <c r="E14" s="262"/>
      <c r="F14" s="262"/>
      <c r="G14" s="262"/>
      <c r="H14" s="262"/>
      <c r="I14" s="262"/>
      <c r="J14" s="262"/>
      <c r="K14" s="262"/>
      <c r="L14" s="262"/>
      <c r="M14" s="263"/>
    </row>
    <row r="15" spans="1:13" s="58" customFormat="1" ht="55.2" x14ac:dyDescent="0.3">
      <c r="A15" s="211"/>
      <c r="B15" s="105" t="s">
        <v>36</v>
      </c>
      <c r="C15" s="98" t="s">
        <v>37</v>
      </c>
      <c r="D15" s="99">
        <v>53</v>
      </c>
      <c r="E15" s="19">
        <f>F15/D15</f>
        <v>9757.933962264151</v>
      </c>
      <c r="F15" s="99">
        <f>F30</f>
        <v>517170.5</v>
      </c>
      <c r="G15" s="100">
        <f>((5+6)/2)/60</f>
        <v>9.166666666666666E-2</v>
      </c>
      <c r="H15" s="11">
        <f>F15*G15</f>
        <v>47407.29583333333</v>
      </c>
      <c r="I15" s="29">
        <f>'Labor Rates'!C$5</f>
        <v>32.146100000000004</v>
      </c>
      <c r="J15" s="14">
        <f>(H15*I15)</f>
        <v>1523959.6725879167</v>
      </c>
      <c r="K15" s="11">
        <v>0</v>
      </c>
      <c r="L15" s="11">
        <f>H15-K15</f>
        <v>47407.29583333333</v>
      </c>
      <c r="M15" s="15">
        <f>SUM(L15:L15)</f>
        <v>47407.29583333333</v>
      </c>
    </row>
    <row r="16" spans="1:13" s="58" customFormat="1" ht="41.4" x14ac:dyDescent="0.3">
      <c r="A16" s="211"/>
      <c r="B16" s="77" t="s">
        <v>38</v>
      </c>
      <c r="C16" s="4" t="s">
        <v>39</v>
      </c>
      <c r="D16" s="59">
        <v>53</v>
      </c>
      <c r="E16" s="34">
        <f>F16/D16</f>
        <v>9757.933962264151</v>
      </c>
      <c r="F16" s="59">
        <f>F31</f>
        <v>517170.5</v>
      </c>
      <c r="G16" s="62">
        <f>5/60</f>
        <v>8.3333333333333329E-2</v>
      </c>
      <c r="H16" s="7">
        <f>F16*G16</f>
        <v>43097.541666666664</v>
      </c>
      <c r="I16" s="36">
        <f>'Labor Rates'!C$5</f>
        <v>32.146100000000004</v>
      </c>
      <c r="J16" s="14">
        <f>(H16*I16)</f>
        <v>1385417.8841708335</v>
      </c>
      <c r="K16" s="7">
        <v>0</v>
      </c>
      <c r="L16" s="7">
        <f>H16-K16</f>
        <v>43097.541666666664</v>
      </c>
      <c r="M16" s="8">
        <f>SUM(L16:L16)</f>
        <v>43097.541666666664</v>
      </c>
    </row>
    <row r="17" spans="1:13" s="58" customFormat="1" ht="41.4" x14ac:dyDescent="0.3">
      <c r="A17" s="211"/>
      <c r="B17" s="78" t="s">
        <v>40</v>
      </c>
      <c r="C17" s="4" t="s">
        <v>39</v>
      </c>
      <c r="D17" s="59">
        <v>53</v>
      </c>
      <c r="E17" s="34">
        <f>F17/D17</f>
        <v>9757.933962264151</v>
      </c>
      <c r="F17" s="59">
        <f>F32</f>
        <v>517170.5</v>
      </c>
      <c r="G17" s="62">
        <f>5/60</f>
        <v>8.3333333333333329E-2</v>
      </c>
      <c r="H17" s="7">
        <f>F17*G17</f>
        <v>43097.541666666664</v>
      </c>
      <c r="I17" s="36">
        <f>'Labor Rates'!C$5</f>
        <v>32.146100000000004</v>
      </c>
      <c r="J17" s="14">
        <f>(H17*I17)</f>
        <v>1385417.8841708335</v>
      </c>
      <c r="K17" s="7">
        <v>0</v>
      </c>
      <c r="L17" s="7">
        <f>H17-K17</f>
        <v>43097.541666666664</v>
      </c>
      <c r="M17" s="8">
        <f>SUM(L17:L17)</f>
        <v>43097.541666666664</v>
      </c>
    </row>
    <row r="18" spans="1:13" s="58" customFormat="1" ht="41.4" x14ac:dyDescent="0.3">
      <c r="A18" s="211"/>
      <c r="B18" s="212" t="s">
        <v>41</v>
      </c>
      <c r="C18" s="40" t="s">
        <v>42</v>
      </c>
      <c r="D18" s="72">
        <v>53</v>
      </c>
      <c r="E18" s="37">
        <f>F18/D18</f>
        <v>5321.8113207547167</v>
      </c>
      <c r="F18" s="72">
        <f>F33</f>
        <v>282056</v>
      </c>
      <c r="G18" s="73">
        <f>4/60</f>
        <v>6.6666666666666666E-2</v>
      </c>
      <c r="H18" s="20">
        <f>F18*G18</f>
        <v>18803.733333333334</v>
      </c>
      <c r="I18" s="38">
        <f>'Labor Rates'!C$5</f>
        <v>32.146100000000004</v>
      </c>
      <c r="J18" s="14">
        <f>(H18*I18)</f>
        <v>604466.69210666674</v>
      </c>
      <c r="K18" s="20">
        <v>0</v>
      </c>
      <c r="L18" s="95">
        <f>H18-K18</f>
        <v>18803.733333333334</v>
      </c>
      <c r="M18" s="39">
        <f>SUM(L18:L18)</f>
        <v>18803.733333333334</v>
      </c>
    </row>
    <row r="19" spans="1:13" s="58" customFormat="1" ht="14.4" customHeight="1" x14ac:dyDescent="0.3">
      <c r="A19" s="211"/>
      <c r="B19" s="268" t="s">
        <v>43</v>
      </c>
      <c r="C19" s="262"/>
      <c r="D19" s="262"/>
      <c r="E19" s="262"/>
      <c r="F19" s="262"/>
      <c r="G19" s="262"/>
      <c r="H19" s="262"/>
      <c r="I19" s="262"/>
      <c r="J19" s="262"/>
      <c r="K19" s="262"/>
      <c r="L19" s="262"/>
      <c r="M19" s="263"/>
    </row>
    <row r="20" spans="1:13" ht="27.6" customHeight="1" x14ac:dyDescent="0.3">
      <c r="A20" s="3" t="s">
        <v>44</v>
      </c>
      <c r="B20" s="110" t="s">
        <v>45</v>
      </c>
      <c r="C20" s="13" t="s">
        <v>46</v>
      </c>
      <c r="D20" s="13">
        <v>53</v>
      </c>
      <c r="E20" s="19">
        <f t="shared" ref="E20:E27" si="0">F20/D20</f>
        <v>312245.28301886795</v>
      </c>
      <c r="F20" s="11">
        <f t="shared" ref="F20:F22" si="1">F35</f>
        <v>16549000</v>
      </c>
      <c r="G20" s="41">
        <f>4/60</f>
        <v>6.6666666666666666E-2</v>
      </c>
      <c r="H20" s="11">
        <f t="shared" ref="H20:H23" si="2">F20*G20</f>
        <v>1103266.6666666667</v>
      </c>
      <c r="I20" s="29">
        <f>'Labor Rates'!C$5</f>
        <v>32.146100000000004</v>
      </c>
      <c r="J20" s="14">
        <f>(H20*I20)</f>
        <v>35465720.593333341</v>
      </c>
      <c r="K20" s="11">
        <v>0</v>
      </c>
      <c r="L20" s="96">
        <f t="shared" ref="L20:L23" si="3">H20-K20</f>
        <v>1103266.6666666667</v>
      </c>
      <c r="M20" s="15">
        <f t="shared" ref="M20:M23" si="4">SUM(L20:L20)</f>
        <v>1103266.6666666667</v>
      </c>
    </row>
    <row r="21" spans="1:13" ht="27.6" x14ac:dyDescent="0.3">
      <c r="A21" s="3"/>
      <c r="B21" s="10" t="s">
        <v>47</v>
      </c>
      <c r="C21" s="4" t="s">
        <v>46</v>
      </c>
      <c r="D21" s="4">
        <v>53</v>
      </c>
      <c r="E21" s="34">
        <f t="shared" si="0"/>
        <v>49789.960840156637</v>
      </c>
      <c r="F21" s="7">
        <f t="shared" si="1"/>
        <v>2638867.9245283017</v>
      </c>
      <c r="G21" s="35">
        <f t="shared" ref="G21:G23" si="5">4/60</f>
        <v>6.6666666666666666E-2</v>
      </c>
      <c r="H21" s="7">
        <f t="shared" si="2"/>
        <v>175924.52830188678</v>
      </c>
      <c r="I21" s="36">
        <f>'Labor Rates'!C$5</f>
        <v>32.146100000000004</v>
      </c>
      <c r="J21" s="14">
        <f>(H21*I21)</f>
        <v>5655287.4792452836</v>
      </c>
      <c r="K21" s="7">
        <v>0</v>
      </c>
      <c r="L21" s="94">
        <f t="shared" si="3"/>
        <v>175924.52830188678</v>
      </c>
      <c r="M21" s="8">
        <f t="shared" si="4"/>
        <v>175924.52830188678</v>
      </c>
    </row>
    <row r="22" spans="1:13" ht="27.6" x14ac:dyDescent="0.3">
      <c r="A22" s="3"/>
      <c r="B22" s="10" t="s">
        <v>48</v>
      </c>
      <c r="C22" s="4" t="s">
        <v>49</v>
      </c>
      <c r="D22" s="4">
        <v>53</v>
      </c>
      <c r="E22" s="34">
        <f t="shared" si="0"/>
        <v>97735.84905660378</v>
      </c>
      <c r="F22" s="7">
        <f t="shared" si="1"/>
        <v>5180000</v>
      </c>
      <c r="G22" s="35">
        <f t="shared" si="5"/>
        <v>6.6666666666666666E-2</v>
      </c>
      <c r="H22" s="7">
        <f t="shared" si="2"/>
        <v>345333.33333333331</v>
      </c>
      <c r="I22" s="36">
        <f>'Labor Rates'!C$5</f>
        <v>32.146100000000004</v>
      </c>
      <c r="J22" s="14">
        <f>(H22*I22)</f>
        <v>11101119.866666667</v>
      </c>
      <c r="K22" s="7">
        <v>0</v>
      </c>
      <c r="L22" s="94">
        <f t="shared" si="3"/>
        <v>345333.33333333331</v>
      </c>
      <c r="M22" s="8">
        <f t="shared" si="4"/>
        <v>345333.33333333331</v>
      </c>
    </row>
    <row r="23" spans="1:13" ht="41.4" x14ac:dyDescent="0.3">
      <c r="A23" s="3"/>
      <c r="B23" s="111" t="s">
        <v>50</v>
      </c>
      <c r="C23" s="107" t="s">
        <v>49</v>
      </c>
      <c r="D23" s="107">
        <v>53</v>
      </c>
      <c r="E23" s="108">
        <f t="shared" si="0"/>
        <v>67498.490566037741</v>
      </c>
      <c r="F23" s="113">
        <f>F38</f>
        <v>3577420</v>
      </c>
      <c r="G23" s="114">
        <f t="shared" si="5"/>
        <v>6.6666666666666666E-2</v>
      </c>
      <c r="H23" s="113">
        <f t="shared" si="2"/>
        <v>238494.66666666666</v>
      </c>
      <c r="I23" s="115">
        <f>'Labor Rates'!C$5</f>
        <v>32.146100000000004</v>
      </c>
      <c r="J23" s="150">
        <f>(H23*I23)</f>
        <v>7666673.4041333338</v>
      </c>
      <c r="K23" s="113">
        <v>0</v>
      </c>
      <c r="L23" s="116">
        <f t="shared" si="3"/>
        <v>238494.66666666666</v>
      </c>
      <c r="M23" s="117">
        <f t="shared" si="4"/>
        <v>238494.66666666666</v>
      </c>
    </row>
    <row r="24" spans="1:13" x14ac:dyDescent="0.3">
      <c r="A24" s="3"/>
      <c r="B24" s="271" t="s">
        <v>51</v>
      </c>
      <c r="C24" s="272"/>
      <c r="D24" s="272"/>
      <c r="E24" s="272"/>
      <c r="F24" s="272"/>
      <c r="G24" s="272"/>
      <c r="H24" s="272"/>
      <c r="I24" s="272"/>
      <c r="J24" s="272"/>
      <c r="K24" s="272"/>
      <c r="L24" s="272"/>
      <c r="M24" s="273"/>
    </row>
    <row r="25" spans="1:13" ht="27.6" x14ac:dyDescent="0.3">
      <c r="A25" s="3"/>
      <c r="B25" s="213" t="s">
        <v>52</v>
      </c>
      <c r="C25" s="174" t="s">
        <v>53</v>
      </c>
      <c r="D25" s="175">
        <v>33</v>
      </c>
      <c r="E25" s="176">
        <v>1</v>
      </c>
      <c r="F25" s="177">
        <f>D25*E25</f>
        <v>33</v>
      </c>
      <c r="G25" s="99">
        <v>35</v>
      </c>
      <c r="H25" s="177">
        <f>F25*G25</f>
        <v>1155</v>
      </c>
      <c r="I25" s="178">
        <f>((1*'Labor Rates'!C6)+(34*'Labor Rates'!C5))/35</f>
        <v>32.744600000000005</v>
      </c>
      <c r="J25" s="179">
        <f>(H25*I25)</f>
        <v>37820.013000000006</v>
      </c>
      <c r="K25" s="180">
        <v>1155</v>
      </c>
      <c r="L25" s="177">
        <f>H25-K25</f>
        <v>0</v>
      </c>
      <c r="M25" s="181">
        <f>SUM(L25:L25)</f>
        <v>0</v>
      </c>
    </row>
    <row r="26" spans="1:13" ht="41.4" x14ac:dyDescent="0.3">
      <c r="A26" s="3"/>
      <c r="B26" s="214" t="s">
        <v>54</v>
      </c>
      <c r="C26" s="182" t="s">
        <v>55</v>
      </c>
      <c r="D26" s="183">
        <v>2</v>
      </c>
      <c r="E26" s="184">
        <v>1</v>
      </c>
      <c r="F26" s="185">
        <f>D26*E26</f>
        <v>2</v>
      </c>
      <c r="G26" s="186">
        <v>4</v>
      </c>
      <c r="H26" s="185">
        <f>F26*G26</f>
        <v>8</v>
      </c>
      <c r="I26" s="187">
        <f>((1*'Labor Rates'!C6)+(3*'Labor Rates'!C5))/4</f>
        <v>37.382975000000002</v>
      </c>
      <c r="J26" s="188">
        <f>(H26*I26)</f>
        <v>299.06380000000001</v>
      </c>
      <c r="K26" s="185">
        <v>8</v>
      </c>
      <c r="L26" s="185">
        <f>H26-K26</f>
        <v>0</v>
      </c>
      <c r="M26" s="189">
        <f>SUM(L26:L26)</f>
        <v>0</v>
      </c>
    </row>
    <row r="27" spans="1:13" x14ac:dyDescent="0.3">
      <c r="A27" s="3"/>
      <c r="B27" s="266" t="s">
        <v>56</v>
      </c>
      <c r="C27" s="267"/>
      <c r="D27" s="158">
        <v>53</v>
      </c>
      <c r="E27" s="159">
        <f t="shared" si="0"/>
        <v>561865.85706657171</v>
      </c>
      <c r="F27" s="159">
        <f>SUM(F20:F23,F15:F18,F25:F26)</f>
        <v>29778890.424528301</v>
      </c>
      <c r="G27" s="160">
        <f>H27/F27</f>
        <v>6.7718718821287202E-2</v>
      </c>
      <c r="H27" s="159">
        <f>SUM(H20:H23,H15:H18,H25:H26)</f>
        <v>2016588.3074685538</v>
      </c>
      <c r="I27" s="161">
        <f>J27/H27</f>
        <v>32.127560809744089</v>
      </c>
      <c r="J27" s="162">
        <f>SUM(J20:J23,J15:J18)</f>
        <v>64788063.476414867</v>
      </c>
      <c r="K27" s="158">
        <f>SUM(K20:K23,K15:K18,K25:K26)</f>
        <v>1163</v>
      </c>
      <c r="L27" s="158">
        <f>SUM(L20:L23,L15:L18,L25:L26)</f>
        <v>2015425.3074685538</v>
      </c>
      <c r="M27" s="158">
        <f>SUM(M20:M23,M15:M18,M25:M26)</f>
        <v>2015425.3074685538</v>
      </c>
    </row>
    <row r="28" spans="1:13" s="3" customFormat="1" x14ac:dyDescent="0.3">
      <c r="B28" s="258" t="s">
        <v>57</v>
      </c>
      <c r="C28" s="259"/>
      <c r="D28" s="259"/>
      <c r="E28" s="259"/>
      <c r="F28" s="259"/>
      <c r="G28" s="259"/>
      <c r="H28" s="259"/>
      <c r="I28" s="259"/>
      <c r="J28" s="259"/>
      <c r="K28" s="259"/>
      <c r="L28" s="259"/>
      <c r="M28" s="260"/>
    </row>
    <row r="29" spans="1:13" s="3" customFormat="1" ht="15" customHeight="1" x14ac:dyDescent="0.3">
      <c r="B29" s="261" t="s">
        <v>35</v>
      </c>
      <c r="C29" s="262"/>
      <c r="D29" s="262"/>
      <c r="E29" s="262"/>
      <c r="F29" s="262"/>
      <c r="G29" s="262"/>
      <c r="H29" s="262"/>
      <c r="I29" s="262"/>
      <c r="J29" s="262"/>
      <c r="K29" s="262"/>
      <c r="L29" s="262"/>
      <c r="M29" s="263"/>
    </row>
    <row r="30" spans="1:13" s="58" customFormat="1" ht="55.2" x14ac:dyDescent="0.3">
      <c r="A30" s="211"/>
      <c r="B30" s="74" t="s">
        <v>58</v>
      </c>
      <c r="C30" s="68" t="s">
        <v>37</v>
      </c>
      <c r="D30" s="217">
        <f>Assumptions!D7</f>
        <v>517170.5</v>
      </c>
      <c r="E30" s="135">
        <v>1</v>
      </c>
      <c r="F30" s="218">
        <f>D30*E30</f>
        <v>517170.5</v>
      </c>
      <c r="G30" s="69">
        <f>((5+6)/2)/60</f>
        <v>9.166666666666666E-2</v>
      </c>
      <c r="H30" s="12">
        <f>F30*G30</f>
        <v>47407.29583333333</v>
      </c>
      <c r="I30" s="70">
        <f>'Labor Rates'!C$10</f>
        <v>22.740000000000002</v>
      </c>
      <c r="J30" s="14">
        <f>(H30*I30)</f>
        <v>1078041.9072499999</v>
      </c>
      <c r="K30" s="12">
        <v>0</v>
      </c>
      <c r="L30" s="93">
        <f>H30-K30</f>
        <v>47407.29583333333</v>
      </c>
      <c r="M30" s="71">
        <f>SUM(L30:L30)</f>
        <v>47407.29583333333</v>
      </c>
    </row>
    <row r="31" spans="1:13" s="58" customFormat="1" ht="44.25" customHeight="1" x14ac:dyDescent="0.3">
      <c r="A31" s="211"/>
      <c r="B31" s="77" t="s">
        <v>59</v>
      </c>
      <c r="C31" s="4" t="s">
        <v>39</v>
      </c>
      <c r="D31" s="34">
        <f>Assumptions!D8</f>
        <v>517170.5</v>
      </c>
      <c r="E31" s="136">
        <v>1</v>
      </c>
      <c r="F31" s="216">
        <f>D31*E31</f>
        <v>517170.5</v>
      </c>
      <c r="G31" s="62">
        <f>5/60</f>
        <v>8.3333333333333329E-2</v>
      </c>
      <c r="H31" s="7">
        <f>F31*G31</f>
        <v>43097.541666666664</v>
      </c>
      <c r="I31" s="36">
        <f>'Labor Rates'!C$10</f>
        <v>22.740000000000002</v>
      </c>
      <c r="J31" s="14">
        <f>(H31*I31)</f>
        <v>980038.09750000003</v>
      </c>
      <c r="K31" s="7">
        <v>0</v>
      </c>
      <c r="L31" s="94">
        <f>H31-K31</f>
        <v>43097.541666666664</v>
      </c>
      <c r="M31" s="8">
        <f>SUM(L31:L31)</f>
        <v>43097.541666666664</v>
      </c>
    </row>
    <row r="32" spans="1:13" s="58" customFormat="1" ht="41.4" x14ac:dyDescent="0.3">
      <c r="A32" s="211"/>
      <c r="B32" s="78" t="s">
        <v>40</v>
      </c>
      <c r="C32" s="4" t="s">
        <v>39</v>
      </c>
      <c r="D32" s="34">
        <f>Assumptions!D8</f>
        <v>517170.5</v>
      </c>
      <c r="E32" s="136">
        <v>1</v>
      </c>
      <c r="F32" s="216">
        <f>D32*E32</f>
        <v>517170.5</v>
      </c>
      <c r="G32" s="62">
        <f>5/60</f>
        <v>8.3333333333333329E-2</v>
      </c>
      <c r="H32" s="7">
        <f>F32*G32</f>
        <v>43097.541666666664</v>
      </c>
      <c r="I32" s="36">
        <f>'Labor Rates'!C$10</f>
        <v>22.740000000000002</v>
      </c>
      <c r="J32" s="14">
        <f>(H32*I32)</f>
        <v>980038.09750000003</v>
      </c>
      <c r="K32" s="7">
        <v>0</v>
      </c>
      <c r="L32" s="94">
        <f>H32-K32</f>
        <v>43097.541666666664</v>
      </c>
      <c r="M32" s="8">
        <f>SUM(L32:L32)</f>
        <v>43097.541666666664</v>
      </c>
    </row>
    <row r="33" spans="1:14" s="58" customFormat="1" ht="41.4" x14ac:dyDescent="0.3">
      <c r="A33" s="211"/>
      <c r="B33" s="215" t="s">
        <v>60</v>
      </c>
      <c r="C33" s="40" t="s">
        <v>42</v>
      </c>
      <c r="D33" s="72">
        <f>Assumptions!D9</f>
        <v>282056</v>
      </c>
      <c r="E33" s="137">
        <v>1</v>
      </c>
      <c r="F33" s="20">
        <f>D33*E33</f>
        <v>282056</v>
      </c>
      <c r="G33" s="73">
        <f>4/60</f>
        <v>6.6666666666666666E-2</v>
      </c>
      <c r="H33" s="20">
        <f>F33*G33</f>
        <v>18803.733333333334</v>
      </c>
      <c r="I33" s="38">
        <f>'Labor Rates'!C$10</f>
        <v>22.740000000000002</v>
      </c>
      <c r="J33" s="14">
        <f>(H33*I33)</f>
        <v>427596.89600000007</v>
      </c>
      <c r="K33" s="20">
        <v>0</v>
      </c>
      <c r="L33" s="95">
        <f>H33-K33</f>
        <v>18803.733333333334</v>
      </c>
      <c r="M33" s="39">
        <f>SUM(L33:L33)</f>
        <v>18803.733333333334</v>
      </c>
    </row>
    <row r="34" spans="1:14" s="58" customFormat="1" ht="13.95" customHeight="1" x14ac:dyDescent="0.3">
      <c r="A34" s="211"/>
      <c r="B34" s="261" t="s">
        <v>43</v>
      </c>
      <c r="C34" s="262"/>
      <c r="D34" s="262"/>
      <c r="E34" s="262"/>
      <c r="F34" s="262"/>
      <c r="G34" s="262"/>
      <c r="H34" s="262"/>
      <c r="I34" s="262"/>
      <c r="J34" s="262"/>
      <c r="K34" s="262"/>
      <c r="L34" s="262"/>
      <c r="M34" s="263"/>
    </row>
    <row r="35" spans="1:14" s="3" customFormat="1" ht="27.6" customHeight="1" x14ac:dyDescent="0.3">
      <c r="B35" s="110" t="s">
        <v>45</v>
      </c>
      <c r="C35" s="13" t="s">
        <v>46</v>
      </c>
      <c r="D35" s="11">
        <f>Assumptions!D12</f>
        <v>16549000</v>
      </c>
      <c r="E35" s="99">
        <v>1</v>
      </c>
      <c r="F35" s="11">
        <f>D35*E35</f>
        <v>16549000</v>
      </c>
      <c r="G35" s="41">
        <f t="shared" ref="G35:G38" si="6">4/60</f>
        <v>6.6666666666666666E-2</v>
      </c>
      <c r="H35" s="11">
        <f>F35*G35</f>
        <v>1103266.6666666667</v>
      </c>
      <c r="I35" s="29">
        <f>'Labor Rates'!C$10</f>
        <v>22.740000000000002</v>
      </c>
      <c r="J35" s="14">
        <f>(H35*I35)</f>
        <v>25088284.000000004</v>
      </c>
      <c r="K35" s="11">
        <v>0</v>
      </c>
      <c r="L35" s="96">
        <f>H35-K35</f>
        <v>1103266.6666666667</v>
      </c>
      <c r="M35" s="15">
        <f>SUM(L35:L35)</f>
        <v>1103266.6666666667</v>
      </c>
    </row>
    <row r="36" spans="1:14" s="3" customFormat="1" ht="27.6" x14ac:dyDescent="0.3">
      <c r="B36" s="10" t="s">
        <v>47</v>
      </c>
      <c r="C36" s="4" t="s">
        <v>46</v>
      </c>
      <c r="D36" s="7">
        <f>Assumptions!D13*(27/53)</f>
        <v>2638867.9245283017</v>
      </c>
      <c r="E36" s="59">
        <v>1</v>
      </c>
      <c r="F36" s="7">
        <f>D36*E36</f>
        <v>2638867.9245283017</v>
      </c>
      <c r="G36" s="35">
        <f t="shared" si="6"/>
        <v>6.6666666666666666E-2</v>
      </c>
      <c r="H36" s="7">
        <f>F36*G36</f>
        <v>175924.52830188678</v>
      </c>
      <c r="I36" s="36">
        <f>'Labor Rates'!C$10</f>
        <v>22.740000000000002</v>
      </c>
      <c r="J36" s="14">
        <f>(H36*I36)</f>
        <v>4000523.7735849055</v>
      </c>
      <c r="K36" s="7">
        <v>0</v>
      </c>
      <c r="L36" s="94">
        <f>H36-K36</f>
        <v>175924.52830188678</v>
      </c>
      <c r="M36" s="8">
        <f>SUM(L36:L36)</f>
        <v>175924.52830188678</v>
      </c>
      <c r="N36" s="3" t="s">
        <v>61</v>
      </c>
    </row>
    <row r="37" spans="1:14" s="3" customFormat="1" ht="27.6" x14ac:dyDescent="0.3">
      <c r="B37" s="10" t="s">
        <v>48</v>
      </c>
      <c r="C37" s="4" t="s">
        <v>49</v>
      </c>
      <c r="D37" s="7">
        <f>Assumptions!D14</f>
        <v>5180000</v>
      </c>
      <c r="E37" s="59">
        <v>1</v>
      </c>
      <c r="F37" s="7">
        <f>D37*E37</f>
        <v>5180000</v>
      </c>
      <c r="G37" s="35">
        <f t="shared" si="6"/>
        <v>6.6666666666666666E-2</v>
      </c>
      <c r="H37" s="7">
        <f>F37*G37</f>
        <v>345333.33333333331</v>
      </c>
      <c r="I37" s="36">
        <f>'Labor Rates'!C$10</f>
        <v>22.740000000000002</v>
      </c>
      <c r="J37" s="14">
        <f>(H37*I37)</f>
        <v>7852880</v>
      </c>
      <c r="K37" s="7">
        <v>0</v>
      </c>
      <c r="L37" s="94">
        <f>H37-K37</f>
        <v>345333.33333333331</v>
      </c>
      <c r="M37" s="8">
        <f>SUM(L37:L37)</f>
        <v>345333.33333333331</v>
      </c>
    </row>
    <row r="38" spans="1:14" s="3" customFormat="1" ht="41.4" x14ac:dyDescent="0.3">
      <c r="B38" s="111" t="s">
        <v>50</v>
      </c>
      <c r="C38" s="107" t="s">
        <v>49</v>
      </c>
      <c r="D38" s="113">
        <f>Assumptions!D15</f>
        <v>3577420</v>
      </c>
      <c r="E38" s="109">
        <v>1</v>
      </c>
      <c r="F38" s="113">
        <f>D38*E38</f>
        <v>3577420</v>
      </c>
      <c r="G38" s="114">
        <f t="shared" si="6"/>
        <v>6.6666666666666666E-2</v>
      </c>
      <c r="H38" s="113">
        <f>F38*G38</f>
        <v>238494.66666666666</v>
      </c>
      <c r="I38" s="115">
        <f>'Labor Rates'!C$10</f>
        <v>22.740000000000002</v>
      </c>
      <c r="J38" s="150">
        <f>(H38*I38)</f>
        <v>5423368.7200000007</v>
      </c>
      <c r="K38" s="151">
        <v>0</v>
      </c>
      <c r="L38" s="116">
        <f>H38-K38</f>
        <v>238494.66666666666</v>
      </c>
      <c r="M38" s="117">
        <f>SUM(L38:L38)</f>
        <v>238494.66666666666</v>
      </c>
    </row>
    <row r="39" spans="1:14" s="3" customFormat="1" x14ac:dyDescent="0.3">
      <c r="B39" s="269" t="s">
        <v>62</v>
      </c>
      <c r="C39" s="270"/>
      <c r="D39" s="144">
        <f>SUM(D35:D38,D30:D33)</f>
        <v>29778855.424528301</v>
      </c>
      <c r="E39" s="145">
        <f>F39/D39</f>
        <v>1</v>
      </c>
      <c r="F39" s="144">
        <f>SUM(F35:F38,F30:F33)</f>
        <v>29778855.424528301</v>
      </c>
      <c r="G39" s="146">
        <f>H39/F39</f>
        <v>6.7679743856390279E-2</v>
      </c>
      <c r="H39" s="144">
        <f>SUM(H35:H38,H30:H33)</f>
        <v>2015425.3074685538</v>
      </c>
      <c r="I39" s="147">
        <f>(J39/H39)</f>
        <v>22.739999999999995</v>
      </c>
      <c r="J39" s="148">
        <f>SUM(J35:J38,J30:J33)</f>
        <v>45830771.491834901</v>
      </c>
      <c r="K39" s="145">
        <f>SUM(K35:K38,K30:K33)</f>
        <v>0</v>
      </c>
      <c r="L39" s="144">
        <f>SUM(L35:L38,L30:L33)</f>
        <v>2015425.3074685538</v>
      </c>
      <c r="M39" s="149">
        <f>SUM(M35:M38,M30:M33)</f>
        <v>2015425.3074685538</v>
      </c>
    </row>
    <row r="40" spans="1:14" x14ac:dyDescent="0.3">
      <c r="A40" s="3"/>
      <c r="B40" s="275" t="s">
        <v>63</v>
      </c>
      <c r="C40" s="276"/>
      <c r="D40" s="152">
        <f>SUM(D27,D39)</f>
        <v>29778908.424528301</v>
      </c>
      <c r="E40" s="153">
        <f>F40/D40</f>
        <v>1.9999976157621702</v>
      </c>
      <c r="F40" s="152">
        <f>SUM(F27,F39)</f>
        <v>59557745.849056602</v>
      </c>
      <c r="G40" s="154">
        <f>H40/F40</f>
        <v>6.769923135029085E-2</v>
      </c>
      <c r="H40" s="152">
        <f>SUM(H27,H39)</f>
        <v>4032013.6149371075</v>
      </c>
      <c r="I40" s="155">
        <f>(J40/H40)</f>
        <v>27.435134285868536</v>
      </c>
      <c r="J40" s="156">
        <f>SUM(J27,J39)</f>
        <v>110618834.96824977</v>
      </c>
      <c r="K40" s="153">
        <f>SUM(K27,K39)</f>
        <v>1163</v>
      </c>
      <c r="L40" s="152">
        <f>SUM(L27,L39)</f>
        <v>4030850.6149371075</v>
      </c>
      <c r="M40" s="157">
        <f>SUM(M27,M39)</f>
        <v>4030850.6149371075</v>
      </c>
    </row>
    <row r="41" spans="1:14" ht="16.2" customHeight="1" x14ac:dyDescent="0.3">
      <c r="A41" s="3"/>
      <c r="B41" s="247" t="s">
        <v>64</v>
      </c>
      <c r="C41" s="248"/>
      <c r="D41" s="138">
        <f>SUM(D40,D11)</f>
        <v>29883991.424528301</v>
      </c>
      <c r="E41" s="139">
        <f>F41/D41</f>
        <v>1.9964848069152576</v>
      </c>
      <c r="F41" s="138">
        <f>SUM(F40,F11)</f>
        <v>59662934.849056602</v>
      </c>
      <c r="G41" s="140">
        <f>H41/F41</f>
        <v>7.5443667434812442E-2</v>
      </c>
      <c r="H41" s="173">
        <f>SUM(H40,H11)</f>
        <v>4501190.614937108</v>
      </c>
      <c r="I41" s="141">
        <f>(J41/H41)</f>
        <v>29.124641806861465</v>
      </c>
      <c r="J41" s="142">
        <f>SUM(J40,J11)</f>
        <v>131095564.36444977</v>
      </c>
      <c r="K41" s="139">
        <f>SUM(K40,K11)</f>
        <v>1163</v>
      </c>
      <c r="L41" s="138">
        <f>SUM(L40,L11)</f>
        <v>4504707.614937108</v>
      </c>
      <c r="M41" s="143">
        <f>SUM(M40,M11)</f>
        <v>4504707.614937108</v>
      </c>
    </row>
    <row r="42" spans="1:14" ht="16.2" customHeight="1" x14ac:dyDescent="0.3">
      <c r="B42"/>
      <c r="C42"/>
      <c r="F42"/>
    </row>
    <row r="45" spans="1:14" x14ac:dyDescent="0.3">
      <c r="F45" s="223">
        <f>F41-35</f>
        <v>59662899.849056602</v>
      </c>
      <c r="H45" s="223"/>
    </row>
  </sheetData>
  <mergeCells count="16">
    <mergeCell ref="B2:M2"/>
    <mergeCell ref="B40:C40"/>
    <mergeCell ref="B5:M5"/>
    <mergeCell ref="B41:C41"/>
    <mergeCell ref="B12:M12"/>
    <mergeCell ref="B13:M13"/>
    <mergeCell ref="B6:M6"/>
    <mergeCell ref="B28:M28"/>
    <mergeCell ref="B14:M14"/>
    <mergeCell ref="B11:C11"/>
    <mergeCell ref="B27:C27"/>
    <mergeCell ref="B19:M19"/>
    <mergeCell ref="B29:M29"/>
    <mergeCell ref="B34:M34"/>
    <mergeCell ref="B39:C39"/>
    <mergeCell ref="B24:M24"/>
  </mergeCells>
  <pageMargins left="0.7" right="0.7" top="0.75" bottom="0.75" header="0.3" footer="0.3"/>
  <pageSetup scale="66" fitToHeight="0" orientation="landscape" r:id="rId1"/>
  <headerFooter>
    <oddHeader>&amp;L&amp;F</oddHeader>
  </headerFooter>
  <ignoredErrors>
    <ignoredError sqref="G38 G30:G33 G35:G3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15"/>
  <sheetViews>
    <sheetView showGridLines="0" zoomScale="110" zoomScaleNormal="110" workbookViewId="0">
      <selection activeCell="D8" sqref="D8"/>
    </sheetView>
  </sheetViews>
  <sheetFormatPr defaultRowHeight="14.4" x14ac:dyDescent="0.3"/>
  <cols>
    <col min="2" max="2" width="31" customWidth="1"/>
    <col min="3" max="3" width="13.88671875" customWidth="1"/>
    <col min="4" max="4" width="15.5546875" style="21" customWidth="1"/>
    <col min="5" max="5" width="45" customWidth="1"/>
    <col min="6" max="9" width="10.6640625" customWidth="1"/>
  </cols>
  <sheetData>
    <row r="2" spans="2:9" ht="15" thickBot="1" x14ac:dyDescent="0.35">
      <c r="E2" s="2"/>
      <c r="F2" s="2"/>
      <c r="G2" s="2"/>
      <c r="H2" s="2"/>
      <c r="I2" s="2"/>
    </row>
    <row r="3" spans="2:9" x14ac:dyDescent="0.3">
      <c r="B3" s="286" t="s">
        <v>65</v>
      </c>
      <c r="C3" s="287"/>
      <c r="D3" s="287"/>
      <c r="E3" s="288"/>
      <c r="F3" s="2"/>
      <c r="G3" s="2"/>
      <c r="H3" s="2"/>
      <c r="I3" s="2"/>
    </row>
    <row r="4" spans="2:9" x14ac:dyDescent="0.3">
      <c r="B4" s="289" t="s">
        <v>66</v>
      </c>
      <c r="C4" s="284" t="s">
        <v>67</v>
      </c>
      <c r="D4" s="291" t="s">
        <v>68</v>
      </c>
      <c r="E4" s="292"/>
      <c r="F4" s="2"/>
      <c r="G4" s="2"/>
      <c r="H4" s="2"/>
      <c r="I4" s="2"/>
    </row>
    <row r="5" spans="2:9" ht="15" thickBot="1" x14ac:dyDescent="0.35">
      <c r="B5" s="290"/>
      <c r="C5" s="285"/>
      <c r="D5" s="97" t="s">
        <v>69</v>
      </c>
      <c r="E5" s="87" t="s">
        <v>70</v>
      </c>
      <c r="F5" s="2"/>
      <c r="G5" s="2"/>
      <c r="H5" s="2"/>
      <c r="I5" s="2"/>
    </row>
    <row r="6" spans="2:9" ht="15" thickBot="1" x14ac:dyDescent="0.35">
      <c r="B6" s="278" t="s">
        <v>71</v>
      </c>
      <c r="C6" s="279"/>
      <c r="D6" s="279"/>
      <c r="E6" s="280"/>
      <c r="F6" s="2"/>
      <c r="G6" s="2"/>
      <c r="H6" s="2"/>
      <c r="I6" s="2"/>
    </row>
    <row r="7" spans="2:9" ht="82.8" x14ac:dyDescent="0.3">
      <c r="B7" s="57" t="s">
        <v>72</v>
      </c>
      <c r="C7" s="68" t="s">
        <v>37</v>
      </c>
      <c r="D7" s="102">
        <f>(38885*1000)*0.0133</f>
        <v>517170.5</v>
      </c>
      <c r="E7" s="88" t="s">
        <v>73</v>
      </c>
      <c r="F7" s="2"/>
      <c r="G7" s="2"/>
      <c r="H7" s="2"/>
      <c r="I7" s="2"/>
    </row>
    <row r="8" spans="2:9" ht="96.6" x14ac:dyDescent="0.3">
      <c r="B8" s="10" t="s">
        <v>74</v>
      </c>
      <c r="C8" s="4" t="s">
        <v>39</v>
      </c>
      <c r="D8" s="103">
        <f>(38885*1000)*0.0133</f>
        <v>517170.5</v>
      </c>
      <c r="E8" s="194" t="s">
        <v>75</v>
      </c>
      <c r="F8" s="2"/>
      <c r="G8" s="2"/>
      <c r="H8" s="2"/>
      <c r="I8" s="2"/>
    </row>
    <row r="9" spans="2:9" ht="72.75" customHeight="1" x14ac:dyDescent="0.3">
      <c r="B9" s="111" t="s">
        <v>76</v>
      </c>
      <c r="C9" s="112" t="s">
        <v>42</v>
      </c>
      <c r="D9" s="109">
        <v>282056</v>
      </c>
      <c r="E9" s="32" t="s">
        <v>77</v>
      </c>
      <c r="F9" s="2"/>
      <c r="G9" s="2"/>
      <c r="H9" s="2"/>
      <c r="I9" s="2"/>
    </row>
    <row r="10" spans="2:9" ht="72.75" customHeight="1" x14ac:dyDescent="0.3">
      <c r="B10" s="191" t="s">
        <v>78</v>
      </c>
      <c r="C10" s="192" t="s">
        <v>30</v>
      </c>
      <c r="D10" s="184">
        <f>54920+50110</f>
        <v>105030</v>
      </c>
      <c r="E10" s="193" t="s">
        <v>79</v>
      </c>
      <c r="F10" s="2"/>
      <c r="G10" s="2"/>
      <c r="H10" s="2"/>
      <c r="I10" s="2"/>
    </row>
    <row r="11" spans="2:9" x14ac:dyDescent="0.3">
      <c r="B11" s="281"/>
      <c r="C11" s="282"/>
      <c r="D11" s="282"/>
      <c r="E11" s="283"/>
      <c r="F11" s="2"/>
      <c r="G11" s="2"/>
      <c r="H11" s="2"/>
      <c r="I11" s="2"/>
    </row>
    <row r="12" spans="2:9" ht="82.8" x14ac:dyDescent="0.3">
      <c r="B12" s="10" t="s">
        <v>80</v>
      </c>
      <c r="C12" s="4" t="s">
        <v>46</v>
      </c>
      <c r="D12" s="7">
        <v>16549000</v>
      </c>
      <c r="E12" s="89" t="s">
        <v>81</v>
      </c>
    </row>
    <row r="13" spans="2:9" ht="82.8" x14ac:dyDescent="0.3">
      <c r="B13" s="10" t="s">
        <v>82</v>
      </c>
      <c r="C13" s="4" t="s">
        <v>46</v>
      </c>
      <c r="D13" s="7">
        <v>5180000</v>
      </c>
      <c r="E13" s="89" t="s">
        <v>83</v>
      </c>
    </row>
    <row r="14" spans="2:9" ht="82.8" x14ac:dyDescent="0.3">
      <c r="B14" s="10" t="s">
        <v>84</v>
      </c>
      <c r="C14" s="4" t="s">
        <v>49</v>
      </c>
      <c r="D14" s="7">
        <v>5180000</v>
      </c>
      <c r="E14" s="89" t="s">
        <v>83</v>
      </c>
    </row>
    <row r="15" spans="2:9" ht="69" x14ac:dyDescent="0.3">
      <c r="B15" s="90" t="s">
        <v>85</v>
      </c>
      <c r="C15" s="40" t="s">
        <v>49</v>
      </c>
      <c r="D15" s="20">
        <f>(38885*1000)*0.092</f>
        <v>3577420</v>
      </c>
      <c r="E15" s="91" t="s">
        <v>86</v>
      </c>
    </row>
  </sheetData>
  <mergeCells count="6">
    <mergeCell ref="B6:E6"/>
    <mergeCell ref="B11:E11"/>
    <mergeCell ref="C4:C5"/>
    <mergeCell ref="B3:E3"/>
    <mergeCell ref="B4:B5"/>
    <mergeCell ref="D4:E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9"/>
  <sheetViews>
    <sheetView showGridLines="0" zoomScale="110" zoomScaleNormal="110" workbookViewId="0">
      <selection activeCell="H7" sqref="H7"/>
    </sheetView>
  </sheetViews>
  <sheetFormatPr defaultRowHeight="14.4" x14ac:dyDescent="0.3"/>
  <cols>
    <col min="2" max="2" width="39.6640625" style="1" customWidth="1"/>
    <col min="3" max="3" width="16" customWidth="1"/>
    <col min="4" max="4" width="13.6640625" customWidth="1"/>
    <col min="5" max="5" width="14.33203125" customWidth="1"/>
    <col min="6" max="6" width="11.5546875" customWidth="1"/>
  </cols>
  <sheetData>
    <row r="1" spans="2:6" ht="15" thickBot="1" x14ac:dyDescent="0.35"/>
    <row r="2" spans="2:6" ht="15" thickBot="1" x14ac:dyDescent="0.35">
      <c r="B2" s="293" t="s">
        <v>87</v>
      </c>
      <c r="C2" s="294"/>
      <c r="D2" s="294"/>
      <c r="E2" s="295"/>
    </row>
    <row r="3" spans="2:6" ht="42" customHeight="1" thickBot="1" x14ac:dyDescent="0.35">
      <c r="B3" s="43" t="s">
        <v>1</v>
      </c>
      <c r="C3" s="44" t="s">
        <v>88</v>
      </c>
      <c r="D3" s="44" t="s">
        <v>89</v>
      </c>
      <c r="E3" s="45" t="s">
        <v>90</v>
      </c>
    </row>
    <row r="4" spans="2:6" ht="15" thickBot="1" x14ac:dyDescent="0.35">
      <c r="B4" s="296" t="s">
        <v>124</v>
      </c>
      <c r="C4" s="297"/>
      <c r="D4" s="297"/>
      <c r="E4" s="298"/>
    </row>
    <row r="5" spans="2:6" ht="28.8" x14ac:dyDescent="0.3">
      <c r="B5" s="46" t="s">
        <v>91</v>
      </c>
      <c r="C5" s="47">
        <v>80</v>
      </c>
      <c r="D5" s="48">
        <f>'Labor Rates'!C8</f>
        <v>75.171600000000012</v>
      </c>
      <c r="E5" s="49">
        <f>C5*D5</f>
        <v>6013.728000000001</v>
      </c>
    </row>
    <row r="6" spans="2:6" ht="29.4" thickBot="1" x14ac:dyDescent="0.35">
      <c r="B6" s="50" t="s">
        <v>92</v>
      </c>
      <c r="C6" s="51">
        <v>10</v>
      </c>
      <c r="D6" s="52">
        <f>'Labor Rates'!C9</f>
        <v>88.830700000000007</v>
      </c>
      <c r="E6" s="33">
        <f>C6*D6</f>
        <v>888.30700000000002</v>
      </c>
    </row>
    <row r="7" spans="2:6" ht="15" thickBot="1" x14ac:dyDescent="0.35">
      <c r="B7" s="302" t="s">
        <v>93</v>
      </c>
      <c r="C7" s="303"/>
      <c r="D7" s="303"/>
      <c r="E7" s="242">
        <f>SUM(E5:E6)</f>
        <v>6902.0350000000008</v>
      </c>
      <c r="F7" s="6"/>
    </row>
    <row r="8" spans="2:6" x14ac:dyDescent="0.3">
      <c r="B8" s="304" t="s">
        <v>94</v>
      </c>
      <c r="C8" s="305"/>
      <c r="D8" s="305"/>
      <c r="E8" s="241">
        <f>'Respondents Cost Summary'!E25</f>
        <v>42651455.97470744</v>
      </c>
      <c r="F8" s="6"/>
    </row>
    <row r="9" spans="2:6" ht="15" thickBot="1" x14ac:dyDescent="0.35">
      <c r="B9" s="299" t="s">
        <v>95</v>
      </c>
      <c r="C9" s="300"/>
      <c r="D9" s="301"/>
      <c r="E9" s="53">
        <f>SUM(E7:E8)</f>
        <v>42658358.009707436</v>
      </c>
    </row>
  </sheetData>
  <mergeCells count="5">
    <mergeCell ref="B2:E2"/>
    <mergeCell ref="B4:E4"/>
    <mergeCell ref="B9:D9"/>
    <mergeCell ref="B7:D7"/>
    <mergeCell ref="B8:D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388D3-B0AF-4EF0-A9F7-F221D0F32DE2}">
  <dimension ref="B2:F44"/>
  <sheetViews>
    <sheetView showGridLines="0" topLeftCell="A27" zoomScaleNormal="100" workbookViewId="0">
      <selection activeCell="B12" sqref="B12:E12"/>
    </sheetView>
  </sheetViews>
  <sheetFormatPr defaultRowHeight="14.4" x14ac:dyDescent="0.3"/>
  <cols>
    <col min="2" max="2" width="49.109375" customWidth="1"/>
    <col min="3" max="3" width="16" customWidth="1"/>
    <col min="4" max="4" width="13.6640625" style="6" customWidth="1"/>
    <col min="5" max="5" width="15.6640625" customWidth="1"/>
    <col min="6" max="6" width="11.5546875" customWidth="1"/>
  </cols>
  <sheetData>
    <row r="2" spans="2:5" ht="15" thickBot="1" x14ac:dyDescent="0.35"/>
    <row r="3" spans="2:5" ht="15" thickBot="1" x14ac:dyDescent="0.35">
      <c r="B3" s="316" t="s">
        <v>87</v>
      </c>
      <c r="C3" s="317"/>
      <c r="D3" s="317"/>
      <c r="E3" s="318"/>
    </row>
    <row r="4" spans="2:5" ht="42" customHeight="1" thickBot="1" x14ac:dyDescent="0.35">
      <c r="B4" s="83" t="s">
        <v>96</v>
      </c>
      <c r="C4" s="84" t="s">
        <v>88</v>
      </c>
      <c r="D4" s="85" t="s">
        <v>89</v>
      </c>
      <c r="E4" s="86" t="s">
        <v>90</v>
      </c>
    </row>
    <row r="5" spans="2:5" ht="15" thickBot="1" x14ac:dyDescent="0.35">
      <c r="B5" s="332" t="s">
        <v>26</v>
      </c>
      <c r="C5" s="333"/>
      <c r="D5" s="333"/>
      <c r="E5" s="334"/>
    </row>
    <row r="6" spans="2:5" ht="15" thickBot="1" x14ac:dyDescent="0.35">
      <c r="B6" s="319" t="s">
        <v>97</v>
      </c>
      <c r="C6" s="320"/>
      <c r="D6" s="320"/>
      <c r="E6" s="321"/>
    </row>
    <row r="7" spans="2:5" ht="55.2" x14ac:dyDescent="0.3">
      <c r="B7" s="106" t="s">
        <v>27</v>
      </c>
      <c r="C7" s="163">
        <f>'Burden Summary'!H7</f>
        <v>250637</v>
      </c>
      <c r="D7" s="169">
        <f>'Labor Rates'!C7</f>
        <v>52.960600000000007</v>
      </c>
      <c r="E7" s="164">
        <f t="shared" ref="E7:E10" si="0">C7*D7</f>
        <v>13273885.902200002</v>
      </c>
    </row>
    <row r="8" spans="2:5" ht="27.6" x14ac:dyDescent="0.3">
      <c r="B8" s="168" t="s">
        <v>29</v>
      </c>
      <c r="C8" s="170">
        <f>'Burden Summary'!H8</f>
        <v>4240</v>
      </c>
      <c r="D8" s="171">
        <f>'Labor Rates'!C$6</f>
        <v>53.093600000000002</v>
      </c>
      <c r="E8" s="172">
        <f>C8*D8</f>
        <v>225116.864</v>
      </c>
    </row>
    <row r="9" spans="2:5" x14ac:dyDescent="0.3">
      <c r="B9" s="25" t="s">
        <v>31</v>
      </c>
      <c r="C9" s="81">
        <f>'Burden Summary'!H8</f>
        <v>4240</v>
      </c>
      <c r="D9" s="124">
        <f>'Labor Rates'!C$6</f>
        <v>53.093600000000002</v>
      </c>
      <c r="E9" s="49">
        <f t="shared" si="0"/>
        <v>225116.864</v>
      </c>
    </row>
    <row r="10" spans="2:5" ht="15" thickBot="1" x14ac:dyDescent="0.35">
      <c r="B10" s="125" t="s">
        <v>32</v>
      </c>
      <c r="C10" s="126">
        <f>'Burden Summary'!H10</f>
        <v>210060</v>
      </c>
      <c r="D10" s="127">
        <f>'Labor Rates'!C$5</f>
        <v>32.146100000000004</v>
      </c>
      <c r="E10" s="128">
        <f t="shared" si="0"/>
        <v>6752609.7660000008</v>
      </c>
    </row>
    <row r="11" spans="2:5" ht="15" thickBot="1" x14ac:dyDescent="0.35">
      <c r="B11" s="325" t="s">
        <v>98</v>
      </c>
      <c r="C11" s="326"/>
      <c r="D11" s="326"/>
      <c r="E11" s="235">
        <f>SUM(E7:E10)</f>
        <v>20476729.396200001</v>
      </c>
    </row>
    <row r="12" spans="2:5" ht="15" thickBot="1" x14ac:dyDescent="0.35">
      <c r="B12" s="322" t="s">
        <v>99</v>
      </c>
      <c r="C12" s="323"/>
      <c r="D12" s="323"/>
      <c r="E12" s="324"/>
    </row>
    <row r="13" spans="2:5" ht="55.2" x14ac:dyDescent="0.3">
      <c r="B13" s="74" t="s">
        <v>36</v>
      </c>
      <c r="C13" s="129">
        <f>'Burden Summary'!H15</f>
        <v>47407.29583333333</v>
      </c>
      <c r="D13" s="75">
        <f>'Labor Rates'!C$5</f>
        <v>32.146100000000004</v>
      </c>
      <c r="E13" s="76">
        <f t="shared" ref="E13:E16" si="1">C13*D13</f>
        <v>1523959.6725879167</v>
      </c>
    </row>
    <row r="14" spans="2:5" ht="27.6" x14ac:dyDescent="0.3">
      <c r="B14" s="77" t="s">
        <v>100</v>
      </c>
      <c r="C14" s="30">
        <f>'Burden Summary'!H16</f>
        <v>43097.541666666664</v>
      </c>
      <c r="D14" s="61">
        <f>'Labor Rates'!C5</f>
        <v>32.146100000000004</v>
      </c>
      <c r="E14" s="31">
        <f t="shared" si="1"/>
        <v>1385417.8841708335</v>
      </c>
    </row>
    <row r="15" spans="2:5" ht="42" customHeight="1" x14ac:dyDescent="0.3">
      <c r="B15" s="78" t="s">
        <v>40</v>
      </c>
      <c r="C15" s="30">
        <f>'Burden Summary'!H17</f>
        <v>43097.541666666664</v>
      </c>
      <c r="D15" s="61">
        <f>'Labor Rates'!C5</f>
        <v>32.146100000000004</v>
      </c>
      <c r="E15" s="31">
        <f t="shared" si="1"/>
        <v>1385417.8841708335</v>
      </c>
    </row>
    <row r="16" spans="2:5" ht="42" customHeight="1" x14ac:dyDescent="0.3">
      <c r="B16" s="79" t="s">
        <v>101</v>
      </c>
      <c r="C16" s="54">
        <f>'Burden Summary'!H18</f>
        <v>18803.733333333334</v>
      </c>
      <c r="D16" s="80">
        <f>'Labor Rates'!C5</f>
        <v>32.146100000000004</v>
      </c>
      <c r="E16" s="33">
        <f t="shared" si="1"/>
        <v>604466.69210666674</v>
      </c>
    </row>
    <row r="17" spans="2:6" ht="28.8" x14ac:dyDescent="0.3">
      <c r="B17" s="55" t="s">
        <v>45</v>
      </c>
      <c r="C17" s="81">
        <f>'Burden Summary'!H20</f>
        <v>1103266.6666666667</v>
      </c>
      <c r="D17" s="82">
        <f>'Labor Rates'!C5</f>
        <v>32.146100000000004</v>
      </c>
      <c r="E17" s="49">
        <f t="shared" ref="E17:E22" si="2">C17*D17</f>
        <v>35465720.593333341</v>
      </c>
    </row>
    <row r="18" spans="2:6" ht="28.8" x14ac:dyDescent="0.3">
      <c r="B18" s="56" t="s">
        <v>47</v>
      </c>
      <c r="C18" s="30">
        <f>'Burden Summary'!H21</f>
        <v>175924.52830188678</v>
      </c>
      <c r="D18" s="60">
        <f>'Labor Rates'!C5</f>
        <v>32.146100000000004</v>
      </c>
      <c r="E18" s="31">
        <f t="shared" si="2"/>
        <v>5655287.4792452836</v>
      </c>
    </row>
    <row r="19" spans="2:6" ht="28.8" x14ac:dyDescent="0.3">
      <c r="B19" s="56" t="s">
        <v>48</v>
      </c>
      <c r="C19" s="30">
        <f>'Burden Summary'!H22</f>
        <v>345333.33333333331</v>
      </c>
      <c r="D19" s="60">
        <f>'Labor Rates'!C5</f>
        <v>32.146100000000004</v>
      </c>
      <c r="E19" s="31">
        <f t="shared" si="2"/>
        <v>11101119.866666667</v>
      </c>
    </row>
    <row r="20" spans="2:6" ht="43.2" x14ac:dyDescent="0.3">
      <c r="B20" s="56" t="s">
        <v>50</v>
      </c>
      <c r="C20" s="30">
        <f>'Burden Summary'!H23</f>
        <v>238494.66666666666</v>
      </c>
      <c r="D20" s="60">
        <f>'Labor Rates'!C5</f>
        <v>32.146100000000004</v>
      </c>
      <c r="E20" s="31">
        <f t="shared" si="2"/>
        <v>7666673.4041333338</v>
      </c>
    </row>
    <row r="21" spans="2:6" ht="28.8" x14ac:dyDescent="0.3">
      <c r="B21" s="243" t="s">
        <v>52</v>
      </c>
      <c r="C21" s="244">
        <f>'Burden Summary'!H25</f>
        <v>1155</v>
      </c>
      <c r="D21" s="245">
        <f>'Burden Summary'!I25</f>
        <v>32.744600000000005</v>
      </c>
      <c r="E21" s="246">
        <f t="shared" si="2"/>
        <v>37820.013000000006</v>
      </c>
    </row>
    <row r="22" spans="2:6" ht="43.8" thickBot="1" x14ac:dyDescent="0.35">
      <c r="B22" s="190" t="s">
        <v>54</v>
      </c>
      <c r="C22" s="165">
        <f>'Burden Summary'!H26</f>
        <v>8</v>
      </c>
      <c r="D22" s="166">
        <f>'Burden Summary'!I26</f>
        <v>37.382975000000002</v>
      </c>
      <c r="E22" s="167">
        <f t="shared" si="2"/>
        <v>299.06380000000001</v>
      </c>
    </row>
    <row r="23" spans="2:6" ht="15" thickBot="1" x14ac:dyDescent="0.35">
      <c r="B23" s="327" t="s">
        <v>102</v>
      </c>
      <c r="C23" s="328"/>
      <c r="D23" s="328"/>
      <c r="E23" s="236">
        <f>SUM(E13:E22)</f>
        <v>64826182.55321487</v>
      </c>
    </row>
    <row r="24" spans="2:6" ht="15" thickBot="1" x14ac:dyDescent="0.35">
      <c r="B24" s="329" t="s">
        <v>103</v>
      </c>
      <c r="C24" s="330"/>
      <c r="D24" s="331"/>
      <c r="E24" s="239">
        <f>SUM(E23,E11)</f>
        <v>85302911.949414879</v>
      </c>
    </row>
    <row r="25" spans="2:6" ht="15" thickBot="1" x14ac:dyDescent="0.35">
      <c r="B25" s="314" t="s">
        <v>104</v>
      </c>
      <c r="C25" s="315"/>
      <c r="D25" s="315"/>
      <c r="E25" s="238">
        <f>E24/2</f>
        <v>42651455.97470744</v>
      </c>
      <c r="F25" s="6"/>
    </row>
    <row r="26" spans="2:6" ht="15" thickBot="1" x14ac:dyDescent="0.35">
      <c r="B26" s="306" t="s">
        <v>57</v>
      </c>
      <c r="C26" s="307"/>
      <c r="D26" s="307"/>
      <c r="E26" s="308"/>
    </row>
    <row r="27" spans="2:6" ht="15" thickBot="1" x14ac:dyDescent="0.35">
      <c r="B27" s="309" t="s">
        <v>99</v>
      </c>
      <c r="C27" s="310"/>
      <c r="D27" s="310"/>
      <c r="E27" s="311"/>
    </row>
    <row r="28" spans="2:6" ht="57.6" x14ac:dyDescent="0.3">
      <c r="B28" s="227" t="s">
        <v>36</v>
      </c>
      <c r="C28" s="129">
        <f>'Burden Summary'!H30</f>
        <v>47407.29583333333</v>
      </c>
      <c r="D28" s="228">
        <f>'Labor Rates'!C$10</f>
        <v>22.740000000000002</v>
      </c>
      <c r="E28" s="229">
        <f t="shared" ref="E28:E35" si="3">C28*D28</f>
        <v>1078041.9072499999</v>
      </c>
    </row>
    <row r="29" spans="2:6" ht="28.8" x14ac:dyDescent="0.3">
      <c r="B29" s="230" t="s">
        <v>120</v>
      </c>
      <c r="C29" s="30">
        <f>'Burden Summary'!H31</f>
        <v>43097.541666666664</v>
      </c>
      <c r="D29" s="226">
        <f>'Labor Rates'!C$10</f>
        <v>22.740000000000002</v>
      </c>
      <c r="E29" s="231">
        <f t="shared" si="3"/>
        <v>980038.09750000003</v>
      </c>
    </row>
    <row r="30" spans="2:6" ht="43.2" x14ac:dyDescent="0.3">
      <c r="B30" s="230" t="s">
        <v>40</v>
      </c>
      <c r="C30" s="30">
        <f>'Burden Summary'!H32</f>
        <v>43097.541666666664</v>
      </c>
      <c r="D30" s="226">
        <f>'Labor Rates'!C$10</f>
        <v>22.740000000000002</v>
      </c>
      <c r="E30" s="231">
        <f t="shared" si="3"/>
        <v>980038.09750000003</v>
      </c>
    </row>
    <row r="31" spans="2:6" ht="43.2" x14ac:dyDescent="0.3">
      <c r="B31" s="230" t="s">
        <v>121</v>
      </c>
      <c r="C31" s="30">
        <f>'Burden Summary'!H33</f>
        <v>18803.733333333334</v>
      </c>
      <c r="D31" s="226">
        <f>'Labor Rates'!C$10</f>
        <v>22.740000000000002</v>
      </c>
      <c r="E31" s="231">
        <f t="shared" si="3"/>
        <v>427596.89600000007</v>
      </c>
    </row>
    <row r="32" spans="2:6" ht="28.8" x14ac:dyDescent="0.3">
      <c r="B32" s="230" t="s">
        <v>45</v>
      </c>
      <c r="C32" s="30">
        <f>'Burden Summary'!H35</f>
        <v>1103266.6666666667</v>
      </c>
      <c r="D32" s="226">
        <f>'Labor Rates'!C$10</f>
        <v>22.740000000000002</v>
      </c>
      <c r="E32" s="231">
        <f t="shared" si="3"/>
        <v>25088284.000000004</v>
      </c>
    </row>
    <row r="33" spans="2:5" ht="28.8" x14ac:dyDescent="0.3">
      <c r="B33" s="230" t="s">
        <v>47</v>
      </c>
      <c r="C33" s="30">
        <f>'Burden Summary'!H36</f>
        <v>175924.52830188678</v>
      </c>
      <c r="D33" s="226">
        <f>'Labor Rates'!C$10</f>
        <v>22.740000000000002</v>
      </c>
      <c r="E33" s="231">
        <f t="shared" si="3"/>
        <v>4000523.7735849055</v>
      </c>
    </row>
    <row r="34" spans="2:5" ht="28.8" x14ac:dyDescent="0.3">
      <c r="B34" s="230" t="s">
        <v>48</v>
      </c>
      <c r="C34" s="30">
        <f>'Burden Summary'!H37</f>
        <v>345333.33333333331</v>
      </c>
      <c r="D34" s="226">
        <f>'Labor Rates'!C$10</f>
        <v>22.740000000000002</v>
      </c>
      <c r="E34" s="231">
        <f t="shared" si="3"/>
        <v>7852880</v>
      </c>
    </row>
    <row r="35" spans="2:5" ht="43.8" thickBot="1" x14ac:dyDescent="0.35">
      <c r="B35" s="232" t="s">
        <v>50</v>
      </c>
      <c r="C35" s="126">
        <f>'Burden Summary'!H38</f>
        <v>238494.66666666666</v>
      </c>
      <c r="D35" s="233">
        <f>'Labor Rates'!C$10</f>
        <v>22.740000000000002</v>
      </c>
      <c r="E35" s="234">
        <f t="shared" si="3"/>
        <v>5423368.7200000007</v>
      </c>
    </row>
    <row r="36" spans="2:5" ht="15" thickBot="1" x14ac:dyDescent="0.35">
      <c r="B36" s="312" t="s">
        <v>123</v>
      </c>
      <c r="C36" s="313"/>
      <c r="D36" s="313"/>
      <c r="E36" s="240">
        <f>SUM(E28:E35)</f>
        <v>45830771.491834909</v>
      </c>
    </row>
    <row r="37" spans="2:5" ht="15" thickBot="1" x14ac:dyDescent="0.35">
      <c r="B37" s="314" t="s">
        <v>122</v>
      </c>
      <c r="C37" s="315"/>
      <c r="D37" s="315"/>
      <c r="E37" s="237">
        <f>SUM(E36,E25)</f>
        <v>88482227.466542348</v>
      </c>
    </row>
    <row r="41" spans="2:5" x14ac:dyDescent="0.3">
      <c r="B41" s="225"/>
    </row>
    <row r="42" spans="2:5" x14ac:dyDescent="0.3">
      <c r="B42" s="225"/>
    </row>
    <row r="43" spans="2:5" x14ac:dyDescent="0.3">
      <c r="B43" s="225"/>
    </row>
    <row r="44" spans="2:5" x14ac:dyDescent="0.3">
      <c r="B44" s="224"/>
    </row>
  </sheetData>
  <mergeCells count="12">
    <mergeCell ref="B26:E26"/>
    <mergeCell ref="B27:E27"/>
    <mergeCell ref="B36:D36"/>
    <mergeCell ref="B37:D37"/>
    <mergeCell ref="B3:E3"/>
    <mergeCell ref="B25:D25"/>
    <mergeCell ref="B6:E6"/>
    <mergeCell ref="B12:E12"/>
    <mergeCell ref="B11:D11"/>
    <mergeCell ref="B23:D23"/>
    <mergeCell ref="B24:D24"/>
    <mergeCell ref="B5:E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13"/>
  <sheetViews>
    <sheetView showGridLines="0" zoomScale="110" zoomScaleNormal="110" workbookViewId="0">
      <selection activeCell="D5" sqref="D5"/>
    </sheetView>
  </sheetViews>
  <sheetFormatPr defaultRowHeight="14.4" x14ac:dyDescent="0.3"/>
  <cols>
    <col min="2" max="2" width="16.88671875" style="2" customWidth="1"/>
    <col min="3" max="3" width="19.33203125" style="2" customWidth="1"/>
    <col min="4" max="4" width="48" style="2" customWidth="1"/>
  </cols>
  <sheetData>
    <row r="1" spans="2:4" ht="15" thickBot="1" x14ac:dyDescent="0.35"/>
    <row r="2" spans="2:4" ht="15" thickBot="1" x14ac:dyDescent="0.35">
      <c r="B2" s="335" t="s">
        <v>105</v>
      </c>
      <c r="C2" s="336"/>
      <c r="D2" s="336"/>
    </row>
    <row r="3" spans="2:4" ht="37.950000000000003" customHeight="1" x14ac:dyDescent="0.3">
      <c r="B3" s="337" t="s">
        <v>106</v>
      </c>
      <c r="C3" s="291" t="s">
        <v>107</v>
      </c>
      <c r="D3" s="291"/>
    </row>
    <row r="4" spans="2:4" ht="15" thickBot="1" x14ac:dyDescent="0.35">
      <c r="B4" s="338"/>
      <c r="C4" s="97" t="s">
        <v>69</v>
      </c>
      <c r="D4" s="97" t="s">
        <v>70</v>
      </c>
    </row>
    <row r="5" spans="2:4" ht="110.4" x14ac:dyDescent="0.3">
      <c r="B5" s="22" t="s">
        <v>108</v>
      </c>
      <c r="C5" s="23">
        <f>24.17*1.33</f>
        <v>32.146100000000004</v>
      </c>
      <c r="D5" s="24" t="s">
        <v>109</v>
      </c>
    </row>
    <row r="6" spans="2:4" ht="124.2" x14ac:dyDescent="0.3">
      <c r="B6" s="122" t="s">
        <v>110</v>
      </c>
      <c r="C6" s="119">
        <f>39.92*1.33</f>
        <v>53.093600000000002</v>
      </c>
      <c r="D6" s="123" t="s">
        <v>111</v>
      </c>
    </row>
    <row r="7" spans="2:4" ht="124.2" x14ac:dyDescent="0.3">
      <c r="B7" s="118" t="s">
        <v>112</v>
      </c>
      <c r="C7" s="119">
        <f>39.82*1.33</f>
        <v>52.960600000000007</v>
      </c>
      <c r="D7" s="121" t="s">
        <v>113</v>
      </c>
    </row>
    <row r="8" spans="2:4" ht="82.8" x14ac:dyDescent="0.3">
      <c r="B8" s="25" t="s">
        <v>114</v>
      </c>
      <c r="C8" s="26">
        <f>56.52*1.33</f>
        <v>75.171600000000012</v>
      </c>
      <c r="D8" s="32" t="s">
        <v>115</v>
      </c>
    </row>
    <row r="9" spans="2:4" ht="82.8" x14ac:dyDescent="0.3">
      <c r="B9" s="25" t="s">
        <v>116</v>
      </c>
      <c r="C9" s="26">
        <f>66.79*1.33</f>
        <v>88.830700000000007</v>
      </c>
      <c r="D9" s="32" t="s">
        <v>117</v>
      </c>
    </row>
    <row r="10" spans="2:4" ht="124.2" x14ac:dyDescent="0.3">
      <c r="B10" s="27" t="s">
        <v>118</v>
      </c>
      <c r="C10" s="28">
        <f>(1137/40)*0.8</f>
        <v>22.740000000000002</v>
      </c>
      <c r="D10" s="134" t="s">
        <v>119</v>
      </c>
    </row>
    <row r="12" spans="2:4" x14ac:dyDescent="0.3">
      <c r="C12" s="5"/>
    </row>
    <row r="13" spans="2:4" x14ac:dyDescent="0.3">
      <c r="D13" s="120"/>
    </row>
  </sheetData>
  <mergeCells count="3">
    <mergeCell ref="C3:D3"/>
    <mergeCell ref="B2:D2"/>
    <mergeCell ref="B3:B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4.4" x14ac:dyDescent="0.3"/>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EABF47CD1113448A96A17F6C8D13F9" ma:contentTypeVersion="15" ma:contentTypeDescription="Create a new document." ma:contentTypeScope="" ma:versionID="3b7ecdc9ffad1cc17c6f2e50caacf8de">
  <xsd:schema xmlns:xsd="http://www.w3.org/2001/XMLSchema" xmlns:xs="http://www.w3.org/2001/XMLSchema" xmlns:p="http://schemas.microsoft.com/office/2006/metadata/properties" xmlns:ns2="a5f42ec3-4ee2-45fc-8d77-288bf2f0f986" xmlns:ns3="442dd8d0-93bc-4a15-a2cd-49423a906912" xmlns:ns4="73fb875a-8af9-4255-b008-0995492d31cd" targetNamespace="http://schemas.microsoft.com/office/2006/metadata/properties" ma:root="true" ma:fieldsID="e1221e32e2668a9454248ba279941a6e" ns2:_="" ns3:_="" ns4:_="">
    <xsd:import namespace="a5f42ec3-4ee2-45fc-8d77-288bf2f0f986"/>
    <xsd:import namespace="442dd8d0-93bc-4a15-a2cd-49423a906912"/>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f42ec3-4ee2-45fc-8d77-288bf2f0f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2dd8d0-93bc-4a15-a2cd-49423a90691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d90a8fe-e73d-4f13-a30e-cb0f948fa66f}" ma:internalName="TaxCatchAll" ma:showField="CatchAllData" ma:web="442dd8d0-93bc-4a15-a2cd-49423a9069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lcf76f155ced4ddcb4097134ff3c332f xmlns="a5f42ec3-4ee2-45fc-8d77-288bf2f0f986">
      <Terms xmlns="http://schemas.microsoft.com/office/infopath/2007/PartnerControls"/>
    </lcf76f155ced4ddcb4097134ff3c332f>
    <TaxCatchAll xmlns="73fb875a-8af9-4255-b008-0995492d31cd" xsi:nil="true"/>
  </documentManagement>
</p:properties>
</file>

<file path=customXml/itemProps1.xml><?xml version="1.0" encoding="utf-8"?>
<ds:datastoreItem xmlns:ds="http://schemas.openxmlformats.org/officeDocument/2006/customXml" ds:itemID="{6729F321-A395-4695-9CA7-0361D0D956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f42ec3-4ee2-45fc-8d77-288bf2f0f986"/>
    <ds:schemaRef ds:uri="442dd8d0-93bc-4a15-a2cd-49423a906912"/>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35B21A-079E-4704-B46D-031E7ACA7875}">
  <ds:schemaRefs>
    <ds:schemaRef ds:uri="http://schemas.microsoft.com/sharepoint/v3/contenttype/forms"/>
  </ds:schemaRefs>
</ds:datastoreItem>
</file>

<file path=customXml/itemProps3.xml><?xml version="1.0" encoding="utf-8"?>
<ds:datastoreItem xmlns:ds="http://schemas.openxmlformats.org/officeDocument/2006/customXml" ds:itemID="{A30E0E67-CA88-4439-9995-1BD02DF171E2}">
  <ds:schemaRefs>
    <ds:schemaRef ds:uri="http://schemas.microsoft.com/office/2006/metadata/properties"/>
    <ds:schemaRef ds:uri="a5f42ec3-4ee2-45fc-8d77-288bf2f0f986"/>
    <ds:schemaRef ds:uri="http://schemas.microsoft.com/office/infopath/2007/PartnerControls"/>
    <ds:schemaRef ds:uri="73fb875a-8af9-4255-b008-0995492d31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Burden Summary</vt:lpstr>
      <vt:lpstr>Assumptions</vt:lpstr>
      <vt:lpstr>Federal Cost Summary</vt:lpstr>
      <vt:lpstr>Respondents Cost Summary</vt:lpstr>
      <vt:lpstr>Labor Rates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Eliot Kriviski</dc:creator>
  <cp:keywords/>
  <dc:description/>
  <cp:lastModifiedBy>SNAP</cp:lastModifiedBy>
  <cp:revision/>
  <dcterms:created xsi:type="dcterms:W3CDTF">2013-01-08T21:49:18Z</dcterms:created>
  <dcterms:modified xsi:type="dcterms:W3CDTF">2024-10-03T16:53:35Z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0x01010086EABF47CD1113448A96A17F6C8D13F9</vt:lpwstr>
  </property>
  <property fmtid="{D5CDD505-2E9C-101B-9397-08002B2CF9AE}" pid="3" name="Order">
    <vt:r8>400</vt:r8>
  </property>
  <property fmtid="{D5CDD505-2E9C-101B-9397-08002B2CF9AE}" pid="4" name="ESRI_WORKBOOK_ID">
    <vt:lpwstr>f4111a5e76654a3dbd553cf058000a8e</vt:lpwstr>
  </property>
  <property fmtid="{D5CDD505-2E9C-101B-9397-08002B2CF9AE}" pid="5" name="MediaServiceImageTags">
    <vt:lpwstr/>
  </property>
</Properties>
</file>