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44" documentId="13_ncr:1_{A3CAF176-F1D3-4FB5-BEC4-18B06E249A36}" xr6:coauthVersionLast="47" xr6:coauthVersionMax="47" xr10:uidLastSave="{F9150668-7643-4BCA-864F-7DAF21C69993}"/>
  <bookViews>
    <workbookView xWindow="22932" yWindow="-108" windowWidth="23256" windowHeight="12456" activeTab="1" xr2:uid="{00000000-000D-0000-FFFF-FFFF00000000}"/>
  </bookViews>
  <sheets>
    <sheet name="Summary" sheetId="7" r:id="rId1"/>
    <sheet name="Table 1" sheetId="1" r:id="rId2"/>
    <sheet name="Table 2" sheetId="2" r:id="rId3"/>
    <sheet name="Capital O&amp;M" sheetId="6" r:id="rId4"/>
    <sheet name="Respondents" sheetId="4" r:id="rId5"/>
    <sheet name="Responses" sheetId="3" r:id="rId6"/>
  </sheets>
  <definedNames>
    <definedName name="OLE_LINK1" localSheetId="2">'Table 2'!$B$17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J13" i="2"/>
  <c r="I68" i="1"/>
  <c r="I6" i="1"/>
  <c r="I83" i="1" l="1"/>
  <c r="I81" i="1"/>
  <c r="I80" i="1"/>
  <c r="F80" i="1"/>
  <c r="I61" i="1"/>
  <c r="F81" i="1" l="1"/>
  <c r="L81" i="1" s="1"/>
  <c r="D9" i="2" l="1"/>
  <c r="E9" i="2" s="1"/>
  <c r="D8" i="2"/>
  <c r="E8" i="2" s="1"/>
  <c r="D7" i="2"/>
  <c r="D6" i="2"/>
  <c r="E6" i="2" s="1"/>
  <c r="F7" i="2"/>
  <c r="F6" i="2"/>
  <c r="F8" i="2"/>
  <c r="E7" i="2"/>
  <c r="B6" i="7"/>
  <c r="I82" i="1"/>
  <c r="H8" i="1"/>
  <c r="F8" i="1"/>
  <c r="G8" i="1" s="1"/>
  <c r="I8" i="1" s="1"/>
  <c r="H6" i="1"/>
  <c r="G6" i="1"/>
  <c r="F6" i="1"/>
  <c r="F72" i="1"/>
  <c r="G72" i="1" s="1"/>
  <c r="F68" i="1"/>
  <c r="H68" i="1" s="1"/>
  <c r="D78" i="1"/>
  <c r="F78" i="1" s="1"/>
  <c r="E77" i="1"/>
  <c r="C77" i="1"/>
  <c r="D77" i="1" s="1"/>
  <c r="F77" i="1" s="1"/>
  <c r="E76" i="1"/>
  <c r="D76" i="1"/>
  <c r="E75" i="1"/>
  <c r="D75" i="1"/>
  <c r="F75" i="1" s="1"/>
  <c r="E74" i="1"/>
  <c r="D74" i="1"/>
  <c r="F74" i="1" s="1"/>
  <c r="E73" i="1"/>
  <c r="D73" i="1"/>
  <c r="F73" i="1" s="1"/>
  <c r="C73" i="1"/>
  <c r="E72" i="1"/>
  <c r="D72" i="1"/>
  <c r="E71" i="1"/>
  <c r="C71" i="1"/>
  <c r="D71" i="1" s="1"/>
  <c r="F71" i="1" s="1"/>
  <c r="E70" i="1"/>
  <c r="D70" i="1"/>
  <c r="F70" i="1" s="1"/>
  <c r="D69" i="1"/>
  <c r="F69" i="1" s="1"/>
  <c r="E68" i="1"/>
  <c r="D68" i="1"/>
  <c r="E67" i="1"/>
  <c r="D67" i="1"/>
  <c r="F67" i="1" s="1"/>
  <c r="F20" i="1"/>
  <c r="G20" i="1" s="1"/>
  <c r="F21" i="1"/>
  <c r="G21" i="1" s="1"/>
  <c r="F22" i="1"/>
  <c r="G22" i="1" s="1"/>
  <c r="F27" i="1"/>
  <c r="G27" i="1" s="1"/>
  <c r="F33" i="1"/>
  <c r="G33" i="1" s="1"/>
  <c r="F34" i="1"/>
  <c r="G34" i="1" s="1"/>
  <c r="F35" i="1"/>
  <c r="G35" i="1" s="1"/>
  <c r="F36" i="1"/>
  <c r="G36" i="1" s="1"/>
  <c r="F37" i="1"/>
  <c r="G37" i="1" s="1"/>
  <c r="F43" i="1"/>
  <c r="G43" i="1" s="1"/>
  <c r="F45" i="1"/>
  <c r="G45" i="1" s="1"/>
  <c r="F46" i="1"/>
  <c r="G46" i="1" s="1"/>
  <c r="F47" i="1"/>
  <c r="G47" i="1" s="1"/>
  <c r="F49" i="1"/>
  <c r="G49" i="1" s="1"/>
  <c r="F50" i="1"/>
  <c r="G50" i="1" s="1"/>
  <c r="F52" i="1"/>
  <c r="G52" i="1" s="1"/>
  <c r="F53" i="1"/>
  <c r="G53" i="1" s="1"/>
  <c r="F55" i="1"/>
  <c r="G55" i="1" s="1"/>
  <c r="F56" i="1"/>
  <c r="G56" i="1" s="1"/>
  <c r="F57" i="1"/>
  <c r="G57" i="1" s="1"/>
  <c r="D60" i="1"/>
  <c r="F60" i="1" s="1"/>
  <c r="G60" i="1" s="1"/>
  <c r="D59" i="1"/>
  <c r="F59" i="1" s="1"/>
  <c r="G59" i="1" s="1"/>
  <c r="D58" i="1"/>
  <c r="F58" i="1" s="1"/>
  <c r="G58" i="1" s="1"/>
  <c r="D54" i="1"/>
  <c r="F54" i="1" s="1"/>
  <c r="G54" i="1" s="1"/>
  <c r="D51" i="1"/>
  <c r="F51" i="1" s="1"/>
  <c r="G51" i="1" s="1"/>
  <c r="D48" i="1"/>
  <c r="F48" i="1" s="1"/>
  <c r="G48" i="1" s="1"/>
  <c r="D44" i="1"/>
  <c r="F44" i="1" s="1"/>
  <c r="G44" i="1" s="1"/>
  <c r="D42" i="1"/>
  <c r="F42" i="1" s="1"/>
  <c r="G42" i="1" s="1"/>
  <c r="D41" i="1"/>
  <c r="F41" i="1" s="1"/>
  <c r="G41" i="1" s="1"/>
  <c r="D40" i="1"/>
  <c r="F40" i="1" s="1"/>
  <c r="G40" i="1" s="1"/>
  <c r="D39" i="1"/>
  <c r="F39" i="1" s="1"/>
  <c r="G39" i="1" s="1"/>
  <c r="D38" i="1"/>
  <c r="F38" i="1" s="1"/>
  <c r="G38" i="1" s="1"/>
  <c r="D32" i="1"/>
  <c r="F32" i="1" s="1"/>
  <c r="G32" i="1" s="1"/>
  <c r="D31" i="1"/>
  <c r="F31" i="1" s="1"/>
  <c r="G31" i="1" s="1"/>
  <c r="C30" i="1"/>
  <c r="D30" i="1" s="1"/>
  <c r="F30" i="1" s="1"/>
  <c r="G30" i="1" s="1"/>
  <c r="D29" i="1"/>
  <c r="F29" i="1" s="1"/>
  <c r="G29" i="1" s="1"/>
  <c r="C28" i="1"/>
  <c r="D28" i="1" s="1"/>
  <c r="F28" i="1" s="1"/>
  <c r="G28" i="1" s="1"/>
  <c r="D27" i="1"/>
  <c r="D26" i="1"/>
  <c r="F26" i="1" s="1"/>
  <c r="G26" i="1" s="1"/>
  <c r="D25" i="1"/>
  <c r="F25" i="1" s="1"/>
  <c r="G25" i="1" s="1"/>
  <c r="D24" i="1"/>
  <c r="F24" i="1" s="1"/>
  <c r="G24" i="1" s="1"/>
  <c r="D23" i="1"/>
  <c r="F23" i="1" s="1"/>
  <c r="G23" i="1" s="1"/>
  <c r="C19" i="1"/>
  <c r="D19" i="1" s="1"/>
  <c r="C15" i="1"/>
  <c r="D15" i="1" s="1"/>
  <c r="C12" i="1"/>
  <c r="D12" i="1" s="1"/>
  <c r="D10" i="1"/>
  <c r="D9" i="1"/>
  <c r="D8" i="1"/>
  <c r="D6" i="1"/>
  <c r="F14" i="6"/>
  <c r="G14" i="6" s="1"/>
  <c r="F13" i="6"/>
  <c r="G13" i="6" s="1"/>
  <c r="F12" i="6"/>
  <c r="G12" i="6" s="1"/>
  <c r="F11" i="6"/>
  <c r="G11" i="6" s="1"/>
  <c r="G10" i="6"/>
  <c r="E9" i="6"/>
  <c r="G9" i="6" s="1"/>
  <c r="D9" i="6"/>
  <c r="E8" i="6"/>
  <c r="G8" i="6" s="1"/>
  <c r="D8" i="6"/>
  <c r="G7" i="6"/>
  <c r="D7" i="6"/>
  <c r="D6" i="6"/>
  <c r="D5" i="6"/>
  <c r="D4" i="6"/>
  <c r="B7" i="4"/>
  <c r="F7" i="4" s="1"/>
  <c r="C6" i="4"/>
  <c r="B6" i="4"/>
  <c r="F6" i="4" s="1"/>
  <c r="C7" i="4" s="1"/>
  <c r="F5" i="4"/>
  <c r="F12" i="2"/>
  <c r="F11" i="2"/>
  <c r="D10" i="2"/>
  <c r="E10" i="2" s="1"/>
  <c r="F9" i="2" l="1"/>
  <c r="F10" i="2"/>
  <c r="G10" i="2" s="1"/>
  <c r="D11" i="2"/>
  <c r="E11" i="2" s="1"/>
  <c r="D12" i="2"/>
  <c r="E12" i="2" s="1"/>
  <c r="G12" i="2" s="1"/>
  <c r="I12" i="2" s="1"/>
  <c r="G6" i="2"/>
  <c r="G11" i="2"/>
  <c r="I11" i="2" s="1"/>
  <c r="G9" i="2"/>
  <c r="G8" i="2"/>
  <c r="I8" i="2" s="1"/>
  <c r="G7" i="2"/>
  <c r="H6" i="2"/>
  <c r="I6" i="2"/>
  <c r="H70" i="1"/>
  <c r="G70" i="1"/>
  <c r="I70" i="1" s="1"/>
  <c r="H69" i="1"/>
  <c r="I69" i="1"/>
  <c r="G77" i="1"/>
  <c r="H77" i="1"/>
  <c r="I77" i="1" s="1"/>
  <c r="H74" i="1"/>
  <c r="G78" i="1"/>
  <c r="H78" i="1"/>
  <c r="I78" i="1"/>
  <c r="G73" i="1"/>
  <c r="H73" i="1"/>
  <c r="I73" i="1"/>
  <c r="H71" i="1"/>
  <c r="H67" i="1"/>
  <c r="H75" i="1"/>
  <c r="I72" i="1"/>
  <c r="G74" i="1"/>
  <c r="I74" i="1" s="1"/>
  <c r="G69" i="1"/>
  <c r="G68" i="1"/>
  <c r="G71" i="1"/>
  <c r="I71" i="1" s="1"/>
  <c r="G67" i="1"/>
  <c r="I67" i="1" s="1"/>
  <c r="H72" i="1"/>
  <c r="G75" i="1"/>
  <c r="I75" i="1" s="1"/>
  <c r="I57" i="1"/>
  <c r="H59" i="1"/>
  <c r="I59" i="1" s="1"/>
  <c r="H57" i="1"/>
  <c r="H55" i="1"/>
  <c r="I55" i="1" s="1"/>
  <c r="H53" i="1"/>
  <c r="I53" i="1" s="1"/>
  <c r="H51" i="1"/>
  <c r="I51" i="1" s="1"/>
  <c r="H49" i="1"/>
  <c r="I49" i="1" s="1"/>
  <c r="H47" i="1"/>
  <c r="I47" i="1" s="1"/>
  <c r="H45" i="1"/>
  <c r="I45" i="1" s="1"/>
  <c r="H43" i="1"/>
  <c r="I43" i="1" s="1"/>
  <c r="H41" i="1"/>
  <c r="I41" i="1" s="1"/>
  <c r="H39" i="1"/>
  <c r="I39" i="1" s="1"/>
  <c r="H37" i="1"/>
  <c r="I37" i="1" s="1"/>
  <c r="H35" i="1"/>
  <c r="I35" i="1" s="1"/>
  <c r="H33" i="1"/>
  <c r="I33" i="1" s="1"/>
  <c r="H31" i="1"/>
  <c r="I31" i="1" s="1"/>
  <c r="H29" i="1"/>
  <c r="I29" i="1" s="1"/>
  <c r="H27" i="1"/>
  <c r="I27" i="1" s="1"/>
  <c r="H25" i="1"/>
  <c r="I25" i="1" s="1"/>
  <c r="H23" i="1"/>
  <c r="I23" i="1" s="1"/>
  <c r="H21" i="1"/>
  <c r="I21" i="1" s="1"/>
  <c r="H60" i="1"/>
  <c r="I60" i="1" s="1"/>
  <c r="H58" i="1"/>
  <c r="I58" i="1" s="1"/>
  <c r="H56" i="1"/>
  <c r="I56" i="1" s="1"/>
  <c r="H54" i="1"/>
  <c r="I54" i="1" s="1"/>
  <c r="H52" i="1"/>
  <c r="I52" i="1" s="1"/>
  <c r="H50" i="1"/>
  <c r="I50" i="1" s="1"/>
  <c r="H48" i="1"/>
  <c r="I48" i="1" s="1"/>
  <c r="H46" i="1"/>
  <c r="I46" i="1" s="1"/>
  <c r="H44" i="1"/>
  <c r="I44" i="1" s="1"/>
  <c r="H42" i="1"/>
  <c r="I42" i="1" s="1"/>
  <c r="H40" i="1"/>
  <c r="I40" i="1" s="1"/>
  <c r="H38" i="1"/>
  <c r="I38" i="1" s="1"/>
  <c r="H36" i="1"/>
  <c r="I36" i="1" s="1"/>
  <c r="H34" i="1"/>
  <c r="I34" i="1" s="1"/>
  <c r="H32" i="1"/>
  <c r="I32" i="1" s="1"/>
  <c r="H30" i="1"/>
  <c r="I30" i="1" s="1"/>
  <c r="H28" i="1"/>
  <c r="I28" i="1" s="1"/>
  <c r="H26" i="1"/>
  <c r="I26" i="1" s="1"/>
  <c r="H24" i="1"/>
  <c r="I24" i="1" s="1"/>
  <c r="H22" i="1"/>
  <c r="I22" i="1" s="1"/>
  <c r="H20" i="1"/>
  <c r="I20" i="1" s="1"/>
  <c r="H10" i="2" l="1"/>
  <c r="I10" i="2"/>
  <c r="H11" i="2"/>
  <c r="J11" i="2" s="1"/>
  <c r="H9" i="2"/>
  <c r="I9" i="2"/>
  <c r="J10" i="2"/>
  <c r="H12" i="2"/>
  <c r="J12" i="2"/>
  <c r="I7" i="2"/>
  <c r="J7" i="2" s="1"/>
  <c r="H8" i="2"/>
  <c r="J8" i="2" s="1"/>
  <c r="J6" i="2"/>
  <c r="H7" i="2"/>
  <c r="J9" i="2" l="1"/>
  <c r="G15" i="6" l="1"/>
  <c r="E8" i="4"/>
  <c r="D8" i="4"/>
  <c r="B8" i="4"/>
  <c r="D15" i="6" l="1"/>
  <c r="F8" i="4" l="1"/>
  <c r="B3" i="7" s="1"/>
  <c r="C8" i="4"/>
  <c r="E14" i="3" l="1"/>
  <c r="K81" i="1" s="1"/>
  <c r="F16" i="1" l="1"/>
  <c r="G16" i="1" l="1"/>
  <c r="H16" i="1"/>
  <c r="F76" i="1"/>
  <c r="I16" i="1" l="1"/>
  <c r="G76" i="1"/>
  <c r="I76" i="1" s="1"/>
  <c r="H76" i="1"/>
  <c r="F10" i="1" l="1"/>
  <c r="F12" i="1"/>
  <c r="F13" i="1"/>
  <c r="F14" i="1"/>
  <c r="F15" i="1"/>
  <c r="F17" i="1"/>
  <c r="F18" i="1"/>
  <c r="F19" i="1"/>
  <c r="F9" i="1"/>
  <c r="G18" i="1" l="1"/>
  <c r="H9" i="1"/>
  <c r="G9" i="1"/>
  <c r="G12" i="1"/>
  <c r="G13" i="1"/>
  <c r="G17" i="1"/>
  <c r="G14" i="1"/>
  <c r="G10" i="1"/>
  <c r="H15" i="1"/>
  <c r="G15" i="1"/>
  <c r="I15" i="1" s="1"/>
  <c r="H19" i="1"/>
  <c r="G19" i="1"/>
  <c r="H18" i="1"/>
  <c r="H17" i="1"/>
  <c r="H14" i="1"/>
  <c r="H13" i="1"/>
  <c r="H12" i="1"/>
  <c r="H10" i="1"/>
  <c r="I12" i="1" l="1"/>
  <c r="I14" i="1"/>
  <c r="F61" i="1"/>
  <c r="I19" i="1"/>
  <c r="I9" i="1"/>
  <c r="I17" i="1"/>
  <c r="I18" i="1"/>
  <c r="I13" i="1"/>
  <c r="I10" i="1"/>
  <c r="B2" i="7" l="1"/>
  <c r="B4" i="7" l="1"/>
  <c r="B5" i="7"/>
</calcChain>
</file>

<file path=xl/sharedStrings.xml><?xml version="1.0" encoding="utf-8"?>
<sst xmlns="http://schemas.openxmlformats.org/spreadsheetml/2006/main" count="257" uniqueCount="214">
  <si>
    <t>ICR Summary Information</t>
  </si>
  <si>
    <t>Hours Per Response</t>
  </si>
  <si>
    <t>Number of Respondents</t>
  </si>
  <si>
    <t>Total Estimated Burden Hours</t>
  </si>
  <si>
    <t>Total Estimated Costs</t>
  </si>
  <si>
    <t>Annualized Capital O&amp;M</t>
  </si>
  <si>
    <t>Form Number</t>
  </si>
  <si>
    <t>Not Applicable</t>
  </si>
  <si>
    <t>Burden Item</t>
  </si>
  <si>
    <t xml:space="preserve">(A) </t>
  </si>
  <si>
    <t xml:space="preserve">(B) </t>
  </si>
  <si>
    <t xml:space="preserve">(C) </t>
  </si>
  <si>
    <t>(D)</t>
  </si>
  <si>
    <t xml:space="preserve">(E) </t>
  </si>
  <si>
    <t>(F)</t>
  </si>
  <si>
    <t>(G)</t>
  </si>
  <si>
    <t xml:space="preserve">(H) </t>
  </si>
  <si>
    <t>Person-hours per occurrence</t>
  </si>
  <si>
    <t>No. of occurrences per respondent per year</t>
  </si>
  <si>
    <r>
      <t xml:space="preserve">Respondents per year </t>
    </r>
    <r>
      <rPr>
        <b/>
        <vertAlign val="superscript"/>
        <sz val="10"/>
        <color rgb="FF000000"/>
        <rFont val="Times New Roman"/>
        <family val="1"/>
      </rPr>
      <t>a</t>
    </r>
  </si>
  <si>
    <t>Management person-hours per year 
(F=Ex0.05)</t>
  </si>
  <si>
    <t>Clerical person-hours per year 
(G=Ex0.1)</t>
  </si>
  <si>
    <r>
      <t xml:space="preserve">Cost ($) </t>
    </r>
    <r>
      <rPr>
        <b/>
        <vertAlign val="superscript"/>
        <sz val="10"/>
        <color rgb="FF000000"/>
        <rFont val="Times New Roman"/>
        <family val="1"/>
      </rPr>
      <t>b</t>
    </r>
  </si>
  <si>
    <t>N/A</t>
  </si>
  <si>
    <t>Labor Rates</t>
  </si>
  <si>
    <t xml:space="preserve">Technical </t>
  </si>
  <si>
    <t xml:space="preserve">Management </t>
  </si>
  <si>
    <t xml:space="preserve">Clerical </t>
  </si>
  <si>
    <t>Notification of performance test</t>
  </si>
  <si>
    <t>Notification of compliance status</t>
  </si>
  <si>
    <t>Subtotal for Reporting Requirements</t>
  </si>
  <si>
    <t>Subtotal for Recordkeeping Requirements</t>
  </si>
  <si>
    <t>Responses</t>
  </si>
  <si>
    <t>Hr/Response</t>
  </si>
  <si>
    <t>Assumptions:</t>
  </si>
  <si>
    <t xml:space="preserve">Activity </t>
  </si>
  <si>
    <t xml:space="preserve">(D) </t>
  </si>
  <si>
    <t>(H)</t>
  </si>
  <si>
    <t>EPA person- hours per occurrence</t>
  </si>
  <si>
    <t>No. of occurrences per plant per year</t>
  </si>
  <si>
    <t>EPA person- hours per plant-year 
(C=AxB)</t>
  </si>
  <si>
    <r>
      <t xml:space="preserve">Plants per year </t>
    </r>
    <r>
      <rPr>
        <b/>
        <vertAlign val="superscript"/>
        <sz val="10"/>
        <color rgb="FF000000"/>
        <rFont val="Times New Roman"/>
        <family val="1"/>
      </rPr>
      <t>a</t>
    </r>
  </si>
  <si>
    <t>Technical person- hours per year (E=CxD)</t>
  </si>
  <si>
    <t>Management person-hours per year (F=Ex0.05)</t>
  </si>
  <si>
    <t>Clerical person-hours per year (G=Ex0.1)</t>
  </si>
  <si>
    <r>
      <t xml:space="preserve">Cost ($) </t>
    </r>
    <r>
      <rPr>
        <b/>
        <vertAlign val="superscript"/>
        <sz val="10"/>
        <color rgb="FF000000"/>
        <rFont val="Times New Roman"/>
        <family val="1"/>
      </rPr>
      <t>b</t>
    </r>
    <r>
      <rPr>
        <b/>
        <sz val="10"/>
        <color rgb="FF000000"/>
        <rFont val="Times New Roman"/>
        <family val="1"/>
      </rPr>
      <t xml:space="preserve"> </t>
    </r>
  </si>
  <si>
    <t>Managerial</t>
  </si>
  <si>
    <t>Technical</t>
  </si>
  <si>
    <t>Clerical</t>
  </si>
  <si>
    <r>
      <t xml:space="preserve">TOTAL  (rounded) </t>
    </r>
    <r>
      <rPr>
        <b/>
        <vertAlign val="superscript"/>
        <sz val="10"/>
        <color rgb="FF000000"/>
        <rFont val="Times New Roman"/>
        <family val="1"/>
      </rPr>
      <t>i</t>
    </r>
  </si>
  <si>
    <r>
      <rPr>
        <vertAlign val="superscript"/>
        <sz val="10"/>
        <color rgb="FF000000"/>
        <rFont val="Times New Roman"/>
        <family val="1"/>
      </rPr>
      <t>b</t>
    </r>
    <r>
      <rPr>
        <sz val="10"/>
        <color rgb="FF000000"/>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</si>
  <si>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t>Capital/Startup vs. Operation and Maintenance (O&amp;M) Costs</t>
  </si>
  <si>
    <t>(A)</t>
  </si>
  <si>
    <t>(B)</t>
  </si>
  <si>
    <t>(C)</t>
  </si>
  <si>
    <t>(E)</t>
  </si>
  <si>
    <t>Continuous Monitoring Device</t>
  </si>
  <si>
    <t>Capital/Startup Cost for One Respondent</t>
  </si>
  <si>
    <t xml:space="preserve">Number of New Respondents </t>
  </si>
  <si>
    <t>Total Capital/Startup Cost, (B X C)</t>
  </si>
  <si>
    <t>Annual O&amp;M Costs for One Respondent</t>
  </si>
  <si>
    <t>Number of Respondents with O&amp;M</t>
  </si>
  <si>
    <t>Total O&amp;M,
(E x F)</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</si>
  <si>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</si>
  <si>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</si>
  <si>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</si>
  <si>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</si>
  <si>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</si>
  <si>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</si>
  <si>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</si>
  <si>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</si>
  <si>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t>Average</t>
  </si>
  <si>
    <r>
      <t>1</t>
    </r>
    <r>
      <rPr>
        <sz val="10"/>
        <color rgb="FF000000"/>
        <rFont val="Times New Roman"/>
        <family val="1"/>
      </rPr>
      <t xml:space="preserve"> New respondents include sources with constructed, reconstructed and modified affected facilities. </t>
    </r>
  </si>
  <si>
    <t>Total Annual Responses</t>
  </si>
  <si>
    <t>Information Collection Activity</t>
  </si>
  <si>
    <t>Number of Responses</t>
  </si>
  <si>
    <t>Number of Existing Respondents That Keep Records But Do Not Submit Reports</t>
  </si>
  <si>
    <t>Total Annual Responses
E=(BxC)+D</t>
  </si>
  <si>
    <t>Total (rounded)</t>
  </si>
  <si>
    <t>Table 1: Annual Respondent Burden and Cost – NESHAP for Ferroalloys Production: Ferromanganese and Silicomanganese (40 CFR Part 63, Subpart XXX) (Renewal)</t>
  </si>
  <si>
    <t>Table 2: Average Annual EPA Burden and Cost – NESHAP for Ferroalloys Production: Ferromanganese and Silicomanganese (40 CFR Part 63, Subpart XXX) (Renewal)</t>
  </si>
  <si>
    <t>Initial Notifications</t>
  </si>
  <si>
    <t>Notification of construction/reconstruction</t>
  </si>
  <si>
    <t>Notification of opacity observations</t>
  </si>
  <si>
    <t>Notification of change in information already provided</t>
  </si>
  <si>
    <t>Report of performance tests, opacity observations</t>
  </si>
  <si>
    <t xml:space="preserve">Reports of the results of quarterly inspections of the furnace capture system </t>
  </si>
  <si>
    <t xml:space="preserve">Report of deviations, alarms, actions taken, malfunctions, and exceedances </t>
  </si>
  <si>
    <t xml:space="preserve">Annual compliance certification </t>
  </si>
  <si>
    <t>Initial Compliance test (PM, HCl, Hg, PAH, Formaldehyde) - Furnace PP FF</t>
  </si>
  <si>
    <t>Initial Compliance test (PM, HCl, Hg, PAH, Formaldehyde) - Furnace NP FF/Scrubber</t>
  </si>
  <si>
    <t>Initial Compliance test (PM)  Building Ventilation/#12 casting/misc. sources NP/FF</t>
  </si>
  <si>
    <r>
      <t xml:space="preserve">Pressure Drop/Liquid Flow Rate CPMS - Scrubber </t>
    </r>
    <r>
      <rPr>
        <vertAlign val="superscript"/>
        <sz val="10"/>
        <color theme="1"/>
        <rFont val="Times New Roman"/>
        <family val="1"/>
      </rPr>
      <t>a</t>
    </r>
  </si>
  <si>
    <r>
      <t xml:space="preserve">Bag Leak Detection System </t>
    </r>
    <r>
      <rPr>
        <vertAlign val="superscript"/>
        <sz val="10"/>
        <color theme="1"/>
        <rFont val="Times New Roman"/>
        <family val="1"/>
      </rPr>
      <t>b</t>
    </r>
  </si>
  <si>
    <r>
      <t xml:space="preserve">Ductwork Flow Rate Monitoring </t>
    </r>
    <r>
      <rPr>
        <vertAlign val="superscript"/>
        <sz val="10"/>
        <color theme="1"/>
        <rFont val="Times New Roman"/>
        <family val="1"/>
      </rPr>
      <t>c</t>
    </r>
  </si>
  <si>
    <r>
      <t xml:space="preserve">Annual furnace control device tests: PM, Hg, PAH </t>
    </r>
    <r>
      <rPr>
        <vertAlign val="superscript"/>
        <sz val="10"/>
        <rFont val="Times New Roman"/>
        <family val="1"/>
      </rPr>
      <t>d</t>
    </r>
  </si>
  <si>
    <r>
      <t xml:space="preserve">Five-year furnace control device tests: HCl, formaldehyde, capture system </t>
    </r>
    <r>
      <rPr>
        <vertAlign val="superscript"/>
        <sz val="10"/>
        <rFont val="Times New Roman"/>
        <family val="1"/>
      </rPr>
      <t>e</t>
    </r>
  </si>
  <si>
    <r>
      <t xml:space="preserve">Five-year local ventilation test </t>
    </r>
    <r>
      <rPr>
        <vertAlign val="superscript"/>
        <sz val="10"/>
        <rFont val="Times New Roman"/>
        <family val="1"/>
      </rPr>
      <t>f</t>
    </r>
  </si>
  <si>
    <r>
      <t xml:space="preserve">Five-year crushing and screening equipment test </t>
    </r>
    <r>
      <rPr>
        <vertAlign val="superscript"/>
        <sz val="10"/>
        <rFont val="Times New Roman"/>
        <family val="1"/>
      </rPr>
      <t>g</t>
    </r>
  </si>
  <si>
    <r>
      <t xml:space="preserve">Five-year metal oxygen refining (MOR) process test </t>
    </r>
    <r>
      <rPr>
        <vertAlign val="superscript"/>
        <sz val="10"/>
        <rFont val="Times New Roman"/>
        <family val="1"/>
      </rPr>
      <t>h</t>
    </r>
  </si>
  <si>
    <r>
      <t xml:space="preserve">Totals (rounded) </t>
    </r>
    <r>
      <rPr>
        <b/>
        <vertAlign val="superscript"/>
        <sz val="10"/>
        <color theme="1"/>
        <rFont val="Times New Roman"/>
        <family val="1"/>
      </rPr>
      <t>i</t>
    </r>
  </si>
  <si>
    <r>
      <rPr>
        <vertAlign val="superscript"/>
        <sz val="10"/>
        <color theme="1"/>
        <rFont val="Times New Roman"/>
        <family val="1"/>
      </rPr>
      <t>a</t>
    </r>
    <r>
      <rPr>
        <sz val="10"/>
        <color theme="1"/>
        <rFont val="Times New Roman"/>
        <family val="1"/>
      </rPr>
      <t xml:space="preserve">  One respondent uses a single venturi scrubber to control emissions from two furnaces.</t>
    </r>
  </si>
  <si>
    <r>
      <rPr>
        <vertAlign val="superscript"/>
        <sz val="10"/>
        <color theme="1"/>
        <rFont val="Times New Roman"/>
        <family val="1"/>
      </rPr>
      <t>b</t>
    </r>
    <r>
      <rPr>
        <sz val="10"/>
        <color theme="1"/>
        <rFont val="Times New Roman"/>
        <family val="1"/>
      </rPr>
      <t xml:space="preserve">  Four furnaces are each controlled with fabric filters and are equipped with bag leak detection systems (BLDS). </t>
    </r>
  </si>
  <si>
    <r>
      <rPr>
        <vertAlign val="superscript"/>
        <sz val="10"/>
        <color theme="1"/>
        <rFont val="Times New Roman"/>
        <family val="1"/>
      </rPr>
      <t>c</t>
    </r>
    <r>
      <rPr>
        <sz val="10"/>
        <color theme="1"/>
        <rFont val="Times New Roman"/>
        <family val="1"/>
      </rPr>
      <t xml:space="preserve">  There are five furnace capture systems that require quarterly examinations of the ductwork to insure proper operation.</t>
    </r>
  </si>
  <si>
    <r>
      <rPr>
        <vertAlign val="superscript"/>
        <sz val="10"/>
        <color theme="1"/>
        <rFont val="Times New Roman"/>
        <family val="1"/>
      </rPr>
      <t>d</t>
    </r>
    <r>
      <rPr>
        <sz val="10"/>
        <color theme="1"/>
        <rFont val="Times New Roman"/>
        <family val="1"/>
      </rPr>
      <t xml:space="preserve">  The control devices on furnaces are tested annually. A wet scrubber is tested for PM, Hg, and PAH, while fabric filters are tested for Hg and PAH. We assume that respondents operating ferromanganese furnaces have applied for and received permission to test for PAH on a yearly basis.</t>
    </r>
  </si>
  <si>
    <r>
      <rPr>
        <vertAlign val="superscript"/>
        <sz val="10"/>
        <rFont val="Times New Roman"/>
        <family val="1"/>
      </rPr>
      <t>e</t>
    </r>
    <r>
      <rPr>
        <sz val="10"/>
        <rFont val="Times New Roman"/>
        <family val="1"/>
      </rPr>
      <t xml:space="preserve">  The control devices on furnaces are required to be tested for HCl, formaldehyde, and their capture system every five years. This is a repeat of the initial performance testing that cost a total of $756,000 for 6 furnace tests, or an average of $126,000 per test. (See Table 2 of ICR 2448.02.) The cost shown is the five-year average. (6 furnaces/5 years = 1.2 per year) </t>
    </r>
  </si>
  <si>
    <r>
      <rPr>
        <vertAlign val="superscript"/>
        <sz val="10"/>
        <rFont val="Times New Roman"/>
        <family val="1"/>
      </rPr>
      <t>f</t>
    </r>
    <r>
      <rPr>
        <sz val="10"/>
        <rFont val="Times New Roman"/>
        <family val="1"/>
      </rPr>
      <t xml:space="preserve">  The shop building ventilation systems controlled by baghouses require testing every five years. There are a total of three shop buildings that require testing. Testing costs are taken from Table 2 Year 2 of ICR 2448.02 for initial testing for 'Initial Compliance test (PM) - Bldg. Vent./#12 casting/misc. sources NP FF'. The cost shown is the five-year average. (3 systems/5 years = 0.6/year)</t>
    </r>
  </si>
  <si>
    <r>
      <rPr>
        <vertAlign val="superscript"/>
        <sz val="10"/>
        <rFont val="Times New Roman"/>
        <family val="1"/>
      </rPr>
      <t>g</t>
    </r>
    <r>
      <rPr>
        <sz val="10"/>
        <rFont val="Times New Roman"/>
        <family val="1"/>
      </rPr>
      <t xml:space="preserve">  The crushing/screening operations controlled by baghouses require testing every five years. There are a total of three crushing/screening operations that require testing. Testing costs are taken from Table 2 Year 2 of ICR 2448.02 for initial testing for 'Initial Compliance test (PM) - Bldg. Vent./#12 casting/misc. sources NP FF'. The cost shown is the five-year average. (3 operations/5 years = 0.6/year)</t>
    </r>
  </si>
  <si>
    <r>
      <rPr>
        <vertAlign val="superscript"/>
        <sz val="10"/>
        <rFont val="Times New Roman"/>
        <family val="1"/>
      </rPr>
      <t>h</t>
    </r>
    <r>
      <rPr>
        <sz val="10"/>
        <rFont val="Times New Roman"/>
        <family val="1"/>
      </rPr>
      <t xml:space="preserve">  Only one respondent has a  metal oxygen refining (MOR) process. This will be tested every five years. Testing costs are taken from Table 2 Year 2 of ICR 2448.02 for initial testing for 'Initial Compliance test (PM) - Bldg. Vent./#12 casting/misc. sources NP FF'. The cost shown is the five-year average. (1 MOR process/5 years = 0.2/year)</t>
    </r>
  </si>
  <si>
    <r>
      <rPr>
        <vertAlign val="superscript"/>
        <sz val="10"/>
        <rFont val="Times New Roman"/>
        <family val="1"/>
      </rPr>
      <t>i</t>
    </r>
    <r>
      <rPr>
        <sz val="10"/>
        <rFont val="Times New Roman"/>
        <family val="1"/>
      </rPr>
      <t xml:space="preserve">  Totals have been rounded to 3 significant figures. Figures may not add exactly due to rounding.</t>
    </r>
  </si>
  <si>
    <t>1.  Reporting Requirements</t>
  </si>
  <si>
    <t>A.  Familiarize with Regulatory Requirements</t>
  </si>
  <si>
    <t>B.  Required activities</t>
  </si>
  <si>
    <t>d. Periodic performance tests for submerged arc furnace control devices</t>
  </si>
  <si>
    <t>i.  Daily visible emissions observations</t>
  </si>
  <si>
    <t>ii.  Weekly confirmation of dust removal</t>
  </si>
  <si>
    <t xml:space="preserve">iii.  Monthly check of bag cleaning mechanisms </t>
  </si>
  <si>
    <t>iv.  Quarterly baghouse integrity checks</t>
  </si>
  <si>
    <t>v.  Semiannual baghouse inspections</t>
  </si>
  <si>
    <t>C.  Create information</t>
  </si>
  <si>
    <t>See 1B</t>
  </si>
  <si>
    <t>D.  Gather information</t>
  </si>
  <si>
    <t>E.  Report preparation</t>
  </si>
  <si>
    <t>a.  Initial Notifications</t>
  </si>
  <si>
    <t>b.  Notification of construction/reconstruction</t>
  </si>
  <si>
    <t>c.  Notification of compliance status</t>
  </si>
  <si>
    <t>d.  Notification of performance test</t>
  </si>
  <si>
    <t>e.  Notification of opacity observations</t>
  </si>
  <si>
    <t>g.  Report of performance tests, opacity observations</t>
  </si>
  <si>
    <t>h.  Process fugitive emissions ventilation plan</t>
  </si>
  <si>
    <t>See 1.E.o</t>
  </si>
  <si>
    <t>i.  Outdoor fugitive dust control plan</t>
  </si>
  <si>
    <t xml:space="preserve">j.  Bag leak detection system </t>
  </si>
  <si>
    <t xml:space="preserve">k.  Monitoring SOP manual for baghouses controlling process vents, process fugitive, or outdoor fugitive dust </t>
  </si>
  <si>
    <t>l.  Report deviations from established parameters for pressure drop and flow rate in scrubbers controlling PM</t>
  </si>
  <si>
    <t xml:space="preserve">n. Reports of the results of quarterly inspections of the furnace capture system </t>
  </si>
  <si>
    <t>2.  Recordkeeping Requirements</t>
  </si>
  <si>
    <t>A. Familiarize with Regulatory Requirements</t>
  </si>
  <si>
    <t>See 1A</t>
  </si>
  <si>
    <t>B.  Implement activities</t>
  </si>
  <si>
    <t>C.  Develop record system</t>
  </si>
  <si>
    <t>NA</t>
  </si>
  <si>
    <t>E.  Records of information required by standards</t>
  </si>
  <si>
    <t>a. Bag leak detection system: output, alarms, corrective actions</t>
  </si>
  <si>
    <t>b. Baghouses without leak detection systems: inspection and maintenance records</t>
  </si>
  <si>
    <t>c. Wet scrubbers: pressure drop, water flow rate, deviations, corrective actions</t>
  </si>
  <si>
    <t>d. Shop building capture system: monitoring, deviations, corrective actions</t>
  </si>
  <si>
    <t>e. Inspections of the furnace capture system (quarterly)</t>
  </si>
  <si>
    <t>f. Records of startup and/or shutdown.</t>
  </si>
  <si>
    <t>g. Records of malfunctions and exceedances</t>
  </si>
  <si>
    <t>h. Deviations from process fugitive emissions ventilation plan</t>
  </si>
  <si>
    <t>i. Deviations from outdoor fugitive dust control plan</t>
  </si>
  <si>
    <t>j. Deviations from monitoring SOP manual for baghouses</t>
  </si>
  <si>
    <t>k. Records of performance tests</t>
  </si>
  <si>
    <t>F.  Personnel training</t>
  </si>
  <si>
    <t>G.  Time for audits</t>
  </si>
  <si>
    <r>
      <rPr>
        <vertAlign val="superscript"/>
        <sz val="10"/>
        <color theme="1"/>
        <rFont val="Times New Roman"/>
        <family val="1"/>
      </rPr>
      <t>a</t>
    </r>
    <r>
      <rPr>
        <sz val="10"/>
        <color theme="1"/>
        <rFont val="Times New Roman"/>
        <family val="1"/>
      </rPr>
      <t xml:space="preserve">  There are two ferroalloy production facilities currently subject to the standard.  We assume no additional respondents will become subject to this regulation in the three-year period of this ICR.</t>
    </r>
  </si>
  <si>
    <r>
      <rPr>
        <vertAlign val="superscript"/>
        <sz val="10"/>
        <color rgb="FF000000"/>
        <rFont val="Times New Roman"/>
        <family val="1"/>
      </rPr>
      <t>c</t>
    </r>
    <r>
      <rPr>
        <sz val="10"/>
        <color rgb="FF000000"/>
        <rFont val="Times New Roman"/>
        <family val="1"/>
      </rPr>
      <t xml:space="preserve">  There are a total of six operating furnaces at these two sources. Four furnaces are controlled with fabric filters and two furnaces are controlled with a single venturi scrubber. The fabric filter baghouses controlling the arc furnaces are required to have bag leak detection systems.</t>
    </r>
  </si>
  <si>
    <r>
      <rPr>
        <vertAlign val="superscript"/>
        <sz val="10"/>
        <color rgb="FF000000"/>
        <rFont val="Times New Roman"/>
        <family val="1"/>
      </rPr>
      <t>d</t>
    </r>
    <r>
      <rPr>
        <sz val="10"/>
        <color rgb="FF000000"/>
        <rFont val="Times New Roman"/>
        <family val="1"/>
      </rPr>
      <t xml:space="preserve">  There are a total of seven local ventilation, MOR process, and crushing/screening operations controlled by baghouses at these two sources.</t>
    </r>
  </si>
  <si>
    <r>
      <rPr>
        <vertAlign val="superscript"/>
        <sz val="10"/>
        <color rgb="FF000000"/>
        <rFont val="Times New Roman"/>
        <family val="1"/>
      </rPr>
      <t>e</t>
    </r>
    <r>
      <rPr>
        <sz val="10"/>
        <color rgb="FF000000"/>
        <rFont val="Times New Roman"/>
        <family val="1"/>
      </rPr>
      <t xml:space="preserve">  There are six operating furnaces at these two sources controlled by five control devices (four fabric filters and one scrubber (5/2=2.5)). Each furnace is tested annually.</t>
    </r>
  </si>
  <si>
    <r>
      <rPr>
        <vertAlign val="superscript"/>
        <sz val="10"/>
        <color rgb="FF000000"/>
        <rFont val="Times New Roman"/>
        <family val="1"/>
      </rPr>
      <t>f</t>
    </r>
    <r>
      <rPr>
        <sz val="10"/>
        <color rgb="FF000000"/>
        <rFont val="Times New Roman"/>
        <family val="1"/>
      </rPr>
      <t xml:space="preserve">  We assume that all six ferromanganese furnaces have demonstrated compliance with the PAH standard in four consecutive tests and have petitioned the operating authority to reduce testing frequency to an annual basis.</t>
    </r>
  </si>
  <si>
    <r>
      <rPr>
        <vertAlign val="superscript"/>
        <sz val="10"/>
        <rFont val="Times New Roman"/>
        <family val="1"/>
      </rPr>
      <t>g</t>
    </r>
    <r>
      <rPr>
        <sz val="10"/>
        <rFont val="Times New Roman"/>
        <family val="1"/>
      </rPr>
      <t xml:space="preserve">  This testing is done every five years. We assume these tests will be done simultaneously with the annual test. This row calculates the average cost per year over five years (five furnace control systems will be tested at two sources every five years). At these two sources, there are a total of three shop buildings (local ventilation), one MOR process, and three crushing/screening operations, each controlled by baghouses.</t>
    </r>
  </si>
  <si>
    <r>
      <rPr>
        <vertAlign val="superscript"/>
        <sz val="10"/>
        <rFont val="Times New Roman"/>
        <family val="1"/>
      </rPr>
      <t>h</t>
    </r>
    <r>
      <rPr>
        <sz val="10"/>
        <rFont val="Times New Roman"/>
        <family val="1"/>
      </rPr>
      <t xml:space="preserve">  Each source has non-furnace operations (crushing and screening, MOR process, building ventilation) that are controlled by baghouses. These observations, inspections, and maintenance get performed on the schedule shown. </t>
    </r>
  </si>
  <si>
    <r>
      <rPr>
        <vertAlign val="superscript"/>
        <sz val="10"/>
        <rFont val="Times New Roman"/>
        <family val="1"/>
      </rPr>
      <t>i</t>
    </r>
    <r>
      <rPr>
        <sz val="10"/>
        <rFont val="Times New Roman"/>
        <family val="1"/>
      </rPr>
      <t xml:space="preserve">  At the two sources, there are a total of four arc furnaces each controlled by a single baghouse. These baghouses use bag leak detection systems.</t>
    </r>
  </si>
  <si>
    <r>
      <rPr>
        <vertAlign val="superscript"/>
        <sz val="10"/>
        <rFont val="Times New Roman"/>
        <family val="1"/>
      </rPr>
      <t>j</t>
    </r>
    <r>
      <rPr>
        <sz val="10"/>
        <rFont val="Times New Roman"/>
        <family val="1"/>
      </rPr>
      <t xml:space="preserve">  One source operates a scrubber controlling two arc furnaces.</t>
    </r>
  </si>
  <si>
    <r>
      <rPr>
        <vertAlign val="superscript"/>
        <sz val="10"/>
        <rFont val="Times New Roman"/>
        <family val="1"/>
      </rPr>
      <t>k</t>
    </r>
    <r>
      <rPr>
        <sz val="10"/>
        <rFont val="Times New Roman"/>
        <family val="1"/>
      </rPr>
      <t xml:space="preserve">  We assume each respondent will perform weekly opacity readings on three non-furnace facilities. (3 x 52 = 156)</t>
    </r>
  </si>
  <si>
    <r>
      <rPr>
        <vertAlign val="superscript"/>
        <sz val="10"/>
        <rFont val="Times New Roman"/>
        <family val="1"/>
      </rPr>
      <t>l</t>
    </r>
    <r>
      <rPr>
        <sz val="10"/>
        <rFont val="Times New Roman"/>
        <family val="1"/>
      </rPr>
      <t xml:space="preserve">  The ductwork flowrate monitoring is for determining compliance with the shop building opacity standard at 40 CFR 63.1623 and 63.1626(h).</t>
    </r>
  </si>
  <si>
    <r>
      <rPr>
        <vertAlign val="superscript"/>
        <sz val="10"/>
        <rFont val="Times New Roman"/>
        <family val="1"/>
      </rPr>
      <t>m</t>
    </r>
    <r>
      <rPr>
        <sz val="10"/>
        <rFont val="Times New Roman"/>
        <family val="1"/>
      </rPr>
      <t xml:space="preserve">  The capture systems collecting emissions from the six arc furnaces are inspected for proper functioning annually. </t>
    </r>
  </si>
  <si>
    <r>
      <rPr>
        <vertAlign val="superscript"/>
        <sz val="10"/>
        <color rgb="FF000000"/>
        <rFont val="Times New Roman"/>
        <family val="1"/>
      </rPr>
      <t>n</t>
    </r>
    <r>
      <rPr>
        <sz val="10"/>
        <color rgb="FF000000"/>
        <rFont val="Times New Roman"/>
        <family val="1"/>
      </rPr>
      <t xml:space="preserve">  We assume sources will make changes to information previously reported once every three years.</t>
    </r>
  </si>
  <si>
    <r>
      <rPr>
        <vertAlign val="superscript"/>
        <sz val="10"/>
        <color rgb="FF000000"/>
        <rFont val="Times New Roman"/>
        <family val="1"/>
      </rPr>
      <t>o</t>
    </r>
    <r>
      <rPr>
        <sz val="10"/>
        <color rgb="FF000000"/>
        <rFont val="Times New Roman"/>
        <family val="1"/>
      </rPr>
      <t xml:space="preserve">  These plans and manuals were developed and submitted during the first year after the most recent amendments were promulgated.</t>
    </r>
  </si>
  <si>
    <r>
      <rPr>
        <vertAlign val="superscript"/>
        <sz val="10"/>
        <color rgb="FF000000"/>
        <rFont val="Times New Roman"/>
        <family val="1"/>
      </rPr>
      <t>p</t>
    </r>
    <r>
      <rPr>
        <sz val="10"/>
        <color rgb="FF000000"/>
        <rFont val="Times New Roman"/>
        <family val="1"/>
      </rPr>
      <t xml:space="preserve">  We assume that both respondents will report deviations from these plans and parameters each year during the three-year period of this ICR.</t>
    </r>
  </si>
  <si>
    <r>
      <rPr>
        <vertAlign val="superscript"/>
        <sz val="10"/>
        <color rgb="FF000000"/>
        <rFont val="Times New Roman"/>
        <family val="1"/>
      </rPr>
      <t>q</t>
    </r>
    <r>
      <rPr>
        <sz val="10"/>
        <color rgb="FF000000"/>
        <rFont val="Times New Roman"/>
        <family val="1"/>
      </rPr>
      <t xml:space="preserve">  Respondents are required to update the process fugitive emissions ventilation plan every 5 years. </t>
    </r>
  </si>
  <si>
    <r>
      <rPr>
        <vertAlign val="superscript"/>
        <sz val="10"/>
        <color rgb="FF000000"/>
        <rFont val="Times New Roman"/>
        <family val="1"/>
      </rPr>
      <t>r</t>
    </r>
    <r>
      <rPr>
        <sz val="10"/>
        <color rgb="FF000000"/>
        <rFont val="Times New Roman"/>
        <family val="1"/>
      </rPr>
      <t xml:space="preserve">  We assume that 2 respondents per year will need to submit a Report of Exceedance.</t>
    </r>
  </si>
  <si>
    <r>
      <rPr>
        <vertAlign val="superscript"/>
        <sz val="10"/>
        <color rgb="FF000000"/>
        <rFont val="Times New Roman"/>
        <family val="1"/>
      </rPr>
      <t>s</t>
    </r>
    <r>
      <rPr>
        <sz val="10"/>
        <color rgb="FF000000"/>
        <rFont val="Times New Roman"/>
        <family val="1"/>
      </rPr>
      <t xml:space="preserve">  Each respondent is required to submit an Annual Compliance Certification each year.</t>
    </r>
  </si>
  <si>
    <r>
      <rPr>
        <vertAlign val="superscript"/>
        <sz val="10"/>
        <color theme="1"/>
        <rFont val="Times New Roman"/>
        <family val="1"/>
      </rPr>
      <t>t</t>
    </r>
    <r>
      <rPr>
        <sz val="10"/>
        <color theme="1"/>
        <rFont val="Times New Roman"/>
        <family val="1"/>
      </rPr>
      <t xml:space="preserve">  Totals have been rounded to 3 significant values.  Figures may not add exactly due to rounding.</t>
    </r>
  </si>
  <si>
    <r>
      <t xml:space="preserve">a. Initial performance test (PM, HCl, Hg, PAH, Formaldehyde) - Furnace, capture systems - Fabric Filter </t>
    </r>
    <r>
      <rPr>
        <vertAlign val="superscript"/>
        <sz val="10"/>
        <rFont val="Times New Roman"/>
        <family val="1"/>
      </rPr>
      <t>c</t>
    </r>
  </si>
  <si>
    <r>
      <t xml:space="preserve">b. Initial performance test (PM, HCl, Hg, PAH, Formaldehyde) - Furnace, capture systems - Scrubber </t>
    </r>
    <r>
      <rPr>
        <vertAlign val="superscript"/>
        <sz val="10"/>
        <rFont val="Times New Roman"/>
        <family val="1"/>
      </rPr>
      <t>c</t>
    </r>
  </si>
  <si>
    <r>
      <t xml:space="preserve">c. Initial performance test (PM) - Local ventilation, Metal Oxygen Refining (MOR) process, crushing and screening </t>
    </r>
    <r>
      <rPr>
        <vertAlign val="superscript"/>
        <sz val="10"/>
        <rFont val="Times New Roman"/>
        <family val="1"/>
      </rPr>
      <t>d</t>
    </r>
  </si>
  <si>
    <r>
      <t xml:space="preserve">i. Annual wet scrubber PM tests (furnace) </t>
    </r>
    <r>
      <rPr>
        <vertAlign val="superscript"/>
        <sz val="10"/>
        <rFont val="Times New Roman"/>
        <family val="1"/>
      </rPr>
      <t>e</t>
    </r>
  </si>
  <si>
    <r>
      <t xml:space="preserve">ii. Annual Hg tests for wet scrubber, fabric filter, and vent stacks </t>
    </r>
    <r>
      <rPr>
        <vertAlign val="superscript"/>
        <sz val="10"/>
        <rFont val="Times New Roman"/>
        <family val="1"/>
      </rPr>
      <t>e</t>
    </r>
    <r>
      <rPr>
        <sz val="10"/>
        <rFont val="Times New Roman"/>
        <family val="1"/>
      </rPr>
      <t xml:space="preserve"> (furnace)</t>
    </r>
  </si>
  <si>
    <r>
      <t xml:space="preserve">iii. Annual PAH tests for wet scrubber, fabric filter, and vent stacks  (ferromanganese furnaces) </t>
    </r>
    <r>
      <rPr>
        <vertAlign val="superscript"/>
        <sz val="10"/>
        <rFont val="Times New Roman"/>
        <family val="1"/>
      </rPr>
      <t>e,f</t>
    </r>
  </si>
  <si>
    <r>
      <t xml:space="preserve">iv. PM tests for fabric filters every five years (furnace) </t>
    </r>
    <r>
      <rPr>
        <vertAlign val="superscript"/>
        <sz val="10"/>
        <rFont val="Times New Roman"/>
        <family val="1"/>
      </rPr>
      <t xml:space="preserve">g </t>
    </r>
  </si>
  <si>
    <r>
      <t xml:space="preserve">v. HCl test every five years (furnace) </t>
    </r>
    <r>
      <rPr>
        <vertAlign val="superscript"/>
        <sz val="10"/>
        <rFont val="Times New Roman"/>
        <family val="1"/>
      </rPr>
      <t>g</t>
    </r>
    <r>
      <rPr>
        <sz val="10"/>
        <rFont val="Times New Roman"/>
        <family val="1"/>
      </rPr>
      <t xml:space="preserve"> </t>
    </r>
  </si>
  <si>
    <r>
      <t xml:space="preserve">vi. Formaldehyde test every five years (furnace) </t>
    </r>
    <r>
      <rPr>
        <vertAlign val="superscript"/>
        <sz val="10"/>
        <rFont val="Times New Roman"/>
        <family val="1"/>
      </rPr>
      <t>g</t>
    </r>
  </si>
  <si>
    <r>
      <t xml:space="preserve">vii. Capture system test every five years (furnace) </t>
    </r>
    <r>
      <rPr>
        <vertAlign val="superscript"/>
        <sz val="10"/>
        <rFont val="Times New Roman"/>
        <family val="1"/>
      </rPr>
      <t>g</t>
    </r>
  </si>
  <si>
    <r>
      <t xml:space="preserve">viii. Local ventilation test every five years </t>
    </r>
    <r>
      <rPr>
        <vertAlign val="superscript"/>
        <sz val="10"/>
        <rFont val="Times New Roman"/>
        <family val="1"/>
      </rPr>
      <t>g</t>
    </r>
  </si>
  <si>
    <r>
      <t xml:space="preserve">ix. MOR process test every five years </t>
    </r>
    <r>
      <rPr>
        <vertAlign val="superscript"/>
        <sz val="10"/>
        <rFont val="Times New Roman"/>
        <family val="1"/>
      </rPr>
      <t>g</t>
    </r>
  </si>
  <si>
    <r>
      <t xml:space="preserve">x. Crushing and screening equipment test every five years </t>
    </r>
    <r>
      <rPr>
        <vertAlign val="superscript"/>
        <sz val="10"/>
        <rFont val="Times New Roman"/>
        <family val="1"/>
      </rPr>
      <t>g</t>
    </r>
  </si>
  <si>
    <r>
      <t xml:space="preserve">e. Non-furnace baghouse observations and inspections </t>
    </r>
    <r>
      <rPr>
        <vertAlign val="superscript"/>
        <sz val="10"/>
        <rFont val="Times New Roman"/>
        <family val="1"/>
      </rPr>
      <t>h</t>
    </r>
  </si>
  <si>
    <r>
      <t xml:space="preserve">f. Furnace baghouse bag leak detection system (annual O&amp;M) </t>
    </r>
    <r>
      <rPr>
        <vertAlign val="superscript"/>
        <sz val="10"/>
        <rFont val="Times New Roman"/>
        <family val="1"/>
      </rPr>
      <t>i</t>
    </r>
  </si>
  <si>
    <r>
      <t xml:space="preserve">g. Pressure drop/liquid flow rate CPMS-scrubber (annual O&amp;M) </t>
    </r>
    <r>
      <rPr>
        <vertAlign val="superscript"/>
        <sz val="10"/>
        <rFont val="Times New Roman"/>
        <family val="1"/>
      </rPr>
      <t>j</t>
    </r>
  </si>
  <si>
    <r>
      <t xml:space="preserve">h. Weekly Method 9 (Opacity) </t>
    </r>
    <r>
      <rPr>
        <vertAlign val="superscript"/>
        <sz val="10"/>
        <rFont val="Times New Roman"/>
        <family val="1"/>
      </rPr>
      <t>k</t>
    </r>
  </si>
  <si>
    <r>
      <t xml:space="preserve">i. Ductwork flowrate monitoring (annual O&amp;M) </t>
    </r>
    <r>
      <rPr>
        <vertAlign val="superscript"/>
        <sz val="10"/>
        <rFont val="Times New Roman"/>
        <family val="1"/>
      </rPr>
      <t>l</t>
    </r>
  </si>
  <si>
    <r>
      <t xml:space="preserve">j. Furnace capture system inspection (Quarterly) </t>
    </r>
    <r>
      <rPr>
        <vertAlign val="superscript"/>
        <sz val="10"/>
        <rFont val="Times New Roman"/>
        <family val="1"/>
      </rPr>
      <t>m</t>
    </r>
  </si>
  <si>
    <r>
      <t>f.  Notification of change in information already provided</t>
    </r>
    <r>
      <rPr>
        <vertAlign val="superscript"/>
        <sz val="10"/>
        <rFont val="Times New Roman"/>
        <family val="1"/>
      </rPr>
      <t xml:space="preserve"> n</t>
    </r>
  </si>
  <si>
    <r>
      <t xml:space="preserve">ii.  Report deviations from plan </t>
    </r>
    <r>
      <rPr>
        <vertAlign val="superscript"/>
        <sz val="10"/>
        <rFont val="Times New Roman"/>
        <family val="1"/>
      </rPr>
      <t>p</t>
    </r>
  </si>
  <si>
    <r>
      <t xml:space="preserve">i.  Develop and submit plan </t>
    </r>
    <r>
      <rPr>
        <vertAlign val="superscript"/>
        <sz val="10"/>
        <rFont val="Times New Roman"/>
        <family val="1"/>
      </rPr>
      <t>o</t>
    </r>
  </si>
  <si>
    <r>
      <t xml:space="preserve">iii.  Update plan </t>
    </r>
    <r>
      <rPr>
        <vertAlign val="superscript"/>
        <sz val="10"/>
        <rFont val="Times New Roman"/>
        <family val="1"/>
      </rPr>
      <t>q</t>
    </r>
  </si>
  <si>
    <r>
      <t xml:space="preserve">i.  Develop plan </t>
    </r>
    <r>
      <rPr>
        <vertAlign val="superscript"/>
        <sz val="10"/>
        <rFont val="Times New Roman"/>
        <family val="1"/>
      </rPr>
      <t>o</t>
    </r>
  </si>
  <si>
    <r>
      <t xml:space="preserve">ii.  Report alarms and actions taken in response </t>
    </r>
    <r>
      <rPr>
        <vertAlign val="superscript"/>
        <sz val="10"/>
        <rFont val="Times New Roman"/>
        <family val="1"/>
      </rPr>
      <t>p</t>
    </r>
  </si>
  <si>
    <r>
      <t xml:space="preserve">i.  Develop and submit manual </t>
    </r>
    <r>
      <rPr>
        <vertAlign val="superscript"/>
        <sz val="10"/>
        <rFont val="Times New Roman"/>
        <family val="1"/>
      </rPr>
      <t>o</t>
    </r>
  </si>
  <si>
    <r>
      <t xml:space="preserve">m.  Report shop building capture system monitoring and deviations </t>
    </r>
    <r>
      <rPr>
        <vertAlign val="superscript"/>
        <sz val="10"/>
        <rFont val="Times New Roman"/>
        <family val="1"/>
      </rPr>
      <t>p</t>
    </r>
  </si>
  <si>
    <r>
      <t xml:space="preserve">o.  Reports of deviations, alarms, actions taken, malfunctions, and exceedances </t>
    </r>
    <r>
      <rPr>
        <vertAlign val="superscript"/>
        <sz val="10"/>
        <rFont val="Times New Roman"/>
        <family val="1"/>
      </rPr>
      <t>p,r</t>
    </r>
  </si>
  <si>
    <r>
      <t xml:space="preserve">p.  Annual compliance certification </t>
    </r>
    <r>
      <rPr>
        <vertAlign val="superscript"/>
        <sz val="10"/>
        <rFont val="Times New Roman"/>
        <family val="1"/>
      </rPr>
      <t>s</t>
    </r>
  </si>
  <si>
    <t>Person-hours per respondent per year (C=AxB)</t>
  </si>
  <si>
    <t>Technical person-hours per year 
(E=CxD)</t>
  </si>
  <si>
    <r>
      <t xml:space="preserve">TOTAL LABOR BURDEN AND COST (rounded) </t>
    </r>
    <r>
      <rPr>
        <b/>
        <vertAlign val="superscript"/>
        <sz val="10"/>
        <color rgb="FF000000"/>
        <rFont val="Times New Roman"/>
        <family val="1"/>
      </rPr>
      <t>t</t>
    </r>
  </si>
  <si>
    <r>
      <t xml:space="preserve">TOTAL CAPITAL AND O&amp;M COSTS (rounded) </t>
    </r>
    <r>
      <rPr>
        <b/>
        <vertAlign val="superscript"/>
        <sz val="10"/>
        <color rgb="FF000000"/>
        <rFont val="Times New Roman"/>
        <family val="1"/>
      </rPr>
      <t>t</t>
    </r>
  </si>
  <si>
    <r>
      <t xml:space="preserve">GRAND TOTAL (rounded) </t>
    </r>
    <r>
      <rPr>
        <b/>
        <vertAlign val="superscript"/>
        <sz val="10"/>
        <color rgb="FF000000"/>
        <rFont val="Times New Roman"/>
        <family val="1"/>
      </rPr>
      <t>t</t>
    </r>
  </si>
  <si>
    <t>Report reviews</t>
  </si>
  <si>
    <t xml:space="preserve">Reports of deviations, alarms, actions taken, malfunctions, and exceedances </t>
  </si>
  <si>
    <r>
      <rPr>
        <vertAlign val="superscript"/>
        <sz val="10"/>
        <color theme="1"/>
        <rFont val="Times New Roman"/>
        <family val="1"/>
      </rPr>
      <t xml:space="preserve">a  </t>
    </r>
    <r>
      <rPr>
        <sz val="10"/>
        <color theme="1"/>
        <rFont val="Times New Roman"/>
        <family val="1"/>
      </rPr>
      <t>There are two ferroalloy production facilities currently subject to the standard.  We assume no additional respondents will become subject to this regulation in the three-year period of this ICR.</t>
    </r>
  </si>
  <si>
    <r>
      <rPr>
        <vertAlign val="superscript"/>
        <sz val="10"/>
        <color theme="1"/>
        <rFont val="Times New Roman"/>
        <family val="1"/>
      </rPr>
      <t>c</t>
    </r>
    <r>
      <rPr>
        <sz val="10"/>
        <color theme="1"/>
        <rFont val="Times New Roman"/>
        <family val="1"/>
      </rPr>
      <t xml:space="preserve">  Totals have been rounded to 3 significant values.  Figures may not add exactly due to rounding.</t>
    </r>
  </si>
  <si>
    <r>
      <rPr>
        <vertAlign val="superscript"/>
        <sz val="10"/>
        <color theme="1"/>
        <rFont val="Times New Roman"/>
        <family val="1"/>
      </rPr>
      <t>b</t>
    </r>
    <r>
      <rPr>
        <sz val="10"/>
        <color theme="1"/>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</si>
</sst>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0.0"/>
    <numFmt numFmtId="165" formatCode="#,##0.0"/>
    <numFmt numFmtId="166" formatCode="&quot;$&quot;#,##0.00"/>
    <numFmt numFmtId="167" formatCode="&quot;$&quot;#,##0"/>
  </numFmts>
  <fonts count="31" x14ac:knownFonts="1">
    <font>
      <sz val="11"/>
      <color theme="1"/>
      <name val="Calibri"/>
      <family val="2"/>
      <scheme val="minor"/>
    </font>
    <font>
      <b/>
      <sz val="11"/>
      <color theme="1"/>
      <name val="Calibri"/>
      <family val="2"/>
      <scheme val="minor"/>
    </font>
    <font>
      <b/>
      <sz val="12"/>
      <color rgb="FF000000"/>
      <name val="Times New Roman"/>
      <family val="1"/>
    </font>
    <font>
      <sz val="10"/>
      <color theme="1"/>
      <name val="Times New Roman"/>
      <family val="1"/>
    </font>
    <font>
      <b/>
      <sz val="10"/>
      <color rgb="FF000000"/>
      <name val="Times New Roman"/>
      <family val="1"/>
    </font>
    <font>
      <b/>
      <vertAlign val="superscript"/>
      <sz val="10"/>
      <color rgb="FF000000"/>
      <name val="Times New Roman"/>
      <family val="1"/>
    </font>
    <font>
      <sz val="10"/>
      <color rgb="FF000000"/>
      <name val="Times New Roman"/>
      <family val="1"/>
    </font>
    <font>
      <vertAlign val="superscript"/>
      <sz val="10"/>
      <color rgb="FF000000"/>
      <name val="Times New Roman"/>
      <family val="1"/>
    </font>
    <font>
      <i/>
      <sz val="10"/>
      <color rgb="FF000000"/>
      <name val="Times New Roman"/>
      <family val="1"/>
    </font>
    <font>
      <b/>
      <i/>
      <sz val="10"/>
      <color rgb="FF000000"/>
      <name val="Times New Roman"/>
      <family val="1"/>
    </font>
    <font>
      <b/>
      <i/>
      <sz val="10"/>
      <color theme="1"/>
      <name val="Times New Roman"/>
      <family val="1"/>
    </font>
    <font>
      <b/>
      <sz val="10"/>
      <color theme="1"/>
      <name val="Times New Roman"/>
      <family val="1"/>
    </font>
    <font>
      <vertAlign val="superscript"/>
      <sz val="10"/>
      <color theme="1"/>
      <name val="Times New Roman"/>
      <family val="1"/>
    </font>
    <font>
      <sz val="11"/>
      <color theme="1"/>
      <name val="Calibri"/>
      <family val="2"/>
      <scheme val="minor"/>
    </font>
    <font>
      <sz val="11"/>
      <color rgb="FFFF0000"/>
      <name val="Calibri"/>
      <family val="2"/>
      <scheme val="minor"/>
    </font>
    <font>
      <b/>
      <sz val="10"/>
      <color rgb="FFFF0000"/>
      <name val="Times New Roman"/>
      <family val="1"/>
    </font>
    <font>
      <sz val="10"/>
      <color rgb="FFFF0000"/>
      <name val="Times New Roman"/>
      <family val="1"/>
    </font>
    <font>
      <b/>
      <sz val="10"/>
      <color rgb="FF7030A0"/>
      <name val="Times New Roman"/>
      <family val="1"/>
    </font>
    <font>
      <vertAlign val="superscript"/>
      <sz val="10"/>
      <name val="Times New Roman"/>
      <family val="1"/>
    </font>
    <font>
      <b/>
      <sz val="10"/>
      <color rgb="FF0070C0"/>
      <name val="Times New Roman"/>
      <family val="1"/>
    </font>
    <font>
      <sz val="11"/>
      <color rgb="FF000000"/>
      <name val="Calibri"/>
      <family val="2"/>
      <scheme val="minor"/>
    </font>
    <font>
      <b/>
      <sz val="11"/>
      <color theme="1"/>
      <name val="Times New Roman"/>
      <family val="1"/>
    </font>
    <font>
      <sz val="11"/>
      <color theme="1"/>
      <name val="Times New Roman"/>
      <family val="1"/>
    </font>
    <font>
      <b/>
      <sz val="10"/>
      <name val="Times New Roman"/>
      <family val="1"/>
    </font>
    <font>
      <b/>
      <sz val="11"/>
      <color rgb="FF000000"/>
      <name val="Times New Roman"/>
      <family val="1"/>
    </font>
    <font>
      <sz val="10"/>
      <color rgb="FF1B1B1B"/>
      <name val="Arial"/>
      <family val="2"/>
    </font>
    <font>
      <sz val="11"/>
      <color theme="1"/>
      <name val="Calibri"/>
      <family val="2"/>
    </font>
    <font>
      <b/>
      <sz val="12"/>
      <name val="Times New Roman"/>
      <family val="1"/>
    </font>
    <font>
      <sz val="10"/>
      <color theme="1"/>
      <name val="Arial"/>
      <family val="2"/>
    </font>
    <font>
      <sz val="10"/>
      <name val="Times New Roman"/>
      <family val="1"/>
    </font>
    <font>
      <b/>
      <vertAlign val="superscript"/>
      <sz val="10"/>
      <color theme="1"/>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0" fontId="28" fillId="0" borderId="0"/>
  </cellStyleXfs>
  <cellXfs count="118">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8" fontId="6" fillId="0" borderId="1" xfId="0" applyNumberFormat="1" applyFont="1" applyBorder="1" applyAlignment="1">
      <alignment horizontal="right" vertical="center"/>
    </xf>
    <xf numFmtId="3" fontId="6" fillId="0" borderId="1" xfId="0" applyNumberFormat="1" applyFont="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vertical="center"/>
    </xf>
    <xf numFmtId="6" fontId="4" fillId="0" borderId="1" xfId="0" applyNumberFormat="1" applyFont="1" applyBorder="1" applyAlignment="1">
      <alignment horizontal="right" vertical="center"/>
    </xf>
    <xf numFmtId="0" fontId="10" fillId="0" borderId="1" xfId="0" applyFont="1" applyBorder="1" applyAlignment="1">
      <alignment vertical="center" wrapText="1"/>
    </xf>
    <xf numFmtId="0" fontId="11" fillId="0" borderId="0" xfId="0" applyFont="1" applyAlignment="1">
      <alignment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8" fontId="0" fillId="0" borderId="0" xfId="0" applyNumberFormat="1"/>
    <xf numFmtId="2" fontId="0" fillId="0" borderId="0" xfId="0" applyNumberFormat="1"/>
    <xf numFmtId="165"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0" fontId="4" fillId="0" borderId="0" xfId="0" applyFont="1" applyAlignment="1">
      <alignment horizontal="center" vertical="center" wrapText="1"/>
    </xf>
    <xf numFmtId="9" fontId="0" fillId="0" borderId="0" xfId="1" applyFont="1"/>
    <xf numFmtId="10" fontId="0" fillId="0" borderId="0" xfId="0" applyNumberFormat="1"/>
    <xf numFmtId="0" fontId="14" fillId="0" borderId="0" xfId="0" applyFont="1"/>
    <xf numFmtId="0" fontId="15" fillId="0" borderId="2" xfId="0" applyFont="1" applyBorder="1" applyAlignment="1">
      <alignment horizontal="center" vertical="center" wrapText="1"/>
    </xf>
    <xf numFmtId="0" fontId="6" fillId="0" borderId="0" xfId="0" applyFont="1"/>
    <xf numFmtId="0" fontId="4"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6" fillId="0" borderId="0" xfId="0" applyFont="1"/>
    <xf numFmtId="6" fontId="6" fillId="0" borderId="1" xfId="0" applyNumberFormat="1" applyFont="1" applyBorder="1" applyAlignment="1">
      <alignment horizontal="center" vertical="center" wrapText="1"/>
    </xf>
    <xf numFmtId="0" fontId="17" fillId="0" borderId="0" xfId="0" applyFont="1"/>
    <xf numFmtId="6" fontId="6" fillId="0" borderId="0" xfId="0" applyNumberFormat="1" applyFont="1"/>
    <xf numFmtId="0" fontId="19" fillId="0" borderId="0" xfId="0" applyFont="1" applyAlignment="1">
      <alignment wrapText="1"/>
    </xf>
    <xf numFmtId="0" fontId="20" fillId="0" borderId="0" xfId="0" applyFont="1" applyAlignment="1">
      <alignment vertical="top" wrapText="1"/>
    </xf>
    <xf numFmtId="166" fontId="0" fillId="0" borderId="0" xfId="0" applyNumberFormat="1"/>
    <xf numFmtId="0" fontId="0" fillId="0" borderId="8" xfId="0" applyBorder="1"/>
    <xf numFmtId="166" fontId="0" fillId="0" borderId="9" xfId="0" applyNumberFormat="1" applyBorder="1"/>
    <xf numFmtId="0" fontId="0" fillId="0" borderId="10" xfId="0" applyBorder="1"/>
    <xf numFmtId="166" fontId="0" fillId="0" borderId="11" xfId="0" applyNumberFormat="1" applyBorder="1"/>
    <xf numFmtId="8" fontId="0" fillId="0" borderId="9" xfId="0" applyNumberFormat="1" applyBorder="1"/>
    <xf numFmtId="8" fontId="0" fillId="0" borderId="11" xfId="0" applyNumberFormat="1" applyBorder="1"/>
    <xf numFmtId="0" fontId="20" fillId="0" borderId="0" xfId="0" applyFont="1" applyAlignment="1">
      <alignment vertical="center" wrapText="1"/>
    </xf>
    <xf numFmtId="0" fontId="22" fillId="0" borderId="0" xfId="0" applyFont="1" applyAlignment="1">
      <alignment vertical="center" wrapText="1"/>
    </xf>
    <xf numFmtId="0" fontId="22" fillId="0" borderId="0" xfId="0" applyFont="1"/>
    <xf numFmtId="1" fontId="22" fillId="0" borderId="0" xfId="0" applyNumberFormat="1" applyFont="1"/>
    <xf numFmtId="3" fontId="22" fillId="0" borderId="0" xfId="0" applyNumberFormat="1" applyFont="1"/>
    <xf numFmtId="0" fontId="1" fillId="0" borderId="0" xfId="0" applyFont="1" applyAlignment="1">
      <alignment horizontal="center"/>
    </xf>
    <xf numFmtId="1" fontId="0" fillId="0" borderId="0" xfId="0" applyNumberFormat="1" applyAlignment="1">
      <alignment horizontal="center"/>
    </xf>
    <xf numFmtId="6" fontId="22" fillId="0" borderId="0" xfId="0" applyNumberFormat="1" applyFont="1"/>
    <xf numFmtId="0" fontId="0" fillId="0" borderId="0" xfId="0" applyAlignment="1">
      <alignment horizontal="center"/>
    </xf>
    <xf numFmtId="0" fontId="25" fillId="0" borderId="0" xfId="0" applyFont="1"/>
    <xf numFmtId="3" fontId="4" fillId="0" borderId="1" xfId="0" applyNumberFormat="1" applyFont="1" applyBorder="1" applyAlignment="1">
      <alignment horizontal="center" vertical="center"/>
    </xf>
    <xf numFmtId="0" fontId="3" fillId="0" borderId="1" xfId="0" applyFont="1" applyBorder="1" applyAlignment="1">
      <alignment wrapText="1"/>
    </xf>
    <xf numFmtId="3" fontId="29" fillId="0" borderId="1" xfId="2" applyNumberFormat="1" applyFont="1" applyBorder="1" applyAlignment="1">
      <alignment horizontal="center" vertical="top" wrapText="1"/>
    </xf>
    <xf numFmtId="0" fontId="29" fillId="0" borderId="1" xfId="2" applyFont="1" applyBorder="1" applyAlignment="1">
      <alignment horizontal="center" vertical="top" wrapText="1"/>
    </xf>
    <xf numFmtId="4" fontId="29" fillId="0" borderId="1" xfId="2" applyNumberFormat="1" applyFont="1" applyBorder="1" applyAlignment="1">
      <alignment horizontal="center" vertical="top" wrapText="1"/>
    </xf>
    <xf numFmtId="0" fontId="3" fillId="0" borderId="1" xfId="0" applyFont="1" applyBorder="1" applyAlignment="1">
      <alignment vertical="top" wrapText="1"/>
    </xf>
    <xf numFmtId="167" fontId="3" fillId="0" borderId="1" xfId="0" applyNumberFormat="1" applyFont="1" applyBorder="1" applyAlignment="1">
      <alignment wrapText="1"/>
    </xf>
    <xf numFmtId="0" fontId="3" fillId="0" borderId="1" xfId="0" applyFont="1" applyBorder="1" applyAlignment="1">
      <alignment horizontal="center" wrapText="1"/>
    </xf>
    <xf numFmtId="3" fontId="3" fillId="0" borderId="1" xfId="0" applyNumberFormat="1" applyFont="1" applyBorder="1" applyAlignment="1">
      <alignment vertical="top" wrapText="1"/>
    </xf>
    <xf numFmtId="167" fontId="6" fillId="0" borderId="1" xfId="0" applyNumberFormat="1" applyFont="1" applyBorder="1" applyAlignment="1">
      <alignment wrapText="1"/>
    </xf>
    <xf numFmtId="0" fontId="6" fillId="0" borderId="1" xfId="0" applyFont="1" applyBorder="1" applyAlignment="1">
      <alignment horizontal="center" wrapText="1"/>
    </xf>
    <xf numFmtId="3" fontId="6" fillId="0" borderId="1" xfId="0" applyNumberFormat="1" applyFont="1" applyBorder="1" applyAlignment="1">
      <alignment vertical="center" wrapText="1"/>
    </xf>
    <xf numFmtId="0" fontId="3" fillId="0" borderId="1" xfId="0" applyFont="1" applyBorder="1"/>
    <xf numFmtId="167" fontId="3" fillId="0" borderId="1" xfId="0" applyNumberFormat="1" applyFont="1" applyBorder="1"/>
    <xf numFmtId="0" fontId="3" fillId="0" borderId="1" xfId="0" applyFont="1" applyBorder="1" applyAlignment="1">
      <alignment horizontal="center"/>
    </xf>
    <xf numFmtId="167" fontId="29" fillId="0" borderId="1" xfId="0" applyNumberFormat="1" applyFont="1" applyBorder="1"/>
    <xf numFmtId="0" fontId="29" fillId="0" borderId="1" xfId="0" applyFont="1" applyBorder="1"/>
    <xf numFmtId="0" fontId="29" fillId="0" borderId="4" xfId="0" applyFont="1" applyBorder="1" applyAlignment="1">
      <alignment horizontal="left" vertical="top" wrapText="1"/>
    </xf>
    <xf numFmtId="0" fontId="29" fillId="0" borderId="0" xfId="0" applyFont="1"/>
    <xf numFmtId="0" fontId="11" fillId="0" borderId="1" xfId="0" applyFont="1" applyBorder="1" applyAlignment="1">
      <alignment horizontal="left"/>
    </xf>
    <xf numFmtId="0" fontId="29" fillId="0" borderId="4" xfId="0" applyFont="1" applyBorder="1" applyAlignment="1">
      <alignment vertical="top" wrapText="1"/>
    </xf>
    <xf numFmtId="0" fontId="6" fillId="0" borderId="1" xfId="0" applyFont="1" applyBorder="1"/>
    <xf numFmtId="0" fontId="29" fillId="0" borderId="4" xfId="0" applyFont="1" applyBorder="1" applyAlignment="1">
      <alignment horizontal="left" vertical="top" wrapText="1" indent="1"/>
    </xf>
    <xf numFmtId="0" fontId="6" fillId="0" borderId="1" xfId="0" applyFont="1" applyBorder="1" applyAlignment="1">
      <alignment horizontal="center"/>
    </xf>
    <xf numFmtId="0" fontId="29" fillId="0" borderId="4" xfId="0" applyFont="1" applyBorder="1" applyAlignment="1">
      <alignment horizontal="left" vertical="top" wrapText="1" indent="2"/>
    </xf>
    <xf numFmtId="0" fontId="29" fillId="0" borderId="4" xfId="0" applyFont="1" applyBorder="1" applyAlignment="1">
      <alignment horizontal="left" vertical="top" wrapText="1" indent="3"/>
    </xf>
    <xf numFmtId="0" fontId="29" fillId="0" borderId="1" xfId="0" applyFont="1" applyBorder="1" applyAlignment="1">
      <alignment horizontal="center" wrapText="1"/>
    </xf>
    <xf numFmtId="0" fontId="29" fillId="0" borderId="5" xfId="0" applyFont="1" applyBorder="1" applyAlignment="1">
      <alignment horizontal="center" wrapText="1"/>
    </xf>
    <xf numFmtId="3" fontId="29" fillId="0" borderId="1" xfId="0" applyNumberFormat="1" applyFont="1" applyBorder="1" applyAlignment="1">
      <alignment horizontal="center" wrapText="1"/>
    </xf>
    <xf numFmtId="0" fontId="6" fillId="0" borderId="1" xfId="0" quotePrefix="1" applyFont="1" applyBorder="1" applyAlignment="1">
      <alignment horizontal="center"/>
    </xf>
    <xf numFmtId="0" fontId="29" fillId="0" borderId="1" xfId="0" applyFont="1" applyBorder="1" applyAlignment="1">
      <alignment horizontal="left" vertical="top" wrapText="1" indent="2"/>
    </xf>
    <xf numFmtId="0" fontId="26" fillId="0" borderId="1" xfId="0" applyFont="1" applyBorder="1" applyAlignment="1">
      <alignment horizontal="center"/>
    </xf>
    <xf numFmtId="0" fontId="6" fillId="0" borderId="4" xfId="0" applyFont="1" applyBorder="1" applyAlignment="1">
      <alignment horizontal="left" vertical="top" wrapText="1" indent="1"/>
    </xf>
    <xf numFmtId="3" fontId="6" fillId="0" borderId="1" xfId="0" applyNumberFormat="1" applyFont="1" applyBorder="1" applyAlignment="1">
      <alignment horizontal="center"/>
    </xf>
    <xf numFmtId="0" fontId="29" fillId="0" borderId="1" xfId="0" applyFont="1" applyBorder="1" applyAlignment="1">
      <alignment horizontal="left" vertical="top" wrapText="1"/>
    </xf>
    <xf numFmtId="1" fontId="29" fillId="0" borderId="1" xfId="0" applyNumberFormat="1" applyFont="1" applyBorder="1" applyAlignment="1">
      <alignment horizontal="center" wrapText="1"/>
    </xf>
    <xf numFmtId="165" fontId="29" fillId="0" borderId="1" xfId="0" applyNumberFormat="1" applyFont="1" applyBorder="1" applyAlignment="1">
      <alignment horizontal="center" wrapText="1"/>
    </xf>
    <xf numFmtId="166" fontId="29" fillId="0" borderId="1" xfId="0" applyNumberFormat="1" applyFont="1" applyBorder="1" applyAlignment="1">
      <alignment horizontal="right" wrapText="1"/>
    </xf>
    <xf numFmtId="164" fontId="29" fillId="0" borderId="1" xfId="0" applyNumberFormat="1" applyFont="1" applyBorder="1" applyAlignment="1">
      <alignment horizontal="center" wrapText="1"/>
    </xf>
    <xf numFmtId="4" fontId="29" fillId="0" borderId="1" xfId="0" applyNumberFormat="1" applyFont="1" applyBorder="1" applyAlignment="1">
      <alignment horizontal="center" wrapText="1"/>
    </xf>
    <xf numFmtId="167" fontId="23" fillId="0" borderId="1" xfId="0" applyNumberFormat="1" applyFont="1" applyBorder="1" applyAlignment="1">
      <alignment horizontal="right" vertical="center" wrapText="1"/>
    </xf>
    <xf numFmtId="167" fontId="6" fillId="0" borderId="1" xfId="0" applyNumberFormat="1" applyFont="1" applyBorder="1" applyAlignment="1">
      <alignment horizontal="center" vertical="center" wrapText="1"/>
    </xf>
    <xf numFmtId="0" fontId="24" fillId="0" borderId="0" xfId="0" applyFont="1" applyAlignment="1">
      <alignment horizontal="center"/>
    </xf>
    <xf numFmtId="0" fontId="3" fillId="0" borderId="0" xfId="0" applyFont="1" applyAlignment="1">
      <alignment horizontal="left" vertical="top" wrapText="1"/>
    </xf>
    <xf numFmtId="0" fontId="27" fillId="0" borderId="0" xfId="0" applyFont="1" applyAlignment="1">
      <alignment horizontal="left" vertical="top"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left" vertical="top" wrapText="1"/>
    </xf>
    <xf numFmtId="0" fontId="11" fillId="0" borderId="0" xfId="0" applyFont="1" applyAlignment="1">
      <alignment horizontal="left" vertical="top"/>
    </xf>
    <xf numFmtId="0" fontId="29" fillId="0" borderId="0" xfId="0" applyFont="1" applyAlignment="1">
      <alignment horizontal="left" vertical="top"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xf>
    <xf numFmtId="0" fontId="21" fillId="0" borderId="6" xfId="0" applyFont="1" applyBorder="1" applyAlignment="1">
      <alignment horizontal="center"/>
    </xf>
    <xf numFmtId="0" fontId="21" fillId="0" borderId="7" xfId="0" applyFont="1" applyBorder="1" applyAlignment="1">
      <alignment horizontal="center"/>
    </xf>
    <xf numFmtId="0" fontId="12" fillId="0" borderId="0" xfId="0" applyFont="1" applyAlignment="1">
      <alignment horizontal="left" vertical="top" wrapText="1"/>
    </xf>
    <xf numFmtId="0" fontId="3" fillId="0" borderId="0" xfId="0" applyFont="1" applyAlignment="1">
      <alignment horizontal="left" vertical="top"/>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left" vertical="top" wrapText="1"/>
    </xf>
    <xf numFmtId="0" fontId="4" fillId="0" borderId="0" xfId="0" applyFont="1" applyAlignment="1">
      <alignment horizontal="left" wrapText="1"/>
    </xf>
    <xf numFmtId="0" fontId="2" fillId="0" borderId="1" xfId="0" applyFont="1" applyBorder="1" applyAlignment="1">
      <alignment horizontal="center" vertical="center" wrapText="1"/>
    </xf>
    <xf numFmtId="0" fontId="6" fillId="0" borderId="0" xfId="0" applyFont="1" applyAlignment="1">
      <alignment horizontal="left" wrapText="1"/>
    </xf>
    <xf numFmtId="0" fontId="6" fillId="0" borderId="1" xfId="0" applyFont="1" applyBorder="1" applyAlignment="1">
      <alignment vertical="center" wrapText="1"/>
    </xf>
    <xf numFmtId="0" fontId="7" fillId="0" borderId="3" xfId="0" applyFont="1" applyBorder="1" applyAlignment="1">
      <alignment horizontal="left" vertical="top"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0" xfId="0" applyFont="1" applyAlignment="1">
      <alignment horizontal="center" wrapText="1"/>
    </xf>
  </cellXfs>
  <cellStyles count="3">
    <cellStyle name="Normal" xfId="0" builtinId="0"/>
    <cellStyle name="Normal 2" xfId="2" xr:uid="{E8690C32-E659-4C0D-9B5B-EFE50BF6753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9F6E-1C7C-46AF-9671-1EEC01066C6A}">
  <dimension ref="A1:B7"/>
  <sheetViews>
    <sheetView workbookViewId="0">
      <selection activeCell="A2" sqref="A2"/>
    </sheetView>
  </sheetViews>
  <sheetFormatPr defaultRowHeight="15" x14ac:dyDescent="0.25"/>
  <cols>
    <col min="1" max="1" width="27.140625" bestFit="1" customWidth="1"/>
    <col min="2" max="2" width="13.7109375" bestFit="1" customWidth="1"/>
  </cols>
  <sheetData>
    <row r="1" spans="1:2" x14ac:dyDescent="0.25">
      <c r="A1" s="91" t="s">
        <v>0</v>
      </c>
      <c r="B1" s="91"/>
    </row>
    <row r="2" spans="1:2" x14ac:dyDescent="0.25">
      <c r="A2" s="40" t="s">
        <v>1</v>
      </c>
      <c r="B2" s="42">
        <f>'Table 1'!L81</f>
        <v>84.736842105263165</v>
      </c>
    </row>
    <row r="3" spans="1:2" x14ac:dyDescent="0.25">
      <c r="A3" s="40" t="s">
        <v>2</v>
      </c>
      <c r="B3" s="41">
        <f>Respondents!F8</f>
        <v>2</v>
      </c>
    </row>
    <row r="4" spans="1:2" x14ac:dyDescent="0.25">
      <c r="A4" s="40" t="s">
        <v>3</v>
      </c>
      <c r="B4" s="43">
        <f>'Table 1'!F81</f>
        <v>1610</v>
      </c>
    </row>
    <row r="5" spans="1:2" x14ac:dyDescent="0.25">
      <c r="A5" s="40" t="s">
        <v>4</v>
      </c>
      <c r="B5" s="46">
        <f>'Table 1'!I83</f>
        <v>645000</v>
      </c>
    </row>
    <row r="6" spans="1:2" x14ac:dyDescent="0.25">
      <c r="A6" s="40" t="s">
        <v>5</v>
      </c>
      <c r="B6" s="46">
        <f>'Capital O&amp;M'!G15</f>
        <v>424000</v>
      </c>
    </row>
    <row r="7" spans="1:2" x14ac:dyDescent="0.25">
      <c r="A7" s="40" t="s">
        <v>6</v>
      </c>
      <c r="B7" s="41" t="s">
        <v>7</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5"/>
  <sheetViews>
    <sheetView tabSelected="1" topLeftCell="A59" zoomScale="90" zoomScaleNormal="90" workbookViewId="0">
      <selection activeCell="K58" sqref="K58"/>
    </sheetView>
  </sheetViews>
  <sheetFormatPr defaultRowHeight="15" x14ac:dyDescent="0.25"/>
  <cols>
    <col min="1" max="1" width="63.140625" customWidth="1"/>
    <col min="2" max="2" width="10.28515625" customWidth="1"/>
    <col min="3" max="3" width="11.42578125" customWidth="1"/>
    <col min="4" max="4" width="13.85546875" customWidth="1"/>
    <col min="5" max="5" width="12.140625" customWidth="1"/>
    <col min="6" max="6" width="12.5703125" customWidth="1"/>
    <col min="7" max="7" width="12.42578125" customWidth="1"/>
    <col min="8" max="8" width="12.7109375" customWidth="1"/>
    <col min="9" max="9" width="11.7109375" customWidth="1"/>
    <col min="10" max="10" width="3.5703125" style="20" customWidth="1"/>
    <col min="11" max="11" width="14.5703125" bestFit="1" customWidth="1"/>
    <col min="12" max="13" width="13.5703125" bestFit="1" customWidth="1"/>
  </cols>
  <sheetData>
    <row r="1" spans="1:13" ht="39" customHeight="1" x14ac:dyDescent="0.25">
      <c r="A1" s="93" t="s">
        <v>79</v>
      </c>
      <c r="B1" s="93"/>
      <c r="C1" s="93"/>
      <c r="D1" s="93"/>
      <c r="E1" s="93"/>
      <c r="F1" s="93"/>
      <c r="G1" s="93"/>
      <c r="H1" s="93"/>
      <c r="I1" s="93"/>
    </row>
    <row r="2" spans="1:13" x14ac:dyDescent="0.25">
      <c r="F2" s="32"/>
      <c r="G2" s="32"/>
      <c r="H2" s="32"/>
    </row>
    <row r="3" spans="1:13" ht="15" customHeight="1" x14ac:dyDescent="0.25">
      <c r="A3" s="100" t="s">
        <v>8</v>
      </c>
      <c r="B3" s="1" t="s">
        <v>9</v>
      </c>
      <c r="C3" s="1" t="s">
        <v>10</v>
      </c>
      <c r="D3" s="1" t="s">
        <v>11</v>
      </c>
      <c r="E3" s="1" t="s">
        <v>12</v>
      </c>
      <c r="F3" s="1" t="s">
        <v>13</v>
      </c>
      <c r="G3" s="1" t="s">
        <v>14</v>
      </c>
      <c r="H3" s="1" t="s">
        <v>15</v>
      </c>
      <c r="I3" s="1" t="s">
        <v>16</v>
      </c>
    </row>
    <row r="4" spans="1:13" ht="67.900000000000006" customHeight="1" x14ac:dyDescent="0.25">
      <c r="A4" s="100"/>
      <c r="B4" s="1" t="s">
        <v>17</v>
      </c>
      <c r="C4" s="1" t="s">
        <v>18</v>
      </c>
      <c r="D4" s="1" t="s">
        <v>204</v>
      </c>
      <c r="E4" s="1" t="s">
        <v>19</v>
      </c>
      <c r="F4" s="1" t="s">
        <v>205</v>
      </c>
      <c r="G4" s="1" t="s">
        <v>20</v>
      </c>
      <c r="H4" s="1" t="s">
        <v>21</v>
      </c>
      <c r="I4" s="1" t="s">
        <v>22</v>
      </c>
      <c r="J4" s="21"/>
    </row>
    <row r="5" spans="1:13" x14ac:dyDescent="0.25">
      <c r="A5" s="69" t="s">
        <v>110</v>
      </c>
      <c r="B5" s="70"/>
      <c r="C5" s="70"/>
      <c r="D5" s="70"/>
      <c r="E5" s="70"/>
      <c r="F5" s="2"/>
      <c r="G5" s="2"/>
      <c r="H5" s="2"/>
      <c r="I5" s="3"/>
    </row>
    <row r="6" spans="1:13" x14ac:dyDescent="0.25">
      <c r="A6" s="71" t="s">
        <v>111</v>
      </c>
      <c r="B6" s="72">
        <v>4</v>
      </c>
      <c r="C6" s="72">
        <v>1</v>
      </c>
      <c r="D6" s="72">
        <f>B6*C6</f>
        <v>4</v>
      </c>
      <c r="E6" s="72">
        <v>2</v>
      </c>
      <c r="F6" s="2">
        <f>+D6*E6</f>
        <v>8</v>
      </c>
      <c r="G6" s="2">
        <f>+F6*0.05</f>
        <v>0.4</v>
      </c>
      <c r="H6" s="2">
        <f>+F6*0.1</f>
        <v>0.8</v>
      </c>
      <c r="I6" s="4">
        <f>+$M$11*F6+$M$12*G6+$M$13*H6</f>
        <v>1260.0519999999999</v>
      </c>
    </row>
    <row r="7" spans="1:13" x14ac:dyDescent="0.25">
      <c r="A7" s="71" t="s">
        <v>112</v>
      </c>
      <c r="B7" s="72"/>
      <c r="C7" s="72"/>
      <c r="D7" s="72"/>
      <c r="E7" s="72"/>
      <c r="F7" s="2"/>
      <c r="G7" s="2"/>
      <c r="H7" s="2"/>
      <c r="I7" s="3"/>
    </row>
    <row r="8" spans="1:13" ht="28.5" x14ac:dyDescent="0.25">
      <c r="A8" s="73" t="s">
        <v>175</v>
      </c>
      <c r="B8" s="72">
        <v>15</v>
      </c>
      <c r="C8" s="72">
        <v>3</v>
      </c>
      <c r="D8" s="72">
        <f t="shared" ref="D8:D32" si="0">B8*C8</f>
        <v>45</v>
      </c>
      <c r="E8" s="72">
        <v>0</v>
      </c>
      <c r="F8" s="2">
        <f>+D8*E8</f>
        <v>0</v>
      </c>
      <c r="G8" s="2">
        <f>+F8*0.05</f>
        <v>0</v>
      </c>
      <c r="H8" s="2">
        <f>+F8*0.1</f>
        <v>0</v>
      </c>
      <c r="I8" s="4">
        <f>+$M$11*F8+$M$12*G8+$M$13*H8</f>
        <v>0</v>
      </c>
    </row>
    <row r="9" spans="1:13" ht="29.25" thickBot="1" x14ac:dyDescent="0.3">
      <c r="A9" s="73" t="s">
        <v>176</v>
      </c>
      <c r="B9" s="72">
        <v>15</v>
      </c>
      <c r="C9" s="72">
        <v>2</v>
      </c>
      <c r="D9" s="72">
        <f t="shared" si="0"/>
        <v>30</v>
      </c>
      <c r="E9" s="72">
        <v>0</v>
      </c>
      <c r="F9" s="2">
        <f>+D9*E9</f>
        <v>0</v>
      </c>
      <c r="G9" s="2">
        <f>+F9*0.05</f>
        <v>0</v>
      </c>
      <c r="H9" s="2">
        <f>+F9*0.1</f>
        <v>0</v>
      </c>
      <c r="I9" s="4">
        <f>+$M$11*F9+$M$12*G9+$M$13*H9</f>
        <v>0</v>
      </c>
    </row>
    <row r="10" spans="1:13" ht="29.25" thickBot="1" x14ac:dyDescent="0.3">
      <c r="A10" s="73" t="s">
        <v>177</v>
      </c>
      <c r="B10" s="72">
        <v>20</v>
      </c>
      <c r="C10" s="72">
        <v>4</v>
      </c>
      <c r="D10" s="72">
        <f t="shared" si="0"/>
        <v>80</v>
      </c>
      <c r="E10" s="72">
        <v>0</v>
      </c>
      <c r="F10" s="2">
        <f t="shared" ref="F10:F19" si="1">+D10*E10</f>
        <v>0</v>
      </c>
      <c r="G10" s="2">
        <f t="shared" ref="G10:G19" si="2">+F10*0.05</f>
        <v>0</v>
      </c>
      <c r="H10" s="2">
        <f t="shared" ref="H10:H19" si="3">+F10*0.1</f>
        <v>0</v>
      </c>
      <c r="I10" s="4">
        <f>+$M$11*F10+$M$12*G10+$M$13*H10</f>
        <v>0</v>
      </c>
      <c r="L10" s="102" t="s">
        <v>24</v>
      </c>
      <c r="M10" s="103"/>
    </row>
    <row r="11" spans="1:13" x14ac:dyDescent="0.25">
      <c r="A11" s="73" t="s">
        <v>113</v>
      </c>
      <c r="B11" s="72"/>
      <c r="C11" s="72"/>
      <c r="D11" s="72"/>
      <c r="E11" s="72"/>
      <c r="F11" s="2"/>
      <c r="G11" s="2"/>
      <c r="H11" s="2"/>
      <c r="I11" s="4"/>
      <c r="L11" s="33" t="s">
        <v>25</v>
      </c>
      <c r="M11" s="34">
        <v>141.75</v>
      </c>
    </row>
    <row r="12" spans="1:13" ht="15.75" x14ac:dyDescent="0.25">
      <c r="A12" s="74" t="s">
        <v>178</v>
      </c>
      <c r="B12" s="94">
        <v>15</v>
      </c>
      <c r="C12" s="94">
        <f>5/2</f>
        <v>2.5</v>
      </c>
      <c r="D12" s="94">
        <f>B12*C12</f>
        <v>37.5</v>
      </c>
      <c r="E12" s="94">
        <v>2</v>
      </c>
      <c r="F12" s="2">
        <f t="shared" si="1"/>
        <v>75</v>
      </c>
      <c r="G12" s="2">
        <f t="shared" si="2"/>
        <v>3.75</v>
      </c>
      <c r="H12" s="2">
        <f t="shared" si="3"/>
        <v>7.5</v>
      </c>
      <c r="I12" s="4">
        <f t="shared" ref="I12:I19" si="4">+$M$11*F12+$M$12*G12+$M$13*H12</f>
        <v>11812.987500000001</v>
      </c>
      <c r="L12" s="33" t="s">
        <v>26</v>
      </c>
      <c r="M12" s="34">
        <v>172.41</v>
      </c>
    </row>
    <row r="13" spans="1:13" ht="16.899999999999999" customHeight="1" thickBot="1" x14ac:dyDescent="0.3">
      <c r="A13" s="74" t="s">
        <v>179</v>
      </c>
      <c r="B13" s="95"/>
      <c r="C13" s="95"/>
      <c r="D13" s="95"/>
      <c r="E13" s="95"/>
      <c r="F13" s="2">
        <f t="shared" si="1"/>
        <v>0</v>
      </c>
      <c r="G13" s="2">
        <f t="shared" si="2"/>
        <v>0</v>
      </c>
      <c r="H13" s="2">
        <f t="shared" si="3"/>
        <v>0</v>
      </c>
      <c r="I13" s="4">
        <f t="shared" si="4"/>
        <v>0</v>
      </c>
      <c r="L13" s="35" t="s">
        <v>27</v>
      </c>
      <c r="M13" s="36">
        <v>71.36</v>
      </c>
    </row>
    <row r="14" spans="1:13" ht="28.5" x14ac:dyDescent="0.25">
      <c r="A14" s="74" t="s">
        <v>180</v>
      </c>
      <c r="B14" s="96"/>
      <c r="C14" s="96"/>
      <c r="D14" s="96"/>
      <c r="E14" s="96"/>
      <c r="F14" s="5">
        <f t="shared" si="1"/>
        <v>0</v>
      </c>
      <c r="G14" s="2">
        <f t="shared" si="2"/>
        <v>0</v>
      </c>
      <c r="H14" s="2">
        <f t="shared" si="3"/>
        <v>0</v>
      </c>
      <c r="I14" s="4">
        <f>+$M$11*F14+$M$12*G14+$M$13*H14</f>
        <v>0</v>
      </c>
      <c r="K14" s="13"/>
      <c r="L14" s="14"/>
      <c r="M14" s="13"/>
    </row>
    <row r="15" spans="1:13" ht="15.75" x14ac:dyDescent="0.25">
      <c r="A15" s="74" t="s">
        <v>181</v>
      </c>
      <c r="B15" s="94">
        <v>15</v>
      </c>
      <c r="C15" s="94">
        <f>(1/5)*(5/2)</f>
        <v>0.5</v>
      </c>
      <c r="D15" s="94">
        <f t="shared" ref="D15:D19" si="5">B15*C15</f>
        <v>7.5</v>
      </c>
      <c r="E15" s="94">
        <v>2</v>
      </c>
      <c r="F15" s="5">
        <f t="shared" si="1"/>
        <v>15</v>
      </c>
      <c r="G15" s="5">
        <f t="shared" si="2"/>
        <v>0.75</v>
      </c>
      <c r="H15" s="5">
        <f t="shared" si="3"/>
        <v>1.5</v>
      </c>
      <c r="I15" s="4">
        <f t="shared" si="4"/>
        <v>2362.5974999999999</v>
      </c>
      <c r="K15" s="13"/>
      <c r="L15" s="13"/>
    </row>
    <row r="16" spans="1:13" ht="16.5" customHeight="1" x14ac:dyDescent="0.25">
      <c r="A16" s="74" t="s">
        <v>182</v>
      </c>
      <c r="B16" s="95"/>
      <c r="C16" s="95"/>
      <c r="D16" s="95"/>
      <c r="E16" s="95"/>
      <c r="F16" s="5">
        <f>+D16*E16</f>
        <v>0</v>
      </c>
      <c r="G16" s="2">
        <f t="shared" ref="G16" si="6">+F16*0.05</f>
        <v>0</v>
      </c>
      <c r="H16" s="15">
        <f t="shared" ref="H16" si="7">+F16*0.1</f>
        <v>0</v>
      </c>
      <c r="I16" s="4">
        <f t="shared" si="4"/>
        <v>0</v>
      </c>
      <c r="K16" s="13"/>
    </row>
    <row r="17" spans="1:11" ht="16.5" customHeight="1" x14ac:dyDescent="0.25">
      <c r="A17" s="74" t="s">
        <v>183</v>
      </c>
      <c r="B17" s="95"/>
      <c r="C17" s="95"/>
      <c r="D17" s="95"/>
      <c r="E17" s="95"/>
      <c r="F17" s="15">
        <f t="shared" si="1"/>
        <v>0</v>
      </c>
      <c r="G17" s="2">
        <f t="shared" si="2"/>
        <v>0</v>
      </c>
      <c r="H17" s="16">
        <f t="shared" si="3"/>
        <v>0</v>
      </c>
      <c r="I17" s="4">
        <f t="shared" si="4"/>
        <v>0</v>
      </c>
      <c r="K17" s="13"/>
    </row>
    <row r="18" spans="1:11" ht="15.75" x14ac:dyDescent="0.25">
      <c r="A18" s="74" t="s">
        <v>184</v>
      </c>
      <c r="B18" s="96"/>
      <c r="C18" s="96"/>
      <c r="D18" s="96"/>
      <c r="E18" s="96"/>
      <c r="F18" s="5">
        <f t="shared" si="1"/>
        <v>0</v>
      </c>
      <c r="G18" s="2">
        <f t="shared" si="2"/>
        <v>0</v>
      </c>
      <c r="H18" s="2">
        <f t="shared" si="3"/>
        <v>0</v>
      </c>
      <c r="I18" s="4">
        <f t="shared" si="4"/>
        <v>0</v>
      </c>
    </row>
    <row r="19" spans="1:11" ht="15.75" x14ac:dyDescent="0.25">
      <c r="A19" s="74" t="s">
        <v>185</v>
      </c>
      <c r="B19" s="94">
        <v>20</v>
      </c>
      <c r="C19" s="94">
        <f>(1/5)*(5/2)</f>
        <v>0.5</v>
      </c>
      <c r="D19" s="94">
        <f t="shared" si="5"/>
        <v>10</v>
      </c>
      <c r="E19" s="94">
        <v>2</v>
      </c>
      <c r="F19" s="5">
        <f t="shared" si="1"/>
        <v>20</v>
      </c>
      <c r="G19" s="2">
        <f t="shared" si="2"/>
        <v>1</v>
      </c>
      <c r="H19" s="5">
        <f t="shared" si="3"/>
        <v>2</v>
      </c>
      <c r="I19" s="4">
        <f t="shared" si="4"/>
        <v>3150.1299999999997</v>
      </c>
    </row>
    <row r="20" spans="1:11" ht="15.75" x14ac:dyDescent="0.25">
      <c r="A20" s="74" t="s">
        <v>186</v>
      </c>
      <c r="B20" s="95"/>
      <c r="C20" s="95"/>
      <c r="D20" s="95"/>
      <c r="E20" s="95"/>
      <c r="F20" s="5">
        <f t="shared" ref="F20:F60" si="8">+D20*E20</f>
        <v>0</v>
      </c>
      <c r="G20" s="2">
        <f t="shared" ref="G20:G60" si="9">+F20*0.05</f>
        <v>0</v>
      </c>
      <c r="H20" s="5">
        <f t="shared" ref="H20:H60" si="10">+F20*0.1</f>
        <v>0</v>
      </c>
      <c r="I20" s="4">
        <f t="shared" ref="I20:I60" si="11">+$M$11*F20+$M$12*G20+$M$13*H20</f>
        <v>0</v>
      </c>
    </row>
    <row r="21" spans="1:11" ht="15.75" x14ac:dyDescent="0.25">
      <c r="A21" s="74" t="s">
        <v>187</v>
      </c>
      <c r="B21" s="96"/>
      <c r="C21" s="96"/>
      <c r="D21" s="96"/>
      <c r="E21" s="96"/>
      <c r="F21" s="5">
        <f t="shared" si="8"/>
        <v>0</v>
      </c>
      <c r="G21" s="2">
        <f t="shared" si="9"/>
        <v>0</v>
      </c>
      <c r="H21" s="5">
        <f t="shared" si="10"/>
        <v>0</v>
      </c>
      <c r="I21" s="4">
        <f t="shared" si="11"/>
        <v>0</v>
      </c>
    </row>
    <row r="22" spans="1:11" ht="15.75" x14ac:dyDescent="0.25">
      <c r="A22" s="73" t="s">
        <v>188</v>
      </c>
      <c r="B22" s="72"/>
      <c r="C22" s="72"/>
      <c r="D22" s="72"/>
      <c r="E22" s="72"/>
      <c r="F22" s="5">
        <f t="shared" si="8"/>
        <v>0</v>
      </c>
      <c r="G22" s="2">
        <f t="shared" si="9"/>
        <v>0</v>
      </c>
      <c r="H22" s="5">
        <f t="shared" si="10"/>
        <v>0</v>
      </c>
      <c r="I22" s="4">
        <f t="shared" si="11"/>
        <v>0</v>
      </c>
    </row>
    <row r="23" spans="1:11" x14ac:dyDescent="0.25">
      <c r="A23" s="74" t="s">
        <v>114</v>
      </c>
      <c r="B23" s="75">
        <v>0.5</v>
      </c>
      <c r="C23" s="76">
        <v>350</v>
      </c>
      <c r="D23" s="72">
        <f t="shared" ref="D23:D27" si="12">B23*C23</f>
        <v>175</v>
      </c>
      <c r="E23" s="77">
        <v>2</v>
      </c>
      <c r="F23" s="5">
        <f t="shared" si="8"/>
        <v>350</v>
      </c>
      <c r="G23" s="2">
        <f t="shared" si="9"/>
        <v>17.5</v>
      </c>
      <c r="H23" s="5">
        <f t="shared" si="10"/>
        <v>35</v>
      </c>
      <c r="I23" s="4">
        <f t="shared" si="11"/>
        <v>55127.275000000001</v>
      </c>
    </row>
    <row r="24" spans="1:11" x14ac:dyDescent="0.25">
      <c r="A24" s="74" t="s">
        <v>115</v>
      </c>
      <c r="B24" s="75">
        <v>0.1</v>
      </c>
      <c r="C24" s="76">
        <v>50</v>
      </c>
      <c r="D24" s="72">
        <f t="shared" si="12"/>
        <v>5</v>
      </c>
      <c r="E24" s="77">
        <v>2</v>
      </c>
      <c r="F24" s="5">
        <f t="shared" si="8"/>
        <v>10</v>
      </c>
      <c r="G24" s="2">
        <f t="shared" si="9"/>
        <v>0.5</v>
      </c>
      <c r="H24" s="5">
        <f t="shared" si="10"/>
        <v>1</v>
      </c>
      <c r="I24" s="4">
        <f t="shared" si="11"/>
        <v>1575.0649999999998</v>
      </c>
    </row>
    <row r="25" spans="1:11" x14ac:dyDescent="0.25">
      <c r="A25" s="74" t="s">
        <v>116</v>
      </c>
      <c r="B25" s="75">
        <v>0.1</v>
      </c>
      <c r="C25" s="76">
        <v>12</v>
      </c>
      <c r="D25" s="72">
        <f t="shared" si="12"/>
        <v>1.2000000000000002</v>
      </c>
      <c r="E25" s="77">
        <v>2</v>
      </c>
      <c r="F25" s="5">
        <f t="shared" si="8"/>
        <v>2.4000000000000004</v>
      </c>
      <c r="G25" s="2">
        <f t="shared" si="9"/>
        <v>0.12000000000000002</v>
      </c>
      <c r="H25" s="5">
        <f t="shared" si="10"/>
        <v>0.24000000000000005</v>
      </c>
      <c r="I25" s="4">
        <f t="shared" si="11"/>
        <v>378.01560000000006</v>
      </c>
    </row>
    <row r="26" spans="1:11" x14ac:dyDescent="0.25">
      <c r="A26" s="74" t="s">
        <v>117</v>
      </c>
      <c r="B26" s="75">
        <v>0.1</v>
      </c>
      <c r="C26" s="76">
        <v>4</v>
      </c>
      <c r="D26" s="72">
        <f t="shared" si="12"/>
        <v>0.4</v>
      </c>
      <c r="E26" s="77">
        <v>2</v>
      </c>
      <c r="F26" s="5">
        <f t="shared" si="8"/>
        <v>0.8</v>
      </c>
      <c r="G26" s="2">
        <f t="shared" si="9"/>
        <v>4.0000000000000008E-2</v>
      </c>
      <c r="H26" s="5">
        <f t="shared" si="10"/>
        <v>8.0000000000000016E-2</v>
      </c>
      <c r="I26" s="4">
        <f t="shared" si="11"/>
        <v>126.0052</v>
      </c>
    </row>
    <row r="27" spans="1:11" x14ac:dyDescent="0.25">
      <c r="A27" s="74" t="s">
        <v>118</v>
      </c>
      <c r="B27" s="75">
        <v>0.1</v>
      </c>
      <c r="C27" s="76">
        <v>2</v>
      </c>
      <c r="D27" s="72">
        <f t="shared" si="12"/>
        <v>0.2</v>
      </c>
      <c r="E27" s="77">
        <v>2</v>
      </c>
      <c r="F27" s="5">
        <f t="shared" si="8"/>
        <v>0.4</v>
      </c>
      <c r="G27" s="2">
        <f t="shared" si="9"/>
        <v>2.0000000000000004E-2</v>
      </c>
      <c r="H27" s="5">
        <f t="shared" si="10"/>
        <v>4.0000000000000008E-2</v>
      </c>
      <c r="I27" s="4">
        <f t="shared" si="11"/>
        <v>63.002600000000001</v>
      </c>
    </row>
    <row r="28" spans="1:11" ht="15.75" x14ac:dyDescent="0.25">
      <c r="A28" s="73" t="s">
        <v>189</v>
      </c>
      <c r="B28" s="72">
        <v>4</v>
      </c>
      <c r="C28" s="72">
        <f>4/2</f>
        <v>2</v>
      </c>
      <c r="D28" s="72">
        <f>B28*C28</f>
        <v>8</v>
      </c>
      <c r="E28" s="72">
        <v>2</v>
      </c>
      <c r="F28" s="5">
        <f t="shared" si="8"/>
        <v>16</v>
      </c>
      <c r="G28" s="2">
        <f t="shared" si="9"/>
        <v>0.8</v>
      </c>
      <c r="H28" s="5">
        <f t="shared" si="10"/>
        <v>1.6</v>
      </c>
      <c r="I28" s="4">
        <f t="shared" si="11"/>
        <v>2520.1039999999998</v>
      </c>
    </row>
    <row r="29" spans="1:11" ht="15.75" x14ac:dyDescent="0.25">
      <c r="A29" s="73" t="s">
        <v>190</v>
      </c>
      <c r="B29" s="72">
        <v>2</v>
      </c>
      <c r="C29" s="72">
        <v>1</v>
      </c>
      <c r="D29" s="72">
        <f t="shared" si="0"/>
        <v>2</v>
      </c>
      <c r="E29" s="72">
        <v>1</v>
      </c>
      <c r="F29" s="5">
        <f t="shared" si="8"/>
        <v>2</v>
      </c>
      <c r="G29" s="2">
        <f t="shared" si="9"/>
        <v>0.1</v>
      </c>
      <c r="H29" s="5">
        <f t="shared" si="10"/>
        <v>0.2</v>
      </c>
      <c r="I29" s="4">
        <f t="shared" si="11"/>
        <v>315.01299999999998</v>
      </c>
    </row>
    <row r="30" spans="1:11" ht="15.75" x14ac:dyDescent="0.25">
      <c r="A30" s="73" t="s">
        <v>191</v>
      </c>
      <c r="B30" s="72">
        <v>2</v>
      </c>
      <c r="C30" s="72">
        <f>3*52</f>
        <v>156</v>
      </c>
      <c r="D30" s="72">
        <f>B30*C30</f>
        <v>312</v>
      </c>
      <c r="E30" s="72">
        <v>2</v>
      </c>
      <c r="F30" s="5">
        <f t="shared" si="8"/>
        <v>624</v>
      </c>
      <c r="G30" s="2">
        <f t="shared" si="9"/>
        <v>31.200000000000003</v>
      </c>
      <c r="H30" s="5">
        <f t="shared" si="10"/>
        <v>62.400000000000006</v>
      </c>
      <c r="I30" s="4">
        <f t="shared" si="11"/>
        <v>98284.055999999997</v>
      </c>
    </row>
    <row r="31" spans="1:11" ht="15.75" x14ac:dyDescent="0.25">
      <c r="A31" s="73" t="s">
        <v>192</v>
      </c>
      <c r="B31" s="72">
        <v>2</v>
      </c>
      <c r="C31" s="72">
        <v>1</v>
      </c>
      <c r="D31" s="72">
        <f t="shared" si="0"/>
        <v>2</v>
      </c>
      <c r="E31" s="72">
        <v>2</v>
      </c>
      <c r="F31" s="5">
        <f t="shared" si="8"/>
        <v>4</v>
      </c>
      <c r="G31" s="2">
        <f t="shared" si="9"/>
        <v>0.2</v>
      </c>
      <c r="H31" s="5">
        <f t="shared" si="10"/>
        <v>0.4</v>
      </c>
      <c r="I31" s="4">
        <f t="shared" si="11"/>
        <v>630.02599999999995</v>
      </c>
    </row>
    <row r="32" spans="1:11" ht="15.75" x14ac:dyDescent="0.25">
      <c r="A32" s="73" t="s">
        <v>193</v>
      </c>
      <c r="B32" s="72">
        <v>2</v>
      </c>
      <c r="C32" s="78">
        <v>4</v>
      </c>
      <c r="D32" s="72">
        <f t="shared" si="0"/>
        <v>8</v>
      </c>
      <c r="E32" s="72">
        <v>2</v>
      </c>
      <c r="F32" s="5">
        <f t="shared" si="8"/>
        <v>16</v>
      </c>
      <c r="G32" s="2">
        <f t="shared" si="9"/>
        <v>0.8</v>
      </c>
      <c r="H32" s="5">
        <f t="shared" si="10"/>
        <v>1.6</v>
      </c>
      <c r="I32" s="4">
        <f t="shared" si="11"/>
        <v>2520.1039999999998</v>
      </c>
    </row>
    <row r="33" spans="1:9" x14ac:dyDescent="0.25">
      <c r="A33" s="71" t="s">
        <v>119</v>
      </c>
      <c r="B33" s="72" t="s">
        <v>120</v>
      </c>
      <c r="C33" s="72"/>
      <c r="D33" s="72"/>
      <c r="E33" s="72"/>
      <c r="F33" s="5">
        <f t="shared" si="8"/>
        <v>0</v>
      </c>
      <c r="G33" s="2">
        <f t="shared" si="9"/>
        <v>0</v>
      </c>
      <c r="H33" s="5">
        <f t="shared" si="10"/>
        <v>0</v>
      </c>
      <c r="I33" s="4">
        <f t="shared" si="11"/>
        <v>0</v>
      </c>
    </row>
    <row r="34" spans="1:9" x14ac:dyDescent="0.25">
      <c r="A34" s="71" t="s">
        <v>121</v>
      </c>
      <c r="B34" s="72" t="s">
        <v>120</v>
      </c>
      <c r="C34" s="72"/>
      <c r="D34" s="72"/>
      <c r="E34" s="72"/>
      <c r="F34" s="5">
        <f t="shared" si="8"/>
        <v>0</v>
      </c>
      <c r="G34" s="2">
        <f t="shared" si="9"/>
        <v>0</v>
      </c>
      <c r="H34" s="5">
        <f t="shared" si="10"/>
        <v>0</v>
      </c>
      <c r="I34" s="4">
        <f t="shared" si="11"/>
        <v>0</v>
      </c>
    </row>
    <row r="35" spans="1:9" x14ac:dyDescent="0.25">
      <c r="A35" s="71" t="s">
        <v>122</v>
      </c>
      <c r="B35" s="72"/>
      <c r="C35" s="72"/>
      <c r="D35" s="72"/>
      <c r="E35" s="72"/>
      <c r="F35" s="5">
        <f t="shared" si="8"/>
        <v>0</v>
      </c>
      <c r="G35" s="2">
        <f t="shared" si="9"/>
        <v>0</v>
      </c>
      <c r="H35" s="5">
        <f t="shared" si="10"/>
        <v>0</v>
      </c>
      <c r="I35" s="4">
        <f t="shared" si="11"/>
        <v>0</v>
      </c>
    </row>
    <row r="36" spans="1:9" x14ac:dyDescent="0.25">
      <c r="A36" s="73" t="s">
        <v>123</v>
      </c>
      <c r="B36" s="75" t="s">
        <v>23</v>
      </c>
      <c r="C36" s="72"/>
      <c r="D36" s="72"/>
      <c r="E36" s="72"/>
      <c r="F36" s="5">
        <f t="shared" si="8"/>
        <v>0</v>
      </c>
      <c r="G36" s="2">
        <f t="shared" si="9"/>
        <v>0</v>
      </c>
      <c r="H36" s="5">
        <f t="shared" si="10"/>
        <v>0</v>
      </c>
      <c r="I36" s="4">
        <f t="shared" si="11"/>
        <v>0</v>
      </c>
    </row>
    <row r="37" spans="1:9" x14ac:dyDescent="0.25">
      <c r="A37" s="73" t="s">
        <v>124</v>
      </c>
      <c r="B37" s="75" t="s">
        <v>23</v>
      </c>
      <c r="C37" s="72"/>
      <c r="D37" s="72"/>
      <c r="E37" s="72"/>
      <c r="F37" s="5">
        <f t="shared" si="8"/>
        <v>0</v>
      </c>
      <c r="G37" s="2">
        <f t="shared" si="9"/>
        <v>0</v>
      </c>
      <c r="H37" s="5">
        <f t="shared" si="10"/>
        <v>0</v>
      </c>
      <c r="I37" s="4">
        <f t="shared" si="11"/>
        <v>0</v>
      </c>
    </row>
    <row r="38" spans="1:9" x14ac:dyDescent="0.25">
      <c r="A38" s="73" t="s">
        <v>125</v>
      </c>
      <c r="B38" s="72">
        <v>4</v>
      </c>
      <c r="C38" s="72">
        <v>1</v>
      </c>
      <c r="D38" s="72">
        <f>B38*C38</f>
        <v>4</v>
      </c>
      <c r="E38" s="72">
        <v>0</v>
      </c>
      <c r="F38" s="5">
        <f t="shared" si="8"/>
        <v>0</v>
      </c>
      <c r="G38" s="2">
        <f t="shared" si="9"/>
        <v>0</v>
      </c>
      <c r="H38" s="5">
        <f t="shared" si="10"/>
        <v>0</v>
      </c>
      <c r="I38" s="4">
        <f t="shared" si="11"/>
        <v>0</v>
      </c>
    </row>
    <row r="39" spans="1:9" x14ac:dyDescent="0.25">
      <c r="A39" s="73" t="s">
        <v>126</v>
      </c>
      <c r="B39" s="72">
        <v>2</v>
      </c>
      <c r="C39" s="72">
        <v>1</v>
      </c>
      <c r="D39" s="72">
        <f>B39*C39</f>
        <v>2</v>
      </c>
      <c r="E39" s="72">
        <v>2</v>
      </c>
      <c r="F39" s="5">
        <f t="shared" si="8"/>
        <v>4</v>
      </c>
      <c r="G39" s="2">
        <f t="shared" si="9"/>
        <v>0.2</v>
      </c>
      <c r="H39" s="5">
        <f t="shared" si="10"/>
        <v>0.4</v>
      </c>
      <c r="I39" s="4">
        <f t="shared" si="11"/>
        <v>630.02599999999995</v>
      </c>
    </row>
    <row r="40" spans="1:9" x14ac:dyDescent="0.25">
      <c r="A40" s="73" t="s">
        <v>127</v>
      </c>
      <c r="B40" s="72">
        <v>2</v>
      </c>
      <c r="C40" s="72">
        <v>1</v>
      </c>
      <c r="D40" s="72">
        <f>B40*C40</f>
        <v>2</v>
      </c>
      <c r="E40" s="72">
        <v>2</v>
      </c>
      <c r="F40" s="5">
        <f t="shared" si="8"/>
        <v>4</v>
      </c>
      <c r="G40" s="2">
        <f t="shared" si="9"/>
        <v>0.2</v>
      </c>
      <c r="H40" s="5">
        <f t="shared" si="10"/>
        <v>0.4</v>
      </c>
      <c r="I40" s="4">
        <f t="shared" si="11"/>
        <v>630.02599999999995</v>
      </c>
    </row>
    <row r="41" spans="1:9" ht="15.75" x14ac:dyDescent="0.25">
      <c r="A41" s="73" t="s">
        <v>194</v>
      </c>
      <c r="B41" s="72">
        <v>2</v>
      </c>
      <c r="C41" s="72">
        <v>0.33</v>
      </c>
      <c r="D41" s="72">
        <f>B41*C41</f>
        <v>0.66</v>
      </c>
      <c r="E41" s="72">
        <v>2</v>
      </c>
      <c r="F41" s="5">
        <f t="shared" si="8"/>
        <v>1.32</v>
      </c>
      <c r="G41" s="2">
        <f t="shared" si="9"/>
        <v>6.6000000000000003E-2</v>
      </c>
      <c r="H41" s="5">
        <f t="shared" si="10"/>
        <v>0.13200000000000001</v>
      </c>
      <c r="I41" s="4">
        <f t="shared" si="11"/>
        <v>207.90858000000003</v>
      </c>
    </row>
    <row r="42" spans="1:9" x14ac:dyDescent="0.25">
      <c r="A42" s="73" t="s">
        <v>128</v>
      </c>
      <c r="B42" s="72">
        <v>5</v>
      </c>
      <c r="C42" s="72">
        <v>1</v>
      </c>
      <c r="D42" s="72">
        <f>B42*C42</f>
        <v>5</v>
      </c>
      <c r="E42" s="72">
        <v>2</v>
      </c>
      <c r="F42" s="5">
        <f t="shared" si="8"/>
        <v>10</v>
      </c>
      <c r="G42" s="2">
        <f t="shared" si="9"/>
        <v>0.5</v>
      </c>
      <c r="H42" s="5">
        <f t="shared" si="10"/>
        <v>1</v>
      </c>
      <c r="I42" s="4">
        <f t="shared" si="11"/>
        <v>1575.0649999999998</v>
      </c>
    </row>
    <row r="43" spans="1:9" x14ac:dyDescent="0.25">
      <c r="A43" s="79" t="s">
        <v>129</v>
      </c>
      <c r="B43" s="80"/>
      <c r="C43" s="80"/>
      <c r="D43" s="80"/>
      <c r="E43" s="80"/>
      <c r="F43" s="5">
        <f t="shared" si="8"/>
        <v>0</v>
      </c>
      <c r="G43" s="2">
        <f t="shared" si="9"/>
        <v>0</v>
      </c>
      <c r="H43" s="5">
        <f t="shared" si="10"/>
        <v>0</v>
      </c>
      <c r="I43" s="4">
        <f t="shared" si="11"/>
        <v>0</v>
      </c>
    </row>
    <row r="44" spans="1:9" ht="15.75" x14ac:dyDescent="0.25">
      <c r="A44" s="74" t="s">
        <v>196</v>
      </c>
      <c r="B44" s="72">
        <v>80</v>
      </c>
      <c r="C44" s="72">
        <v>1</v>
      </c>
      <c r="D44" s="72">
        <f>B44*C44</f>
        <v>80</v>
      </c>
      <c r="E44" s="72">
        <v>0</v>
      </c>
      <c r="F44" s="5">
        <f t="shared" si="8"/>
        <v>0</v>
      </c>
      <c r="G44" s="2">
        <f t="shared" si="9"/>
        <v>0</v>
      </c>
      <c r="H44" s="5">
        <f t="shared" si="10"/>
        <v>0</v>
      </c>
      <c r="I44" s="4">
        <f t="shared" si="11"/>
        <v>0</v>
      </c>
    </row>
    <row r="45" spans="1:9" ht="15.75" x14ac:dyDescent="0.25">
      <c r="A45" s="74" t="s">
        <v>195</v>
      </c>
      <c r="B45" s="72" t="s">
        <v>130</v>
      </c>
      <c r="C45" s="72"/>
      <c r="D45" s="72"/>
      <c r="E45" s="72"/>
      <c r="F45" s="5">
        <f t="shared" si="8"/>
        <v>0</v>
      </c>
      <c r="G45" s="2">
        <f t="shared" si="9"/>
        <v>0</v>
      </c>
      <c r="H45" s="5">
        <f t="shared" si="10"/>
        <v>0</v>
      </c>
      <c r="I45" s="4">
        <f t="shared" si="11"/>
        <v>0</v>
      </c>
    </row>
    <row r="46" spans="1:9" ht="15.75" x14ac:dyDescent="0.25">
      <c r="A46" s="74" t="s">
        <v>197</v>
      </c>
      <c r="B46" s="72" t="s">
        <v>130</v>
      </c>
      <c r="C46" s="72"/>
      <c r="D46" s="72"/>
      <c r="E46" s="72"/>
      <c r="F46" s="5">
        <f t="shared" si="8"/>
        <v>0</v>
      </c>
      <c r="G46" s="2">
        <f t="shared" si="9"/>
        <v>0</v>
      </c>
      <c r="H46" s="5">
        <f t="shared" si="10"/>
        <v>0</v>
      </c>
      <c r="I46" s="4">
        <f t="shared" si="11"/>
        <v>0</v>
      </c>
    </row>
    <row r="47" spans="1:9" x14ac:dyDescent="0.25">
      <c r="A47" s="79" t="s">
        <v>131</v>
      </c>
      <c r="B47" s="80"/>
      <c r="C47" s="80"/>
      <c r="D47" s="80"/>
      <c r="E47" s="72"/>
      <c r="F47" s="5">
        <f t="shared" si="8"/>
        <v>0</v>
      </c>
      <c r="G47" s="2">
        <f t="shared" si="9"/>
        <v>0</v>
      </c>
      <c r="H47" s="5">
        <f t="shared" si="10"/>
        <v>0</v>
      </c>
      <c r="I47" s="4">
        <f t="shared" si="11"/>
        <v>0</v>
      </c>
    </row>
    <row r="48" spans="1:9" ht="15.75" x14ac:dyDescent="0.25">
      <c r="A48" s="74" t="s">
        <v>196</v>
      </c>
      <c r="B48" s="72">
        <v>10</v>
      </c>
      <c r="C48" s="72">
        <v>1</v>
      </c>
      <c r="D48" s="72">
        <f>B48*C48</f>
        <v>10</v>
      </c>
      <c r="E48" s="72">
        <v>0</v>
      </c>
      <c r="F48" s="5">
        <f t="shared" si="8"/>
        <v>0</v>
      </c>
      <c r="G48" s="2">
        <f t="shared" si="9"/>
        <v>0</v>
      </c>
      <c r="H48" s="5">
        <f t="shared" si="10"/>
        <v>0</v>
      </c>
      <c r="I48" s="4">
        <f t="shared" si="11"/>
        <v>0</v>
      </c>
    </row>
    <row r="49" spans="1:9" ht="15.75" x14ac:dyDescent="0.25">
      <c r="A49" s="74" t="s">
        <v>195</v>
      </c>
      <c r="B49" s="72" t="s">
        <v>130</v>
      </c>
      <c r="C49" s="72"/>
      <c r="D49" s="72"/>
      <c r="E49" s="72"/>
      <c r="F49" s="5">
        <f t="shared" si="8"/>
        <v>0</v>
      </c>
      <c r="G49" s="2">
        <f t="shared" si="9"/>
        <v>0</v>
      </c>
      <c r="H49" s="5">
        <f t="shared" si="10"/>
        <v>0</v>
      </c>
      <c r="I49" s="4">
        <f t="shared" si="11"/>
        <v>0</v>
      </c>
    </row>
    <row r="50" spans="1:9" x14ac:dyDescent="0.25">
      <c r="A50" s="79" t="s">
        <v>132</v>
      </c>
      <c r="B50" s="80"/>
      <c r="C50" s="80"/>
      <c r="D50" s="80"/>
      <c r="E50" s="80"/>
      <c r="F50" s="5">
        <f t="shared" si="8"/>
        <v>0</v>
      </c>
      <c r="G50" s="2">
        <f t="shared" si="9"/>
        <v>0</v>
      </c>
      <c r="H50" s="5">
        <f t="shared" si="10"/>
        <v>0</v>
      </c>
      <c r="I50" s="4">
        <f t="shared" si="11"/>
        <v>0</v>
      </c>
    </row>
    <row r="51" spans="1:9" ht="15.75" x14ac:dyDescent="0.25">
      <c r="A51" s="74" t="s">
        <v>198</v>
      </c>
      <c r="B51" s="72">
        <v>20</v>
      </c>
      <c r="C51" s="72">
        <v>1</v>
      </c>
      <c r="D51" s="72">
        <f>B51*C51</f>
        <v>20</v>
      </c>
      <c r="E51" s="72">
        <v>0</v>
      </c>
      <c r="F51" s="5">
        <f t="shared" si="8"/>
        <v>0</v>
      </c>
      <c r="G51" s="2">
        <f t="shared" si="9"/>
        <v>0</v>
      </c>
      <c r="H51" s="5">
        <f t="shared" si="10"/>
        <v>0</v>
      </c>
      <c r="I51" s="4">
        <f t="shared" si="11"/>
        <v>0</v>
      </c>
    </row>
    <row r="52" spans="1:9" ht="15.75" x14ac:dyDescent="0.25">
      <c r="A52" s="74" t="s">
        <v>199</v>
      </c>
      <c r="B52" s="72" t="s">
        <v>130</v>
      </c>
      <c r="C52" s="72"/>
      <c r="D52" s="72"/>
      <c r="E52" s="72"/>
      <c r="F52" s="5">
        <f t="shared" si="8"/>
        <v>0</v>
      </c>
      <c r="G52" s="2">
        <f t="shared" si="9"/>
        <v>0</v>
      </c>
      <c r="H52" s="5">
        <f t="shared" si="10"/>
        <v>0</v>
      </c>
      <c r="I52" s="4">
        <f t="shared" si="11"/>
        <v>0</v>
      </c>
    </row>
    <row r="53" spans="1:9" ht="25.5" x14ac:dyDescent="0.25">
      <c r="A53" s="79" t="s">
        <v>133</v>
      </c>
      <c r="B53" s="80"/>
      <c r="C53" s="80"/>
      <c r="D53" s="80"/>
      <c r="E53" s="72"/>
      <c r="F53" s="5">
        <f t="shared" si="8"/>
        <v>0</v>
      </c>
      <c r="G53" s="2">
        <f t="shared" si="9"/>
        <v>0</v>
      </c>
      <c r="H53" s="5">
        <f t="shared" si="10"/>
        <v>0</v>
      </c>
      <c r="I53" s="4">
        <f t="shared" si="11"/>
        <v>0</v>
      </c>
    </row>
    <row r="54" spans="1:9" ht="15.75" x14ac:dyDescent="0.25">
      <c r="A54" s="74" t="s">
        <v>200</v>
      </c>
      <c r="B54" s="72">
        <v>10</v>
      </c>
      <c r="C54" s="72">
        <v>1</v>
      </c>
      <c r="D54" s="72">
        <f t="shared" ref="D54:D60" si="13">B54*C54</f>
        <v>10</v>
      </c>
      <c r="E54" s="72">
        <v>0</v>
      </c>
      <c r="F54" s="5">
        <f t="shared" si="8"/>
        <v>0</v>
      </c>
      <c r="G54" s="2">
        <f t="shared" si="9"/>
        <v>0</v>
      </c>
      <c r="H54" s="5">
        <f t="shared" si="10"/>
        <v>0</v>
      </c>
      <c r="I54" s="4">
        <f t="shared" si="11"/>
        <v>0</v>
      </c>
    </row>
    <row r="55" spans="1:9" ht="15.75" x14ac:dyDescent="0.25">
      <c r="A55" s="74" t="s">
        <v>195</v>
      </c>
      <c r="B55" s="72" t="s">
        <v>130</v>
      </c>
      <c r="C55" s="72"/>
      <c r="D55" s="72"/>
      <c r="E55" s="72"/>
      <c r="F55" s="5">
        <f t="shared" si="8"/>
        <v>0</v>
      </c>
      <c r="G55" s="2">
        <f t="shared" si="9"/>
        <v>0</v>
      </c>
      <c r="H55" s="5">
        <f t="shared" si="10"/>
        <v>0</v>
      </c>
      <c r="I55" s="4">
        <f t="shared" si="11"/>
        <v>0</v>
      </c>
    </row>
    <row r="56" spans="1:9" ht="25.5" x14ac:dyDescent="0.25">
      <c r="A56" s="73" t="s">
        <v>134</v>
      </c>
      <c r="B56" s="72" t="s">
        <v>130</v>
      </c>
      <c r="C56" s="72"/>
      <c r="D56" s="72"/>
      <c r="E56" s="72"/>
      <c r="F56" s="5">
        <f t="shared" si="8"/>
        <v>0</v>
      </c>
      <c r="G56" s="2">
        <f t="shared" si="9"/>
        <v>0</v>
      </c>
      <c r="H56" s="5">
        <f t="shared" si="10"/>
        <v>0</v>
      </c>
      <c r="I56" s="4">
        <f t="shared" si="11"/>
        <v>0</v>
      </c>
    </row>
    <row r="57" spans="1:9" ht="15.75" x14ac:dyDescent="0.25">
      <c r="A57" s="73" t="s">
        <v>201</v>
      </c>
      <c r="B57" s="72" t="s">
        <v>130</v>
      </c>
      <c r="C57" s="72"/>
      <c r="D57" s="72"/>
      <c r="E57" s="72"/>
      <c r="F57" s="5">
        <f t="shared" si="8"/>
        <v>0</v>
      </c>
      <c r="G57" s="2">
        <f t="shared" si="9"/>
        <v>0</v>
      </c>
      <c r="H57" s="5">
        <f t="shared" si="10"/>
        <v>0</v>
      </c>
      <c r="I57" s="4">
        <f t="shared" si="11"/>
        <v>0</v>
      </c>
    </row>
    <row r="58" spans="1:9" ht="25.5" x14ac:dyDescent="0.25">
      <c r="A58" s="73" t="s">
        <v>135</v>
      </c>
      <c r="B58" s="72">
        <v>4</v>
      </c>
      <c r="C58" s="72">
        <v>4</v>
      </c>
      <c r="D58" s="72">
        <f t="shared" si="13"/>
        <v>16</v>
      </c>
      <c r="E58" s="72">
        <v>2</v>
      </c>
      <c r="F58" s="5">
        <f t="shared" si="8"/>
        <v>32</v>
      </c>
      <c r="G58" s="2">
        <f t="shared" si="9"/>
        <v>1.6</v>
      </c>
      <c r="H58" s="5">
        <f t="shared" si="10"/>
        <v>3.2</v>
      </c>
      <c r="I58" s="4">
        <f t="shared" si="11"/>
        <v>5040.2079999999996</v>
      </c>
    </row>
    <row r="59" spans="1:9" ht="28.5" x14ac:dyDescent="0.25">
      <c r="A59" s="73" t="s">
        <v>202</v>
      </c>
      <c r="B59" s="72">
        <v>10</v>
      </c>
      <c r="C59" s="72">
        <v>1</v>
      </c>
      <c r="D59" s="72">
        <f t="shared" si="13"/>
        <v>10</v>
      </c>
      <c r="E59" s="72">
        <v>2</v>
      </c>
      <c r="F59" s="5">
        <f t="shared" si="8"/>
        <v>20</v>
      </c>
      <c r="G59" s="2">
        <f t="shared" si="9"/>
        <v>1</v>
      </c>
      <c r="H59" s="5">
        <f t="shared" si="10"/>
        <v>2</v>
      </c>
      <c r="I59" s="4">
        <f t="shared" si="11"/>
        <v>3150.1299999999997</v>
      </c>
    </row>
    <row r="60" spans="1:9" ht="15.75" x14ac:dyDescent="0.25">
      <c r="A60" s="73" t="s">
        <v>203</v>
      </c>
      <c r="B60" s="72">
        <v>10</v>
      </c>
      <c r="C60" s="72">
        <v>1</v>
      </c>
      <c r="D60" s="72">
        <f t="shared" si="13"/>
        <v>10</v>
      </c>
      <c r="E60" s="72">
        <v>2</v>
      </c>
      <c r="F60" s="5">
        <f t="shared" si="8"/>
        <v>20</v>
      </c>
      <c r="G60" s="2">
        <f t="shared" si="9"/>
        <v>1</v>
      </c>
      <c r="H60" s="5">
        <f t="shared" si="10"/>
        <v>2</v>
      </c>
      <c r="I60" s="4">
        <f t="shared" si="11"/>
        <v>3150.1299999999997</v>
      </c>
    </row>
    <row r="61" spans="1:9" x14ac:dyDescent="0.25">
      <c r="A61" s="9" t="s">
        <v>30</v>
      </c>
      <c r="B61" s="6"/>
      <c r="C61" s="6"/>
      <c r="D61" s="2"/>
      <c r="E61" s="6"/>
      <c r="F61" s="101">
        <f>SUM(F5:H60)</f>
        <v>1420.1580000000004</v>
      </c>
      <c r="G61" s="101"/>
      <c r="H61" s="101"/>
      <c r="I61" s="8">
        <f>SUM(I5:I60)</f>
        <v>194507.92698000008</v>
      </c>
    </row>
    <row r="62" spans="1:9" x14ac:dyDescent="0.25">
      <c r="A62" s="69" t="s">
        <v>136</v>
      </c>
      <c r="B62" s="72"/>
      <c r="C62" s="72"/>
      <c r="D62" s="72"/>
      <c r="E62" s="72"/>
      <c r="F62" s="49"/>
      <c r="G62" s="49"/>
      <c r="H62" s="49"/>
      <c r="I62" s="8"/>
    </row>
    <row r="63" spans="1:9" x14ac:dyDescent="0.25">
      <c r="A63" s="81" t="s">
        <v>137</v>
      </c>
      <c r="B63" s="72" t="s">
        <v>138</v>
      </c>
      <c r="C63" s="72"/>
      <c r="D63" s="72"/>
      <c r="E63" s="72"/>
      <c r="F63" s="49"/>
      <c r="G63" s="49"/>
      <c r="H63" s="49"/>
      <c r="I63" s="8"/>
    </row>
    <row r="64" spans="1:9" x14ac:dyDescent="0.25">
      <c r="A64" s="71" t="s">
        <v>139</v>
      </c>
      <c r="B64" s="72" t="s">
        <v>120</v>
      </c>
      <c r="C64" s="72"/>
      <c r="D64" s="72"/>
      <c r="E64" s="72"/>
      <c r="F64" s="49"/>
      <c r="G64" s="49"/>
      <c r="H64" s="49"/>
      <c r="I64" s="8"/>
    </row>
    <row r="65" spans="1:12" x14ac:dyDescent="0.25">
      <c r="A65" s="71" t="s">
        <v>140</v>
      </c>
      <c r="B65" s="72" t="s">
        <v>141</v>
      </c>
      <c r="C65" s="72"/>
      <c r="D65" s="72"/>
      <c r="E65" s="72"/>
      <c r="F65" s="49"/>
      <c r="G65" s="49"/>
      <c r="H65" s="49"/>
      <c r="I65" s="8"/>
    </row>
    <row r="66" spans="1:12" x14ac:dyDescent="0.25">
      <c r="A66" s="71" t="s">
        <v>142</v>
      </c>
      <c r="B66" s="72"/>
      <c r="C66" s="72"/>
      <c r="D66" s="72"/>
      <c r="E66" s="72"/>
      <c r="F66" s="49"/>
      <c r="G66" s="49"/>
      <c r="H66" s="49"/>
      <c r="I66" s="8"/>
    </row>
    <row r="67" spans="1:12" x14ac:dyDescent="0.25">
      <c r="A67" s="73" t="s">
        <v>143</v>
      </c>
      <c r="B67" s="72">
        <v>1</v>
      </c>
      <c r="C67" s="72">
        <v>1</v>
      </c>
      <c r="D67" s="72">
        <f t="shared" ref="D67:D78" si="14">B67*C67</f>
        <v>1</v>
      </c>
      <c r="E67" s="72">
        <f>E59</f>
        <v>2</v>
      </c>
      <c r="F67" s="5">
        <f t="shared" ref="F67:F75" si="15">+D67*E67</f>
        <v>2</v>
      </c>
      <c r="G67" s="2">
        <f t="shared" ref="G67:G75" si="16">+F67*0.05</f>
        <v>0.1</v>
      </c>
      <c r="H67" s="2">
        <f t="shared" ref="H67:H75" si="17">+F67*0.1</f>
        <v>0.2</v>
      </c>
      <c r="I67" s="4">
        <f t="shared" ref="I67:I79" si="18">+$M$11*F67+$M$12*G67+$M$13*H67</f>
        <v>315.01299999999998</v>
      </c>
    </row>
    <row r="68" spans="1:12" ht="25.5" x14ac:dyDescent="0.25">
      <c r="A68" s="73" t="s">
        <v>144</v>
      </c>
      <c r="B68" s="72">
        <v>2</v>
      </c>
      <c r="C68" s="72">
        <v>20</v>
      </c>
      <c r="D68" s="72">
        <f t="shared" si="14"/>
        <v>40</v>
      </c>
      <c r="E68" s="82">
        <f>E26</f>
        <v>2</v>
      </c>
      <c r="F68" s="5">
        <f t="shared" si="15"/>
        <v>80</v>
      </c>
      <c r="G68" s="2">
        <f t="shared" si="16"/>
        <v>4</v>
      </c>
      <c r="H68" s="2">
        <f t="shared" si="17"/>
        <v>8</v>
      </c>
      <c r="I68" s="4">
        <f>+$M$11*F68+$M$12*G68+$M$13*H68</f>
        <v>12600.519999999999</v>
      </c>
    </row>
    <row r="69" spans="1:12" ht="25.5" x14ac:dyDescent="0.25">
      <c r="A69" s="73" t="s">
        <v>145</v>
      </c>
      <c r="B69" s="72">
        <v>2</v>
      </c>
      <c r="C69" s="72">
        <v>1</v>
      </c>
      <c r="D69" s="72">
        <f t="shared" si="14"/>
        <v>2</v>
      </c>
      <c r="E69" s="72">
        <v>1</v>
      </c>
      <c r="F69" s="5">
        <f t="shared" si="15"/>
        <v>2</v>
      </c>
      <c r="G69" s="2">
        <f t="shared" si="16"/>
        <v>0.1</v>
      </c>
      <c r="H69" s="2">
        <f t="shared" si="17"/>
        <v>0.2</v>
      </c>
      <c r="I69" s="4">
        <f t="shared" si="18"/>
        <v>315.01299999999998</v>
      </c>
    </row>
    <row r="70" spans="1:12" x14ac:dyDescent="0.25">
      <c r="A70" s="73" t="s">
        <v>146</v>
      </c>
      <c r="B70" s="72">
        <v>2</v>
      </c>
      <c r="C70" s="72">
        <v>1</v>
      </c>
      <c r="D70" s="72">
        <f t="shared" si="14"/>
        <v>2</v>
      </c>
      <c r="E70" s="72">
        <f>E59</f>
        <v>2</v>
      </c>
      <c r="F70" s="5">
        <f t="shared" si="15"/>
        <v>4</v>
      </c>
      <c r="G70" s="2">
        <f t="shared" si="16"/>
        <v>0.2</v>
      </c>
      <c r="H70" s="2">
        <f t="shared" si="17"/>
        <v>0.4</v>
      </c>
      <c r="I70" s="4">
        <f t="shared" si="18"/>
        <v>630.02599999999995</v>
      </c>
    </row>
    <row r="71" spans="1:12" x14ac:dyDescent="0.25">
      <c r="A71" s="73" t="s">
        <v>147</v>
      </c>
      <c r="B71" s="72">
        <v>2</v>
      </c>
      <c r="C71" s="72">
        <f>C58</f>
        <v>4</v>
      </c>
      <c r="D71" s="72">
        <f t="shared" si="14"/>
        <v>8</v>
      </c>
      <c r="E71" s="72">
        <f>E58</f>
        <v>2</v>
      </c>
      <c r="F71" s="5">
        <f t="shared" si="15"/>
        <v>16</v>
      </c>
      <c r="G71" s="2">
        <f t="shared" si="16"/>
        <v>0.8</v>
      </c>
      <c r="H71" s="2">
        <f t="shared" si="17"/>
        <v>1.6</v>
      </c>
      <c r="I71" s="4">
        <f t="shared" si="18"/>
        <v>2520.1039999999998</v>
      </c>
    </row>
    <row r="72" spans="1:12" x14ac:dyDescent="0.25">
      <c r="A72" s="73" t="s">
        <v>148</v>
      </c>
      <c r="B72" s="72">
        <v>1</v>
      </c>
      <c r="C72" s="72">
        <v>1</v>
      </c>
      <c r="D72" s="72">
        <f t="shared" si="14"/>
        <v>1</v>
      </c>
      <c r="E72" s="72">
        <f>E59</f>
        <v>2</v>
      </c>
      <c r="F72" s="5">
        <f t="shared" si="15"/>
        <v>2</v>
      </c>
      <c r="G72" s="2">
        <f t="shared" si="16"/>
        <v>0.1</v>
      </c>
      <c r="H72" s="2">
        <f t="shared" si="17"/>
        <v>0.2</v>
      </c>
      <c r="I72" s="4">
        <f t="shared" si="18"/>
        <v>315.01299999999998</v>
      </c>
    </row>
    <row r="73" spans="1:12" x14ac:dyDescent="0.25">
      <c r="A73" s="73" t="s">
        <v>149</v>
      </c>
      <c r="B73" s="72">
        <v>2</v>
      </c>
      <c r="C73" s="72">
        <f>C59</f>
        <v>1</v>
      </c>
      <c r="D73" s="72">
        <f t="shared" si="14"/>
        <v>2</v>
      </c>
      <c r="E73" s="72">
        <f>E59</f>
        <v>2</v>
      </c>
      <c r="F73" s="5">
        <f t="shared" si="15"/>
        <v>4</v>
      </c>
      <c r="G73" s="2">
        <f t="shared" si="16"/>
        <v>0.2</v>
      </c>
      <c r="H73" s="2">
        <f t="shared" si="17"/>
        <v>0.4</v>
      </c>
      <c r="I73" s="4">
        <f t="shared" si="18"/>
        <v>630.02599999999995</v>
      </c>
    </row>
    <row r="74" spans="1:12" x14ac:dyDescent="0.25">
      <c r="A74" s="73" t="s">
        <v>150</v>
      </c>
      <c r="B74" s="72">
        <v>1</v>
      </c>
      <c r="C74" s="72">
        <v>1</v>
      </c>
      <c r="D74" s="72">
        <f t="shared" si="14"/>
        <v>1</v>
      </c>
      <c r="E74" s="72">
        <f>E59</f>
        <v>2</v>
      </c>
      <c r="F74" s="5">
        <f t="shared" si="15"/>
        <v>2</v>
      </c>
      <c r="G74" s="2">
        <f t="shared" si="16"/>
        <v>0.1</v>
      </c>
      <c r="H74" s="2">
        <f t="shared" si="17"/>
        <v>0.2</v>
      </c>
      <c r="I74" s="4">
        <f t="shared" si="18"/>
        <v>315.01299999999998</v>
      </c>
    </row>
    <row r="75" spans="1:12" x14ac:dyDescent="0.25">
      <c r="A75" s="73" t="s">
        <v>151</v>
      </c>
      <c r="B75" s="72">
        <v>1</v>
      </c>
      <c r="C75" s="72">
        <v>1</v>
      </c>
      <c r="D75" s="72">
        <f t="shared" si="14"/>
        <v>1</v>
      </c>
      <c r="E75" s="72">
        <f>E59</f>
        <v>2</v>
      </c>
      <c r="F75" s="5">
        <f t="shared" si="15"/>
        <v>2</v>
      </c>
      <c r="G75" s="2">
        <f t="shared" si="16"/>
        <v>0.1</v>
      </c>
      <c r="H75" s="2">
        <f t="shared" si="17"/>
        <v>0.2</v>
      </c>
      <c r="I75" s="4">
        <f t="shared" si="18"/>
        <v>315.01299999999998</v>
      </c>
    </row>
    <row r="76" spans="1:12" x14ac:dyDescent="0.25">
      <c r="A76" s="73" t="s">
        <v>152</v>
      </c>
      <c r="B76" s="72">
        <v>1</v>
      </c>
      <c r="C76" s="72">
        <v>1</v>
      </c>
      <c r="D76" s="72">
        <f t="shared" si="14"/>
        <v>1</v>
      </c>
      <c r="E76" s="72">
        <f>E59</f>
        <v>2</v>
      </c>
      <c r="F76" s="5">
        <f t="shared" ref="F76" si="19">+D76*E76</f>
        <v>2</v>
      </c>
      <c r="G76" s="2">
        <f t="shared" ref="G76" si="20">+F76*0.05</f>
        <v>0.1</v>
      </c>
      <c r="H76" s="2">
        <f t="shared" ref="H76" si="21">+F76*0.1</f>
        <v>0.2</v>
      </c>
      <c r="I76" s="4">
        <f t="shared" si="18"/>
        <v>315.01299999999998</v>
      </c>
    </row>
    <row r="77" spans="1:12" x14ac:dyDescent="0.25">
      <c r="A77" s="73" t="s">
        <v>153</v>
      </c>
      <c r="B77" s="72">
        <v>2</v>
      </c>
      <c r="C77" s="72">
        <f>C12</f>
        <v>2.5</v>
      </c>
      <c r="D77" s="72">
        <f t="shared" si="14"/>
        <v>5</v>
      </c>
      <c r="E77" s="72">
        <f>E39</f>
        <v>2</v>
      </c>
      <c r="F77" s="5">
        <f t="shared" ref="F77:F78" si="22">+D77*E77</f>
        <v>10</v>
      </c>
      <c r="G77" s="2">
        <f t="shared" ref="G77:G78" si="23">+F77*0.05</f>
        <v>0.5</v>
      </c>
      <c r="H77" s="2">
        <f t="shared" ref="H77:H78" si="24">+F77*0.1</f>
        <v>1</v>
      </c>
      <c r="I77" s="4">
        <f t="shared" si="18"/>
        <v>1575.0649999999998</v>
      </c>
    </row>
    <row r="78" spans="1:12" x14ac:dyDescent="0.25">
      <c r="A78" s="71" t="s">
        <v>154</v>
      </c>
      <c r="B78" s="72">
        <v>20</v>
      </c>
      <c r="C78" s="72">
        <v>1</v>
      </c>
      <c r="D78" s="72">
        <f t="shared" si="14"/>
        <v>20</v>
      </c>
      <c r="E78" s="72">
        <v>2</v>
      </c>
      <c r="F78" s="5">
        <f t="shared" si="22"/>
        <v>40</v>
      </c>
      <c r="G78" s="2">
        <f t="shared" si="23"/>
        <v>2</v>
      </c>
      <c r="H78" s="2">
        <f t="shared" si="24"/>
        <v>4</v>
      </c>
      <c r="I78" s="4">
        <f t="shared" si="18"/>
        <v>6300.2599999999993</v>
      </c>
    </row>
    <row r="79" spans="1:12" x14ac:dyDescent="0.25">
      <c r="A79" s="71" t="s">
        <v>155</v>
      </c>
      <c r="B79" s="72" t="s">
        <v>141</v>
      </c>
      <c r="C79" s="72"/>
      <c r="D79" s="72"/>
      <c r="E79" s="72"/>
      <c r="F79" s="5"/>
      <c r="G79" s="2"/>
      <c r="H79" s="2"/>
      <c r="I79" s="4"/>
    </row>
    <row r="80" spans="1:12" x14ac:dyDescent="0.25">
      <c r="A80" s="9" t="s">
        <v>31</v>
      </c>
      <c r="B80" s="6"/>
      <c r="C80" s="6"/>
      <c r="D80" s="6"/>
      <c r="E80" s="6"/>
      <c r="F80" s="101">
        <f>SUM(F67:H79)</f>
        <v>190.89999999999995</v>
      </c>
      <c r="G80" s="101"/>
      <c r="H80" s="101"/>
      <c r="I80" s="8">
        <f>SUM(I67:I79)</f>
        <v>26146.078999999994</v>
      </c>
      <c r="K80" s="44" t="s">
        <v>32</v>
      </c>
      <c r="L80" s="44" t="s">
        <v>33</v>
      </c>
    </row>
    <row r="81" spans="1:14" ht="15.75" x14ac:dyDescent="0.25">
      <c r="A81" s="7" t="s">
        <v>206</v>
      </c>
      <c r="B81" s="7"/>
      <c r="C81" s="7"/>
      <c r="D81" s="7"/>
      <c r="E81" s="7"/>
      <c r="F81" s="101">
        <f>ROUND(F61+F80,-1)</f>
        <v>1610</v>
      </c>
      <c r="G81" s="101"/>
      <c r="H81" s="101"/>
      <c r="I81" s="8">
        <f>+ROUND(I61+I80,-3)</f>
        <v>221000</v>
      </c>
      <c r="K81" s="47">
        <f>Responses!E14</f>
        <v>19</v>
      </c>
      <c r="L81" s="45">
        <f>+F81/K81</f>
        <v>84.736842105263165</v>
      </c>
    </row>
    <row r="82" spans="1:14" ht="15.75" x14ac:dyDescent="0.25">
      <c r="A82" s="7" t="s">
        <v>207</v>
      </c>
      <c r="B82" s="7"/>
      <c r="C82" s="7"/>
      <c r="D82" s="7"/>
      <c r="E82" s="7"/>
      <c r="F82" s="11"/>
      <c r="G82" s="11"/>
      <c r="H82" s="11"/>
      <c r="I82" s="8">
        <f>'Capital O&amp;M'!G15</f>
        <v>424000</v>
      </c>
    </row>
    <row r="83" spans="1:14" ht="15.75" x14ac:dyDescent="0.25">
      <c r="A83" s="7" t="s">
        <v>208</v>
      </c>
      <c r="B83" s="7"/>
      <c r="C83" s="7"/>
      <c r="D83" s="7"/>
      <c r="E83" s="7"/>
      <c r="F83" s="11"/>
      <c r="G83" s="11"/>
      <c r="H83" s="11"/>
      <c r="I83" s="8">
        <f>+ROUND(I81+I82,-3)</f>
        <v>645000</v>
      </c>
    </row>
    <row r="85" spans="1:14" x14ac:dyDescent="0.25">
      <c r="A85" s="98" t="s">
        <v>34</v>
      </c>
      <c r="B85" s="98"/>
      <c r="C85" s="98"/>
      <c r="D85" s="98"/>
      <c r="E85" s="98"/>
      <c r="F85" s="98"/>
      <c r="G85" s="98"/>
      <c r="H85" s="98"/>
      <c r="I85" s="98"/>
    </row>
    <row r="86" spans="1:14" ht="15.6" customHeight="1" x14ac:dyDescent="0.25">
      <c r="A86" s="92" t="s">
        <v>156</v>
      </c>
      <c r="B86" s="92"/>
      <c r="C86" s="92"/>
      <c r="D86" s="92"/>
      <c r="E86" s="92"/>
      <c r="F86" s="92"/>
      <c r="G86" s="92"/>
      <c r="H86" s="92"/>
      <c r="I86" s="92"/>
    </row>
    <row r="87" spans="1:14" ht="57" customHeight="1" x14ac:dyDescent="0.25">
      <c r="A87" s="92" t="s">
        <v>213</v>
      </c>
      <c r="B87" s="92"/>
      <c r="C87" s="92"/>
      <c r="D87" s="92"/>
      <c r="E87" s="92"/>
      <c r="F87" s="92"/>
      <c r="G87" s="92"/>
      <c r="H87" s="92"/>
      <c r="I87" s="92"/>
    </row>
    <row r="88" spans="1:14" ht="28.9" customHeight="1" x14ac:dyDescent="0.25">
      <c r="A88" s="97" t="s">
        <v>157</v>
      </c>
      <c r="B88" s="97"/>
      <c r="C88" s="97"/>
      <c r="D88" s="97"/>
      <c r="E88" s="97"/>
      <c r="F88" s="97"/>
      <c r="G88" s="97"/>
      <c r="H88" s="97"/>
      <c r="I88" s="97"/>
    </row>
    <row r="89" spans="1:14" x14ac:dyDescent="0.25">
      <c r="A89" s="97" t="s">
        <v>158</v>
      </c>
      <c r="B89" s="97"/>
      <c r="C89" s="97"/>
      <c r="D89" s="97"/>
      <c r="E89" s="97"/>
      <c r="F89" s="97"/>
      <c r="G89" s="97"/>
      <c r="H89" s="97"/>
      <c r="I89" s="97"/>
      <c r="K89" s="31"/>
      <c r="L89" s="31"/>
      <c r="M89" s="31"/>
      <c r="N89" s="31"/>
    </row>
    <row r="90" spans="1:14" x14ac:dyDescent="0.25">
      <c r="A90" s="97" t="s">
        <v>159</v>
      </c>
      <c r="B90" s="97"/>
      <c r="C90" s="97"/>
      <c r="D90" s="97"/>
      <c r="E90" s="97"/>
      <c r="F90" s="97"/>
      <c r="G90" s="97"/>
      <c r="H90" s="97"/>
      <c r="I90" s="97"/>
      <c r="K90" s="31"/>
      <c r="L90" s="31"/>
      <c r="M90" s="31"/>
      <c r="N90" s="31"/>
    </row>
    <row r="91" spans="1:14" x14ac:dyDescent="0.25">
      <c r="A91" s="97" t="s">
        <v>160</v>
      </c>
      <c r="B91" s="97"/>
      <c r="C91" s="97"/>
      <c r="D91" s="97"/>
      <c r="E91" s="97"/>
      <c r="F91" s="97"/>
      <c r="G91" s="97"/>
      <c r="H91" s="97"/>
      <c r="I91" s="97"/>
      <c r="K91" s="31"/>
      <c r="L91" s="31"/>
      <c r="M91" s="31"/>
      <c r="N91" s="31"/>
    </row>
    <row r="92" spans="1:14" x14ac:dyDescent="0.25">
      <c r="A92" s="99" t="s">
        <v>161</v>
      </c>
      <c r="B92" s="99"/>
      <c r="C92" s="99"/>
      <c r="D92" s="99"/>
      <c r="E92" s="99"/>
      <c r="F92" s="99"/>
      <c r="G92" s="99"/>
      <c r="H92" s="99"/>
      <c r="I92" s="99"/>
      <c r="K92" s="31"/>
      <c r="L92" s="31"/>
      <c r="M92" s="31"/>
      <c r="N92" s="31"/>
    </row>
    <row r="93" spans="1:14" x14ac:dyDescent="0.25">
      <c r="A93" s="99" t="s">
        <v>162</v>
      </c>
      <c r="B93" s="99"/>
      <c r="C93" s="99"/>
      <c r="D93" s="99"/>
      <c r="E93" s="99"/>
      <c r="F93" s="99"/>
      <c r="G93" s="99"/>
      <c r="H93" s="99"/>
      <c r="I93" s="99"/>
      <c r="K93" s="31"/>
      <c r="L93" s="31"/>
      <c r="M93" s="31"/>
      <c r="N93" s="31"/>
    </row>
    <row r="94" spans="1:14" x14ac:dyDescent="0.25">
      <c r="A94" s="99" t="s">
        <v>163</v>
      </c>
      <c r="B94" s="99"/>
      <c r="C94" s="99"/>
      <c r="D94" s="99"/>
      <c r="E94" s="99"/>
      <c r="F94" s="99"/>
      <c r="G94" s="99"/>
      <c r="H94" s="99"/>
      <c r="I94" s="99"/>
      <c r="K94" s="31"/>
      <c r="L94" s="31"/>
      <c r="M94" s="31"/>
      <c r="N94" s="31"/>
    </row>
    <row r="95" spans="1:14" x14ac:dyDescent="0.25">
      <c r="A95" s="99" t="s">
        <v>164</v>
      </c>
      <c r="B95" s="99"/>
      <c r="C95" s="99"/>
      <c r="D95" s="99"/>
      <c r="E95" s="99"/>
      <c r="F95" s="99"/>
      <c r="G95" s="99"/>
      <c r="H95" s="99"/>
      <c r="I95" s="99"/>
      <c r="K95" s="31"/>
      <c r="L95" s="31"/>
      <c r="M95" s="31"/>
      <c r="N95" s="31"/>
    </row>
    <row r="96" spans="1:14" x14ac:dyDescent="0.25">
      <c r="A96" s="99" t="s">
        <v>165</v>
      </c>
      <c r="B96" s="99"/>
      <c r="C96" s="99"/>
      <c r="D96" s="99"/>
      <c r="E96" s="99"/>
      <c r="F96" s="99"/>
      <c r="G96" s="99"/>
      <c r="H96" s="99"/>
      <c r="I96" s="99"/>
      <c r="K96" s="31"/>
      <c r="L96" s="31"/>
      <c r="M96" s="31"/>
      <c r="N96" s="31"/>
    </row>
    <row r="97" spans="1:9" x14ac:dyDescent="0.25">
      <c r="A97" s="99" t="s">
        <v>166</v>
      </c>
      <c r="B97" s="99"/>
      <c r="C97" s="99"/>
      <c r="D97" s="99"/>
      <c r="E97" s="99"/>
      <c r="F97" s="99"/>
      <c r="G97" s="99"/>
      <c r="H97" s="99"/>
      <c r="I97" s="99"/>
    </row>
    <row r="98" spans="1:9" x14ac:dyDescent="0.25">
      <c r="A98" s="99" t="s">
        <v>167</v>
      </c>
      <c r="B98" s="99"/>
      <c r="C98" s="99"/>
      <c r="D98" s="99"/>
      <c r="E98" s="99"/>
      <c r="F98" s="99"/>
      <c r="G98" s="99"/>
      <c r="H98" s="99"/>
      <c r="I98" s="99"/>
    </row>
    <row r="99" spans="1:9" x14ac:dyDescent="0.25">
      <c r="A99" s="97" t="s">
        <v>168</v>
      </c>
      <c r="B99" s="97"/>
      <c r="C99" s="97"/>
      <c r="D99" s="97"/>
      <c r="E99" s="97"/>
      <c r="F99" s="97"/>
      <c r="G99" s="97"/>
      <c r="H99" s="97"/>
      <c r="I99" s="97"/>
    </row>
    <row r="100" spans="1:9" x14ac:dyDescent="0.25">
      <c r="A100" s="97" t="s">
        <v>169</v>
      </c>
      <c r="B100" s="97"/>
      <c r="C100" s="97"/>
      <c r="D100" s="97"/>
      <c r="E100" s="97"/>
      <c r="F100" s="97"/>
      <c r="G100" s="97"/>
      <c r="H100" s="97"/>
      <c r="I100" s="97"/>
    </row>
    <row r="101" spans="1:9" x14ac:dyDescent="0.25">
      <c r="A101" s="97" t="s">
        <v>170</v>
      </c>
      <c r="B101" s="97"/>
      <c r="C101" s="97"/>
      <c r="D101" s="97"/>
      <c r="E101" s="97"/>
      <c r="F101" s="97"/>
      <c r="G101" s="97"/>
      <c r="H101" s="97"/>
      <c r="I101" s="97"/>
    </row>
    <row r="102" spans="1:9" x14ac:dyDescent="0.25">
      <c r="A102" s="97" t="s">
        <v>171</v>
      </c>
      <c r="B102" s="97"/>
      <c r="C102" s="97"/>
      <c r="D102" s="97"/>
      <c r="E102" s="97"/>
      <c r="F102" s="97"/>
      <c r="G102" s="97"/>
      <c r="H102" s="97"/>
      <c r="I102" s="97"/>
    </row>
    <row r="103" spans="1:9" x14ac:dyDescent="0.25">
      <c r="A103" s="97" t="s">
        <v>172</v>
      </c>
      <c r="B103" s="97"/>
      <c r="C103" s="97"/>
      <c r="D103" s="97"/>
      <c r="E103" s="97"/>
      <c r="F103" s="97"/>
      <c r="G103" s="97"/>
      <c r="H103" s="97"/>
      <c r="I103" s="97"/>
    </row>
    <row r="104" spans="1:9" ht="15.6" customHeight="1" x14ac:dyDescent="0.25">
      <c r="A104" s="97" t="s">
        <v>173</v>
      </c>
      <c r="B104" s="97"/>
      <c r="C104" s="97"/>
      <c r="D104" s="97"/>
      <c r="E104" s="97"/>
      <c r="F104" s="97"/>
      <c r="G104" s="97"/>
      <c r="H104" s="97"/>
      <c r="I104" s="97"/>
    </row>
    <row r="105" spans="1:9" x14ac:dyDescent="0.25">
      <c r="A105" s="92" t="s">
        <v>174</v>
      </c>
      <c r="B105" s="92"/>
      <c r="C105" s="92"/>
      <c r="D105" s="92"/>
      <c r="E105" s="92"/>
      <c r="F105" s="92"/>
      <c r="G105" s="92"/>
      <c r="H105" s="92"/>
      <c r="I105" s="92"/>
    </row>
  </sheetData>
  <mergeCells count="39">
    <mergeCell ref="L10:M10"/>
    <mergeCell ref="F80:H80"/>
    <mergeCell ref="F81:H81"/>
    <mergeCell ref="A102:I102"/>
    <mergeCell ref="A103:I103"/>
    <mergeCell ref="A95:I95"/>
    <mergeCell ref="A96:I96"/>
    <mergeCell ref="A91:I91"/>
    <mergeCell ref="A3:A4"/>
    <mergeCell ref="F61:H61"/>
    <mergeCell ref="A86:I86"/>
    <mergeCell ref="A89:I89"/>
    <mergeCell ref="A90:I90"/>
    <mergeCell ref="B15:B18"/>
    <mergeCell ref="C15:C18"/>
    <mergeCell ref="D15:D18"/>
    <mergeCell ref="E15:E18"/>
    <mergeCell ref="B19:B21"/>
    <mergeCell ref="C19:C21"/>
    <mergeCell ref="D19:D21"/>
    <mergeCell ref="E19:E21"/>
    <mergeCell ref="A87:I87"/>
    <mergeCell ref="A88:I88"/>
    <mergeCell ref="A105:I105"/>
    <mergeCell ref="A1:I1"/>
    <mergeCell ref="B12:B14"/>
    <mergeCell ref="C12:C14"/>
    <mergeCell ref="D12:D14"/>
    <mergeCell ref="E12:E14"/>
    <mergeCell ref="A104:I104"/>
    <mergeCell ref="A85:I85"/>
    <mergeCell ref="A97:I97"/>
    <mergeCell ref="A98:I98"/>
    <mergeCell ref="A99:I99"/>
    <mergeCell ref="A100:I100"/>
    <mergeCell ref="A101:I101"/>
    <mergeCell ref="A92:I92"/>
    <mergeCell ref="A93:I93"/>
    <mergeCell ref="A94:I9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4"/>
  <sheetViews>
    <sheetView topLeftCell="B4" zoomScaleNormal="100" workbookViewId="0">
      <selection activeCell="O12" sqref="O12"/>
    </sheetView>
  </sheetViews>
  <sheetFormatPr defaultRowHeight="15" x14ac:dyDescent="0.25"/>
  <cols>
    <col min="1" max="1" width="0.7109375" customWidth="1"/>
    <col min="2" max="2" width="39.5703125" customWidth="1"/>
    <col min="3" max="3" width="10" customWidth="1"/>
    <col min="4" max="4" width="10.5703125" customWidth="1"/>
    <col min="7" max="7" width="11.28515625" customWidth="1"/>
    <col min="8" max="8" width="13.28515625" customWidth="1"/>
    <col min="9" max="9" width="12.140625" customWidth="1"/>
    <col min="10" max="10" width="12.5703125" customWidth="1"/>
    <col min="12" max="12" width="10.85546875" bestFit="1" customWidth="1"/>
    <col min="13" max="13" width="7.28515625" bestFit="1" customWidth="1"/>
    <col min="14" max="14" width="11.85546875" customWidth="1"/>
    <col min="16" max="16" width="18.140625" customWidth="1"/>
  </cols>
  <sheetData>
    <row r="1" spans="2:16" ht="15.75" x14ac:dyDescent="0.25">
      <c r="B1" s="93" t="s">
        <v>80</v>
      </c>
      <c r="C1" s="93"/>
      <c r="D1" s="93"/>
      <c r="E1" s="93"/>
      <c r="F1" s="93"/>
      <c r="G1" s="93"/>
      <c r="H1" s="93"/>
      <c r="I1" s="93"/>
      <c r="J1" s="93"/>
    </row>
    <row r="3" spans="2:16" ht="15" customHeight="1" x14ac:dyDescent="0.25">
      <c r="B3" s="100" t="s">
        <v>35</v>
      </c>
      <c r="C3" s="1" t="s">
        <v>9</v>
      </c>
      <c r="D3" s="1" t="s">
        <v>10</v>
      </c>
      <c r="E3" s="1" t="s">
        <v>11</v>
      </c>
      <c r="F3" s="1" t="s">
        <v>36</v>
      </c>
      <c r="G3" s="1" t="s">
        <v>13</v>
      </c>
      <c r="H3" s="1" t="s">
        <v>14</v>
      </c>
      <c r="I3" s="1" t="s">
        <v>15</v>
      </c>
      <c r="J3" s="1" t="s">
        <v>37</v>
      </c>
    </row>
    <row r="4" spans="2:16" ht="64.5" thickBot="1" x14ac:dyDescent="0.3">
      <c r="B4" s="100"/>
      <c r="C4" s="1" t="s">
        <v>38</v>
      </c>
      <c r="D4" s="1" t="s">
        <v>39</v>
      </c>
      <c r="E4" s="1" t="s">
        <v>40</v>
      </c>
      <c r="F4" s="1" t="s">
        <v>41</v>
      </c>
      <c r="G4" s="1" t="s">
        <v>42</v>
      </c>
      <c r="H4" s="1" t="s">
        <v>43</v>
      </c>
      <c r="I4" s="1" t="s">
        <v>44</v>
      </c>
      <c r="J4" s="1" t="s">
        <v>45</v>
      </c>
      <c r="M4" s="17"/>
    </row>
    <row r="5" spans="2:16" ht="15.75" thickBot="1" x14ac:dyDescent="0.3">
      <c r="B5" s="83" t="s">
        <v>209</v>
      </c>
      <c r="C5" s="2"/>
      <c r="D5" s="2"/>
      <c r="E5" s="2"/>
      <c r="F5" s="2"/>
      <c r="G5" s="2"/>
      <c r="H5" s="2"/>
      <c r="I5" s="2"/>
      <c r="J5" s="3"/>
      <c r="L5" s="106" t="s">
        <v>24</v>
      </c>
      <c r="M5" s="107"/>
    </row>
    <row r="6" spans="2:16" x14ac:dyDescent="0.25">
      <c r="B6" s="79" t="s">
        <v>28</v>
      </c>
      <c r="C6" s="75">
        <v>1</v>
      </c>
      <c r="D6" s="75">
        <f>'Table 1'!C39</f>
        <v>1</v>
      </c>
      <c r="E6" s="84">
        <f t="shared" ref="E6:E7" si="0">C6*D6</f>
        <v>1</v>
      </c>
      <c r="F6" s="77">
        <f>'Table 1'!E39</f>
        <v>2</v>
      </c>
      <c r="G6" s="77">
        <f t="shared" ref="G6:G7" si="1">E6*F6</f>
        <v>2</v>
      </c>
      <c r="H6" s="85">
        <f t="shared" ref="H6:H7" si="2">G6*0.05</f>
        <v>0.1</v>
      </c>
      <c r="I6" s="85">
        <f t="shared" ref="I6:I7" si="3">G6*0.1</f>
        <v>0.2</v>
      </c>
      <c r="J6" s="86">
        <f t="shared" ref="J6:J12" si="4">G6*$M$7+H6*$M$6+I6*$M$8</f>
        <v>128.0112</v>
      </c>
      <c r="L6" s="33" t="s">
        <v>46</v>
      </c>
      <c r="M6" s="37">
        <v>76.912000000000006</v>
      </c>
    </row>
    <row r="7" spans="2:16" x14ac:dyDescent="0.25">
      <c r="B7" s="79" t="s">
        <v>83</v>
      </c>
      <c r="C7" s="75">
        <v>1</v>
      </c>
      <c r="D7" s="75">
        <f>'Table 1'!C40</f>
        <v>1</v>
      </c>
      <c r="E7" s="84">
        <f t="shared" si="0"/>
        <v>1</v>
      </c>
      <c r="F7" s="77">
        <f>'Table 1'!E40</f>
        <v>2</v>
      </c>
      <c r="G7" s="77">
        <f t="shared" si="1"/>
        <v>2</v>
      </c>
      <c r="H7" s="85">
        <f t="shared" si="2"/>
        <v>0.1</v>
      </c>
      <c r="I7" s="85">
        <f t="shared" si="3"/>
        <v>0.2</v>
      </c>
      <c r="J7" s="86">
        <f t="shared" si="4"/>
        <v>128.0112</v>
      </c>
      <c r="L7" s="33" t="s">
        <v>47</v>
      </c>
      <c r="M7" s="37">
        <v>57.072000000000003</v>
      </c>
      <c r="N7" s="18"/>
      <c r="P7" s="19"/>
    </row>
    <row r="8" spans="2:16" ht="26.25" thickBot="1" x14ac:dyDescent="0.3">
      <c r="B8" s="79" t="s">
        <v>84</v>
      </c>
      <c r="C8" s="75">
        <v>1</v>
      </c>
      <c r="D8" s="75">
        <f>'Table 1'!C41</f>
        <v>0.33</v>
      </c>
      <c r="E8" s="87">
        <f>C8*D8</f>
        <v>0.33</v>
      </c>
      <c r="F8" s="77">
        <f>'Table 1'!E41</f>
        <v>2</v>
      </c>
      <c r="G8" s="77">
        <f>E8*F8</f>
        <v>0.66</v>
      </c>
      <c r="H8" s="88">
        <f>G8*0.05</f>
        <v>3.3000000000000002E-2</v>
      </c>
      <c r="I8" s="85">
        <f>G8*0.1</f>
        <v>6.6000000000000003E-2</v>
      </c>
      <c r="J8" s="86">
        <f t="shared" si="4"/>
        <v>42.243696000000007</v>
      </c>
      <c r="L8" s="35" t="s">
        <v>48</v>
      </c>
      <c r="M8" s="38">
        <v>30.880000000000003</v>
      </c>
      <c r="N8" s="18"/>
      <c r="P8" s="19"/>
    </row>
    <row r="9" spans="2:16" ht="25.5" x14ac:dyDescent="0.25">
      <c r="B9" s="79" t="s">
        <v>85</v>
      </c>
      <c r="C9" s="75">
        <v>5</v>
      </c>
      <c r="D9" s="77">
        <f>'Table 1'!C42</f>
        <v>1</v>
      </c>
      <c r="E9" s="84">
        <f>C9*D9</f>
        <v>5</v>
      </c>
      <c r="F9" s="77">
        <f>Responses!B10</f>
        <v>2</v>
      </c>
      <c r="G9" s="77">
        <f>E9*F9</f>
        <v>10</v>
      </c>
      <c r="H9" s="85">
        <f>G9*0.05</f>
        <v>0.5</v>
      </c>
      <c r="I9" s="77">
        <f>G9*0.1</f>
        <v>1</v>
      </c>
      <c r="J9" s="86">
        <f t="shared" si="4"/>
        <v>640.05600000000004</v>
      </c>
    </row>
    <row r="10" spans="2:16" ht="25.5" x14ac:dyDescent="0.25">
      <c r="B10" s="79" t="s">
        <v>86</v>
      </c>
      <c r="C10" s="75">
        <v>2</v>
      </c>
      <c r="D10" s="77">
        <f>Responses!C11</f>
        <v>4</v>
      </c>
      <c r="E10" s="84">
        <f t="shared" ref="E10:E12" si="5">C10*D10</f>
        <v>8</v>
      </c>
      <c r="F10" s="77">
        <f>Responses!B11</f>
        <v>2</v>
      </c>
      <c r="G10" s="77">
        <f t="shared" ref="G10:G12" si="6">E10*F10</f>
        <v>16</v>
      </c>
      <c r="H10" s="85">
        <f t="shared" ref="H10:H12" si="7">G10*0.05</f>
        <v>0.8</v>
      </c>
      <c r="I10" s="85">
        <f t="shared" ref="I10:I12" si="8">G10*0.1</f>
        <v>1.6</v>
      </c>
      <c r="J10" s="86">
        <f t="shared" si="4"/>
        <v>1024.0896</v>
      </c>
    </row>
    <row r="11" spans="2:16" ht="25.5" x14ac:dyDescent="0.25">
      <c r="B11" s="79" t="s">
        <v>210</v>
      </c>
      <c r="C11" s="75">
        <v>14</v>
      </c>
      <c r="D11" s="77">
        <f>Responses!C12</f>
        <v>1</v>
      </c>
      <c r="E11" s="84">
        <f t="shared" si="5"/>
        <v>14</v>
      </c>
      <c r="F11" s="77">
        <f>Responses!B12</f>
        <v>2</v>
      </c>
      <c r="G11" s="77">
        <f t="shared" si="6"/>
        <v>28</v>
      </c>
      <c r="H11" s="85">
        <f t="shared" si="7"/>
        <v>1.4000000000000001</v>
      </c>
      <c r="I11" s="85">
        <f t="shared" si="8"/>
        <v>2.8000000000000003</v>
      </c>
      <c r="J11" s="86">
        <f t="shared" si="4"/>
        <v>1792.1568</v>
      </c>
    </row>
    <row r="12" spans="2:16" x14ac:dyDescent="0.25">
      <c r="B12" s="79" t="s">
        <v>88</v>
      </c>
      <c r="C12" s="75">
        <v>2</v>
      </c>
      <c r="D12" s="77">
        <f>Responses!C13</f>
        <v>1</v>
      </c>
      <c r="E12" s="84">
        <f t="shared" si="5"/>
        <v>2</v>
      </c>
      <c r="F12" s="77">
        <f>Responses!B13</f>
        <v>2</v>
      </c>
      <c r="G12" s="77">
        <f t="shared" si="6"/>
        <v>4</v>
      </c>
      <c r="H12" s="85">
        <f t="shared" si="7"/>
        <v>0.2</v>
      </c>
      <c r="I12" s="85">
        <f t="shared" si="8"/>
        <v>0.4</v>
      </c>
      <c r="J12" s="86">
        <f t="shared" si="4"/>
        <v>256.0224</v>
      </c>
    </row>
    <row r="13" spans="2:16" ht="15.75" x14ac:dyDescent="0.25">
      <c r="B13" s="7" t="s">
        <v>49</v>
      </c>
      <c r="C13" s="12"/>
      <c r="D13" s="12"/>
      <c r="E13" s="12"/>
      <c r="F13" s="12"/>
      <c r="G13" s="108">
        <f>ROUND(SUM(G5:I12),0)</f>
        <v>72</v>
      </c>
      <c r="H13" s="108"/>
      <c r="I13" s="108"/>
      <c r="J13" s="89">
        <f>ROUND((SUM(J6:J12)),-1)</f>
        <v>4010</v>
      </c>
    </row>
    <row r="15" spans="2:16" x14ac:dyDescent="0.25">
      <c r="B15" s="10" t="s">
        <v>34</v>
      </c>
    </row>
    <row r="16" spans="2:16" ht="31.15" customHeight="1" x14ac:dyDescent="0.25">
      <c r="B16" s="92" t="s">
        <v>211</v>
      </c>
      <c r="C16" s="92"/>
      <c r="D16" s="92"/>
      <c r="E16" s="92"/>
      <c r="F16" s="92"/>
      <c r="G16" s="92"/>
      <c r="H16" s="92"/>
      <c r="I16" s="92"/>
      <c r="J16" s="92"/>
      <c r="N16" s="48"/>
    </row>
    <row r="17" spans="2:14" ht="61.9" customHeight="1" x14ac:dyDescent="0.25">
      <c r="B17" s="109" t="s">
        <v>50</v>
      </c>
      <c r="C17" s="109"/>
      <c r="D17" s="109"/>
      <c r="E17" s="109"/>
      <c r="F17" s="109"/>
      <c r="G17" s="109"/>
      <c r="H17" s="109"/>
      <c r="I17" s="109"/>
      <c r="J17" s="109"/>
      <c r="N17" s="48"/>
    </row>
    <row r="18" spans="2:14" ht="15.6" customHeight="1" x14ac:dyDescent="0.25">
      <c r="B18" s="105" t="s">
        <v>212</v>
      </c>
      <c r="C18" s="105"/>
      <c r="D18" s="105"/>
      <c r="E18" s="105"/>
      <c r="F18" s="105"/>
      <c r="G18" s="105"/>
      <c r="H18" s="105"/>
      <c r="I18" s="105"/>
      <c r="J18" s="105"/>
      <c r="N18" s="48"/>
    </row>
    <row r="19" spans="2:14" ht="15.75" x14ac:dyDescent="0.25">
      <c r="B19" s="104"/>
      <c r="C19" s="104"/>
      <c r="D19" s="104"/>
      <c r="E19" s="104"/>
      <c r="F19" s="104"/>
      <c r="G19" s="104"/>
      <c r="H19" s="104"/>
      <c r="I19" s="104"/>
      <c r="J19" s="104"/>
    </row>
    <row r="20" spans="2:14" ht="15.75" x14ac:dyDescent="0.25">
      <c r="B20" s="104"/>
      <c r="C20" s="104"/>
      <c r="D20" s="104"/>
      <c r="E20" s="104"/>
      <c r="F20" s="104"/>
      <c r="G20" s="104"/>
      <c r="H20" s="104"/>
      <c r="I20" s="104"/>
      <c r="J20" s="104"/>
    </row>
    <row r="21" spans="2:14" ht="15.75" x14ac:dyDescent="0.25">
      <c r="B21" s="104"/>
      <c r="C21" s="104"/>
      <c r="D21" s="104"/>
      <c r="E21" s="104"/>
      <c r="F21" s="104"/>
      <c r="G21" s="104"/>
      <c r="H21" s="104"/>
      <c r="I21" s="104"/>
      <c r="J21" s="104"/>
    </row>
    <row r="22" spans="2:14" ht="15.75" x14ac:dyDescent="0.25">
      <c r="B22" s="104"/>
      <c r="C22" s="104"/>
      <c r="D22" s="104"/>
      <c r="E22" s="104"/>
      <c r="F22" s="104"/>
      <c r="G22" s="104"/>
      <c r="H22" s="104"/>
      <c r="I22" s="104"/>
      <c r="J22" s="104"/>
    </row>
    <row r="23" spans="2:14" ht="15.75" x14ac:dyDescent="0.25">
      <c r="B23" s="104"/>
      <c r="C23" s="104"/>
      <c r="D23" s="104"/>
      <c r="E23" s="104"/>
      <c r="F23" s="104"/>
      <c r="G23" s="104"/>
      <c r="H23" s="104"/>
      <c r="I23" s="104"/>
      <c r="J23" s="104"/>
    </row>
    <row r="24" spans="2:14" ht="15.75" x14ac:dyDescent="0.25">
      <c r="B24" s="104"/>
      <c r="C24" s="104"/>
      <c r="D24" s="104"/>
      <c r="E24" s="104"/>
      <c r="F24" s="104"/>
      <c r="G24" s="104"/>
      <c r="H24" s="104"/>
      <c r="I24" s="104"/>
      <c r="J24" s="104"/>
    </row>
  </sheetData>
  <mergeCells count="13">
    <mergeCell ref="L5:M5"/>
    <mergeCell ref="G13:I13"/>
    <mergeCell ref="B3:B4"/>
    <mergeCell ref="B16:J16"/>
    <mergeCell ref="B17:J17"/>
    <mergeCell ref="B24:J24"/>
    <mergeCell ref="B1:J1"/>
    <mergeCell ref="B23:J23"/>
    <mergeCell ref="B22:J22"/>
    <mergeCell ref="B21:J21"/>
    <mergeCell ref="B20:J20"/>
    <mergeCell ref="B19:J19"/>
    <mergeCell ref="B18:J18"/>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6532-BCF7-4B63-9B85-71772AF6403D}">
  <dimension ref="A1:N26"/>
  <sheetViews>
    <sheetView topLeftCell="A6" workbookViewId="0">
      <selection activeCell="H6" sqref="H6"/>
    </sheetView>
  </sheetViews>
  <sheetFormatPr defaultRowHeight="15" x14ac:dyDescent="0.25"/>
  <cols>
    <col min="1" max="1" width="25.5703125" customWidth="1"/>
    <col min="2" max="2" width="14.7109375" customWidth="1"/>
    <col min="3" max="3" width="12.28515625" customWidth="1"/>
    <col min="4" max="4" width="12.5703125" customWidth="1"/>
    <col min="5" max="5" width="11.5703125" customWidth="1"/>
    <col min="6" max="6" width="10.7109375" customWidth="1"/>
    <col min="7" max="7" width="10.5703125" customWidth="1"/>
    <col min="9" max="9" width="14.85546875" bestFit="1" customWidth="1"/>
    <col min="10" max="10" width="11" bestFit="1" customWidth="1"/>
  </cols>
  <sheetData>
    <row r="1" spans="1:14" ht="15.75" x14ac:dyDescent="0.25">
      <c r="A1" s="111" t="s">
        <v>51</v>
      </c>
      <c r="B1" s="111"/>
      <c r="C1" s="111"/>
      <c r="D1" s="111"/>
      <c r="E1" s="111"/>
      <c r="F1" s="111"/>
      <c r="G1" s="111"/>
      <c r="H1" s="22"/>
      <c r="I1" s="22"/>
      <c r="J1" s="22"/>
      <c r="K1" s="22"/>
      <c r="L1" s="22"/>
      <c r="M1" s="22"/>
      <c r="N1" s="22"/>
    </row>
    <row r="2" spans="1:14" x14ac:dyDescent="0.25">
      <c r="A2" s="25" t="s">
        <v>52</v>
      </c>
      <c r="B2" s="25" t="s">
        <v>53</v>
      </c>
      <c r="C2" s="25" t="s">
        <v>54</v>
      </c>
      <c r="D2" s="25" t="s">
        <v>12</v>
      </c>
      <c r="E2" s="25" t="s">
        <v>55</v>
      </c>
      <c r="F2" s="25" t="s">
        <v>14</v>
      </c>
      <c r="G2" s="25" t="s">
        <v>15</v>
      </c>
      <c r="H2" s="22"/>
      <c r="I2" s="22"/>
      <c r="J2" s="22"/>
      <c r="K2" s="22"/>
      <c r="L2" s="22"/>
      <c r="M2" s="22"/>
      <c r="N2" s="22"/>
    </row>
    <row r="3" spans="1:14" ht="51" x14ac:dyDescent="0.25">
      <c r="A3" s="25" t="s">
        <v>56</v>
      </c>
      <c r="B3" s="25" t="s">
        <v>57</v>
      </c>
      <c r="C3" s="25" t="s">
        <v>58</v>
      </c>
      <c r="D3" s="25" t="s">
        <v>59</v>
      </c>
      <c r="E3" s="25" t="s">
        <v>60</v>
      </c>
      <c r="F3" s="25" t="s">
        <v>61</v>
      </c>
      <c r="G3" s="25" t="s">
        <v>62</v>
      </c>
      <c r="H3" s="22"/>
      <c r="I3" s="22"/>
      <c r="J3" s="117"/>
      <c r="K3" s="117"/>
      <c r="L3" s="22"/>
      <c r="M3" s="22"/>
      <c r="N3" s="22"/>
    </row>
    <row r="4" spans="1:14" ht="38.25" x14ac:dyDescent="0.25">
      <c r="A4" s="54" t="s">
        <v>89</v>
      </c>
      <c r="B4" s="55">
        <v>200000</v>
      </c>
      <c r="C4" s="56">
        <v>0</v>
      </c>
      <c r="D4" s="55">
        <f>B4*C4</f>
        <v>0</v>
      </c>
      <c r="E4" s="57"/>
      <c r="F4" s="54"/>
      <c r="G4" s="24"/>
      <c r="H4" s="22"/>
      <c r="I4" s="22"/>
      <c r="J4" s="22"/>
      <c r="K4" s="22"/>
      <c r="L4" s="22"/>
      <c r="M4" s="22"/>
      <c r="N4" s="22"/>
    </row>
    <row r="5" spans="1:14" ht="38.25" x14ac:dyDescent="0.25">
      <c r="A5" s="54" t="s">
        <v>90</v>
      </c>
      <c r="B5" s="58">
        <v>52000</v>
      </c>
      <c r="C5" s="59">
        <v>0</v>
      </c>
      <c r="D5" s="55">
        <f t="shared" ref="D5:D9" si="0">B5*C5</f>
        <v>0</v>
      </c>
      <c r="E5" s="60"/>
      <c r="F5" s="24"/>
      <c r="G5" s="24"/>
      <c r="H5" s="22"/>
      <c r="I5" s="22"/>
      <c r="J5" s="22"/>
      <c r="K5" s="22"/>
      <c r="L5" s="22"/>
      <c r="M5" s="22"/>
      <c r="N5" s="22"/>
    </row>
    <row r="6" spans="1:14" ht="38.25" x14ac:dyDescent="0.25">
      <c r="A6" s="54" t="s">
        <v>91</v>
      </c>
      <c r="B6" s="58">
        <v>5000</v>
      </c>
      <c r="C6" s="59">
        <v>0</v>
      </c>
      <c r="D6" s="55">
        <f t="shared" si="0"/>
        <v>0</v>
      </c>
      <c r="E6" s="60"/>
      <c r="F6" s="24"/>
      <c r="G6" s="24"/>
      <c r="H6" s="22"/>
      <c r="I6" s="22"/>
      <c r="J6" s="22"/>
      <c r="K6" s="22"/>
      <c r="L6" s="22"/>
      <c r="M6" s="22"/>
      <c r="N6" s="22"/>
    </row>
    <row r="7" spans="1:14" ht="16.5" x14ac:dyDescent="0.25">
      <c r="A7" s="61" t="s">
        <v>92</v>
      </c>
      <c r="B7" s="62">
        <v>50000</v>
      </c>
      <c r="C7" s="63">
        <v>0</v>
      </c>
      <c r="D7" s="55">
        <f t="shared" si="0"/>
        <v>0</v>
      </c>
      <c r="E7" s="62">
        <v>18000</v>
      </c>
      <c r="F7" s="61">
        <v>1</v>
      </c>
      <c r="G7" s="62">
        <f>E7*F7</f>
        <v>18000</v>
      </c>
      <c r="H7" s="22"/>
      <c r="I7" s="22"/>
      <c r="J7" s="22"/>
      <c r="K7" s="22"/>
      <c r="L7" s="22"/>
      <c r="M7" s="22"/>
      <c r="N7" s="22"/>
    </row>
    <row r="8" spans="1:14" ht="16.5" x14ac:dyDescent="0.25">
      <c r="A8" s="61" t="s">
        <v>93</v>
      </c>
      <c r="B8" s="62">
        <v>269148</v>
      </c>
      <c r="C8" s="63">
        <v>0</v>
      </c>
      <c r="D8" s="55">
        <f t="shared" si="0"/>
        <v>0</v>
      </c>
      <c r="E8" s="64">
        <f>219078/2</f>
        <v>109539</v>
      </c>
      <c r="F8" s="65">
        <v>2</v>
      </c>
      <c r="G8" s="64">
        <f t="shared" ref="G8:G14" si="1">E8*F8</f>
        <v>219078</v>
      </c>
      <c r="H8" s="22"/>
      <c r="I8" s="22"/>
      <c r="J8" s="22"/>
      <c r="K8" s="22"/>
      <c r="L8" s="22"/>
      <c r="M8" s="22"/>
      <c r="N8" s="22"/>
    </row>
    <row r="9" spans="1:14" ht="16.5" x14ac:dyDescent="0.25">
      <c r="A9" s="61" t="s">
        <v>94</v>
      </c>
      <c r="B9" s="62">
        <v>41400</v>
      </c>
      <c r="C9" s="63">
        <v>0</v>
      </c>
      <c r="D9" s="55">
        <f t="shared" si="0"/>
        <v>0</v>
      </c>
      <c r="E9" s="64">
        <f>4140/2</f>
        <v>2070</v>
      </c>
      <c r="F9" s="65">
        <v>2</v>
      </c>
      <c r="G9" s="64">
        <f t="shared" si="1"/>
        <v>4140</v>
      </c>
      <c r="H9" s="22"/>
      <c r="I9" s="22"/>
      <c r="J9" s="22"/>
      <c r="K9" s="22"/>
      <c r="L9" s="22"/>
      <c r="M9" s="22"/>
      <c r="N9" s="22"/>
    </row>
    <row r="10" spans="1:14" ht="28.5" x14ac:dyDescent="0.25">
      <c r="A10" s="66" t="s">
        <v>95</v>
      </c>
      <c r="B10" s="61"/>
      <c r="C10" s="61"/>
      <c r="D10" s="61"/>
      <c r="E10" s="64">
        <v>5000</v>
      </c>
      <c r="F10" s="67">
        <v>5</v>
      </c>
      <c r="G10" s="64">
        <f t="shared" si="1"/>
        <v>25000</v>
      </c>
      <c r="H10" s="22"/>
      <c r="I10" s="22"/>
      <c r="J10" s="22"/>
      <c r="K10" s="22"/>
      <c r="L10" s="22"/>
      <c r="M10" s="22"/>
      <c r="N10" s="22"/>
    </row>
    <row r="11" spans="1:14" ht="41.25" x14ac:dyDescent="0.25">
      <c r="A11" s="66" t="s">
        <v>96</v>
      </c>
      <c r="B11" s="61"/>
      <c r="C11" s="61"/>
      <c r="D11" s="61"/>
      <c r="E11" s="64">
        <v>126000</v>
      </c>
      <c r="F11" s="65">
        <f>6/5</f>
        <v>1.2</v>
      </c>
      <c r="G11" s="64">
        <f t="shared" si="1"/>
        <v>151200</v>
      </c>
      <c r="H11" s="22"/>
      <c r="I11" s="22"/>
      <c r="J11" s="22"/>
      <c r="K11" s="22"/>
      <c r="L11" s="22"/>
      <c r="M11" s="22"/>
      <c r="N11" s="22"/>
    </row>
    <row r="12" spans="1:14" ht="15.75" x14ac:dyDescent="0.25">
      <c r="A12" s="66" t="s">
        <v>97</v>
      </c>
      <c r="B12" s="61"/>
      <c r="C12" s="61"/>
      <c r="D12" s="61"/>
      <c r="E12" s="62">
        <v>5000</v>
      </c>
      <c r="F12" s="61">
        <f>3/5</f>
        <v>0.6</v>
      </c>
      <c r="G12" s="62">
        <f t="shared" si="1"/>
        <v>3000</v>
      </c>
      <c r="H12" s="22"/>
      <c r="I12" s="22"/>
      <c r="J12" s="22"/>
      <c r="K12" s="22"/>
      <c r="L12" s="22"/>
      <c r="M12" s="22"/>
      <c r="N12" s="22"/>
    </row>
    <row r="13" spans="1:14" ht="28.5" x14ac:dyDescent="0.25">
      <c r="A13" s="66" t="s">
        <v>98</v>
      </c>
      <c r="B13" s="61"/>
      <c r="C13" s="61"/>
      <c r="D13" s="61"/>
      <c r="E13" s="62">
        <v>5000</v>
      </c>
      <c r="F13" s="61">
        <f>3/5</f>
        <v>0.6</v>
      </c>
      <c r="G13" s="62">
        <f>E13*F13</f>
        <v>3000</v>
      </c>
      <c r="H13" s="22"/>
      <c r="I13" s="22"/>
      <c r="J13" s="22"/>
      <c r="K13" s="22"/>
      <c r="L13" s="22"/>
      <c r="M13" s="22"/>
      <c r="N13" s="22"/>
    </row>
    <row r="14" spans="1:14" ht="28.5" x14ac:dyDescent="0.25">
      <c r="A14" s="66" t="s">
        <v>99</v>
      </c>
      <c r="B14" s="61"/>
      <c r="C14" s="61"/>
      <c r="D14" s="61"/>
      <c r="E14" s="62">
        <v>5000</v>
      </c>
      <c r="F14" s="61">
        <f>1/5</f>
        <v>0.2</v>
      </c>
      <c r="G14" s="62">
        <f t="shared" si="1"/>
        <v>1000</v>
      </c>
      <c r="H14" s="22"/>
      <c r="I14" s="22"/>
      <c r="J14" s="22"/>
      <c r="K14" s="22"/>
      <c r="L14" s="22"/>
      <c r="M14" s="22"/>
      <c r="N14" s="22"/>
    </row>
    <row r="15" spans="1:14" ht="16.5" x14ac:dyDescent="0.25">
      <c r="A15" s="68" t="s">
        <v>100</v>
      </c>
      <c r="B15" s="90"/>
      <c r="C15" s="25"/>
      <c r="D15" s="27">
        <f>ROUND(SUM(D4:D14),-3)</f>
        <v>0</v>
      </c>
      <c r="E15" s="25"/>
      <c r="F15" s="25"/>
      <c r="G15" s="62">
        <f>ROUND(SUM(G4:G14),-3)</f>
        <v>424000</v>
      </c>
      <c r="H15" s="22"/>
      <c r="I15" s="22"/>
      <c r="J15" s="22"/>
      <c r="K15" s="28"/>
      <c r="L15" s="22"/>
      <c r="M15" s="22"/>
      <c r="N15" s="22"/>
    </row>
    <row r="16" spans="1:14" ht="4.1500000000000004" customHeight="1" x14ac:dyDescent="0.25">
      <c r="A16" s="112"/>
      <c r="B16" s="112"/>
      <c r="C16" s="112"/>
      <c r="D16" s="112"/>
      <c r="E16" s="112"/>
      <c r="F16" s="112"/>
      <c r="G16" s="112"/>
      <c r="H16" s="26"/>
      <c r="I16" s="22"/>
      <c r="J16" s="22"/>
      <c r="K16" s="22"/>
      <c r="L16" s="29"/>
      <c r="M16" s="22"/>
      <c r="N16" s="22"/>
    </row>
    <row r="17" spans="1:14" ht="15.6" customHeight="1" x14ac:dyDescent="0.25">
      <c r="A17" s="110" t="s">
        <v>34</v>
      </c>
      <c r="B17" s="110"/>
      <c r="C17" s="110"/>
      <c r="D17" s="110"/>
      <c r="E17" s="110"/>
      <c r="F17" s="110"/>
      <c r="G17" s="110"/>
      <c r="H17" s="26"/>
      <c r="I17" s="22"/>
      <c r="J17" s="22"/>
      <c r="K17" s="22"/>
      <c r="L17" s="29"/>
      <c r="M17" s="22"/>
      <c r="N17" s="22"/>
    </row>
    <row r="18" spans="1:14" x14ac:dyDescent="0.25">
      <c r="A18" s="92" t="s">
        <v>101</v>
      </c>
      <c r="B18" s="92"/>
      <c r="C18" s="92"/>
      <c r="D18" s="92"/>
      <c r="E18" s="92"/>
      <c r="F18" s="92"/>
      <c r="G18" s="92"/>
      <c r="H18" s="26"/>
      <c r="I18" s="29"/>
      <c r="J18" s="22"/>
      <c r="K18" s="22"/>
      <c r="L18" s="22"/>
      <c r="M18" s="22"/>
      <c r="N18" s="22"/>
    </row>
    <row r="19" spans="1:14" x14ac:dyDescent="0.25">
      <c r="A19" s="92" t="s">
        <v>102</v>
      </c>
      <c r="B19" s="92"/>
      <c r="C19" s="92"/>
      <c r="D19" s="92"/>
      <c r="E19" s="92"/>
      <c r="F19" s="92"/>
      <c r="G19" s="92"/>
      <c r="H19" s="28"/>
      <c r="I19" s="39"/>
      <c r="J19" s="39"/>
      <c r="K19" s="39"/>
      <c r="L19" s="39"/>
      <c r="M19" s="39"/>
      <c r="N19" s="39"/>
    </row>
    <row r="20" spans="1:14" x14ac:dyDescent="0.25">
      <c r="A20" s="92" t="s">
        <v>103</v>
      </c>
      <c r="B20" s="92"/>
      <c r="C20" s="92"/>
      <c r="D20" s="92"/>
      <c r="E20" s="92"/>
      <c r="F20" s="92"/>
      <c r="G20" s="92"/>
      <c r="H20" s="30"/>
      <c r="I20" s="39"/>
      <c r="J20" s="39"/>
      <c r="K20" s="39"/>
      <c r="L20" s="39"/>
      <c r="M20" s="39"/>
      <c r="N20" s="39"/>
    </row>
    <row r="21" spans="1:14" ht="43.5" customHeight="1" x14ac:dyDescent="0.25">
      <c r="A21" s="92" t="s">
        <v>104</v>
      </c>
      <c r="B21" s="92"/>
      <c r="C21" s="92"/>
      <c r="D21" s="92"/>
      <c r="E21" s="92"/>
      <c r="F21" s="92"/>
      <c r="G21" s="92"/>
      <c r="H21" s="28"/>
      <c r="I21" s="39"/>
      <c r="J21" s="39"/>
      <c r="K21" s="39"/>
      <c r="L21" s="39"/>
      <c r="M21" s="39"/>
      <c r="N21" s="39"/>
    </row>
    <row r="22" spans="1:14" ht="51" customHeight="1" x14ac:dyDescent="0.25">
      <c r="A22" s="99" t="s">
        <v>105</v>
      </c>
      <c r="B22" s="99"/>
      <c r="C22" s="99"/>
      <c r="D22" s="99"/>
      <c r="E22" s="99"/>
      <c r="F22" s="99"/>
      <c r="G22" s="99"/>
      <c r="H22" s="28"/>
      <c r="I22" s="39"/>
      <c r="J22" s="39"/>
      <c r="K22" s="39"/>
      <c r="L22" s="39"/>
      <c r="M22" s="39"/>
      <c r="N22" s="39"/>
    </row>
    <row r="23" spans="1:14" ht="60.75" customHeight="1" x14ac:dyDescent="0.25">
      <c r="A23" s="99" t="s">
        <v>106</v>
      </c>
      <c r="B23" s="99"/>
      <c r="C23" s="99"/>
      <c r="D23" s="99"/>
      <c r="E23" s="99"/>
      <c r="F23" s="99"/>
      <c r="G23" s="99"/>
      <c r="H23" s="28"/>
      <c r="I23" s="39"/>
      <c r="J23" s="39"/>
      <c r="K23" s="39"/>
      <c r="L23" s="39"/>
      <c r="M23" s="39"/>
      <c r="N23" s="39"/>
    </row>
    <row r="24" spans="1:14" ht="57" customHeight="1" x14ac:dyDescent="0.25">
      <c r="A24" s="99" t="s">
        <v>107</v>
      </c>
      <c r="B24" s="99"/>
      <c r="C24" s="99"/>
      <c r="D24" s="99"/>
      <c r="E24" s="99"/>
      <c r="F24" s="99"/>
      <c r="G24" s="99"/>
      <c r="H24" s="22"/>
      <c r="I24" s="22"/>
      <c r="J24" s="22"/>
      <c r="K24" s="22"/>
      <c r="L24" s="22"/>
      <c r="M24" s="22"/>
      <c r="N24" s="22"/>
    </row>
    <row r="25" spans="1:14" ht="50.25" customHeight="1" x14ac:dyDescent="0.25">
      <c r="A25" s="99" t="s">
        <v>108</v>
      </c>
      <c r="B25" s="99"/>
      <c r="C25" s="99"/>
      <c r="D25" s="99"/>
      <c r="E25" s="99"/>
      <c r="F25" s="99"/>
      <c r="G25" s="99"/>
      <c r="H25" s="22"/>
      <c r="I25" s="22"/>
      <c r="J25" s="22"/>
      <c r="K25" s="22"/>
      <c r="L25" s="22"/>
      <c r="M25" s="22"/>
      <c r="N25" s="22"/>
    </row>
    <row r="26" spans="1:14" x14ac:dyDescent="0.25">
      <c r="A26" s="99" t="s">
        <v>109</v>
      </c>
      <c r="B26" s="99"/>
      <c r="C26" s="99"/>
      <c r="D26" s="99"/>
      <c r="E26" s="99"/>
      <c r="F26" s="99"/>
      <c r="G26" s="99"/>
      <c r="H26" s="22"/>
      <c r="I26" s="22"/>
      <c r="J26" s="22"/>
      <c r="K26" s="22"/>
      <c r="L26" s="22"/>
      <c r="M26" s="22"/>
      <c r="N26" s="22"/>
    </row>
  </sheetData>
  <mergeCells count="12">
    <mergeCell ref="A1:G1"/>
    <mergeCell ref="A16:G16"/>
    <mergeCell ref="A18:G18"/>
    <mergeCell ref="A19:G19"/>
    <mergeCell ref="A20:G20"/>
    <mergeCell ref="A24:G24"/>
    <mergeCell ref="A25:G25"/>
    <mergeCell ref="A26:G26"/>
    <mergeCell ref="A17:G17"/>
    <mergeCell ref="A21:G21"/>
    <mergeCell ref="A22:G22"/>
    <mergeCell ref="A23:G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0310-8D6C-4048-8B32-207AD9D30E3B}">
  <dimension ref="A1:F9"/>
  <sheetViews>
    <sheetView workbookViewId="0">
      <selection activeCell="E24" sqref="E24"/>
    </sheetView>
  </sheetViews>
  <sheetFormatPr defaultRowHeight="15" x14ac:dyDescent="0.25"/>
  <cols>
    <col min="1" max="1" width="13.85546875" customWidth="1"/>
    <col min="2" max="2" width="18.85546875" customWidth="1"/>
    <col min="3" max="3" width="17.85546875" customWidth="1"/>
    <col min="4" max="4" width="21.7109375" customWidth="1"/>
    <col min="5" max="5" width="31.85546875" customWidth="1"/>
    <col min="6" max="6" width="22.85546875" customWidth="1"/>
  </cols>
  <sheetData>
    <row r="1" spans="1:6" ht="15.75" x14ac:dyDescent="0.25">
      <c r="A1" s="111" t="s">
        <v>2</v>
      </c>
      <c r="B1" s="111"/>
      <c r="C1" s="111"/>
      <c r="D1" s="111"/>
      <c r="E1" s="111"/>
      <c r="F1" s="111"/>
    </row>
    <row r="2" spans="1:6" ht="25.5" x14ac:dyDescent="0.25">
      <c r="A2" s="23"/>
      <c r="B2" s="113" t="s">
        <v>63</v>
      </c>
      <c r="C2" s="113"/>
      <c r="D2" s="24" t="s">
        <v>64</v>
      </c>
      <c r="E2" s="24"/>
      <c r="F2" s="24"/>
    </row>
    <row r="3" spans="1:6" x14ac:dyDescent="0.25">
      <c r="A3" s="24"/>
      <c r="B3" s="25" t="s">
        <v>52</v>
      </c>
      <c r="C3" s="25" t="s">
        <v>53</v>
      </c>
      <c r="D3" s="25" t="s">
        <v>54</v>
      </c>
      <c r="E3" s="25" t="s">
        <v>12</v>
      </c>
      <c r="F3" s="25" t="s">
        <v>55</v>
      </c>
    </row>
    <row r="4" spans="1:6" ht="51" x14ac:dyDescent="0.25">
      <c r="A4" s="25" t="s">
        <v>65</v>
      </c>
      <c r="B4" s="24" t="s">
        <v>66</v>
      </c>
      <c r="C4" s="24" t="s">
        <v>67</v>
      </c>
      <c r="D4" s="24" t="s">
        <v>68</v>
      </c>
      <c r="E4" s="24" t="s">
        <v>69</v>
      </c>
      <c r="F4" s="24" t="s">
        <v>70</v>
      </c>
    </row>
    <row r="5" spans="1:6" x14ac:dyDescent="0.25">
      <c r="A5" s="52">
        <v>1</v>
      </c>
      <c r="B5" s="51">
        <v>0</v>
      </c>
      <c r="C5" s="51">
        <v>2</v>
      </c>
      <c r="D5" s="52">
        <v>0</v>
      </c>
      <c r="E5" s="51">
        <v>0</v>
      </c>
      <c r="F5" s="51">
        <f>B5+C5+D5-E5</f>
        <v>2</v>
      </c>
    </row>
    <row r="6" spans="1:6" x14ac:dyDescent="0.25">
      <c r="A6" s="52">
        <v>2</v>
      </c>
      <c r="B6" s="52">
        <f>B5</f>
        <v>0</v>
      </c>
      <c r="C6" s="52">
        <f>F5</f>
        <v>2</v>
      </c>
      <c r="D6" s="52">
        <v>0</v>
      </c>
      <c r="E6" s="52">
        <v>0</v>
      </c>
      <c r="F6" s="52">
        <f>B6+C6+D6-E6</f>
        <v>2</v>
      </c>
    </row>
    <row r="7" spans="1:6" x14ac:dyDescent="0.25">
      <c r="A7" s="52">
        <v>3</v>
      </c>
      <c r="B7" s="52">
        <f>B5</f>
        <v>0</v>
      </c>
      <c r="C7" s="52">
        <f>F6</f>
        <v>2</v>
      </c>
      <c r="D7" s="52">
        <v>0</v>
      </c>
      <c r="E7" s="52">
        <v>0</v>
      </c>
      <c r="F7" s="52">
        <f>B7+C7+D7-E7</f>
        <v>2</v>
      </c>
    </row>
    <row r="8" spans="1:6" x14ac:dyDescent="0.25">
      <c r="A8" s="24" t="s">
        <v>71</v>
      </c>
      <c r="B8" s="25">
        <f>AVERAGE(B5:B7)</f>
        <v>0</v>
      </c>
      <c r="C8" s="25">
        <f>AVERAGE(C5:C7)</f>
        <v>2</v>
      </c>
      <c r="D8" s="25">
        <f t="shared" ref="D8:E8" si="0">AVERAGE(D5:D7)</f>
        <v>0</v>
      </c>
      <c r="E8" s="25">
        <f t="shared" si="0"/>
        <v>0</v>
      </c>
      <c r="F8" s="25">
        <f>AVERAGE(F5:F7)</f>
        <v>2</v>
      </c>
    </row>
    <row r="9" spans="1:6" ht="15.75" x14ac:dyDescent="0.25">
      <c r="A9" s="114" t="s">
        <v>72</v>
      </c>
      <c r="B9" s="114"/>
      <c r="C9" s="114"/>
      <c r="D9" s="114"/>
      <c r="E9" s="114"/>
      <c r="F9" s="114"/>
    </row>
  </sheetData>
  <mergeCells count="3">
    <mergeCell ref="A1:F1"/>
    <mergeCell ref="B2:C2"/>
    <mergeCell ref="A9:F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D122E-AC9C-4B5C-A4E6-C46D67D894D5}">
  <dimension ref="A1:F14"/>
  <sheetViews>
    <sheetView topLeftCell="A3" workbookViewId="0">
      <selection activeCell="G13" sqref="G13"/>
    </sheetView>
  </sheetViews>
  <sheetFormatPr defaultColWidth="13.7109375" defaultRowHeight="12.75" x14ac:dyDescent="0.2"/>
  <cols>
    <col min="1" max="1" width="19.28515625" style="22" customWidth="1"/>
    <col min="2" max="8" width="13.7109375" style="22"/>
    <col min="9" max="9" width="25.7109375" style="22" customWidth="1"/>
    <col min="10" max="11" width="13.7109375" style="22"/>
    <col min="12" max="12" width="15.7109375" style="22" customWidth="1"/>
    <col min="13" max="16384" width="13.7109375" style="22"/>
  </cols>
  <sheetData>
    <row r="1" spans="1:6" ht="15.75" x14ac:dyDescent="0.2">
      <c r="A1" s="111" t="s">
        <v>73</v>
      </c>
      <c r="B1" s="111"/>
      <c r="C1" s="111"/>
      <c r="D1" s="111"/>
      <c r="E1" s="111"/>
    </row>
    <row r="2" spans="1:6" x14ac:dyDescent="0.2">
      <c r="A2" s="25" t="s">
        <v>52</v>
      </c>
      <c r="B2" s="25" t="s">
        <v>53</v>
      </c>
      <c r="C2" s="25" t="s">
        <v>54</v>
      </c>
      <c r="D2" s="25" t="s">
        <v>12</v>
      </c>
      <c r="E2" s="25" t="s">
        <v>55</v>
      </c>
    </row>
    <row r="3" spans="1:6" ht="89.25" x14ac:dyDescent="0.2">
      <c r="A3" s="25" t="s">
        <v>74</v>
      </c>
      <c r="B3" s="25" t="s">
        <v>2</v>
      </c>
      <c r="C3" s="25" t="s">
        <v>75</v>
      </c>
      <c r="D3" s="25" t="s">
        <v>76</v>
      </c>
      <c r="E3" s="25" t="s">
        <v>77</v>
      </c>
    </row>
    <row r="4" spans="1:6" x14ac:dyDescent="0.2">
      <c r="A4" s="50" t="s">
        <v>81</v>
      </c>
      <c r="B4" s="51">
        <v>0</v>
      </c>
      <c r="C4" s="51">
        <v>0</v>
      </c>
      <c r="D4" s="52">
        <v>0</v>
      </c>
      <c r="E4" s="52">
        <v>0</v>
      </c>
    </row>
    <row r="5" spans="1:6" ht="38.25" x14ac:dyDescent="0.2">
      <c r="A5" s="50" t="s">
        <v>82</v>
      </c>
      <c r="B5" s="51">
        <v>0</v>
      </c>
      <c r="C5" s="51">
        <v>0</v>
      </c>
      <c r="D5" s="52">
        <v>0</v>
      </c>
      <c r="E5" s="52">
        <v>0</v>
      </c>
    </row>
    <row r="6" spans="1:6" ht="26.25" customHeight="1" x14ac:dyDescent="0.2">
      <c r="A6" s="50" t="s">
        <v>29</v>
      </c>
      <c r="B6" s="51">
        <v>0</v>
      </c>
      <c r="C6" s="51">
        <v>1</v>
      </c>
      <c r="D6" s="52">
        <v>0</v>
      </c>
      <c r="E6" s="52">
        <v>0</v>
      </c>
    </row>
    <row r="7" spans="1:6" ht="25.5" x14ac:dyDescent="0.2">
      <c r="A7" s="50" t="s">
        <v>28</v>
      </c>
      <c r="B7" s="51">
        <v>2</v>
      </c>
      <c r="C7" s="51">
        <v>1</v>
      </c>
      <c r="D7" s="52">
        <v>0</v>
      </c>
      <c r="E7" s="52">
        <v>2</v>
      </c>
    </row>
    <row r="8" spans="1:6" ht="25.5" x14ac:dyDescent="0.2">
      <c r="A8" s="50" t="s">
        <v>83</v>
      </c>
      <c r="B8" s="51">
        <v>2</v>
      </c>
      <c r="C8" s="51">
        <v>1</v>
      </c>
      <c r="D8" s="52">
        <v>0</v>
      </c>
      <c r="E8" s="52">
        <v>2</v>
      </c>
    </row>
    <row r="9" spans="1:6" ht="38.25" x14ac:dyDescent="0.2">
      <c r="A9" s="50" t="s">
        <v>84</v>
      </c>
      <c r="B9" s="51">
        <v>2</v>
      </c>
      <c r="C9" s="53">
        <v>0.33</v>
      </c>
      <c r="D9" s="52">
        <v>0</v>
      </c>
      <c r="E9" s="52">
        <v>0.66</v>
      </c>
    </row>
    <row r="10" spans="1:6" ht="38.25" x14ac:dyDescent="0.2">
      <c r="A10" s="50" t="s">
        <v>85</v>
      </c>
      <c r="B10" s="51">
        <v>2</v>
      </c>
      <c r="C10" s="51">
        <v>1</v>
      </c>
      <c r="D10" s="52">
        <v>0</v>
      </c>
      <c r="E10" s="52">
        <v>2</v>
      </c>
    </row>
    <row r="11" spans="1:6" ht="51" x14ac:dyDescent="0.2">
      <c r="A11" s="50" t="s">
        <v>86</v>
      </c>
      <c r="B11" s="51">
        <v>2</v>
      </c>
      <c r="C11" s="51">
        <v>4</v>
      </c>
      <c r="D11" s="52">
        <v>0</v>
      </c>
      <c r="E11" s="52">
        <v>8</v>
      </c>
    </row>
    <row r="12" spans="1:6" ht="51" x14ac:dyDescent="0.2">
      <c r="A12" s="50" t="s">
        <v>87</v>
      </c>
      <c r="B12" s="51">
        <v>2</v>
      </c>
      <c r="C12" s="51">
        <v>1</v>
      </c>
      <c r="D12" s="52">
        <v>0</v>
      </c>
      <c r="E12" s="52">
        <v>2</v>
      </c>
    </row>
    <row r="13" spans="1:6" ht="25.5" x14ac:dyDescent="0.2">
      <c r="A13" s="50" t="s">
        <v>88</v>
      </c>
      <c r="B13" s="51">
        <v>2</v>
      </c>
      <c r="C13" s="51">
        <v>1</v>
      </c>
      <c r="D13" s="52">
        <v>0</v>
      </c>
      <c r="E13" s="52">
        <v>2</v>
      </c>
      <c r="F13" s="26"/>
    </row>
    <row r="14" spans="1:6" ht="15" customHeight="1" x14ac:dyDescent="0.2">
      <c r="A14" s="24"/>
      <c r="B14" s="25"/>
      <c r="C14" s="115" t="s">
        <v>78</v>
      </c>
      <c r="D14" s="116"/>
      <c r="E14" s="1">
        <f>ROUND(SUM(E4:E13),0)</f>
        <v>19</v>
      </c>
    </row>
  </sheetData>
  <mergeCells count="2">
    <mergeCell ref="C14:D14"/>
    <mergeCell ref="A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2025-02-20T15:21:08+00:00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68052C2-A652-48CC-80B6-2617BD35C0DF}">
  <ds:schemaRefs>
    <ds:schemaRef ds:uri="http://schemas.microsoft.com/sharepoint/v3/contenttype/forms"/>
  </ds:schemaRefs>
</ds:datastoreItem>
</file>

<file path=customXml/itemProps2.xml><?xml version="1.0" encoding="utf-8"?>
<ds:datastoreItem xmlns:ds="http://schemas.openxmlformats.org/officeDocument/2006/customXml" ds:itemID="{C54EEBAD-7B7E-4F1D-BA72-2C19461619D4}"/>
</file>

<file path=customXml/itemProps3.xml><?xml version="1.0" encoding="utf-8"?>
<ds:datastoreItem xmlns:ds="http://schemas.openxmlformats.org/officeDocument/2006/customXml" ds:itemID="{B91DAC3F-7569-4DF9-A4E4-177970CDF96E}">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4d6aed1e-57d3-46e3-9aba-f706adbce63b"/>
    <ds:schemaRef ds:uri="http://schemas.microsoft.com/office/infopath/2007/PartnerControls"/>
    <ds:schemaRef ds:uri="1891fcec-84c2-4840-9468-b51a784ab0d1"/>
    <ds:schemaRef ds:uri="http://www.w3.org/XML/1998/namespace"/>
    <ds:schemaRef ds:uri="http://purl.org/dc/dcmitype/"/>
  </ds:schemaRefs>
</ds:datastoreItem>
</file>

<file path=customXml/itemProps4.xml><?xml version="1.0" encoding="utf-8"?>
<ds:datastoreItem xmlns:ds="http://schemas.openxmlformats.org/officeDocument/2006/customXml" ds:itemID="{21B82DA7-5201-4B19-B8D6-237D4E6213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Table 1</vt:lpstr>
      <vt:lpstr>Table 2</vt:lpstr>
      <vt:lpstr>Capital O&amp;M</vt:lpstr>
      <vt:lpstr>Respondents</vt:lpstr>
      <vt:lpstr>Responses</vt:lpstr>
      <vt:lpstr>'Table 2'!OLE_LINK1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2025-02-17T18:12:49Z</dcterms:created>
  <dcterms:modified xsi:type="dcterms:W3CDTF">2025-02-19T18:08:37Z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Document Type">
    <vt:lpwstr/>
  </property>
  <property fmtid="{D5CDD505-2E9C-101B-9397-08002B2CF9AE}" pid="9" name="EPA Subject">
    <vt:lpwstr/>
  </property>
</Properties>
</file>