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Maryland\Riverdale\ITD\IMC\5.7 050 PRA\ICR ACTIVE\VS CEAH (NAHMS) - Studies\VS CEAH 0269 Equine Study 2025\IMB\"/>
    </mc:Choice>
  </mc:AlternateContent>
  <xr:revisionPtr revIDLastSave="0" documentId="13_ncr:1_{B8B5E25A-926C-46B0-9BF3-2FA543705D25}" xr6:coauthVersionLast="47" xr6:coauthVersionMax="47" xr10:uidLastSave="{00000000-0000-0000-0000-000000000000}"/>
  <bookViews>
    <workbookView xWindow="28680" yWindow="-120" windowWidth="29040" windowHeight="15840" tabRatio="281" xr2:uid="{F38D79EA-36B0-400D-84E7-32D0B3AB86E3}"/>
  </bookViews>
  <sheets>
    <sheet name="APHIS 71" sheetId="1" r:id="rId1"/>
    <sheet name="Sheet1" sheetId="10" r:id="rId2"/>
    <sheet name="ESRI_MAPINFO_SHEET" sheetId="9"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40" i="1"/>
  <c r="K15" i="1"/>
  <c r="K18" i="1" l="1"/>
  <c r="L32" i="1"/>
  <c r="L19" i="1"/>
  <c r="L20" i="1"/>
  <c r="L33" i="1"/>
  <c r="L30" i="1"/>
  <c r="K29" i="1"/>
  <c r="K28" i="1"/>
  <c r="I29" i="1"/>
  <c r="J29" i="1" s="1"/>
  <c r="L29" i="1" s="1"/>
  <c r="I28" i="1"/>
  <c r="J28" i="1" s="1"/>
  <c r="L28" i="1" s="1"/>
  <c r="K27" i="1"/>
  <c r="K14" i="1"/>
  <c r="J17" i="1"/>
  <c r="L17" i="1" s="1"/>
  <c r="J16" i="1"/>
  <c r="L16" i="1" s="1"/>
  <c r="J15" i="1"/>
  <c r="L15" i="1" l="1"/>
  <c r="I40" i="1"/>
  <c r="L11" i="1" l="1"/>
  <c r="I41" i="1"/>
  <c r="K24" i="1"/>
  <c r="I31" i="1"/>
  <c r="K25" i="1"/>
  <c r="I18" i="1"/>
  <c r="I27" i="1"/>
  <c r="I14" i="1"/>
  <c r="K34" i="1"/>
  <c r="K21" i="1"/>
  <c r="K23" i="1"/>
  <c r="K38" i="1"/>
  <c r="K37" i="1"/>
  <c r="I38" i="1"/>
  <c r="I37" i="1"/>
  <c r="K39" i="1"/>
  <c r="K26" i="1"/>
  <c r="K35" i="1"/>
  <c r="K22" i="1"/>
  <c r="L5" i="1" l="1"/>
  <c r="K41" i="1"/>
  <c r="L41" i="1" s="1"/>
  <c r="K40" i="1"/>
  <c r="L40" i="1" s="1"/>
  <c r="I34" i="1"/>
  <c r="I21" i="1"/>
  <c r="J36" i="1"/>
  <c r="L36" i="1" s="1"/>
  <c r="I26" i="1"/>
  <c r="I25" i="1" l="1"/>
  <c r="J25" i="1" s="1"/>
  <c r="L25" i="1" s="1"/>
  <c r="I22" i="1"/>
  <c r="J22" i="1" s="1"/>
  <c r="L22" i="1" s="1"/>
  <c r="I23" i="1"/>
  <c r="J23" i="1" s="1"/>
  <c r="L23" i="1" s="1"/>
  <c r="I24" i="1"/>
  <c r="J24" i="1" s="1"/>
  <c r="L24" i="1" s="1"/>
  <c r="J21" i="1"/>
  <c r="L21" i="1" s="1"/>
  <c r="I39" i="1"/>
  <c r="I35" i="1" l="1"/>
  <c r="J35" i="1" s="1"/>
  <c r="L35" i="1" s="1"/>
  <c r="J18" i="1"/>
  <c r="L18" i="1" s="1"/>
  <c r="J26" i="1"/>
  <c r="L26" i="1" s="1"/>
  <c r="J34" i="1"/>
  <c r="L34" i="1" s="1"/>
  <c r="J31" i="1"/>
  <c r="L31" i="1" s="1"/>
  <c r="J37" i="1"/>
  <c r="L37" i="1" s="1"/>
  <c r="J38" i="1"/>
  <c r="L38" i="1" s="1"/>
  <c r="J39" i="1"/>
  <c r="L39" i="1" s="1"/>
  <c r="J27" i="1" l="1"/>
  <c r="L27" i="1" s="1"/>
  <c r="J14" i="1"/>
  <c r="L14" i="1" s="1"/>
  <c r="L9" i="1" l="1"/>
  <c r="L6" i="1"/>
  <c r="L8" i="1" s="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<sst xmlns="http://schemas.openxmlformats.org/spreadsheetml/2006/main" count="214" uniqueCount="77">
  <si>
    <t>OMB CONTROL NO.</t>
  </si>
  <si>
    <t>DATE PREPARED</t>
  </si>
  <si>
    <t>TITLE OF INFORMATION COLLECTION REQUEST (ICR)</t>
  </si>
  <si>
    <t>National Animal Health Monitoring System, Equine 2026 Study</t>
  </si>
  <si>
    <t>Additional line for ICR Title if title is too long.</t>
  </si>
  <si>
    <t>PART I - ICR INFORMATION, POINT OF CONTACT, FEDERAL REGISTER NOTICE INFORMATION</t>
  </si>
  <si>
    <t>DATA SUMMARY</t>
  </si>
  <si>
    <t>TYPE OF REQUEST</t>
  </si>
  <si>
    <t>ICR</t>
  </si>
  <si>
    <t>TOTAL RESPONDENTS</t>
  </si>
  <si>
    <t>POINT OF CONTACT (POC)</t>
  </si>
  <si>
    <t>TOTAL ANNUAL RESPONSES</t>
  </si>
  <si>
    <t>POC TELEPHONE NO.</t>
  </si>
  <si>
    <t>% ELECTRONIC</t>
  </si>
  <si>
    <t>RESPONSES PER RESPONDENT</t>
  </si>
  <si>
    <t>PUBLIC COMMENT DOCKET NO.</t>
  </si>
  <si>
    <t>TOTAL BURDEN HOURS</t>
  </si>
  <si>
    <t>FEDERAL REGISTER NOTICE</t>
  </si>
  <si>
    <t>HOURS PER RESPONSE</t>
  </si>
  <si>
    <t>FEDERAL REGISTER DATE</t>
  </si>
  <si>
    <t>% SMALL ENTITIES</t>
  </si>
  <si>
    <t>PART II - SUMMARY OF ACTIVITIES</t>
  </si>
  <si>
    <r>
      <t>ACTIVITY DESCRIPTION</t>
    </r>
    <r>
      <rPr>
        <vertAlign val="superscript"/>
        <sz val="11"/>
        <color theme="1"/>
        <rFont val="Calibri"/>
        <family val="2"/>
        <scheme val="minor"/>
      </rPr>
      <t>1</t>
    </r>
  </si>
  <si>
    <t>AUTHORITY (U.S.C., CFR, or MANUAL)</t>
  </si>
  <si>
    <t>FORM NO.</t>
  </si>
  <si>
    <t>FORMAT</t>
  </si>
  <si>
    <t>TYPE OF CHANGE</t>
  </si>
  <si>
    <t>TYPEOF RESPONDENT</t>
  </si>
  <si>
    <t>FIRST OCCURRENCE</t>
  </si>
  <si>
    <t>TYPE OF RESPONSE</t>
  </si>
  <si>
    <t>ESTIMATED
ANNUAL NUMBER OF RESPONDENTS
OR
RECORDKEEPERS</t>
  </si>
  <si>
    <t>ESTIMATED 
TOTAL ANNUAL
RESPONSES</t>
  </si>
  <si>
    <t>ESTIMATED HOURS
PER RESPONSE
OR
ANNUAL HOURS PER RECORDKEEPER</t>
  </si>
  <si>
    <t>ESTIMATED
TOTAL ANNUAL
BURDEN HOURS</t>
  </si>
  <si>
    <t>44 U.S.C. 35</t>
  </si>
  <si>
    <t>Paper, Info system</t>
  </si>
  <si>
    <t>D</t>
  </si>
  <si>
    <t>P</t>
  </si>
  <si>
    <t>X</t>
  </si>
  <si>
    <t>I</t>
  </si>
  <si>
    <t>Paper</t>
  </si>
  <si>
    <t>Info system</t>
  </si>
  <si>
    <t>S</t>
  </si>
  <si>
    <t>0579-0269</t>
  </si>
  <si>
    <t>Kay Jarred</t>
  </si>
  <si>
    <t>APHIS-2024-0065</t>
  </si>
  <si>
    <r>
      <rPr>
        <vertAlign val="superscript"/>
        <sz val="12"/>
        <color theme="1"/>
        <rFont val="Calibri"/>
        <family val="2"/>
        <scheme val="minor"/>
      </rPr>
      <t>1</t>
    </r>
    <r>
      <rPr>
        <sz val="12"/>
        <color theme="1"/>
        <rFont val="Calibri"/>
        <family val="2"/>
        <scheme val="minor"/>
      </rPr>
      <t>Rows 14-26, highlighted green, correspond to anticipated responses. Rows 27-39 are anticipated nonresponses. Rows 40-41 include burden for State and University partners anticipated to help in data collection for the APHIS phase of the study.
The"TOTAL RESPONDENTS" calculation in cell L5 includes the first occurrence of both respondents and nonrespondents.</t>
    </r>
  </si>
  <si>
    <t>Phase I Mailing A - General Equine Health and Management Questionnaire - Presurvey Letter/Study Information Materials - Response</t>
  </si>
  <si>
    <t>Phase I Mailing A - General Equine Health and Management Questionnaire - Presurvey Letter/Study Information Materials - Nonresponse</t>
  </si>
  <si>
    <t>Phase I Mailing B - General Equine Health and Management Questionnaire - Survey Letter/Study Information Materials/Questionnaire - Response</t>
  </si>
  <si>
    <t>Phase I Mailing C - General Equine Health and Management Questionnaire - Reminder Postcard - Response</t>
  </si>
  <si>
    <t>Phase I Mailing D - General Equine Health and Management Questionnaire - Thank you Note to Respondents - Response</t>
  </si>
  <si>
    <t>Phase I Mailing B - General Equine Health and Management Questionnaire - Survey Letter/Study Information Materials/Questionnaire - Nonresponse</t>
  </si>
  <si>
    <t>Phase I Mailing C - General Equine Health and Management Questionnaire - Reminder Postcard - Nonresponse</t>
  </si>
  <si>
    <t>Phase I Mailing D - General Equine Health and Management Questionnaire - Thank you Note to Respondents - Nonresponse</t>
  </si>
  <si>
    <t>Phase II Mailing A - Event Questionnaire - Survey Letter/Study Information Materials/Questionnaire- Response</t>
  </si>
  <si>
    <t>Phase II Mailing B - Event Questionnaire - Reminder Postcard for Hard to Reach Events - Response</t>
  </si>
  <si>
    <t>Phase II Mailing C - Event Questionnaire - Thank you card/site visit summary/Study Information Materials - Response</t>
  </si>
  <si>
    <t>Phase II Mailing D - Event Study Feedback Survey - Response</t>
  </si>
  <si>
    <t>Phase II Event Representative Informed Consent - Response</t>
  </si>
  <si>
    <t>Phase II Owner/Trainer/Agent Informed Consent - Response</t>
  </si>
  <si>
    <t>Phase II Event Facility Checklist - Response</t>
  </si>
  <si>
    <t>Phase II Event Study Fecal Sample Collection Record - Response</t>
  </si>
  <si>
    <t>Phase II Event Study Respiratory Pathogens Collection Record - Response</t>
  </si>
  <si>
    <t>Phase II Mailing A  - Event Questionnaire - Survey Letter/Study Information Materials/Questionnaire- Nonresponse</t>
  </si>
  <si>
    <t>Phase II Mailing B - Event Questionnaire - Reminder Postcard for Hard to Reach Events - Nonresponse</t>
  </si>
  <si>
    <t>Phase II Mailing C - Event Questionnaire - Thank you card/site visit summary/Study Information Materials - Nonresponse</t>
  </si>
  <si>
    <t>Phase II Mailing D - Event Study Feedback Survey - Nonresponse</t>
  </si>
  <si>
    <t>Phase II Event Representative Informed Consent - Nonresponse</t>
  </si>
  <si>
    <t>Phase II Owner/Trainer/Agent Informed Consent - Nonresponse</t>
  </si>
  <si>
    <t>Phase II Event Facility Checklist - Nonresponse</t>
  </si>
  <si>
    <t>Phase II Event Study Fecal Sample Collection Record - Nonresponse</t>
  </si>
  <si>
    <t>Phase II Event Study Respiratory Pathogens Collection Record - Nonresponse</t>
  </si>
  <si>
    <t>Phase II Event Study Data Collection by State Partners - Response</t>
  </si>
  <si>
    <t>Phase II Event Study Data Collection by State Partners - Nonresponse</t>
  </si>
  <si>
    <t>90 FR 10471</t>
  </si>
  <si>
    <t>(301) 851-3540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</si>
</sst>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0.00000"/>
    <numFmt numFmtId="166"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u/>
      <sz val="11"/>
      <color theme="10"/>
      <name val="Calibri"/>
      <family val="2"/>
      <scheme val="minor"/>
    </font>
    <font>
      <vertAlign val="superscript"/>
      <sz val="11"/>
      <color theme="1"/>
      <name val="Calibri"/>
      <family val="2"/>
      <scheme val="minor"/>
    </font>
    <font>
      <vertAlign val="superscript"/>
      <sz val="12"/>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rgb="FF000000"/>
      </top>
      <bottom/>
      <diagonal/>
    </border>
    <border>
      <left/>
      <right style="medium">
        <color rgb="FF000000"/>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xf numFmtId="0" fontId="15" fillId="0" borderId="0" applyNumberFormat="0" applyFill="0" applyBorder="0" applyAlignment="0" applyProtection="0"/>
  </cellStyleXfs>
  <cellXfs count="91">
    <xf numFmtId="0" fontId="0" fillId="0" borderId="0" xfId="0"/>
    <xf numFmtId="0" fontId="13" fillId="0" borderId="0" xfId="0" applyFont="1" applyAlignment="1">
      <alignment vertical="center"/>
    </xf>
    <xf numFmtId="0" fontId="10" fillId="0" borderId="8" xfId="0" applyFont="1" applyBorder="1" applyAlignment="1">
      <alignment horizontal="right" vertical="center"/>
    </xf>
    <xf numFmtId="0" fontId="9" fillId="0" borderId="3" xfId="0" applyFont="1" applyBorder="1"/>
    <xf numFmtId="0" fontId="10" fillId="0" borderId="9" xfId="0" applyFont="1" applyBorder="1" applyAlignment="1">
      <alignment horizontal="right" vertical="center"/>
    </xf>
    <xf numFmtId="0" fontId="11" fillId="0" borderId="15" xfId="0" applyFont="1" applyBorder="1" applyAlignment="1">
      <alignment horizontal="left" vertical="center"/>
    </xf>
    <xf numFmtId="14" fontId="11" fillId="0" borderId="18" xfId="0" applyNumberFormat="1" applyFont="1" applyBorder="1" applyAlignment="1">
      <alignment horizontal="left" vertical="center"/>
    </xf>
    <xf numFmtId="0" fontId="9" fillId="0" borderId="9" xfId="0" applyFont="1" applyBorder="1" applyAlignment="1">
      <alignment vertical="center"/>
    </xf>
    <xf numFmtId="0" fontId="4" fillId="0" borderId="22" xfId="0" applyFont="1" applyBorder="1" applyAlignment="1">
      <alignment vertical="center"/>
    </xf>
    <xf numFmtId="0" fontId="9" fillId="0" borderId="9" xfId="0" applyFont="1" applyBorder="1" applyAlignment="1">
      <alignment horizontal="center" vertical="center"/>
    </xf>
    <xf numFmtId="0" fontId="0" fillId="0" borderId="0" xfId="0" applyAlignment="1">
      <alignment vertical="center"/>
    </xf>
    <xf numFmtId="0" fontId="10" fillId="0" borderId="2" xfId="0" applyFont="1" applyBorder="1" applyAlignment="1">
      <alignment horizontal="left" vertical="center" wrapText="1"/>
    </xf>
    <xf numFmtId="0" fontId="9" fillId="0" borderId="3" xfId="0" applyFont="1" applyBorder="1" applyAlignment="1">
      <alignment horizontal="left" vertical="center"/>
    </xf>
    <xf numFmtId="0" fontId="4" fillId="0" borderId="0" xfId="0" applyFont="1" applyAlignment="1">
      <alignment vertical="center"/>
    </xf>
    <xf numFmtId="0" fontId="9" fillId="0" borderId="3" xfId="0" applyFont="1" applyBorder="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left" vertical="center"/>
    </xf>
    <xf numFmtId="0" fontId="12" fillId="0" borderId="5" xfId="0" applyFont="1" applyBorder="1" applyAlignment="1">
      <alignment horizontal="left" vertical="center" wrapText="1"/>
    </xf>
    <xf numFmtId="0" fontId="9" fillId="0" borderId="6" xfId="0" applyFont="1" applyBorder="1" applyAlignment="1">
      <alignment vertical="center"/>
    </xf>
    <xf numFmtId="0" fontId="10" fillId="0" borderId="6" xfId="0" applyFont="1" applyBorder="1" applyAlignment="1">
      <alignment horizontal="right" vertical="center"/>
    </xf>
    <xf numFmtId="0" fontId="9" fillId="0" borderId="6" xfId="0" applyFont="1" applyBorder="1" applyAlignment="1">
      <alignment horizontal="center" vertical="center"/>
    </xf>
    <xf numFmtId="14" fontId="9" fillId="0" borderId="7" xfId="0" applyNumberFormat="1"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vertical="center"/>
    </xf>
    <xf numFmtId="0" fontId="10" fillId="0" borderId="9" xfId="0" applyFont="1" applyBorder="1" applyAlignment="1">
      <alignment vertical="center"/>
    </xf>
    <xf numFmtId="0" fontId="9" fillId="0" borderId="8" xfId="0" applyFont="1" applyBorder="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horizontal="center" vertical="center"/>
    </xf>
    <xf numFmtId="0" fontId="2" fillId="0" borderId="11" xfId="0" applyFont="1" applyBorder="1" applyAlignment="1">
      <alignment horizontal="right" vertical="center"/>
    </xf>
    <xf numFmtId="0" fontId="9" fillId="0" borderId="12" xfId="0" applyFont="1" applyBorder="1" applyAlignment="1">
      <alignment horizontal="left" vertical="center"/>
    </xf>
    <xf numFmtId="0" fontId="0" fillId="0" borderId="12"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1" xfId="0" applyBorder="1" applyAlignment="1">
      <alignment horizontal="center" vertical="center"/>
    </xf>
    <xf numFmtId="0" fontId="2" fillId="0" borderId="12" xfId="0" applyFont="1" applyBorder="1" applyAlignment="1">
      <alignment horizontal="right" vertical="center"/>
    </xf>
    <xf numFmtId="3" fontId="0" fillId="0" borderId="13" xfId="0" applyNumberFormat="1" applyBorder="1" applyAlignment="1">
      <alignment horizontal="center" vertical="center"/>
    </xf>
    <xf numFmtId="0" fontId="2" fillId="0" borderId="0" xfId="0" applyFont="1" applyAlignment="1">
      <alignment vertical="center"/>
    </xf>
    <xf numFmtId="0" fontId="2" fillId="0" borderId="14" xfId="0" applyFont="1" applyBorder="1" applyAlignment="1">
      <alignment horizontal="right" vertical="center"/>
    </xf>
    <xf numFmtId="0" fontId="9" fillId="0" borderId="15" xfId="0" applyFont="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4" xfId="0" applyBorder="1" applyAlignment="1">
      <alignment horizontal="center" vertical="center"/>
    </xf>
    <xf numFmtId="0" fontId="2" fillId="0" borderId="15" xfId="0" applyFont="1" applyBorder="1" applyAlignment="1">
      <alignment horizontal="right" vertical="center"/>
    </xf>
    <xf numFmtId="3" fontId="0" fillId="0" borderId="16" xfId="0" applyNumberFormat="1" applyBorder="1" applyAlignment="1">
      <alignment horizontal="center" vertical="center"/>
    </xf>
    <xf numFmtId="9" fontId="0" fillId="0" borderId="16" xfId="1" applyFont="1" applyFill="1" applyBorder="1" applyAlignment="1">
      <alignment horizontal="center" vertical="center"/>
    </xf>
    <xf numFmtId="1" fontId="0" fillId="0" borderId="16" xfId="0" applyNumberFormat="1" applyBorder="1" applyAlignment="1">
      <alignment horizontal="center" vertical="center"/>
    </xf>
    <xf numFmtId="165" fontId="0" fillId="0" borderId="16" xfId="0" applyNumberFormat="1" applyBorder="1" applyAlignment="1">
      <alignment horizontal="center" vertical="center"/>
    </xf>
    <xf numFmtId="0" fontId="2" fillId="0" borderId="17" xfId="0" applyFont="1" applyBorder="1" applyAlignment="1">
      <alignment horizontal="right" vertical="center"/>
    </xf>
    <xf numFmtId="0" fontId="0" fillId="0" borderId="18" xfId="0" applyBorder="1" applyAlignment="1">
      <alignment vertical="center"/>
    </xf>
    <xf numFmtId="0" fontId="0" fillId="0" borderId="19" xfId="0"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right" vertical="center"/>
    </xf>
    <xf numFmtId="9" fontId="0" fillId="0" borderId="19" xfId="1" applyFont="1" applyFill="1" applyBorder="1" applyAlignment="1">
      <alignment horizontal="center" vertical="center"/>
    </xf>
    <xf numFmtId="0" fontId="10" fillId="0" borderId="2" xfId="0" applyFont="1" applyBorder="1"/>
    <xf numFmtId="0" fontId="9" fillId="0" borderId="3" xfId="0" applyFont="1" applyBorder="1" applyAlignment="1">
      <alignment horizontal="center"/>
    </xf>
    <xf numFmtId="0" fontId="9" fillId="0" borderId="4"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textRotation="90" wrapText="1"/>
    </xf>
    <xf numFmtId="0" fontId="14" fillId="0" borderId="1" xfId="0" applyFont="1" applyBorder="1" applyAlignment="1">
      <alignment horizontal="center" wrapText="1"/>
    </xf>
    <xf numFmtId="0" fontId="2" fillId="0" borderId="0" xfId="0" applyFont="1" applyAlignment="1">
      <alignment horizontal="center" wrapText="1"/>
    </xf>
    <xf numFmtId="0" fontId="4" fillId="0" borderId="0" xfId="0" applyFont="1" applyAlignment="1">
      <alignment wrapText="1"/>
    </xf>
    <xf numFmtId="0" fontId="4" fillId="0" borderId="0" xfId="0" applyFont="1"/>
    <xf numFmtId="0" fontId="4" fillId="0" borderId="0" xfId="0" applyFont="1" applyAlignment="1">
      <alignment horizontal="center"/>
    </xf>
    <xf numFmtId="166" fontId="0" fillId="0" borderId="16" xfId="0" applyNumberFormat="1" applyBorder="1" applyAlignment="1">
      <alignment horizontal="center" vertical="center"/>
    </xf>
    <xf numFmtId="0" fontId="15" fillId="0" borderId="0" xfId="8" applyAlignment="1">
      <alignment vertical="center"/>
    </xf>
    <xf numFmtId="14" fontId="9" fillId="0" borderId="23" xfId="0" applyNumberFormat="1" applyFont="1" applyBorder="1" applyAlignment="1">
      <alignment horizontal="center" vertical="center"/>
    </xf>
    <xf numFmtId="14" fontId="11" fillId="0" borderId="15" xfId="0" applyNumberFormat="1" applyFont="1" applyBorder="1" applyAlignment="1">
      <alignment horizontal="left" vertical="center"/>
    </xf>
    <xf numFmtId="0" fontId="1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3"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xf>
    <xf numFmtId="164" fontId="9" fillId="3" borderId="1" xfId="0" applyNumberFormat="1" applyFont="1" applyFill="1" applyBorder="1" applyAlignment="1">
      <alignment horizontal="center" vertical="center"/>
    </xf>
    <xf numFmtId="166" fontId="9" fillId="3" borderId="1" xfId="0" applyNumberFormat="1" applyFont="1" applyFill="1" applyBorder="1" applyAlignment="1">
      <alignment horizontal="center" vertical="center"/>
    </xf>
    <xf numFmtId="0" fontId="0" fillId="4" borderId="0" xfId="0" applyFill="1"/>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3" fontId="9" fillId="5" borderId="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166" fontId="9" fillId="5" borderId="1" xfId="0" applyNumberFormat="1" applyFont="1" applyFill="1" applyBorder="1" applyAlignment="1">
      <alignment horizontal="center" vertical="center"/>
    </xf>
    <xf numFmtId="0" fontId="9" fillId="6" borderId="9" xfId="0" applyFont="1" applyFill="1" applyBorder="1" applyAlignment="1">
      <alignment horizontal="left" vertical="center"/>
    </xf>
    <xf numFmtId="0" fontId="11" fillId="6" borderId="15" xfId="0" applyFont="1" applyFill="1" applyBorder="1" applyAlignment="1">
      <alignment horizontal="left" vertical="center"/>
    </xf>
    <xf numFmtId="164" fontId="9" fillId="0" borderId="0" xfId="0" applyNumberFormat="1" applyFont="1" applyAlignment="1">
      <alignment horizontal="center" vertical="center"/>
    </xf>
    <xf numFmtId="166" fontId="0" fillId="0" borderId="0" xfId="0" applyNumberFormat="1"/>
    <xf numFmtId="0" fontId="9" fillId="0" borderId="0" xfId="0" applyFont="1" applyAlignment="1">
      <alignment horizontal="left" vertical="top" wrapText="1"/>
    </xf>
  </cellXfs>
  <cellStyles count="9">
    <cellStyle name="Comma 2" xfId="4" xr:uid="{99993171-F6D7-494B-9306-21B02AFE41FC}"/>
    <cellStyle name="Currency 2" xfId="6"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5"/>
  <sheetViews>
    <sheetView tabSelected="1" zoomScale="90" zoomScaleNormal="90" zoomScaleSheetLayoutView="100" workbookViewId="0">
      <selection activeCell="L1" sqref="L1"/>
    </sheetView>
  </sheetViews>
  <sheetFormatPr defaultRowHeight="14.5" x14ac:dyDescent="0.35"/>
  <cols>
    <col min="1" max="1" width="82.7265625" style="61" customWidth="1"/>
    <col min="2" max="2" width="32.81640625" style="61" customWidth="1"/>
    <col min="3" max="3" width="9.54296875" style="60" bestFit="1" customWidth="1"/>
    <col min="4" max="4" width="22.453125" style="60" customWidth="1"/>
    <col min="5" max="5" width="5.81640625" style="61" customWidth="1"/>
    <col min="6" max="6" width="9.1796875" style="61" customWidth="1"/>
    <col min="7" max="8" width="5.81640625" style="61" customWidth="1"/>
    <col min="9" max="9" width="18.26953125" style="62" customWidth="1"/>
    <col min="10" max="10" width="14.7265625" style="62" bestFit="1" customWidth="1"/>
    <col min="11" max="11" width="26.1796875" style="62" bestFit="1" customWidth="1"/>
    <col min="12" max="12" width="14.453125" style="62" bestFit="1" customWidth="1"/>
  </cols>
  <sheetData>
    <row r="1" spans="1:14" s="10" customFormat="1" ht="20.149999999999999" customHeight="1" x14ac:dyDescent="0.35">
      <c r="A1" s="2" t="s">
        <v>0</v>
      </c>
      <c r="B1" s="86" t="s">
        <v>43</v>
      </c>
      <c r="C1" s="7"/>
      <c r="D1" s="7"/>
      <c r="E1" s="7"/>
      <c r="F1" s="7"/>
      <c r="G1" s="8"/>
      <c r="H1" s="8"/>
      <c r="I1" s="9"/>
      <c r="J1" s="9"/>
      <c r="K1" s="4" t="s">
        <v>1</v>
      </c>
      <c r="L1" s="65">
        <v>46008</v>
      </c>
    </row>
    <row r="2" spans="1:14" s="10" customFormat="1" ht="15.5" x14ac:dyDescent="0.35">
      <c r="A2" s="11" t="s">
        <v>2</v>
      </c>
      <c r="B2" s="12" t="s">
        <v>3</v>
      </c>
      <c r="C2" s="13"/>
      <c r="D2" s="14"/>
      <c r="E2" s="14"/>
      <c r="F2" s="14"/>
      <c r="G2" s="14"/>
      <c r="H2" s="14"/>
      <c r="I2" s="15"/>
      <c r="J2" s="12"/>
      <c r="K2" s="15"/>
      <c r="L2" s="16"/>
      <c r="N2" s="1"/>
    </row>
    <row r="3" spans="1:14" s="10" customFormat="1" ht="20.149999999999999" customHeight="1" thickBot="1" x14ac:dyDescent="0.4">
      <c r="A3" s="17" t="s">
        <v>4</v>
      </c>
      <c r="B3" s="18"/>
      <c r="C3" s="18"/>
      <c r="D3" s="18"/>
      <c r="E3" s="18"/>
      <c r="F3" s="18"/>
      <c r="G3" s="18"/>
      <c r="H3" s="18"/>
      <c r="I3" s="19"/>
      <c r="J3" s="20"/>
      <c r="K3" s="19"/>
      <c r="L3" s="21"/>
    </row>
    <row r="4" spans="1:14" s="10" customFormat="1" ht="20.149999999999999" customHeight="1" thickBot="1" x14ac:dyDescent="0.4">
      <c r="A4" s="22" t="s">
        <v>5</v>
      </c>
      <c r="B4" s="23"/>
      <c r="C4" s="23"/>
      <c r="D4" s="23"/>
      <c r="E4" s="24"/>
      <c r="F4" s="24"/>
      <c r="G4" s="24"/>
      <c r="H4" s="24"/>
      <c r="I4" s="24"/>
      <c r="J4" s="25"/>
      <c r="K4" s="26" t="s">
        <v>6</v>
      </c>
      <c r="L4" s="27"/>
      <c r="N4" s="1"/>
    </row>
    <row r="5" spans="1:14" s="10" customFormat="1" ht="20.149999999999999" customHeight="1" x14ac:dyDescent="0.35">
      <c r="A5" s="28" t="s">
        <v>7</v>
      </c>
      <c r="B5" s="29" t="s">
        <v>8</v>
      </c>
      <c r="C5" s="30"/>
      <c r="D5" s="30"/>
      <c r="E5" s="30"/>
      <c r="F5" s="31"/>
      <c r="G5" s="31"/>
      <c r="H5" s="31"/>
      <c r="I5" s="32"/>
      <c r="J5" s="33"/>
      <c r="K5" s="34" t="s">
        <v>9</v>
      </c>
      <c r="L5" s="35">
        <f>SUM(I14,I18,I27,I31,I40:I40)</f>
        <v>6545</v>
      </c>
      <c r="N5" s="36"/>
    </row>
    <row r="6" spans="1:14" s="10" customFormat="1" ht="20.149999999999999" customHeight="1" x14ac:dyDescent="0.35">
      <c r="A6" s="37" t="s">
        <v>10</v>
      </c>
      <c r="B6" s="38" t="s">
        <v>44</v>
      </c>
      <c r="C6" s="39"/>
      <c r="D6" s="39"/>
      <c r="E6" s="39"/>
      <c r="F6" s="39"/>
      <c r="G6" s="39"/>
      <c r="H6" s="39"/>
      <c r="I6" s="40"/>
      <c r="J6" s="41"/>
      <c r="K6" s="42" t="s">
        <v>11</v>
      </c>
      <c r="L6" s="43">
        <f>SUM(J14:J41)</f>
        <v>29390</v>
      </c>
    </row>
    <row r="7" spans="1:14" s="10" customFormat="1" ht="20.149999999999999" customHeight="1" x14ac:dyDescent="0.35">
      <c r="A7" s="37" t="s">
        <v>12</v>
      </c>
      <c r="B7" s="38" t="s">
        <v>76</v>
      </c>
      <c r="C7" s="39"/>
      <c r="D7" s="39"/>
      <c r="E7" s="39"/>
      <c r="F7" s="39"/>
      <c r="G7" s="39"/>
      <c r="H7" s="39"/>
      <c r="I7" s="40"/>
      <c r="J7" s="41"/>
      <c r="K7" s="42" t="s">
        <v>13</v>
      </c>
      <c r="L7" s="44">
        <v>0.75</v>
      </c>
    </row>
    <row r="8" spans="1:14" s="10" customFormat="1" ht="20.149999999999999" customHeight="1" x14ac:dyDescent="0.35">
      <c r="A8" s="37" t="s">
        <v>1</v>
      </c>
      <c r="B8" s="66">
        <v>45930</v>
      </c>
      <c r="C8" s="39"/>
      <c r="D8" s="39"/>
      <c r="E8" s="39"/>
      <c r="F8" s="39"/>
      <c r="G8" s="39"/>
      <c r="H8" s="39"/>
      <c r="I8" s="40"/>
      <c r="J8" s="41"/>
      <c r="K8" s="42" t="s">
        <v>14</v>
      </c>
      <c r="L8" s="45">
        <f>ROUNDUP(L6/L5,0)</f>
        <v>5</v>
      </c>
    </row>
    <row r="9" spans="1:14" s="10" customFormat="1" ht="20.149999999999999" customHeight="1" x14ac:dyDescent="0.35">
      <c r="A9" s="37" t="s">
        <v>15</v>
      </c>
      <c r="B9" s="5" t="s">
        <v>45</v>
      </c>
      <c r="C9" s="39"/>
      <c r="D9" s="39"/>
      <c r="E9" s="39"/>
      <c r="F9" s="39"/>
      <c r="G9" s="39"/>
      <c r="H9" s="39"/>
      <c r="I9" s="40"/>
      <c r="J9" s="41"/>
      <c r="K9" s="42" t="s">
        <v>16</v>
      </c>
      <c r="L9" s="63">
        <f>SUM(L14:L41)</f>
        <v>10225</v>
      </c>
    </row>
    <row r="10" spans="1:14" s="10" customFormat="1" ht="20.149999999999999" customHeight="1" x14ac:dyDescent="0.35">
      <c r="A10" s="37" t="s">
        <v>17</v>
      </c>
      <c r="B10" s="87" t="s">
        <v>75</v>
      </c>
      <c r="C10" s="39"/>
      <c r="D10" s="39"/>
      <c r="E10" s="39"/>
      <c r="F10" s="39"/>
      <c r="G10" s="39"/>
      <c r="H10" s="39"/>
      <c r="I10" s="40"/>
      <c r="J10" s="41"/>
      <c r="K10" s="42" t="s">
        <v>18</v>
      </c>
      <c r="L10" s="46">
        <f>L9/L6</f>
        <v>0.34790745151412045</v>
      </c>
    </row>
    <row r="11" spans="1:14" s="10" customFormat="1" ht="20.149999999999999" customHeight="1" thickBot="1" x14ac:dyDescent="0.4">
      <c r="A11" s="47" t="s">
        <v>19</v>
      </c>
      <c r="B11" s="6">
        <v>45712</v>
      </c>
      <c r="C11" s="48"/>
      <c r="D11" s="48"/>
      <c r="E11" s="48"/>
      <c r="F11" s="48"/>
      <c r="G11" s="48"/>
      <c r="H11" s="48"/>
      <c r="I11" s="49"/>
      <c r="J11" s="50"/>
      <c r="K11" s="51" t="s">
        <v>20</v>
      </c>
      <c r="L11" s="52">
        <f>(0.95*3600+0.25*2833)/(3600+2833)</f>
        <v>0.64173014145810658</v>
      </c>
    </row>
    <row r="12" spans="1:14" ht="20.149999999999999" customHeight="1" x14ac:dyDescent="0.35">
      <c r="A12" s="53" t="s">
        <v>21</v>
      </c>
      <c r="B12" s="3"/>
      <c r="C12" s="3"/>
      <c r="D12" s="3"/>
      <c r="E12" s="3"/>
      <c r="F12" s="3"/>
      <c r="G12" s="3"/>
      <c r="H12" s="3"/>
      <c r="I12" s="54"/>
      <c r="J12" s="54"/>
      <c r="K12" s="54"/>
      <c r="L12" s="55"/>
    </row>
    <row r="13" spans="1:14" ht="122.25" customHeight="1" x14ac:dyDescent="0.35">
      <c r="A13" s="56" t="s">
        <v>22</v>
      </c>
      <c r="B13" s="56" t="s">
        <v>23</v>
      </c>
      <c r="C13" s="56" t="s">
        <v>24</v>
      </c>
      <c r="D13" s="56" t="s">
        <v>25</v>
      </c>
      <c r="E13" s="57" t="s">
        <v>26</v>
      </c>
      <c r="F13" s="57" t="s">
        <v>27</v>
      </c>
      <c r="G13" s="57" t="s">
        <v>28</v>
      </c>
      <c r="H13" s="57" t="s">
        <v>29</v>
      </c>
      <c r="I13" s="58" t="s">
        <v>30</v>
      </c>
      <c r="J13" s="56" t="s">
        <v>31</v>
      </c>
      <c r="K13" s="58" t="s">
        <v>32</v>
      </c>
      <c r="L13" s="56" t="s">
        <v>33</v>
      </c>
      <c r="M13" s="59"/>
    </row>
    <row r="14" spans="1:14" ht="30" customHeight="1" x14ac:dyDescent="0.35">
      <c r="A14" s="67" t="s">
        <v>47</v>
      </c>
      <c r="B14" s="68" t="s">
        <v>34</v>
      </c>
      <c r="C14" s="69"/>
      <c r="D14" s="69" t="s">
        <v>35</v>
      </c>
      <c r="E14" s="69" t="s">
        <v>36</v>
      </c>
      <c r="F14" s="69" t="s">
        <v>37</v>
      </c>
      <c r="G14" s="69" t="s">
        <v>38</v>
      </c>
      <c r="H14" s="69" t="s">
        <v>39</v>
      </c>
      <c r="I14" s="70">
        <f>ROUND(3600*0.3,0)</f>
        <v>1080</v>
      </c>
      <c r="J14" s="70">
        <f t="shared" ref="J14:J39" si="0">I14</f>
        <v>1080</v>
      </c>
      <c r="K14" s="71">
        <f>8/60</f>
        <v>0.13333333333333333</v>
      </c>
      <c r="L14" s="72">
        <f t="shared" ref="L14:L41" si="1">_xlfn.CEILING.MATH(J14*K14,1)</f>
        <v>144</v>
      </c>
    </row>
    <row r="15" spans="1:14" ht="30" customHeight="1" x14ac:dyDescent="0.35">
      <c r="A15" s="67" t="s">
        <v>49</v>
      </c>
      <c r="B15" s="68" t="s">
        <v>34</v>
      </c>
      <c r="C15" s="69"/>
      <c r="D15" s="69" t="s">
        <v>35</v>
      </c>
      <c r="E15" s="69" t="s">
        <v>36</v>
      </c>
      <c r="F15" s="69" t="s">
        <v>37</v>
      </c>
      <c r="G15" s="69"/>
      <c r="H15" s="69" t="s">
        <v>39</v>
      </c>
      <c r="I15" s="70">
        <v>1080</v>
      </c>
      <c r="J15" s="70">
        <f t="shared" si="0"/>
        <v>1080</v>
      </c>
      <c r="K15" s="71">
        <f>65/60</f>
        <v>1.0833333333333333</v>
      </c>
      <c r="L15" s="72">
        <f t="shared" si="1"/>
        <v>1170</v>
      </c>
    </row>
    <row r="16" spans="1:14" ht="30" customHeight="1" x14ac:dyDescent="0.35">
      <c r="A16" s="67" t="s">
        <v>50</v>
      </c>
      <c r="B16" s="68" t="s">
        <v>34</v>
      </c>
      <c r="C16" s="69"/>
      <c r="D16" s="69" t="s">
        <v>35</v>
      </c>
      <c r="E16" s="69" t="s">
        <v>36</v>
      </c>
      <c r="F16" s="69" t="s">
        <v>37</v>
      </c>
      <c r="G16" s="69"/>
      <c r="H16" s="69" t="s">
        <v>39</v>
      </c>
      <c r="I16" s="70">
        <v>1080</v>
      </c>
      <c r="J16" s="70">
        <f t="shared" si="0"/>
        <v>1080</v>
      </c>
      <c r="K16" s="71">
        <v>1.6666666666666666E-2</v>
      </c>
      <c r="L16" s="72">
        <f t="shared" si="1"/>
        <v>18</v>
      </c>
    </row>
    <row r="17" spans="1:14" ht="30" customHeight="1" x14ac:dyDescent="0.35">
      <c r="A17" s="67" t="s">
        <v>51</v>
      </c>
      <c r="B17" s="68" t="s">
        <v>34</v>
      </c>
      <c r="C17" s="69"/>
      <c r="D17" s="69" t="s">
        <v>40</v>
      </c>
      <c r="E17" s="69" t="s">
        <v>36</v>
      </c>
      <c r="F17" s="69" t="s">
        <v>37</v>
      </c>
      <c r="G17" s="69"/>
      <c r="H17" s="69" t="s">
        <v>39</v>
      </c>
      <c r="I17" s="70">
        <v>1080</v>
      </c>
      <c r="J17" s="70">
        <f t="shared" si="0"/>
        <v>1080</v>
      </c>
      <c r="K17" s="71">
        <v>1.6666666666666666E-2</v>
      </c>
      <c r="L17" s="72">
        <f t="shared" si="1"/>
        <v>18</v>
      </c>
    </row>
    <row r="18" spans="1:14" ht="30" customHeight="1" x14ac:dyDescent="0.35">
      <c r="A18" s="67" t="s">
        <v>55</v>
      </c>
      <c r="B18" s="68" t="s">
        <v>34</v>
      </c>
      <c r="C18" s="69"/>
      <c r="D18" s="69" t="s">
        <v>35</v>
      </c>
      <c r="E18" s="69" t="s">
        <v>36</v>
      </c>
      <c r="F18" s="69" t="s">
        <v>37</v>
      </c>
      <c r="G18" s="69" t="s">
        <v>38</v>
      </c>
      <c r="H18" s="69" t="s">
        <v>39</v>
      </c>
      <c r="I18" s="70">
        <f>_xlfn.CEILING.MATH(2833*0.3)</f>
        <v>850</v>
      </c>
      <c r="J18" s="70">
        <f>I18</f>
        <v>850</v>
      </c>
      <c r="K18" s="71">
        <f>30/60</f>
        <v>0.5</v>
      </c>
      <c r="L18" s="72">
        <f t="shared" si="1"/>
        <v>425</v>
      </c>
      <c r="N18" s="89"/>
    </row>
    <row r="19" spans="1:14" ht="30" customHeight="1" x14ac:dyDescent="0.35">
      <c r="A19" s="67" t="s">
        <v>56</v>
      </c>
      <c r="B19" s="68" t="s">
        <v>34</v>
      </c>
      <c r="C19" s="69"/>
      <c r="D19" s="69" t="s">
        <v>35</v>
      </c>
      <c r="E19" s="69" t="s">
        <v>36</v>
      </c>
      <c r="F19" s="69" t="s">
        <v>37</v>
      </c>
      <c r="G19" s="69"/>
      <c r="H19" s="69" t="s">
        <v>39</v>
      </c>
      <c r="I19" s="70">
        <v>850</v>
      </c>
      <c r="J19" s="70">
        <v>850</v>
      </c>
      <c r="K19" s="71">
        <v>1.6666666666666666E-2</v>
      </c>
      <c r="L19" s="72">
        <f t="shared" si="1"/>
        <v>15</v>
      </c>
    </row>
    <row r="20" spans="1:14" ht="30" customHeight="1" x14ac:dyDescent="0.35">
      <c r="A20" s="67" t="s">
        <v>57</v>
      </c>
      <c r="B20" s="68" t="s">
        <v>34</v>
      </c>
      <c r="C20" s="69"/>
      <c r="D20" s="69" t="s">
        <v>35</v>
      </c>
      <c r="E20" s="69" t="s">
        <v>36</v>
      </c>
      <c r="F20" s="69" t="s">
        <v>37</v>
      </c>
      <c r="G20" s="69"/>
      <c r="H20" s="69" t="s">
        <v>39</v>
      </c>
      <c r="I20" s="70">
        <v>850</v>
      </c>
      <c r="J20" s="70">
        <v>850</v>
      </c>
      <c r="K20" s="71">
        <v>8.3333333333333329E-2</v>
      </c>
      <c r="L20" s="72">
        <f t="shared" si="1"/>
        <v>71</v>
      </c>
    </row>
    <row r="21" spans="1:14" ht="30" customHeight="1" x14ac:dyDescent="0.35">
      <c r="A21" s="67" t="s">
        <v>59</v>
      </c>
      <c r="B21" s="68" t="s">
        <v>34</v>
      </c>
      <c r="C21" s="69"/>
      <c r="D21" s="69" t="s">
        <v>35</v>
      </c>
      <c r="E21" s="69" t="s">
        <v>36</v>
      </c>
      <c r="F21" s="69" t="s">
        <v>37</v>
      </c>
      <c r="G21" s="69"/>
      <c r="H21" s="69" t="s">
        <v>39</v>
      </c>
      <c r="I21" s="70">
        <f>_xlfn.CEILING.MATH(I18*0.6)</f>
        <v>510</v>
      </c>
      <c r="J21" s="70">
        <f t="shared" ref="J21:J25" si="2">I21</f>
        <v>510</v>
      </c>
      <c r="K21" s="71">
        <f>(10)/60</f>
        <v>0.16666666666666666</v>
      </c>
      <c r="L21" s="72">
        <f t="shared" si="1"/>
        <v>85</v>
      </c>
    </row>
    <row r="22" spans="1:14" ht="30" customHeight="1" x14ac:dyDescent="0.35">
      <c r="A22" s="67" t="s">
        <v>60</v>
      </c>
      <c r="B22" s="68" t="s">
        <v>34</v>
      </c>
      <c r="C22" s="69"/>
      <c r="D22" s="69" t="s">
        <v>35</v>
      </c>
      <c r="E22" s="69" t="s">
        <v>36</v>
      </c>
      <c r="F22" s="69" t="s">
        <v>37</v>
      </c>
      <c r="G22" s="69"/>
      <c r="H22" s="69" t="s">
        <v>39</v>
      </c>
      <c r="I22" s="70">
        <f>I21</f>
        <v>510</v>
      </c>
      <c r="J22" s="70">
        <f>_xlfn.CEILING.MATH(I22*7.5/0.6*0.6)</f>
        <v>3825</v>
      </c>
      <c r="K22" s="71">
        <f>10/60</f>
        <v>0.16666666666666666</v>
      </c>
      <c r="L22" s="72">
        <f t="shared" si="1"/>
        <v>638</v>
      </c>
    </row>
    <row r="23" spans="1:14" ht="30" customHeight="1" x14ac:dyDescent="0.35">
      <c r="A23" s="67" t="s">
        <v>61</v>
      </c>
      <c r="B23" s="68" t="s">
        <v>34</v>
      </c>
      <c r="C23" s="69"/>
      <c r="D23" s="69" t="s">
        <v>35</v>
      </c>
      <c r="E23" s="69" t="s">
        <v>36</v>
      </c>
      <c r="F23" s="69" t="s">
        <v>37</v>
      </c>
      <c r="G23" s="69"/>
      <c r="H23" s="69" t="s">
        <v>39</v>
      </c>
      <c r="I23" s="70">
        <f>I21</f>
        <v>510</v>
      </c>
      <c r="J23" s="70">
        <f>I23</f>
        <v>510</v>
      </c>
      <c r="K23" s="71">
        <f>45/60</f>
        <v>0.75</v>
      </c>
      <c r="L23" s="72">
        <f t="shared" si="1"/>
        <v>383</v>
      </c>
    </row>
    <row r="24" spans="1:14" ht="30" customHeight="1" x14ac:dyDescent="0.35">
      <c r="A24" s="67" t="s">
        <v>62</v>
      </c>
      <c r="B24" s="68" t="s">
        <v>34</v>
      </c>
      <c r="C24" s="69"/>
      <c r="D24" s="69" t="s">
        <v>40</v>
      </c>
      <c r="E24" s="69" t="s">
        <v>36</v>
      </c>
      <c r="F24" s="69" t="s">
        <v>37</v>
      </c>
      <c r="G24" s="69"/>
      <c r="H24" s="69" t="s">
        <v>39</v>
      </c>
      <c r="I24" s="70">
        <f>I21</f>
        <v>510</v>
      </c>
      <c r="J24" s="70">
        <f t="shared" si="2"/>
        <v>510</v>
      </c>
      <c r="K24" s="71">
        <f>150/60</f>
        <v>2.5</v>
      </c>
      <c r="L24" s="72">
        <f t="shared" si="1"/>
        <v>1275</v>
      </c>
    </row>
    <row r="25" spans="1:14" ht="30" customHeight="1" x14ac:dyDescent="0.35">
      <c r="A25" s="67" t="s">
        <v>63</v>
      </c>
      <c r="B25" s="68" t="s">
        <v>34</v>
      </c>
      <c r="C25" s="69"/>
      <c r="D25" s="69" t="s">
        <v>40</v>
      </c>
      <c r="E25" s="69" t="s">
        <v>36</v>
      </c>
      <c r="F25" s="69" t="s">
        <v>37</v>
      </c>
      <c r="G25" s="69"/>
      <c r="H25" s="69" t="s">
        <v>39</v>
      </c>
      <c r="I25" s="70">
        <f>I21</f>
        <v>510</v>
      </c>
      <c r="J25" s="70">
        <f t="shared" si="2"/>
        <v>510</v>
      </c>
      <c r="K25" s="71">
        <f>150/60</f>
        <v>2.5</v>
      </c>
      <c r="L25" s="72">
        <f t="shared" si="1"/>
        <v>1275</v>
      </c>
    </row>
    <row r="26" spans="1:14" ht="30" customHeight="1" x14ac:dyDescent="0.35">
      <c r="A26" s="67" t="s">
        <v>58</v>
      </c>
      <c r="B26" s="68" t="s">
        <v>34</v>
      </c>
      <c r="C26" s="69"/>
      <c r="D26" s="69" t="s">
        <v>41</v>
      </c>
      <c r="E26" s="69" t="s">
        <v>36</v>
      </c>
      <c r="F26" s="69" t="s">
        <v>37</v>
      </c>
      <c r="G26" s="69"/>
      <c r="H26" s="69" t="s">
        <v>39</v>
      </c>
      <c r="I26" s="70">
        <f>_xlfn.CEILING.MATH(I18*0.5)</f>
        <v>425</v>
      </c>
      <c r="J26" s="70">
        <f t="shared" si="0"/>
        <v>425</v>
      </c>
      <c r="K26" s="71">
        <f>10/60</f>
        <v>0.16666666666666666</v>
      </c>
      <c r="L26" s="72">
        <f t="shared" si="1"/>
        <v>71</v>
      </c>
    </row>
    <row r="27" spans="1:14" ht="30" customHeight="1" x14ac:dyDescent="0.35">
      <c r="A27" s="73" t="s">
        <v>48</v>
      </c>
      <c r="B27" s="74" t="s">
        <v>34</v>
      </c>
      <c r="C27" s="75"/>
      <c r="D27" s="75" t="s">
        <v>35</v>
      </c>
      <c r="E27" s="75" t="s">
        <v>36</v>
      </c>
      <c r="F27" s="75" t="s">
        <v>37</v>
      </c>
      <c r="G27" s="75" t="s">
        <v>38</v>
      </c>
      <c r="H27" s="75" t="s">
        <v>39</v>
      </c>
      <c r="I27" s="76">
        <f>ROUND(3600*0.7,0)</f>
        <v>2520</v>
      </c>
      <c r="J27" s="76">
        <f t="shared" si="0"/>
        <v>2520</v>
      </c>
      <c r="K27" s="77">
        <f>8/60</f>
        <v>0.13333333333333333</v>
      </c>
      <c r="L27" s="78">
        <f t="shared" si="1"/>
        <v>336</v>
      </c>
      <c r="N27" s="89"/>
    </row>
    <row r="28" spans="1:14" ht="30" customHeight="1" x14ac:dyDescent="0.35">
      <c r="A28" s="73" t="s">
        <v>52</v>
      </c>
      <c r="B28" s="74" t="s">
        <v>34</v>
      </c>
      <c r="C28" s="75"/>
      <c r="D28" s="75" t="s">
        <v>35</v>
      </c>
      <c r="E28" s="75" t="s">
        <v>36</v>
      </c>
      <c r="F28" s="75" t="s">
        <v>37</v>
      </c>
      <c r="G28" s="75"/>
      <c r="H28" s="75" t="s">
        <v>39</v>
      </c>
      <c r="I28" s="76">
        <f t="shared" ref="I28:I29" si="3">ROUND(3600*0.7,0)</f>
        <v>2520</v>
      </c>
      <c r="J28" s="76">
        <f t="shared" ref="J28:J29" si="4">I28</f>
        <v>2520</v>
      </c>
      <c r="K28" s="77">
        <f>2/60</f>
        <v>3.3333333333333333E-2</v>
      </c>
      <c r="L28" s="78">
        <f t="shared" si="1"/>
        <v>84</v>
      </c>
    </row>
    <row r="29" spans="1:14" ht="30" customHeight="1" x14ac:dyDescent="0.35">
      <c r="A29" s="73" t="s">
        <v>53</v>
      </c>
      <c r="B29" s="74" t="s">
        <v>34</v>
      </c>
      <c r="C29" s="75"/>
      <c r="D29" s="75" t="s">
        <v>35</v>
      </c>
      <c r="E29" s="75" t="s">
        <v>36</v>
      </c>
      <c r="F29" s="75" t="s">
        <v>37</v>
      </c>
      <c r="G29" s="75"/>
      <c r="H29" s="75" t="s">
        <v>39</v>
      </c>
      <c r="I29" s="76">
        <f t="shared" si="3"/>
        <v>2520</v>
      </c>
      <c r="J29" s="76">
        <f t="shared" si="4"/>
        <v>2520</v>
      </c>
      <c r="K29" s="77">
        <f>1/60</f>
        <v>1.6666666666666666E-2</v>
      </c>
      <c r="L29" s="78">
        <f t="shared" si="1"/>
        <v>42</v>
      </c>
      <c r="N29" s="89"/>
    </row>
    <row r="30" spans="1:14" ht="30" customHeight="1" x14ac:dyDescent="0.35">
      <c r="A30" s="73" t="s">
        <v>54</v>
      </c>
      <c r="B30" s="74" t="s">
        <v>34</v>
      </c>
      <c r="C30" s="75"/>
      <c r="D30" s="75" t="s">
        <v>40</v>
      </c>
      <c r="E30" s="75" t="s">
        <v>36</v>
      </c>
      <c r="F30" s="75" t="s">
        <v>37</v>
      </c>
      <c r="G30" s="75"/>
      <c r="H30" s="75" t="s">
        <v>39</v>
      </c>
      <c r="I30" s="76">
        <v>0</v>
      </c>
      <c r="J30" s="76">
        <v>0</v>
      </c>
      <c r="K30" s="77">
        <v>0</v>
      </c>
      <c r="L30" s="78">
        <f t="shared" si="1"/>
        <v>0</v>
      </c>
    </row>
    <row r="31" spans="1:14" ht="30" customHeight="1" x14ac:dyDescent="0.35">
      <c r="A31" s="73" t="s">
        <v>64</v>
      </c>
      <c r="B31" s="74" t="s">
        <v>34</v>
      </c>
      <c r="C31" s="75"/>
      <c r="D31" s="75" t="s">
        <v>35</v>
      </c>
      <c r="E31" s="75" t="s">
        <v>36</v>
      </c>
      <c r="F31" s="75" t="s">
        <v>37</v>
      </c>
      <c r="G31" s="75" t="s">
        <v>38</v>
      </c>
      <c r="H31" s="75" t="s">
        <v>39</v>
      </c>
      <c r="I31" s="76">
        <f>_xlfn.FLOOR.MATH(2833*0.7)</f>
        <v>1983</v>
      </c>
      <c r="J31" s="76">
        <f>I31</f>
        <v>1983</v>
      </c>
      <c r="K31" s="77">
        <v>3.3333333333333333E-2</v>
      </c>
      <c r="L31" s="78">
        <f t="shared" si="1"/>
        <v>67</v>
      </c>
    </row>
    <row r="32" spans="1:14" ht="30" customHeight="1" x14ac:dyDescent="0.35">
      <c r="A32" s="73" t="s">
        <v>65</v>
      </c>
      <c r="B32" s="74" t="s">
        <v>34</v>
      </c>
      <c r="C32" s="75"/>
      <c r="D32" s="75" t="s">
        <v>35</v>
      </c>
      <c r="E32" s="75" t="s">
        <v>36</v>
      </c>
      <c r="F32" s="75" t="s">
        <v>37</v>
      </c>
      <c r="G32" s="75"/>
      <c r="H32" s="75" t="s">
        <v>39</v>
      </c>
      <c r="I32" s="76">
        <v>992</v>
      </c>
      <c r="J32" s="76">
        <v>992</v>
      </c>
      <c r="K32" s="77">
        <v>1.6666666666666666E-2</v>
      </c>
      <c r="L32" s="78">
        <f t="shared" si="1"/>
        <v>17</v>
      </c>
    </row>
    <row r="33" spans="1:12" ht="30" customHeight="1" x14ac:dyDescent="0.35">
      <c r="A33" s="73" t="s">
        <v>66</v>
      </c>
      <c r="B33" s="74" t="s">
        <v>34</v>
      </c>
      <c r="C33" s="75"/>
      <c r="D33" s="75" t="s">
        <v>35</v>
      </c>
      <c r="E33" s="75" t="s">
        <v>36</v>
      </c>
      <c r="F33" s="75" t="s">
        <v>37</v>
      </c>
      <c r="G33" s="75"/>
      <c r="H33" s="75" t="s">
        <v>39</v>
      </c>
      <c r="I33" s="76">
        <v>0</v>
      </c>
      <c r="J33" s="76">
        <v>0</v>
      </c>
      <c r="K33" s="77">
        <v>0</v>
      </c>
      <c r="L33" s="78">
        <f t="shared" si="1"/>
        <v>0</v>
      </c>
    </row>
    <row r="34" spans="1:12" ht="30" customHeight="1" x14ac:dyDescent="0.35">
      <c r="A34" s="73" t="s">
        <v>68</v>
      </c>
      <c r="B34" s="74" t="s">
        <v>34</v>
      </c>
      <c r="C34" s="75"/>
      <c r="D34" s="75" t="s">
        <v>35</v>
      </c>
      <c r="E34" s="75" t="s">
        <v>36</v>
      </c>
      <c r="F34" s="75" t="s">
        <v>37</v>
      </c>
      <c r="G34" s="75"/>
      <c r="H34" s="75" t="s">
        <v>39</v>
      </c>
      <c r="I34" s="76">
        <f>_xlfn.CEILING.MATH(I18*0.4)</f>
        <v>340</v>
      </c>
      <c r="J34" s="76">
        <f t="shared" si="0"/>
        <v>340</v>
      </c>
      <c r="K34" s="77">
        <f>(2+3)/60</f>
        <v>8.3333333333333329E-2</v>
      </c>
      <c r="L34" s="78">
        <f t="shared" si="1"/>
        <v>29</v>
      </c>
    </row>
    <row r="35" spans="1:12" ht="30" customHeight="1" x14ac:dyDescent="0.35">
      <c r="A35" s="73" t="s">
        <v>69</v>
      </c>
      <c r="B35" s="74" t="s">
        <v>34</v>
      </c>
      <c r="C35" s="75"/>
      <c r="D35" s="75" t="s">
        <v>35</v>
      </c>
      <c r="E35" s="75" t="s">
        <v>36</v>
      </c>
      <c r="F35" s="75" t="s">
        <v>37</v>
      </c>
      <c r="G35" s="75"/>
      <c r="H35" s="75" t="s">
        <v>39</v>
      </c>
      <c r="I35" s="76">
        <f>_xlfn.CEILING.MATH(I22)</f>
        <v>510</v>
      </c>
      <c r="J35" s="76">
        <f>_xlfn.CEILING.MATH(I35*7.5/0.6*0.4)</f>
        <v>2550</v>
      </c>
      <c r="K35" s="77">
        <f>2/60</f>
        <v>3.3333333333333333E-2</v>
      </c>
      <c r="L35" s="78">
        <f t="shared" si="1"/>
        <v>85</v>
      </c>
    </row>
    <row r="36" spans="1:12" ht="30" customHeight="1" x14ac:dyDescent="0.35">
      <c r="A36" s="73" t="s">
        <v>70</v>
      </c>
      <c r="B36" s="74" t="s">
        <v>34</v>
      </c>
      <c r="C36" s="75"/>
      <c r="D36" s="75" t="s">
        <v>35</v>
      </c>
      <c r="E36" s="75" t="s">
        <v>36</v>
      </c>
      <c r="F36" s="75" t="s">
        <v>37</v>
      </c>
      <c r="G36" s="75"/>
      <c r="H36" s="75" t="s">
        <v>39</v>
      </c>
      <c r="I36" s="76">
        <v>0</v>
      </c>
      <c r="J36" s="76">
        <f>I36</f>
        <v>0</v>
      </c>
      <c r="K36" s="77">
        <v>0</v>
      </c>
      <c r="L36" s="78">
        <f t="shared" si="1"/>
        <v>0</v>
      </c>
    </row>
    <row r="37" spans="1:12" ht="30" customHeight="1" x14ac:dyDescent="0.35">
      <c r="A37" s="73" t="s">
        <v>71</v>
      </c>
      <c r="B37" s="74" t="s">
        <v>34</v>
      </c>
      <c r="C37" s="75"/>
      <c r="D37" s="75" t="s">
        <v>40</v>
      </c>
      <c r="E37" s="75" t="s">
        <v>36</v>
      </c>
      <c r="F37" s="75" t="s">
        <v>37</v>
      </c>
      <c r="G37" s="75"/>
      <c r="H37" s="75" t="s">
        <v>39</v>
      </c>
      <c r="I37" s="76">
        <f>0</f>
        <v>0</v>
      </c>
      <c r="J37" s="76">
        <f t="shared" si="0"/>
        <v>0</v>
      </c>
      <c r="K37" s="77">
        <f>0</f>
        <v>0</v>
      </c>
      <c r="L37" s="78">
        <f t="shared" si="1"/>
        <v>0</v>
      </c>
    </row>
    <row r="38" spans="1:12" ht="30" customHeight="1" x14ac:dyDescent="0.35">
      <c r="A38" s="73" t="s">
        <v>72</v>
      </c>
      <c r="B38" s="74" t="s">
        <v>34</v>
      </c>
      <c r="C38" s="75"/>
      <c r="D38" s="75" t="s">
        <v>40</v>
      </c>
      <c r="E38" s="75" t="s">
        <v>36</v>
      </c>
      <c r="F38" s="75" t="s">
        <v>37</v>
      </c>
      <c r="G38" s="75"/>
      <c r="H38" s="75" t="s">
        <v>39</v>
      </c>
      <c r="I38" s="76">
        <f>0</f>
        <v>0</v>
      </c>
      <c r="J38" s="76">
        <f t="shared" si="0"/>
        <v>0</v>
      </c>
      <c r="K38" s="77">
        <f>0</f>
        <v>0</v>
      </c>
      <c r="L38" s="78">
        <f t="shared" si="1"/>
        <v>0</v>
      </c>
    </row>
    <row r="39" spans="1:12" ht="30" customHeight="1" x14ac:dyDescent="0.35">
      <c r="A39" s="73" t="s">
        <v>67</v>
      </c>
      <c r="B39" s="74" t="s">
        <v>34</v>
      </c>
      <c r="C39" s="75"/>
      <c r="D39" s="75" t="s">
        <v>41</v>
      </c>
      <c r="E39" s="75" t="s">
        <v>36</v>
      </c>
      <c r="F39" s="75" t="s">
        <v>37</v>
      </c>
      <c r="G39" s="75"/>
      <c r="H39" s="75" t="s">
        <v>39</v>
      </c>
      <c r="I39" s="76">
        <f>_xlfn.CEILING.MATH(I18*0.5)</f>
        <v>425</v>
      </c>
      <c r="J39" s="76">
        <f t="shared" si="0"/>
        <v>425</v>
      </c>
      <c r="K39" s="77">
        <f>2/60</f>
        <v>3.3333333333333333E-2</v>
      </c>
      <c r="L39" s="78">
        <f t="shared" si="1"/>
        <v>15</v>
      </c>
    </row>
    <row r="40" spans="1:12" s="79" customFormat="1" ht="30" customHeight="1" x14ac:dyDescent="0.35">
      <c r="A40" s="80" t="s">
        <v>73</v>
      </c>
      <c r="B40" s="81" t="s">
        <v>34</v>
      </c>
      <c r="C40" s="82"/>
      <c r="D40" s="82" t="s">
        <v>35</v>
      </c>
      <c r="E40" s="82" t="s">
        <v>36</v>
      </c>
      <c r="F40" s="82" t="s">
        <v>42</v>
      </c>
      <c r="G40" s="82" t="s">
        <v>38</v>
      </c>
      <c r="H40" s="82" t="s">
        <v>39</v>
      </c>
      <c r="I40" s="83">
        <f>28*4</f>
        <v>112</v>
      </c>
      <c r="J40" s="83">
        <f>_xlfn.CEILING.MATH(28*85*0.3)</f>
        <v>714</v>
      </c>
      <c r="K40" s="84">
        <f>0.6*SUM(K18:K25)+0.4*SUM(K18:K23,K34:K35)</f>
        <v>4.7299999999999995</v>
      </c>
      <c r="L40" s="85">
        <f t="shared" si="1"/>
        <v>3378</v>
      </c>
    </row>
    <row r="41" spans="1:12" ht="30" customHeight="1" x14ac:dyDescent="0.35">
      <c r="A41" s="80" t="s">
        <v>74</v>
      </c>
      <c r="B41" s="81" t="s">
        <v>34</v>
      </c>
      <c r="C41" s="82"/>
      <c r="D41" s="82" t="s">
        <v>35</v>
      </c>
      <c r="E41" s="82" t="s">
        <v>36</v>
      </c>
      <c r="F41" s="82" t="s">
        <v>42</v>
      </c>
      <c r="G41" s="82"/>
      <c r="H41" s="82" t="s">
        <v>39</v>
      </c>
      <c r="I41" s="83">
        <f>28*4</f>
        <v>112</v>
      </c>
      <c r="J41" s="83">
        <f>_xlfn.CEILING.MATH(28*85*0.7)</f>
        <v>1666</v>
      </c>
      <c r="K41" s="84">
        <f>SUM(K27:K38)</f>
        <v>0.35</v>
      </c>
      <c r="L41" s="85">
        <f t="shared" si="1"/>
        <v>584</v>
      </c>
    </row>
    <row r="43" spans="1:12" ht="46.5" customHeight="1" x14ac:dyDescent="0.35">
      <c r="A43" s="90" t="s">
        <v>46</v>
      </c>
      <c r="B43" s="90"/>
      <c r="C43" s="90"/>
      <c r="D43" s="90"/>
      <c r="E43" s="90"/>
      <c r="F43" s="90"/>
      <c r="G43" s="90"/>
      <c r="H43" s="90"/>
      <c r="I43" s="90"/>
      <c r="J43" s="90"/>
      <c r="K43" s="90"/>
      <c r="L43" s="90"/>
    </row>
    <row r="44" spans="1:12" ht="15.5" x14ac:dyDescent="0.35">
      <c r="A44" s="64"/>
      <c r="K44" s="88"/>
    </row>
    <row r="45" spans="1:12" ht="15.5" x14ac:dyDescent="0.35">
      <c r="K45" s="88"/>
    </row>
  </sheetData>
  <mergeCells count="1">
    <mergeCell ref="A43:L43"/>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2D23-B310-48EC-B3E9-9C1F67AE0925}">
  <dimension ref="A1"/>
  <sheetViews>
    <sheetView topLeftCell="W1"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9" ma:contentTypeDescription="Create a new document." ma:contentTypeScope="" ma:versionID="3ca31f423947637751f8daf912c741b3">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6a2f06109ee55e65c8adc24b7c1be920"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readOnly="false"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bf16fb3d-d0d4-4082-b9e1-5e252a4ca607">
      <Terms xmlns="http://schemas.microsoft.com/office/infopath/2007/PartnerControls"/>
    </lcf76f155ced4ddcb4097134ff3c332f>
    <Notes xmlns="bf16fb3d-d0d4-4082-b9e1-5e252a4ca6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CECF1-7D84-4C64-B161-1353AAEA2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0C7FBA-3532-4D39-8EAE-8C86272B7E31}">
  <ds:schemaRefs>
    <ds:schemaRef ds:uri="http://schemas.microsoft.com/office/infopath/2007/PartnerControls"/>
    <ds:schemaRef ds:uri="http://purl.org/dc/elements/1.1/"/>
    <ds:schemaRef ds:uri="35891692-24a1-4cce-8013-dc4d25c58e72"/>
    <ds:schemaRef ds:uri="http://www.w3.org/XML/1998/namespace"/>
    <ds:schemaRef ds:uri="http://purl.org/dc/terms/"/>
    <ds:schemaRef ds:uri="http://schemas.openxmlformats.org/package/2006/metadata/core-properties"/>
    <ds:schemaRef ds:uri="http://schemas.microsoft.com/office/2006/documentManagement/types"/>
    <ds:schemaRef ds:uri="73fb875a-8af9-4255-b008-0995492d31cd"/>
    <ds:schemaRef ds:uri="c817de6e-2ada-4429-82fd-f52a73b073b1"/>
    <ds:schemaRef ds:uri="http://schemas.microsoft.com/office/2006/metadata/properties"/>
    <ds:schemaRef ds:uri="http://purl.org/dc/dcmitype/"/>
    <ds:schemaRef ds:uri="bf16fb3d-d0d4-4082-b9e1-5e252a4ca607"/>
  </ds:schemaRefs>
</ds:datastoreItem>
</file>

<file path=customXml/itemProps3.xml><?xml version="1.0" encoding="utf-8"?>
<ds:datastoreItem xmlns:ds="http://schemas.openxmlformats.org/officeDocument/2006/customXml" ds:itemID="{A78633DF-AFBE-4734-9186-B154E25A8D88}">
  <ds:schemaRefs>
    <ds:schemaRef ds:uri="http://schemas.microsoft.com/sharepoint/v3/contenttype/form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APHIS 71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Harris, Sheniqua - MRP-APHIS</cp:lastModifiedBy>
  <cp:revision/>
  <dcterms:created xsi:type="dcterms:W3CDTF">2021-07-01T18:06:57Z</dcterms:created>
  <dcterms:modified xsi:type="dcterms:W3CDTF">2025-12-18T14:53:04Z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