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easternresearchgroup.sharepoint.com/sites/CAAICRRenewals/Shared Documents/General/FY25_Drafts/2040.11 NESHAP for Refractory Products Manufacturing/Drafts/Send to EPA/"/>
    </mc:Choice>
  </mc:AlternateContent>
  <xr:revisionPtr revIDLastSave="147" documentId="8_{076E9EC6-6BD8-448E-808A-4B3DD0D0BE76}" xr6:coauthVersionLast="47" xr6:coauthVersionMax="47" xr10:uidLastSave="{DCF45337-609D-4734-B796-8E4765B7AB00}"/>
  <bookViews>
    <workbookView xWindow="-120" yWindow="-120" windowWidth="29040" windowHeight="15720" xr2:uid="{00000000-000D-0000-FFFF-FFFF00000000}"/>
  </bookViews>
  <sheets>
    <sheet name="Summary" sheetId="5" r:id="rId1"/>
    <sheet name="Table 1" sheetId="1" r:id="rId2"/>
    <sheet name="Table 2" sheetId="2" r:id="rId3"/>
    <sheet name="Capital O&amp;M" sheetId="4" r:id="rId4"/>
    <sheet name="Respondents" sheetId="6" r:id="rId5"/>
    <sheet name="Responses" sheetId="7" r:id="rId6"/>
  </sheets>
  <definedNames>
    <definedName name="_GoBack" localSheetId="1">'Table 1'!$N$25</definedName>
    <definedName name="_xlnm.Print_Area" localSheetId="1">'Table 1'!$A$1:$I$66</definedName>
    <definedName name="_xlnm.Print_Area" localSheetId="2">'Table 2'!$A$1:$I$32</definedName>
    <definedName name="_xlnm.Print_Titles" localSheetId="1">'Table 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 r="B6" i="5"/>
  <c r="I47" i="1"/>
  <c r="J7" i="4"/>
  <c r="D7" i="4"/>
  <c r="K47" i="1" l="1"/>
  <c r="K5" i="4" l="1"/>
  <c r="K4" i="4"/>
  <c r="K3" i="4"/>
  <c r="E5" i="7"/>
  <c r="E6" i="7"/>
  <c r="E7" i="7"/>
  <c r="E8" i="7"/>
  <c r="E9" i="7"/>
  <c r="E10" i="7"/>
  <c r="E11" i="7"/>
  <c r="E12" i="7"/>
  <c r="E13" i="7"/>
  <c r="E14" i="7"/>
  <c r="E15" i="7"/>
  <c r="E4" i="7"/>
  <c r="E16" i="7" s="1"/>
  <c r="B3" i="5"/>
  <c r="E8" i="6"/>
  <c r="D8" i="6"/>
  <c r="B8" i="6"/>
  <c r="C7" i="6"/>
  <c r="C8" i="6" s="1"/>
  <c r="F6" i="6"/>
  <c r="F5" i="6"/>
  <c r="E5" i="4" l="1"/>
  <c r="B4" i="4"/>
  <c r="E4" i="4"/>
  <c r="F7" i="6"/>
  <c r="F8" i="6" s="1"/>
  <c r="G5" i="4" l="1"/>
  <c r="G4" i="4"/>
  <c r="G7" i="4" s="1"/>
  <c r="E13" i="1"/>
  <c r="E12" i="1"/>
  <c r="E27" i="1" l="1"/>
  <c r="E28" i="1"/>
  <c r="E22" i="2" l="1"/>
  <c r="E21" i="2"/>
  <c r="E20" i="2"/>
  <c r="E11" i="2"/>
  <c r="E12" i="2"/>
  <c r="E13" i="2"/>
  <c r="E15" i="2"/>
  <c r="E16" i="2"/>
  <c r="E17" i="2"/>
  <c r="E10" i="2"/>
  <c r="D43" i="1"/>
  <c r="D42" i="1"/>
  <c r="D41" i="1"/>
  <c r="D33" i="1"/>
  <c r="D32" i="1"/>
  <c r="D31" i="1"/>
  <c r="F31" i="1" s="1"/>
  <c r="D30" i="1"/>
  <c r="D29" i="1"/>
  <c r="D28" i="1"/>
  <c r="D27" i="1"/>
  <c r="D26" i="1"/>
  <c r="D25" i="1"/>
  <c r="D24" i="1"/>
  <c r="D23" i="1"/>
  <c r="D19" i="1"/>
  <c r="D18" i="1"/>
  <c r="D17" i="1"/>
  <c r="D15" i="1"/>
  <c r="D14" i="1"/>
  <c r="D13" i="1"/>
  <c r="D12" i="1"/>
  <c r="D11" i="1"/>
  <c r="D10" i="1"/>
  <c r="D17" i="2"/>
  <c r="E8" i="2"/>
  <c r="E5" i="2"/>
  <c r="D8" i="1"/>
  <c r="F17" i="2" l="1"/>
  <c r="E14" i="2"/>
  <c r="E18" i="2" s="1"/>
  <c r="F13" i="1"/>
  <c r="F12" i="1"/>
  <c r="E7" i="2"/>
  <c r="H31" i="1"/>
  <c r="G31" i="1"/>
  <c r="I31" i="1" s="1"/>
  <c r="H12" i="1"/>
  <c r="H13" i="1" l="1"/>
  <c r="G12" i="1"/>
  <c r="I12" i="1" s="1"/>
  <c r="G17" i="2"/>
  <c r="I17" i="2"/>
  <c r="H17" i="2"/>
  <c r="G13" i="1"/>
  <c r="I13" i="1" s="1"/>
  <c r="F15" i="1" l="1"/>
  <c r="G15" i="1" l="1"/>
  <c r="I15" i="1" s="1"/>
  <c r="H15" i="1"/>
  <c r="F19" i="1"/>
  <c r="F18" i="1"/>
  <c r="F17" i="1"/>
  <c r="F14" i="1"/>
  <c r="H14" i="1" l="1"/>
  <c r="G17" i="1"/>
  <c r="I17" i="1" s="1"/>
  <c r="G18" i="1"/>
  <c r="I18" i="1" s="1"/>
  <c r="G19" i="1"/>
  <c r="I19" i="1" s="1"/>
  <c r="H18" i="1"/>
  <c r="H17" i="1"/>
  <c r="H19" i="1"/>
  <c r="G14" i="1"/>
  <c r="I14" i="1" s="1"/>
  <c r="D22" i="2" l="1"/>
  <c r="F22" i="2" s="1"/>
  <c r="D21" i="2"/>
  <c r="F21" i="2" s="1"/>
  <c r="D20" i="2"/>
  <c r="F20" i="2" s="1"/>
  <c r="D18" i="2"/>
  <c r="F18" i="2" s="1"/>
  <c r="D16" i="2"/>
  <c r="F16" i="2" s="1"/>
  <c r="D15" i="2"/>
  <c r="F15" i="2" s="1"/>
  <c r="D14" i="2"/>
  <c r="F14" i="2" s="1"/>
  <c r="D13" i="2"/>
  <c r="F13" i="2" s="1"/>
  <c r="D12" i="2"/>
  <c r="F12" i="2" s="1"/>
  <c r="D11" i="2"/>
  <c r="F11" i="2" s="1"/>
  <c r="D10" i="2"/>
  <c r="F10" i="2" s="1"/>
  <c r="D8" i="2"/>
  <c r="F8" i="2" s="1"/>
  <c r="D7" i="2"/>
  <c r="F7" i="2" s="1"/>
  <c r="D5" i="2"/>
  <c r="F5" i="2" s="1"/>
  <c r="I5" i="2" l="1"/>
  <c r="I12" i="2"/>
  <c r="I15" i="2"/>
  <c r="I16" i="2"/>
  <c r="I22" i="2"/>
  <c r="H20" i="2"/>
  <c r="I20" i="2" s="1"/>
  <c r="G20" i="2"/>
  <c r="G15" i="2"/>
  <c r="H15" i="2"/>
  <c r="G7" i="2"/>
  <c r="I7" i="2" s="1"/>
  <c r="H7" i="2"/>
  <c r="H16" i="2"/>
  <c r="G16" i="2"/>
  <c r="H10" i="2"/>
  <c r="G10" i="2"/>
  <c r="I10" i="2" s="1"/>
  <c r="H14" i="2"/>
  <c r="G14" i="2"/>
  <c r="I14" i="2" s="1"/>
  <c r="H11" i="2"/>
  <c r="I11" i="2" s="1"/>
  <c r="G11" i="2"/>
  <c r="G21" i="2"/>
  <c r="I21" i="2" s="1"/>
  <c r="H21" i="2"/>
  <c r="H12" i="2"/>
  <c r="G12" i="2"/>
  <c r="H22" i="2"/>
  <c r="G22" i="2"/>
  <c r="H8" i="2"/>
  <c r="G8" i="2"/>
  <c r="I8" i="2" s="1"/>
  <c r="G13" i="2"/>
  <c r="I13" i="2" s="1"/>
  <c r="H13" i="2"/>
  <c r="H18" i="2"/>
  <c r="I18" i="2" s="1"/>
  <c r="G18" i="2"/>
  <c r="H5" i="2"/>
  <c r="G5" i="2"/>
  <c r="F43" i="1"/>
  <c r="F42" i="1"/>
  <c r="F41" i="1"/>
  <c r="F33" i="1"/>
  <c r="F32" i="1"/>
  <c r="F30" i="1"/>
  <c r="F29" i="1"/>
  <c r="F28" i="1"/>
  <c r="F27" i="1"/>
  <c r="F26" i="1"/>
  <c r="F25" i="1"/>
  <c r="F24" i="1"/>
  <c r="F23" i="1"/>
  <c r="F11" i="1"/>
  <c r="F10" i="1"/>
  <c r="F8" i="1"/>
  <c r="G28" i="1" l="1"/>
  <c r="F23" i="2"/>
  <c r="I8" i="1"/>
  <c r="G33" i="1"/>
  <c r="I33" i="1"/>
  <c r="I41" i="1"/>
  <c r="I11" i="1"/>
  <c r="G43" i="1"/>
  <c r="G24" i="1"/>
  <c r="G26" i="1"/>
  <c r="G30" i="1"/>
  <c r="G10" i="1"/>
  <c r="I10" i="1" s="1"/>
  <c r="H11" i="1"/>
  <c r="G11" i="1"/>
  <c r="G41" i="1"/>
  <c r="H41" i="1"/>
  <c r="G25" i="1"/>
  <c r="G32" i="1"/>
  <c r="I32" i="1" s="1"/>
  <c r="H25" i="1"/>
  <c r="I25" i="1" s="1"/>
  <c r="H32" i="1"/>
  <c r="G23" i="1"/>
  <c r="I23" i="1" s="1"/>
  <c r="H23" i="1"/>
  <c r="G29" i="1"/>
  <c r="I29" i="1" s="1"/>
  <c r="H29" i="1"/>
  <c r="G8" i="1"/>
  <c r="H8" i="1"/>
  <c r="G42" i="1"/>
  <c r="I42" i="1" s="1"/>
  <c r="H42" i="1"/>
  <c r="G27" i="1"/>
  <c r="I27" i="1" s="1"/>
  <c r="H27" i="1"/>
  <c r="H10" i="1"/>
  <c r="H43" i="1"/>
  <c r="I43" i="1" s="1"/>
  <c r="H24" i="1"/>
  <c r="I24" i="1" s="1"/>
  <c r="H26" i="1"/>
  <c r="I26" i="1" s="1"/>
  <c r="H28" i="1"/>
  <c r="I28" i="1" s="1"/>
  <c r="H30" i="1"/>
  <c r="I30" i="1" s="1"/>
  <c r="H33" i="1"/>
  <c r="F45" i="1" l="1"/>
  <c r="I23" i="2"/>
  <c r="F34" i="1"/>
  <c r="F46" i="1" l="1"/>
  <c r="I34" i="1"/>
  <c r="I45" i="1"/>
  <c r="K48" i="1" l="1"/>
  <c r="B2" i="5" s="1"/>
  <c r="B4" i="5"/>
  <c r="I46" i="1"/>
  <c r="B5" i="5" s="1"/>
</calcChain>
</file>

<file path=xl/sharedStrings.xml><?xml version="1.0" encoding="utf-8"?>
<sst xmlns="http://schemas.openxmlformats.org/spreadsheetml/2006/main" count="216" uniqueCount="169">
  <si>
    <t>ICR Summary Information</t>
  </si>
  <si>
    <t>Hours Per Response</t>
  </si>
  <si>
    <t>Number of Respondents</t>
  </si>
  <si>
    <t>Total Estimated Burden Hours</t>
  </si>
  <si>
    <t>Total Estimated Costs</t>
  </si>
  <si>
    <t>Annualized Capital O&amp;M</t>
  </si>
  <si>
    <t>Form Number</t>
  </si>
  <si>
    <t>Not Applicable</t>
  </si>
  <si>
    <t>Table 1: Annual Respondent Burden and Cost – NESHAP for Refractory Products Manufacturing (40 CFR Part 63, Subpart SSSSS) (Renewal)</t>
  </si>
  <si>
    <t>Burden item</t>
  </si>
  <si>
    <t>(A)</t>
  </si>
  <si>
    <t>(B)</t>
  </si>
  <si>
    <t>(C)</t>
  </si>
  <si>
    <t>(D)</t>
  </si>
  <si>
    <t>(E)</t>
  </si>
  <si>
    <t>(F)</t>
  </si>
  <si>
    <t>(G)</t>
  </si>
  <si>
    <t>(H)</t>
  </si>
  <si>
    <t>Person-hours per occurrence</t>
  </si>
  <si>
    <t>No. of occurrences per respondent per year</t>
  </si>
  <si>
    <t xml:space="preserve"> Person-hours per respondent per year (C=AxB)</t>
  </si>
  <si>
    <r>
      <t xml:space="preserve">Respondents per year  </t>
    </r>
    <r>
      <rPr>
        <b/>
        <vertAlign val="superscript"/>
        <sz val="10"/>
        <color rgb="FF000000"/>
        <rFont val="Times New Roman"/>
        <family val="1"/>
      </rPr>
      <t>a</t>
    </r>
  </si>
  <si>
    <t>Technical person-hours per year (E=CxD)</t>
  </si>
  <si>
    <t>Management person-hours per year (Ex0.05)</t>
  </si>
  <si>
    <t>Clerical person-hours per year (Ex0.1)</t>
  </si>
  <si>
    <r>
      <t xml:space="preserve">Total Cost per year, $ </t>
    </r>
    <r>
      <rPr>
        <b/>
        <vertAlign val="superscript"/>
        <sz val="10"/>
        <color rgb="FF000000"/>
        <rFont val="Times New Roman"/>
        <family val="1"/>
      </rPr>
      <t>b</t>
    </r>
  </si>
  <si>
    <t>1.  Applications</t>
  </si>
  <si>
    <t>N/A</t>
  </si>
  <si>
    <t>Labor Rates</t>
  </si>
  <si>
    <t>2.  Survey and Studies</t>
  </si>
  <si>
    <t xml:space="preserve">Technical </t>
  </si>
  <si>
    <t>3.  Reporting Requirements</t>
  </si>
  <si>
    <t xml:space="preserve">Management </t>
  </si>
  <si>
    <r>
      <t xml:space="preserve">A.  Familiarization with the regulatory requirements </t>
    </r>
    <r>
      <rPr>
        <vertAlign val="superscript"/>
        <sz val="10"/>
        <rFont val="Times New Roman"/>
        <family val="1"/>
      </rPr>
      <t>c</t>
    </r>
    <r>
      <rPr>
        <sz val="10"/>
        <rFont val="Times New Roman"/>
        <family val="1"/>
      </rPr>
      <t xml:space="preserve"> </t>
    </r>
  </si>
  <si>
    <t xml:space="preserve">Clerical </t>
  </si>
  <si>
    <t>B.  Required activities</t>
  </si>
  <si>
    <t>Develop an operation, maintenance, monitoring plan</t>
  </si>
  <si>
    <r>
      <t xml:space="preserve">Update operation, maintenance, monitoring plan </t>
    </r>
    <r>
      <rPr>
        <vertAlign val="superscript"/>
        <sz val="10"/>
        <rFont val="Times New Roman"/>
        <family val="1"/>
      </rPr>
      <t>d</t>
    </r>
  </si>
  <si>
    <r>
      <t xml:space="preserve">Performance tests and reports </t>
    </r>
    <r>
      <rPr>
        <vertAlign val="superscript"/>
        <sz val="10"/>
        <rFont val="Times New Roman"/>
        <family val="1"/>
      </rPr>
      <t>e</t>
    </r>
  </si>
  <si>
    <r>
      <t xml:space="preserve">Performance retests and reports </t>
    </r>
    <r>
      <rPr>
        <vertAlign val="superscript"/>
        <sz val="10"/>
        <rFont val="Times New Roman"/>
        <family val="1"/>
      </rPr>
      <t>e</t>
    </r>
  </si>
  <si>
    <r>
      <t xml:space="preserve">Initial CMS performance evaluation </t>
    </r>
    <r>
      <rPr>
        <vertAlign val="superscript"/>
        <sz val="10"/>
        <rFont val="Times New Roman"/>
        <family val="1"/>
      </rPr>
      <t>f</t>
    </r>
  </si>
  <si>
    <r>
      <t xml:space="preserve">Initial CEMS demonstration </t>
    </r>
    <r>
      <rPr>
        <vertAlign val="superscript"/>
        <sz val="10"/>
        <rFont val="Times New Roman"/>
        <family val="1"/>
      </rPr>
      <t>g</t>
    </r>
  </si>
  <si>
    <r>
      <t xml:space="preserve">Quarterly Appendix F audits of CEMS (THC) </t>
    </r>
    <r>
      <rPr>
        <vertAlign val="superscript"/>
        <sz val="10"/>
        <rFont val="Times New Roman"/>
        <family val="1"/>
      </rPr>
      <t>g</t>
    </r>
  </si>
  <si>
    <t xml:space="preserve">             a)  RATA audit (one per year) </t>
  </si>
  <si>
    <t xml:space="preserve">             b)  RAA audit (three per year) </t>
  </si>
  <si>
    <t xml:space="preserve">             c)  Daily calibration and operation</t>
  </si>
  <si>
    <t>C.  Create information</t>
  </si>
  <si>
    <t>See 3B</t>
  </si>
  <si>
    <t>D.  Gather existing information</t>
  </si>
  <si>
    <t>E.   Write report</t>
  </si>
  <si>
    <t>Notification of applicability</t>
  </si>
  <si>
    <t>Notification of construction/reconstruction</t>
  </si>
  <si>
    <t xml:space="preserve">Notification of anticipated startup </t>
  </si>
  <si>
    <t>Notification of actual startup</t>
  </si>
  <si>
    <r>
      <t xml:space="preserve">Notification of performance test </t>
    </r>
    <r>
      <rPr>
        <vertAlign val="superscript"/>
        <sz val="10"/>
        <color rgb="FF000000"/>
        <rFont val="Times New Roman"/>
        <family val="1"/>
      </rPr>
      <t>e</t>
    </r>
  </si>
  <si>
    <t xml:space="preserve">Notification of compliance status </t>
  </si>
  <si>
    <r>
      <t xml:space="preserve">Notification of intent to use alternative fuel </t>
    </r>
    <r>
      <rPr>
        <vertAlign val="superscript"/>
        <sz val="10"/>
        <color theme="1"/>
        <rFont val="Times New Roman"/>
        <family val="1"/>
      </rPr>
      <t>h</t>
    </r>
  </si>
  <si>
    <r>
      <t xml:space="preserve">Request approval to bypass the control device for maintenance </t>
    </r>
    <r>
      <rPr>
        <vertAlign val="superscript"/>
        <sz val="10"/>
        <color theme="1"/>
        <rFont val="Times New Roman"/>
        <family val="1"/>
      </rPr>
      <t>i</t>
    </r>
  </si>
  <si>
    <r>
      <t xml:space="preserve">Semi-annual compliance report with deviations </t>
    </r>
    <r>
      <rPr>
        <vertAlign val="superscript"/>
        <sz val="10"/>
        <color theme="1"/>
        <rFont val="Times New Roman"/>
        <family val="1"/>
      </rPr>
      <t>j</t>
    </r>
  </si>
  <si>
    <r>
      <t xml:space="preserve">Semi-annual compliance report with no deviations </t>
    </r>
    <r>
      <rPr>
        <vertAlign val="superscript"/>
        <sz val="10"/>
        <color theme="1"/>
        <rFont val="Times New Roman"/>
        <family val="1"/>
      </rPr>
      <t>k</t>
    </r>
  </si>
  <si>
    <r>
      <t xml:space="preserve">Report of alternative fuel use </t>
    </r>
    <r>
      <rPr>
        <vertAlign val="superscript"/>
        <sz val="10"/>
        <color theme="1"/>
        <rFont val="Times New Roman"/>
        <family val="1"/>
      </rPr>
      <t>l</t>
    </r>
  </si>
  <si>
    <t>Subtotal for Reporting Requirements</t>
  </si>
  <si>
    <t>4.  Recordkeeping Requirements</t>
  </si>
  <si>
    <t xml:space="preserve">A.  Familiarization with rule requirements </t>
  </si>
  <si>
    <t>See 3A</t>
  </si>
  <si>
    <t>B.  Plan activities</t>
  </si>
  <si>
    <t>See 4E</t>
  </si>
  <si>
    <t xml:space="preserve">C.  Implement activities </t>
  </si>
  <si>
    <t>D.  Develop record system</t>
  </si>
  <si>
    <t xml:space="preserve"> </t>
  </si>
  <si>
    <t>E.  Time to enter information</t>
  </si>
  <si>
    <r>
      <t>Records of all information required by standards</t>
    </r>
    <r>
      <rPr>
        <vertAlign val="superscript"/>
        <sz val="10"/>
        <color rgb="FF000000"/>
        <rFont val="Times New Roman"/>
        <family val="1"/>
      </rPr>
      <t xml:space="preserve"> m</t>
    </r>
  </si>
  <si>
    <t>F.  Time to train personnel</t>
  </si>
  <si>
    <r>
      <t xml:space="preserve">G. Time to transmit or disclose information </t>
    </r>
    <r>
      <rPr>
        <vertAlign val="superscript"/>
        <sz val="10"/>
        <color rgb="FF000000"/>
        <rFont val="Times New Roman"/>
        <family val="1"/>
      </rPr>
      <t>n</t>
    </r>
  </si>
  <si>
    <t xml:space="preserve">H. Time for audits </t>
  </si>
  <si>
    <t>Subtotal for  Recordkeeping Requirements</t>
  </si>
  <si>
    <r>
      <t xml:space="preserve">TOTAL ANNUAL BURDEN AND COSTS (rounded): </t>
    </r>
    <r>
      <rPr>
        <b/>
        <vertAlign val="superscript"/>
        <sz val="10"/>
        <rFont val="Times New Roman"/>
        <family val="1"/>
      </rPr>
      <t>o</t>
    </r>
  </si>
  <si>
    <r>
      <t xml:space="preserve">TOTAL CAPITAL/O&amp;M COST (rounded): </t>
    </r>
    <r>
      <rPr>
        <b/>
        <vertAlign val="superscript"/>
        <sz val="10"/>
        <rFont val="Times New Roman"/>
        <family val="1"/>
      </rPr>
      <t>o</t>
    </r>
  </si>
  <si>
    <t>Total responses per year</t>
  </si>
  <si>
    <r>
      <t xml:space="preserve">GRAND TOTAL (rounded): </t>
    </r>
    <r>
      <rPr>
        <b/>
        <vertAlign val="superscript"/>
        <sz val="10"/>
        <rFont val="Times New Roman"/>
        <family val="1"/>
      </rPr>
      <t>o</t>
    </r>
  </si>
  <si>
    <t>hr/resp</t>
  </si>
  <si>
    <t>Assumptions:</t>
  </si>
  <si>
    <r>
      <t>a</t>
    </r>
    <r>
      <rPr>
        <sz val="10"/>
        <color theme="1"/>
        <rFont val="Times New Roman"/>
        <family val="1"/>
      </rPr>
      <t xml:space="preserve"> We have assumed that the average number of respondents that will be subject to the rule will be three. There will be no additional new source per year that will become subject to the rule over the 3-year period of this ICR.</t>
    </r>
  </si>
  <si>
    <r>
      <t>b</t>
    </r>
    <r>
      <rPr>
        <sz val="10"/>
        <color rgb="FF000000"/>
        <rFont val="Times New Roman"/>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</si>
  <si>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color theme="1"/>
        <rFont val="Times New Roman"/>
        <family val="1"/>
      </rPr>
      <t xml:space="preserve"> We</t>
    </r>
    <r>
      <rPr>
        <sz val="10"/>
        <rFont val="Times New Roman"/>
        <family val="1"/>
      </rPr>
      <t xml:space="preserve"> have assumed that the number of person-hours per occurrence is an average over 3 years of Year 1 (5), Year 2 (0.5), and Year 3(0.5) with more effort in Year 1.</t>
    </r>
  </si>
  <si>
    <r>
      <t>d</t>
    </r>
    <r>
      <rPr>
        <sz val="10"/>
        <color theme="1"/>
        <rFont val="Times New Roman"/>
        <family val="1"/>
      </rPr>
      <t xml:space="preserve"> We have assumed that all three facilities will need to update their plan, for an average number of respondents of 1 per year.</t>
    </r>
  </si>
  <si>
    <r>
      <t>e</t>
    </r>
    <r>
      <rPr>
        <sz val="10"/>
        <rFont val="Times New Roman"/>
        <family val="1"/>
      </rPr>
      <t xml:space="preserve"> The person-hours per response account for tests on both continuous and batch sources. Tests for continuous sources may be shorter than average and tests for batch sources may be longer than average. In addition, we have assumed that the respondents per year is 1.8 for performance testing since there are effectively 9 separate sets of tests that would have to be done every 5 years across the three facilities.  This estimate of 9 tests is based on EPA's previous estimate of 4 tests for 2 facilities plus 5 additional sources being tested based on industry comments received for the ICR renewal. We have also assumed that one test will need to be redone each five years, or 0.2 respondents per year.</t>
    </r>
  </si>
  <si>
    <r>
      <t>f</t>
    </r>
    <r>
      <rPr>
        <sz val="10"/>
        <color theme="1"/>
        <rFont val="Times New Roman"/>
        <family val="1"/>
      </rPr>
      <t xml:space="preserve"> We assume 12 hours are required to complete the CMS performance evaluation. This activity only applies to new sources.</t>
    </r>
  </si>
  <si>
    <r>
      <t>g</t>
    </r>
    <r>
      <rPr>
        <sz val="10"/>
        <color theme="1"/>
        <rFont val="Times New Roman"/>
        <family val="1"/>
      </rPr>
      <t xml:space="preserve"> We have assumed that there are no existing respondents required to comply using THC CEMS.</t>
    </r>
  </si>
  <si>
    <r>
      <t>h</t>
    </r>
    <r>
      <rPr>
        <sz val="10"/>
        <color theme="1"/>
        <rFont val="Times New Roman"/>
        <family val="1"/>
      </rPr>
      <t xml:space="preserve"> § 63.9812(f) states that on and after November 19, 2021, facilities may not use a fuel other than natural gas or equivalent to fire the affected kiln.</t>
    </r>
  </si>
  <si>
    <r>
      <t>i</t>
    </r>
    <r>
      <rPr>
        <sz val="10"/>
        <color theme="1"/>
        <rFont val="Times New Roman"/>
        <family val="1"/>
      </rPr>
      <t xml:space="preserve"> Facilities must request approval to bypass the control device for each instance of control device maintenance. The estimated number of requests per year is based on information from industry regarding the types of scheduled routine maintenance.</t>
    </r>
  </si>
  <si>
    <r>
      <t>j</t>
    </r>
    <r>
      <rPr>
        <sz val="10"/>
        <color theme="1"/>
        <rFont val="Times New Roman"/>
        <family val="1"/>
      </rPr>
      <t xml:space="preserve"> We have assumed that two respondents will report a deviation once per year.</t>
    </r>
  </si>
  <si>
    <r>
      <t>k</t>
    </r>
    <r>
      <rPr>
        <sz val="10"/>
        <color theme="1"/>
        <rFont val="Times New Roman"/>
        <family val="1"/>
      </rPr>
      <t xml:space="preserve"> We have assumed that one respondent will report no deviations on a semi-annual basis and the other two respondents will report no deviations for one of the two semi-annual reports per year.</t>
    </r>
  </si>
  <si>
    <r>
      <t>l</t>
    </r>
    <r>
      <rPr>
        <sz val="10"/>
        <color theme="1"/>
        <rFont val="Times New Roman"/>
        <family val="1"/>
      </rPr>
      <t xml:space="preserve"> § 63.9814(g) states that on and after November 19, 2021, facilities may not use a fuel other than natural gas or equivalent to fire the affected kiln.</t>
    </r>
  </si>
  <si>
    <r>
      <t>m</t>
    </r>
    <r>
      <rPr>
        <sz val="10"/>
        <color theme="1"/>
        <rFont val="Times New Roman"/>
        <family val="1"/>
      </rPr>
      <t xml:space="preserve"> We have assumed that information will be recorded once per week for 52 weeks per year.</t>
    </r>
  </si>
  <si>
    <r>
      <t xml:space="preserve">n </t>
    </r>
    <r>
      <rPr>
        <sz val="10"/>
        <color theme="1"/>
        <rFont val="Times New Roman"/>
        <family val="1"/>
      </rPr>
      <t>We have assumed that it will take 0.25 hours for information to be transmitted or disclosed, and two semi-annual reports with at least one more report (e.g. notification of fuel change) will be submitted annually.</t>
    </r>
  </si>
  <si>
    <r>
      <t>o</t>
    </r>
    <r>
      <rPr>
        <sz val="10"/>
        <color theme="1"/>
        <rFont val="Times New Roman"/>
        <family val="1"/>
      </rPr>
      <t xml:space="preserve"> Totals have been rounded to 3 significant values. Figures may not add exactly due to rounding.</t>
    </r>
  </si>
  <si>
    <t>Table 2: Average Annual EPA Burden and Cost – NESHAP for Refractory Products Manufacturing (40 CFR Part 63, Subpart SSSSS) (Renewal)</t>
  </si>
  <si>
    <t>Activity</t>
  </si>
  <si>
    <t>EPA person-hours per occurrence</t>
  </si>
  <si>
    <t>No. of occurrences per plant per year</t>
  </si>
  <si>
    <t>EPA person-hours per plant per year (C=AxB)</t>
  </si>
  <si>
    <r>
      <t xml:space="preserve">Plants per year  </t>
    </r>
    <r>
      <rPr>
        <b/>
        <vertAlign val="superscript"/>
        <sz val="10"/>
        <color rgb="FF000000"/>
        <rFont val="Times New Roman"/>
        <family val="1"/>
      </rPr>
      <t>a</t>
    </r>
  </si>
  <si>
    <t>Attend initial performance test</t>
  </si>
  <si>
    <t>Attend repeat performance test</t>
  </si>
  <si>
    <t>Managerial</t>
  </si>
  <si>
    <t>Retesting preparation</t>
  </si>
  <si>
    <t>Technical</t>
  </si>
  <si>
    <t>Retesting</t>
  </si>
  <si>
    <t>Clerical</t>
  </si>
  <si>
    <t>Report review</t>
  </si>
  <si>
    <t>Notification of anticipated startup</t>
  </si>
  <si>
    <t>Notification of performance test</t>
  </si>
  <si>
    <t xml:space="preserve">Notification of compliance status     </t>
  </si>
  <si>
    <r>
      <t xml:space="preserve">Notification of intent to use alternative fuel </t>
    </r>
    <r>
      <rPr>
        <vertAlign val="superscript"/>
        <sz val="12"/>
        <color rgb="FF000000"/>
        <rFont val="Times New Roman"/>
        <family val="1"/>
      </rPr>
      <t>c</t>
    </r>
  </si>
  <si>
    <t>Request for approval to bypass the control device for maintenance</t>
  </si>
  <si>
    <t xml:space="preserve">Review performance test report </t>
  </si>
  <si>
    <t>Semi-annual compliance reports</t>
  </si>
  <si>
    <r>
      <t xml:space="preserve">Deviation </t>
    </r>
    <r>
      <rPr>
        <vertAlign val="superscript"/>
        <sz val="12"/>
        <color rgb="FF000000"/>
        <rFont val="Times New Roman"/>
        <family val="1"/>
      </rPr>
      <t>d</t>
    </r>
  </si>
  <si>
    <r>
      <t xml:space="preserve">No Deviation </t>
    </r>
    <r>
      <rPr>
        <vertAlign val="superscript"/>
        <sz val="12"/>
        <color rgb="FF000000"/>
        <rFont val="Times New Roman"/>
        <family val="1"/>
      </rPr>
      <t>e</t>
    </r>
  </si>
  <si>
    <r>
      <rPr>
        <sz val="10"/>
        <rFont val="Times New Roman"/>
        <family val="1"/>
      </rPr>
      <t>Report</t>
    </r>
    <r>
      <rPr>
        <sz val="10"/>
        <color rgb="FFFF0000"/>
        <rFont val="Times New Roman"/>
        <family val="1"/>
      </rPr>
      <t xml:space="preserve"> </t>
    </r>
    <r>
      <rPr>
        <sz val="10"/>
        <color rgb="FF000000"/>
        <rFont val="Times New Roman"/>
        <family val="1"/>
      </rPr>
      <t xml:space="preserve">of alternative fuel use </t>
    </r>
    <r>
      <rPr>
        <vertAlign val="superscript"/>
        <sz val="12"/>
        <color rgb="FF000000"/>
        <rFont val="Times New Roman"/>
        <family val="1"/>
      </rPr>
      <t>f</t>
    </r>
  </si>
  <si>
    <r>
      <t xml:space="preserve">TOTAL ANNUAL BURDEN AND COST (rounded) </t>
    </r>
    <r>
      <rPr>
        <b/>
        <vertAlign val="superscript"/>
        <sz val="10"/>
        <color rgb="FF000000"/>
        <rFont val="Times New Roman"/>
        <family val="1"/>
      </rPr>
      <t>g</t>
    </r>
  </si>
  <si>
    <r>
      <t>b</t>
    </r>
    <r>
      <rPr>
        <sz val="10"/>
        <color rgb="FF000000"/>
        <rFont val="Times New Roman"/>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</si>
  <si>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c</t>
    </r>
    <r>
      <rPr>
        <sz val="10"/>
        <color theme="1"/>
        <rFont val="Times New Roman"/>
        <family val="1"/>
      </rPr>
      <t xml:space="preserve"> § 63.9812(f) states that on and after November 19, 2021, facilities may not use a fuel other than natural gas or equivalent to fire the affected kiln.</t>
    </r>
  </si>
  <si>
    <r>
      <t>d</t>
    </r>
    <r>
      <rPr>
        <sz val="10"/>
        <color theme="1"/>
        <rFont val="Times New Roman"/>
        <family val="1"/>
      </rPr>
      <t xml:space="preserve"> We have assumed that two respondents will report deviations once a year.</t>
    </r>
  </si>
  <si>
    <r>
      <t>e</t>
    </r>
    <r>
      <rPr>
        <sz val="10"/>
        <color theme="1"/>
        <rFont val="Times New Roman"/>
        <family val="1"/>
      </rPr>
      <t xml:space="preserve"> We have assumed that one respondent will report no deviations twice a year and that the other two respondents will report no deviations for one of the two semi-annual reports.</t>
    </r>
  </si>
  <si>
    <r>
      <t>f</t>
    </r>
    <r>
      <rPr>
        <sz val="10"/>
        <color theme="1"/>
        <rFont val="Times New Roman"/>
        <family val="1"/>
      </rPr>
      <t xml:space="preserve"> § 63.9814(g) states that on and after November 19, 2021, facilities may not use a fuel other than natural gas or equivalent to fire the affected kiln.</t>
    </r>
  </si>
  <si>
    <r>
      <t>g</t>
    </r>
    <r>
      <rPr>
        <sz val="10"/>
        <color theme="1"/>
        <rFont val="Times New Roman"/>
        <family val="1"/>
      </rPr>
      <t xml:space="preserve"> Totals have been rounded to 3 significant values.  Figures may not add exactly due to rounding.</t>
    </r>
  </si>
  <si>
    <t>Capital/Startup vs. Operation and Maintenance (O&amp;M) Costs</t>
  </si>
  <si>
    <t>Continuous Monitoring Device</t>
  </si>
  <si>
    <t>Capital/Startup Cost for One Respondent</t>
  </si>
  <si>
    <t>Number of New Respondents</t>
  </si>
  <si>
    <t>Total Capital/Startup Cost, (B x C)</t>
  </si>
  <si>
    <t>Number of Respondents with O&amp;M</t>
  </si>
  <si>
    <t>Total O&amp;M, (E x F)</t>
  </si>
  <si>
    <r>
      <rPr>
        <sz val="10"/>
        <color rgb="FF000000"/>
        <rFont val="Times New Roman"/>
      </rPr>
      <t xml:space="preserve">Continuous parameter monitoring system </t>
    </r>
    <r>
      <rPr>
        <vertAlign val="superscript"/>
        <sz val="10"/>
        <color rgb="FF000000"/>
        <rFont val="Times New Roman"/>
      </rPr>
      <t>b</t>
    </r>
  </si>
  <si>
    <r>
      <rPr>
        <sz val="10"/>
        <color rgb="FF000000"/>
        <rFont val="Times New Roman"/>
      </rPr>
      <t xml:space="preserve">Visible emissions checks </t>
    </r>
    <r>
      <rPr>
        <vertAlign val="superscript"/>
        <sz val="10"/>
        <color rgb="FF000000"/>
        <rFont val="Times New Roman"/>
      </rPr>
      <t>c</t>
    </r>
  </si>
  <si>
    <r>
      <rPr>
        <vertAlign val="superscript"/>
        <sz val="10"/>
        <color rgb="FF000000"/>
        <rFont val="Times New Roman"/>
      </rPr>
      <t>b</t>
    </r>
    <r>
      <rPr>
        <sz val="10"/>
        <color rgb="FF000000"/>
        <rFont val="Times New Roman"/>
      </rPr>
      <t xml:space="preserve"> It is assumed that no existing sources have installed CEMS.</t>
    </r>
  </si>
  <si>
    <r>
      <rPr>
        <vertAlign val="superscript"/>
        <sz val="10"/>
        <color rgb="FF000000"/>
        <rFont val="Times New Roman"/>
      </rPr>
      <t>c</t>
    </r>
    <r>
      <rPr>
        <sz val="10"/>
        <color rgb="FF000000"/>
        <rFont val="Times New Roman"/>
      </rPr>
      <t xml:space="preserve"> Required for compliance with the proposed particulate matter standards for clay refractory kilns. There are two facilities with clay refractory kilns.</t>
    </r>
  </si>
  <si>
    <t>Respondents That Submit Reports</t>
  </si>
  <si>
    <t>Respondents That Do Not Submit Any Reports</t>
  </si>
  <si>
    <t>Year</t>
  </si>
  <si>
    <r>
      <t xml:space="preserve">Number of New Respondents </t>
    </r>
    <r>
      <rPr>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</si>
  <si>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</si>
  <si>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</si>
  <si>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</si>
  <si>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</si>
  <si>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</si>
  <si>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a</t>
    </r>
    <r>
      <rPr>
        <sz val="10"/>
        <color rgb="FF000000"/>
        <rFont val="Times New Roman"/>
        <family val="1"/>
      </rPr>
      <t xml:space="preserve"> New respondents include facilities with affected facilities constructed or reconstructed during the 3-year period of this ICR. Existing respondents include facilities with affected facilities constructed after April 16, 2003 and before the 3-year period of this ICR.</t>
    </r>
  </si>
  <si>
    <t>Total Annual Responses</t>
  </si>
  <si>
    <t>Information Collection Activity</t>
  </si>
  <si>
    <t>Number of Responses</t>
  </si>
  <si>
    <t>Number of Existing Respondents That Keep Records But Do Not Submit Reports</t>
  </si>
  <si>
    <t>Total Annual Responses
E=(BxC)+D</t>
  </si>
  <si>
    <t>Notification of compliance status</t>
  </si>
  <si>
    <t>Notification of intent to use alternative fuel</t>
  </si>
  <si>
    <t>Request approval to bypass the control device for maintenance</t>
  </si>
  <si>
    <t>Semi-annual compliance report with deviations</t>
  </si>
  <si>
    <t>Semi-annual compliance report with no deviations</t>
  </si>
  <si>
    <t>Report of alternative fuel use</t>
  </si>
  <si>
    <t>Performance testing results</t>
  </si>
  <si>
    <t>Total</t>
  </si>
  <si>
    <t>CEPCI Index</t>
  </si>
  <si>
    <r>
      <t xml:space="preserve">Annual O&amp;M Costs for One Respondent </t>
    </r>
    <r>
      <rPr>
        <b/>
        <vertAlign val="superscript"/>
        <sz val="10"/>
        <color theme="1"/>
        <rFont val="Times New Roman"/>
        <family val="1"/>
      </rPr>
      <t>a</t>
    </r>
  </si>
  <si>
    <r>
      <rPr>
        <vertAlign val="superscript"/>
        <sz val="10"/>
        <color rgb="FF000000"/>
        <rFont val="Times New Roman"/>
        <family val="1"/>
      </rPr>
      <t>a</t>
    </r>
    <r>
      <rPr>
        <sz val="10"/>
        <color rgb="FF000000"/>
        <rFont val="Times New Roman"/>
      </rPr>
      <t xml:space="preserve"> Capital/Startup and Annual O&amp;M costs have been updated from 2009 to 2023 (Continuous parameter monitoring system) and 2021 to 2023 (Visible emissions checks) using the CEPCI Index.  </t>
    </r>
  </si>
  <si>
    <r>
      <t xml:space="preserve">Performance Testing </t>
    </r>
    <r>
      <rPr>
        <vertAlign val="superscript"/>
        <sz val="10"/>
        <color rgb="FF000000"/>
        <rFont val="Times New Roman"/>
        <family val="1"/>
      </rPr>
      <t>d</t>
    </r>
  </si>
  <si>
    <r>
      <t xml:space="preserve">Total (rounded) </t>
    </r>
    <r>
      <rPr>
        <vertAlign val="superscript"/>
        <sz val="10"/>
        <color rgb="FF000000"/>
        <rFont val="Times New Roman"/>
      </rPr>
      <t>e</t>
    </r>
  </si>
  <si>
    <r>
      <t>e</t>
    </r>
    <r>
      <rPr>
        <sz val="10"/>
        <color rgb="FF000000"/>
        <rFont val="Times New Roman"/>
      </rPr>
      <t xml:space="preserve"> Totals have been rounded to 3 significant figures. Figures may not add exactly due to rounding.</t>
    </r>
  </si>
  <si>
    <r>
      <rPr>
        <vertAlign val="superscript"/>
        <sz val="10"/>
        <color theme="1"/>
        <rFont val="Times New Roman"/>
        <family val="1"/>
      </rPr>
      <t>d</t>
    </r>
    <r>
      <rPr>
        <sz val="10"/>
        <color theme="1"/>
        <rFont val="Times New Roman"/>
        <family val="1"/>
      </rPr>
      <t xml:space="preserve"> Respondents with affected sources are required to conduct performance testing to demonstrate compliance every 5 years. Across the 3 years of the ICR, the cost of the tests conducted in each year is estimated to be $60,000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</si>
</sst>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36" x14ac:knownFonts="1">
    <font>
      <sz val="11"/>
      <color theme="1"/>
      <name val="Calibri"/>
      <family val="2"/>
      <scheme val="minor"/>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rgb="FF000000"/>
      <name val="Times New Roman"/>
      <family val="1"/>
    </font>
    <font>
      <vertAlign val="superscript"/>
      <sz val="10"/>
      <color rgb="FF000000"/>
      <name val="Times New Roman"/>
      <family val="1"/>
    </font>
    <font>
      <b/>
      <sz val="10"/>
      <color theme="1"/>
      <name val="Times New Roman"/>
      <family val="1"/>
    </font>
    <font>
      <sz val="10"/>
      <color theme="1"/>
      <name val="Times New Roman"/>
      <family val="1"/>
    </font>
    <font>
      <sz val="12"/>
      <color rgb="FFFF0000"/>
      <name val="Times New Roman"/>
      <family val="1"/>
    </font>
    <font>
      <sz val="12"/>
      <color rgb="FFFF0000"/>
      <name val="Symbol"/>
      <family val="1"/>
      <charset val="2"/>
    </font>
    <font>
      <b/>
      <i/>
      <sz val="8"/>
      <color rgb="FFFF0000"/>
      <name val="Times New Roman"/>
      <family val="1"/>
    </font>
    <font>
      <b/>
      <sz val="8"/>
      <color rgb="FFFF0000"/>
      <name val="Times New Roman"/>
      <family val="1"/>
    </font>
    <font>
      <b/>
      <i/>
      <sz val="10"/>
      <color rgb="FF000000"/>
      <name val="Times New Roman"/>
      <family val="1"/>
    </font>
    <font>
      <b/>
      <i/>
      <sz val="10"/>
      <color theme="1"/>
      <name val="Times New Roman"/>
      <family val="1"/>
    </font>
    <font>
      <b/>
      <i/>
      <sz val="11"/>
      <color theme="1"/>
      <name val="Calibri"/>
      <family val="2"/>
      <scheme val="minor"/>
    </font>
    <font>
      <b/>
      <sz val="11"/>
      <name val="Calibri"/>
      <family val="2"/>
      <scheme val="minor"/>
    </font>
    <font>
      <b/>
      <sz val="10"/>
      <name val="Times New Roman"/>
      <family val="1"/>
    </font>
    <font>
      <b/>
      <sz val="12"/>
      <name val="Times New Roman"/>
      <family val="1"/>
    </font>
    <font>
      <sz val="11"/>
      <color rgb="FFFF0000"/>
      <name val="Calibri"/>
      <family val="2"/>
      <scheme val="minor"/>
    </font>
    <font>
      <strike/>
      <sz val="10"/>
      <color rgb="FFFF0000"/>
      <name val="Times New Roman"/>
      <family val="1"/>
    </font>
    <font>
      <sz val="10"/>
      <name val="Times New Roman"/>
      <family val="1"/>
    </font>
    <font>
      <sz val="11"/>
      <name val="Calibri"/>
      <family val="2"/>
      <scheme val="minor"/>
    </font>
    <font>
      <vertAlign val="superscript"/>
      <sz val="10"/>
      <name val="Times New Roman"/>
      <family val="1"/>
    </font>
    <font>
      <sz val="10"/>
      <color rgb="FFFF0000"/>
      <name val="Times New Roman"/>
      <family val="1"/>
    </font>
    <font>
      <vertAlign val="superscript"/>
      <sz val="10"/>
      <color theme="1"/>
      <name val="Times New Roman"/>
      <family val="1"/>
    </font>
    <font>
      <b/>
      <vertAlign val="superscript"/>
      <sz val="10"/>
      <name val="Times New Roman"/>
      <family val="1"/>
    </font>
    <font>
      <b/>
      <sz val="11"/>
      <color theme="1"/>
      <name val="Calibri"/>
      <family val="2"/>
      <scheme val="minor"/>
    </font>
    <font>
      <b/>
      <sz val="11"/>
      <color theme="1"/>
      <name val="Times New Roman"/>
      <family val="1"/>
    </font>
    <font>
      <vertAlign val="superscript"/>
      <sz val="10"/>
      <color rgb="FF000000"/>
      <name val="Times New Roman"/>
    </font>
    <font>
      <sz val="10"/>
      <color rgb="FF000000"/>
      <name val="Times New Roman"/>
    </font>
    <font>
      <b/>
      <sz val="11"/>
      <color rgb="FF000000"/>
      <name val="Times New Roman"/>
      <family val="1"/>
    </font>
    <font>
      <sz val="11"/>
      <color theme="1"/>
      <name val="Times New Roman"/>
      <family val="1"/>
    </font>
    <font>
      <b/>
      <sz val="12"/>
      <color rgb="FF000000"/>
      <name val="Times New Roman"/>
      <family val="1"/>
    </font>
    <font>
      <sz val="9"/>
      <color theme="1"/>
      <name val="Times New Roman"/>
      <family val="1"/>
    </font>
    <font>
      <sz val="9"/>
      <color rgb="FF000000"/>
      <name val="Times New Roman"/>
      <family val="1"/>
    </font>
    <font>
      <b/>
      <vertAlign val="superscript"/>
      <sz val="10"/>
      <color theme="1"/>
      <name val="Times New Roman"/>
      <family val="1"/>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2">
    <xf numFmtId="0" fontId="0" fillId="0" borderId="0" xfId="0"/>
    <xf numFmtId="0" fontId="0" fillId="0" borderId="0" xfId="0" applyAlignment="1">
      <alignment wrapText="1"/>
    </xf>
    <xf numFmtId="0" fontId="3" fillId="0" borderId="1" xfId="0" applyFont="1" applyBorder="1" applyAlignment="1">
      <alignment horizontal="left"/>
    </xf>
    <xf numFmtId="0" fontId="1" fillId="0" borderId="1" xfId="0" applyFont="1" applyBorder="1" applyAlignment="1">
      <alignment horizontal="left"/>
    </xf>
    <xf numFmtId="0" fontId="3" fillId="0" borderId="1" xfId="0" applyFont="1" applyBorder="1" applyAlignment="1">
      <alignment horizontal="center"/>
    </xf>
    <xf numFmtId="6" fontId="3" fillId="0" borderId="1" xfId="0" applyNumberFormat="1" applyFont="1" applyBorder="1" applyAlignment="1">
      <alignment horizontal="right"/>
    </xf>
    <xf numFmtId="0" fontId="0" fillId="0" borderId="1" xfId="0" applyBorder="1"/>
    <xf numFmtId="0" fontId="3" fillId="0" borderId="1" xfId="0" applyFont="1" applyBorder="1" applyAlignment="1">
      <alignment horizontal="right"/>
    </xf>
    <xf numFmtId="6" fontId="1" fillId="0" borderId="1" xfId="0" applyNumberFormat="1" applyFont="1" applyBorder="1" applyAlignment="1">
      <alignment horizontal="right"/>
    </xf>
    <xf numFmtId="0" fontId="1" fillId="0" borderId="2" xfId="0" applyFont="1" applyBorder="1"/>
    <xf numFmtId="0" fontId="1" fillId="0" borderId="3" xfId="0" applyFont="1" applyBorder="1" applyAlignment="1">
      <alignment wrapText="1"/>
    </xf>
    <xf numFmtId="0" fontId="8" fillId="0" borderId="0" xfId="0" applyFont="1"/>
    <xf numFmtId="0" fontId="12" fillId="0" borderId="1" xfId="0" applyFont="1" applyBorder="1" applyAlignment="1">
      <alignment horizontal="left"/>
    </xf>
    <xf numFmtId="0" fontId="3" fillId="0" borderId="1" xfId="0" applyFont="1" applyBorder="1" applyAlignment="1">
      <alignment horizontal="center" vertical="center" wrapText="1"/>
    </xf>
    <xf numFmtId="0" fontId="17" fillId="0" borderId="0" xfId="0" applyFont="1"/>
    <xf numFmtId="1" fontId="0" fillId="0" borderId="0" xfId="0" applyNumberFormat="1"/>
    <xf numFmtId="0" fontId="1" fillId="0" borderId="2" xfId="0" applyFont="1" applyBorder="1" applyAlignment="1">
      <alignment wrapText="1"/>
    </xf>
    <xf numFmtId="0" fontId="1" fillId="0" borderId="2" xfId="0" applyFont="1" applyBorder="1" applyAlignment="1">
      <alignment horizontal="center" wrapText="1"/>
    </xf>
    <xf numFmtId="0" fontId="1" fillId="0" borderId="3" xfId="0" applyFont="1" applyBorder="1" applyAlignment="1">
      <alignment horizontal="center" vertical="center" wrapText="1"/>
    </xf>
    <xf numFmtId="0" fontId="1" fillId="0" borderId="2" xfId="0" applyFont="1" applyBorder="1" applyAlignment="1">
      <alignment horizontal="center"/>
    </xf>
    <xf numFmtId="0" fontId="9" fillId="0" borderId="0" xfId="0" applyFont="1" applyAlignment="1">
      <alignment horizontal="left" indent="5"/>
    </xf>
    <xf numFmtId="0" fontId="10" fillId="0" borderId="0" xfId="0" applyFont="1"/>
    <xf numFmtId="0" fontId="11" fillId="0" borderId="0" xfId="0" applyFont="1"/>
    <xf numFmtId="0" fontId="18" fillId="0" borderId="0" xfId="0" applyFont="1"/>
    <xf numFmtId="0" fontId="20" fillId="0" borderId="1" xfId="0" applyFont="1" applyBorder="1" applyAlignment="1">
      <alignment horizontal="left"/>
    </xf>
    <xf numFmtId="0" fontId="20" fillId="0" borderId="1" xfId="0" applyFont="1" applyBorder="1" applyAlignment="1">
      <alignment horizontal="center" vertical="center" wrapText="1"/>
    </xf>
    <xf numFmtId="0" fontId="20" fillId="0" borderId="1" xfId="0" applyFont="1" applyBorder="1" applyAlignment="1">
      <alignment horizontal="left" indent="2"/>
    </xf>
    <xf numFmtId="2" fontId="0" fillId="0" borderId="0" xfId="0" applyNumberFormat="1"/>
    <xf numFmtId="0" fontId="7" fillId="0" borderId="0" xfId="0" applyFont="1"/>
    <xf numFmtId="0" fontId="23" fillId="0" borderId="0" xfId="0" applyFont="1"/>
    <xf numFmtId="0" fontId="3" fillId="0" borderId="1" xfId="0" applyFont="1" applyBorder="1" applyAlignment="1">
      <alignment horizontal="left" indent="2"/>
    </xf>
    <xf numFmtId="0" fontId="24" fillId="0" borderId="0" xfId="0" applyFont="1" applyAlignment="1">
      <alignment wrapText="1"/>
    </xf>
    <xf numFmtId="0" fontId="20" fillId="0" borderId="1" xfId="0"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0" fillId="0" borderId="1" xfId="0" applyFont="1" applyBorder="1" applyAlignment="1">
      <alignment horizontal="right" vertical="center" wrapText="1"/>
    </xf>
    <xf numFmtId="6" fontId="20" fillId="0" borderId="1" xfId="0" applyNumberFormat="1" applyFont="1" applyBorder="1" applyAlignment="1">
      <alignment horizontal="right" vertical="center" wrapText="1"/>
    </xf>
    <xf numFmtId="0" fontId="3"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14" fillId="0" borderId="1" xfId="0" applyFont="1" applyBorder="1" applyAlignment="1">
      <alignment vertical="center" wrapText="1"/>
    </xf>
    <xf numFmtId="165" fontId="13" fillId="0" borderId="1" xfId="0" applyNumberFormat="1"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horizontal="right" vertical="center" wrapText="1"/>
    </xf>
    <xf numFmtId="0" fontId="19" fillId="0" borderId="1" xfId="0" applyFont="1" applyBorder="1" applyAlignment="1">
      <alignment horizontal="center" vertical="center" wrapText="1"/>
    </xf>
    <xf numFmtId="164" fontId="19"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13" fillId="0" borderId="6" xfId="0" applyFont="1" applyBorder="1" applyAlignment="1">
      <alignment vertical="center" wrapText="1"/>
    </xf>
    <xf numFmtId="0" fontId="13" fillId="0" borderId="1" xfId="0" applyFont="1" applyBorder="1" applyAlignment="1">
      <alignment vertical="center" wrapText="1"/>
    </xf>
    <xf numFmtId="0" fontId="0" fillId="0" borderId="6" xfId="0" applyBorder="1" applyAlignment="1">
      <alignment vertical="center" wrapText="1"/>
    </xf>
    <xf numFmtId="165" fontId="1" fillId="0" borderId="1" xfId="0" applyNumberFormat="1" applyFont="1" applyBorder="1" applyAlignment="1">
      <alignment horizontal="right" vertical="center" wrapText="1"/>
    </xf>
    <xf numFmtId="0" fontId="15" fillId="0" borderId="5" xfId="0" applyFont="1" applyBorder="1" applyAlignment="1">
      <alignment vertical="center"/>
    </xf>
    <xf numFmtId="0" fontId="15" fillId="0" borderId="6" xfId="0" applyFont="1" applyBorder="1" applyAlignment="1">
      <alignment vertical="center"/>
    </xf>
    <xf numFmtId="165" fontId="16" fillId="0" borderId="1" xfId="0" applyNumberFormat="1" applyFont="1" applyBorder="1" applyAlignment="1">
      <alignment vertical="center"/>
    </xf>
    <xf numFmtId="0" fontId="6" fillId="0" borderId="0" xfId="0" applyFont="1" applyAlignment="1">
      <alignment vertical="top"/>
    </xf>
    <xf numFmtId="0" fontId="7" fillId="0" borderId="0" xfId="0" applyFont="1" applyAlignment="1">
      <alignment vertical="top"/>
    </xf>
    <xf numFmtId="0" fontId="20" fillId="0" borderId="1" xfId="0" applyFont="1" applyBorder="1" applyAlignment="1">
      <alignment horizontal="left" wrapText="1" indent="2"/>
    </xf>
    <xf numFmtId="0" fontId="20" fillId="0" borderId="1" xfId="0" applyFont="1" applyBorder="1" applyAlignment="1">
      <alignment horizontal="left" wrapText="1"/>
    </xf>
    <xf numFmtId="0" fontId="7" fillId="0" borderId="1" xfId="0" applyFont="1" applyBorder="1" applyAlignment="1">
      <alignment horizontal="left" indent="2"/>
    </xf>
    <xf numFmtId="0" fontId="16" fillId="0" borderId="1" xfId="0" applyFont="1" applyBorder="1"/>
    <xf numFmtId="0" fontId="16" fillId="0" borderId="4" xfId="0" applyFont="1" applyBorder="1"/>
    <xf numFmtId="6" fontId="0" fillId="0" borderId="0" xfId="0" applyNumberFormat="1"/>
    <xf numFmtId="0" fontId="24" fillId="0" borderId="0" xfId="0" applyFont="1" applyAlignment="1">
      <alignment vertical="top" wrapText="1"/>
    </xf>
    <xf numFmtId="0" fontId="7" fillId="0" borderId="1" xfId="0" applyFont="1" applyBorder="1" applyAlignment="1">
      <alignment horizontal="center" vertical="center" wrapText="1"/>
    </xf>
    <xf numFmtId="0" fontId="0" fillId="0" borderId="9" xfId="0" applyBorder="1"/>
    <xf numFmtId="8" fontId="0" fillId="0" borderId="7" xfId="0" applyNumberFormat="1" applyBorder="1" applyAlignment="1">
      <alignment vertical="center"/>
    </xf>
    <xf numFmtId="164" fontId="0" fillId="0" borderId="12" xfId="0" applyNumberFormat="1" applyBorder="1"/>
    <xf numFmtId="0" fontId="0" fillId="0" borderId="13" xfId="0" applyBorder="1"/>
    <xf numFmtId="164" fontId="0" fillId="0" borderId="8" xfId="0" applyNumberFormat="1" applyBorder="1"/>
    <xf numFmtId="8" fontId="0" fillId="0" borderId="12" xfId="0" applyNumberFormat="1" applyBorder="1"/>
    <xf numFmtId="8" fontId="0" fillId="0" borderId="8" xfId="0" applyNumberFormat="1" applyBorder="1"/>
    <xf numFmtId="0" fontId="31" fillId="0" borderId="0" xfId="0" applyFont="1" applyAlignment="1">
      <alignment vertical="center" wrapText="1"/>
    </xf>
    <xf numFmtId="1" fontId="31" fillId="0" borderId="0" xfId="0" applyNumberFormat="1" applyFont="1"/>
    <xf numFmtId="0" fontId="31" fillId="0" borderId="0" xfId="0" applyFont="1"/>
    <xf numFmtId="3" fontId="31" fillId="0" borderId="0" xfId="0" applyNumberFormat="1" applyFont="1"/>
    <xf numFmtId="6" fontId="31" fillId="0" borderId="0" xfId="0" applyNumberFormat="1" applyFont="1"/>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6" fontId="7" fillId="0" borderId="1" xfId="0" applyNumberFormat="1" applyFont="1" applyBorder="1" applyAlignment="1">
      <alignment horizontal="center"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horizontal="center" vertical="center" wrapText="1"/>
    </xf>
    <xf numFmtId="0" fontId="29" fillId="0" borderId="1" xfId="0" applyFont="1" applyBorder="1" applyAlignment="1">
      <alignment vertical="center" wrapText="1"/>
    </xf>
    <xf numFmtId="0" fontId="0" fillId="0" borderId="17" xfId="0" applyBorder="1"/>
    <xf numFmtId="0" fontId="0" fillId="0" borderId="18" xfId="0" applyBorder="1"/>
    <xf numFmtId="0" fontId="0" fillId="0" borderId="19" xfId="0" applyBorder="1" applyAlignment="1">
      <alignment wrapText="1"/>
    </xf>
    <xf numFmtId="0" fontId="0" fillId="0" borderId="20" xfId="0" applyBorder="1" applyAlignment="1">
      <alignment wrapText="1"/>
    </xf>
    <xf numFmtId="0" fontId="30" fillId="0" borderId="0" xfId="0" applyFont="1" applyAlignment="1">
      <alignment horizontal="center"/>
    </xf>
    <xf numFmtId="0" fontId="24" fillId="0" borderId="0" xfId="0" applyFont="1" applyAlignment="1">
      <alignment horizontal="left" vertical="top" wrapText="1"/>
    </xf>
    <xf numFmtId="1" fontId="1" fillId="0" borderId="4"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0" fontId="24" fillId="0" borderId="0" xfId="0" applyFont="1" applyAlignment="1">
      <alignment horizontal="left" vertical="top"/>
    </xf>
    <xf numFmtId="0" fontId="22" fillId="0" borderId="0" xfId="0" applyFont="1" applyAlignment="1">
      <alignment horizontal="left" vertical="top" wrapText="1"/>
    </xf>
    <xf numFmtId="1" fontId="12" fillId="0" borderId="4"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0" fontId="28" fillId="0" borderId="0" xfId="0" applyFont="1" applyAlignment="1">
      <alignment horizontal="left" vertical="top" wrapText="1"/>
    </xf>
    <xf numFmtId="0" fontId="27" fillId="0" borderId="10" xfId="0" applyFont="1" applyBorder="1" applyAlignment="1">
      <alignment horizontal="center"/>
    </xf>
    <xf numFmtId="0" fontId="27" fillId="0" borderId="11" xfId="0" applyFont="1" applyBorder="1" applyAlignment="1">
      <alignment horizont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1" fontId="1" fillId="0" borderId="4" xfId="0" applyNumberFormat="1" applyFont="1" applyBorder="1" applyAlignment="1">
      <alignment horizontal="center"/>
    </xf>
    <xf numFmtId="1" fontId="1" fillId="0" borderId="5" xfId="0" applyNumberFormat="1" applyFont="1" applyBorder="1" applyAlignment="1">
      <alignment horizontal="center"/>
    </xf>
    <xf numFmtId="1" fontId="1" fillId="0" borderId="6" xfId="0" applyNumberFormat="1" applyFont="1" applyBorder="1" applyAlignment="1">
      <alignment horizontal="center"/>
    </xf>
    <xf numFmtId="0" fontId="5" fillId="0" borderId="0" xfId="0" applyFont="1" applyAlignment="1">
      <alignment horizontal="left" vertical="top" wrapText="1"/>
    </xf>
    <xf numFmtId="0" fontId="5" fillId="0" borderId="0" xfId="0" applyFont="1" applyAlignment="1">
      <alignment horizontal="left" vertical="center"/>
    </xf>
    <xf numFmtId="0" fontId="28" fillId="0" borderId="0" xfId="0" applyFont="1" applyAlignment="1">
      <alignment horizontal="left" vertical="center"/>
    </xf>
    <xf numFmtId="0" fontId="7" fillId="0" borderId="0" xfId="0" applyFont="1" applyAlignment="1">
      <alignment horizontal="left"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32" fillId="0" borderId="2" xfId="0" applyFont="1" applyBorder="1" applyAlignment="1">
      <alignment horizontal="center" vertical="center" wrapText="1"/>
    </xf>
    <xf numFmtId="0" fontId="3" fillId="0" borderId="14" xfId="0" applyFont="1" applyBorder="1" applyAlignment="1">
      <alignment horizontal="left" vertical="center" wrapText="1"/>
    </xf>
    <xf numFmtId="0" fontId="29" fillId="0" borderId="14" xfId="0" applyFont="1" applyBorder="1" applyAlignment="1">
      <alignment horizontal="left" vertical="center" wrapText="1"/>
    </xf>
    <xf numFmtId="0" fontId="28" fillId="0" borderId="0" xfId="0" applyFont="1" applyAlignment="1">
      <alignment horizontal="left" vertical="center" wrapText="1"/>
    </xf>
    <xf numFmtId="0" fontId="32"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4"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C6465-C042-4DF1-B496-795161465ADC}">
  <dimension ref="A1:B7"/>
  <sheetViews>
    <sheetView tabSelected="1" workbookViewId="0">
      <selection activeCell="J11" sqref="J11"/>
    </sheetView>
  </sheetViews>
  <sheetFormatPr defaultRowHeight="15" x14ac:dyDescent="0.25"/>
  <cols>
    <col min="1" max="1" width="27.140625" bestFit="1" customWidth="1"/>
    <col min="2" max="2" width="13.7109375" bestFit="1" customWidth="1"/>
  </cols>
  <sheetData>
    <row r="1" spans="1:2" x14ac:dyDescent="0.25">
      <c r="A1" s="91" t="s">
        <v>0</v>
      </c>
      <c r="B1" s="91"/>
    </row>
    <row r="2" spans="1:2" x14ac:dyDescent="0.25">
      <c r="A2" s="70" t="s">
        <v>1</v>
      </c>
      <c r="B2" s="71">
        <f>'Table 1'!K48</f>
        <v>18.944444444444443</v>
      </c>
    </row>
    <row r="3" spans="1:2" x14ac:dyDescent="0.25">
      <c r="A3" s="70" t="s">
        <v>2</v>
      </c>
      <c r="B3" s="72">
        <f>Respondents!F8</f>
        <v>3</v>
      </c>
    </row>
    <row r="4" spans="1:2" x14ac:dyDescent="0.25">
      <c r="A4" s="70" t="s">
        <v>3</v>
      </c>
      <c r="B4" s="73">
        <f>'Table 1'!F46</f>
        <v>341</v>
      </c>
    </row>
    <row r="5" spans="1:2" x14ac:dyDescent="0.25">
      <c r="A5" s="70" t="s">
        <v>4</v>
      </c>
      <c r="B5" s="74">
        <f>'Table 1'!I48</f>
        <v>134000</v>
      </c>
    </row>
    <row r="6" spans="1:2" x14ac:dyDescent="0.25">
      <c r="A6" s="70" t="s">
        <v>5</v>
      </c>
      <c r="B6" s="74">
        <f>'Capital O&amp;M'!J7</f>
        <v>87000</v>
      </c>
    </row>
    <row r="7" spans="1:2" x14ac:dyDescent="0.25">
      <c r="A7" s="70" t="s">
        <v>6</v>
      </c>
      <c r="B7" s="72"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zoomScaleNormal="100" workbookViewId="0">
      <selection activeCell="A2" sqref="A2"/>
    </sheetView>
  </sheetViews>
  <sheetFormatPr defaultRowHeight="15" x14ac:dyDescent="0.25"/>
  <cols>
    <col min="1" max="1" width="52.7109375" customWidth="1"/>
    <col min="2" max="8" width="12.5703125" customWidth="1"/>
    <col min="9" max="9" width="10.85546875" customWidth="1"/>
    <col min="10" max="10" width="6.7109375" customWidth="1"/>
    <col min="11" max="11" width="12.5703125" customWidth="1"/>
  </cols>
  <sheetData>
    <row r="1" spans="1:14" ht="15.75" x14ac:dyDescent="0.25">
      <c r="A1" s="14" t="s">
        <v>8</v>
      </c>
    </row>
    <row r="2" spans="1:14" x14ac:dyDescent="0.25">
      <c r="J2" s="27"/>
      <c r="K2" s="27"/>
    </row>
    <row r="3" spans="1:14" s="1" customFormat="1" ht="15.75" x14ac:dyDescent="0.25">
      <c r="A3" s="16" t="s">
        <v>9</v>
      </c>
      <c r="B3" s="17" t="s">
        <v>10</v>
      </c>
      <c r="C3" s="17" t="s">
        <v>11</v>
      </c>
      <c r="D3" s="17" t="s">
        <v>12</v>
      </c>
      <c r="E3" s="17" t="s">
        <v>13</v>
      </c>
      <c r="F3" s="17" t="s">
        <v>14</v>
      </c>
      <c r="G3" s="17" t="s">
        <v>15</v>
      </c>
      <c r="H3" s="17" t="s">
        <v>16</v>
      </c>
      <c r="I3" s="17" t="s">
        <v>17</v>
      </c>
      <c r="N3" s="11"/>
    </row>
    <row r="4" spans="1:14" s="1" customFormat="1" ht="61.5" customHeight="1" thickBot="1" x14ac:dyDescent="0.3">
      <c r="A4" s="10"/>
      <c r="B4" s="18" t="s">
        <v>18</v>
      </c>
      <c r="C4" s="18" t="s">
        <v>19</v>
      </c>
      <c r="D4" s="18" t="s">
        <v>20</v>
      </c>
      <c r="E4" s="18" t="s">
        <v>21</v>
      </c>
      <c r="F4" s="18" t="s">
        <v>22</v>
      </c>
      <c r="G4" s="18" t="s">
        <v>23</v>
      </c>
      <c r="H4" s="18" t="s">
        <v>24</v>
      </c>
      <c r="I4" s="18" t="s">
        <v>25</v>
      </c>
      <c r="N4" s="11"/>
    </row>
    <row r="5" spans="1:14" ht="15.75" customHeight="1" thickBot="1" x14ac:dyDescent="0.3">
      <c r="A5" s="24" t="s">
        <v>26</v>
      </c>
      <c r="B5" s="25" t="s">
        <v>27</v>
      </c>
      <c r="C5" s="33"/>
      <c r="D5" s="34"/>
      <c r="E5" s="34"/>
      <c r="F5" s="34"/>
      <c r="G5" s="34"/>
      <c r="H5" s="34"/>
      <c r="I5" s="35"/>
      <c r="K5" s="102" t="s">
        <v>28</v>
      </c>
      <c r="L5" s="103"/>
      <c r="N5" s="11"/>
    </row>
    <row r="6" spans="1:14" ht="15.75" customHeight="1" x14ac:dyDescent="0.25">
      <c r="A6" s="24" t="s">
        <v>29</v>
      </c>
      <c r="B6" s="25" t="s">
        <v>27</v>
      </c>
      <c r="C6" s="33"/>
      <c r="D6" s="34"/>
      <c r="E6" s="34"/>
      <c r="F6" s="34"/>
      <c r="G6" s="34"/>
      <c r="H6" s="34"/>
      <c r="I6" s="35"/>
      <c r="K6" s="63" t="s">
        <v>30</v>
      </c>
      <c r="L6" s="64">
        <v>141.75</v>
      </c>
      <c r="N6" s="11"/>
    </row>
    <row r="7" spans="1:14" ht="15.75" customHeight="1" x14ac:dyDescent="0.25">
      <c r="A7" s="24" t="s">
        <v>31</v>
      </c>
      <c r="B7" s="34"/>
      <c r="C7" s="33"/>
      <c r="D7" s="34"/>
      <c r="E7" s="34"/>
      <c r="F7" s="34"/>
      <c r="G7" s="34"/>
      <c r="H7" s="34"/>
      <c r="I7" s="35"/>
      <c r="K7" s="63" t="s">
        <v>32</v>
      </c>
      <c r="L7" s="65">
        <v>172.41</v>
      </c>
      <c r="N7" s="20"/>
    </row>
    <row r="8" spans="1:14" ht="15.75" customHeight="1" thickBot="1" x14ac:dyDescent="0.3">
      <c r="A8" s="32" t="s">
        <v>33</v>
      </c>
      <c r="B8" s="25">
        <v>2</v>
      </c>
      <c r="C8" s="25">
        <v>1</v>
      </c>
      <c r="D8" s="25">
        <f>B8*C8</f>
        <v>2</v>
      </c>
      <c r="E8" s="25">
        <v>3</v>
      </c>
      <c r="F8" s="25">
        <f>D8*E8</f>
        <v>6</v>
      </c>
      <c r="G8" s="25">
        <f>F8*0.05</f>
        <v>0.30000000000000004</v>
      </c>
      <c r="H8" s="25">
        <f>F8*0.1</f>
        <v>0.60000000000000009</v>
      </c>
      <c r="I8" s="36">
        <f>F8*L$6+G8*L$7+H8*L$8</f>
        <v>945.03899999999999</v>
      </c>
      <c r="K8" s="66" t="s">
        <v>34</v>
      </c>
      <c r="L8" s="67">
        <v>71.36</v>
      </c>
    </row>
    <row r="9" spans="1:14" ht="15.75" customHeight="1" x14ac:dyDescent="0.25">
      <c r="A9" s="24" t="s">
        <v>35</v>
      </c>
      <c r="B9" s="34"/>
      <c r="C9" s="34"/>
      <c r="D9" s="34"/>
      <c r="E9" s="25"/>
      <c r="F9" s="34"/>
      <c r="G9" s="34"/>
      <c r="H9" s="34"/>
      <c r="I9" s="35"/>
      <c r="N9" s="11"/>
    </row>
    <row r="10" spans="1:14" ht="15.75" customHeight="1" x14ac:dyDescent="0.25">
      <c r="A10" s="26" t="s">
        <v>36</v>
      </c>
      <c r="B10" s="25">
        <v>32</v>
      </c>
      <c r="C10" s="25">
        <v>1</v>
      </c>
      <c r="D10" s="25">
        <f t="shared" ref="D10:D19" si="0">B10*C10</f>
        <v>32</v>
      </c>
      <c r="E10" s="25">
        <v>0</v>
      </c>
      <c r="F10" s="25">
        <f t="shared" ref="F10:F11" si="1">D10*E10</f>
        <v>0</v>
      </c>
      <c r="G10" s="25">
        <f t="shared" ref="G10:G11" si="2">F10*0.05</f>
        <v>0</v>
      </c>
      <c r="H10" s="25">
        <f t="shared" ref="H10:H11" si="3">F10*0.1</f>
        <v>0</v>
      </c>
      <c r="I10" s="36">
        <f>F10*L$6+G10*L$7+H10*L$8</f>
        <v>0</v>
      </c>
      <c r="N10" s="11"/>
    </row>
    <row r="11" spans="1:14" s="28" customFormat="1" ht="15.75" customHeight="1" x14ac:dyDescent="0.2">
      <c r="A11" s="26" t="s">
        <v>37</v>
      </c>
      <c r="B11" s="25">
        <v>4</v>
      </c>
      <c r="C11" s="25">
        <v>1</v>
      </c>
      <c r="D11" s="25">
        <f t="shared" si="0"/>
        <v>4</v>
      </c>
      <c r="E11" s="25">
        <v>1</v>
      </c>
      <c r="F11" s="25">
        <f t="shared" si="1"/>
        <v>4</v>
      </c>
      <c r="G11" s="25">
        <f t="shared" si="2"/>
        <v>0.2</v>
      </c>
      <c r="H11" s="25">
        <f t="shared" si="3"/>
        <v>0.4</v>
      </c>
      <c r="I11" s="36">
        <f t="shared" ref="I11:I19" si="4">F11*L$6+G11*L$7+H11*L$8</f>
        <v>630.02599999999995</v>
      </c>
      <c r="N11" s="29"/>
    </row>
    <row r="12" spans="1:14" s="28" customFormat="1" ht="30" customHeight="1" x14ac:dyDescent="0.2">
      <c r="A12" s="26" t="s">
        <v>38</v>
      </c>
      <c r="B12" s="25">
        <v>75</v>
      </c>
      <c r="C12" s="25">
        <v>1</v>
      </c>
      <c r="D12" s="25">
        <f t="shared" si="0"/>
        <v>75</v>
      </c>
      <c r="E12" s="25">
        <f>9/5</f>
        <v>1.8</v>
      </c>
      <c r="F12" s="25">
        <f t="shared" ref="F12:F13" si="5">D12*E12</f>
        <v>135</v>
      </c>
      <c r="G12" s="25">
        <f t="shared" ref="G12:G13" si="6">F12*0.05</f>
        <v>6.75</v>
      </c>
      <c r="H12" s="25">
        <f t="shared" ref="H12:H13" si="7">F12*0.1</f>
        <v>13.5</v>
      </c>
      <c r="I12" s="36">
        <f t="shared" si="4"/>
        <v>21263.377500000002</v>
      </c>
    </row>
    <row r="13" spans="1:14" s="28" customFormat="1" ht="15.75" customHeight="1" x14ac:dyDescent="0.2">
      <c r="A13" s="26" t="s">
        <v>39</v>
      </c>
      <c r="B13" s="25">
        <v>24</v>
      </c>
      <c r="C13" s="25">
        <v>1</v>
      </c>
      <c r="D13" s="25">
        <f t="shared" si="0"/>
        <v>24</v>
      </c>
      <c r="E13" s="25">
        <f>1/5</f>
        <v>0.2</v>
      </c>
      <c r="F13" s="25">
        <f t="shared" si="5"/>
        <v>4.8000000000000007</v>
      </c>
      <c r="G13" s="25">
        <f t="shared" si="6"/>
        <v>0.24000000000000005</v>
      </c>
      <c r="H13" s="25">
        <f t="shared" si="7"/>
        <v>0.48000000000000009</v>
      </c>
      <c r="I13" s="36">
        <f t="shared" si="4"/>
        <v>756.03120000000013</v>
      </c>
    </row>
    <row r="14" spans="1:14" ht="15.75" customHeight="1" x14ac:dyDescent="0.25">
      <c r="A14" s="26" t="s">
        <v>40</v>
      </c>
      <c r="B14" s="25">
        <v>12</v>
      </c>
      <c r="C14" s="25">
        <v>1</v>
      </c>
      <c r="D14" s="25">
        <f t="shared" si="0"/>
        <v>12</v>
      </c>
      <c r="E14" s="25">
        <v>0</v>
      </c>
      <c r="F14" s="25">
        <f t="shared" ref="F14:F15" si="8">D14*E14</f>
        <v>0</v>
      </c>
      <c r="G14" s="25">
        <f t="shared" ref="G14:G15" si="9">F14*0.05</f>
        <v>0</v>
      </c>
      <c r="H14" s="25">
        <f t="shared" ref="H14:H15" si="10">F14*0.1</f>
        <v>0</v>
      </c>
      <c r="I14" s="36">
        <f t="shared" si="4"/>
        <v>0</v>
      </c>
    </row>
    <row r="15" spans="1:14" ht="15.75" customHeight="1" x14ac:dyDescent="0.25">
      <c r="A15" s="26" t="s">
        <v>41</v>
      </c>
      <c r="B15" s="25">
        <v>229</v>
      </c>
      <c r="C15" s="25">
        <v>1</v>
      </c>
      <c r="D15" s="25">
        <f t="shared" si="0"/>
        <v>229</v>
      </c>
      <c r="E15" s="25">
        <v>0</v>
      </c>
      <c r="F15" s="25">
        <f t="shared" si="8"/>
        <v>0</v>
      </c>
      <c r="G15" s="25">
        <f t="shared" si="9"/>
        <v>0</v>
      </c>
      <c r="H15" s="25">
        <f t="shared" si="10"/>
        <v>0</v>
      </c>
      <c r="I15" s="36">
        <f t="shared" si="4"/>
        <v>0</v>
      </c>
      <c r="J15" s="23"/>
      <c r="N15" s="21"/>
    </row>
    <row r="16" spans="1:14" ht="15.75" customHeight="1" x14ac:dyDescent="0.25">
      <c r="A16" s="55" t="s">
        <v>42</v>
      </c>
      <c r="B16" s="25"/>
      <c r="C16" s="25"/>
      <c r="D16" s="25"/>
      <c r="E16" s="25"/>
      <c r="F16" s="25"/>
      <c r="G16" s="25"/>
      <c r="H16" s="25"/>
      <c r="I16" s="36"/>
      <c r="N16" s="21"/>
    </row>
    <row r="17" spans="1:14" ht="15.75" customHeight="1" x14ac:dyDescent="0.25">
      <c r="A17" s="56" t="s">
        <v>43</v>
      </c>
      <c r="B17" s="25">
        <v>4</v>
      </c>
      <c r="C17" s="25">
        <v>1</v>
      </c>
      <c r="D17" s="25">
        <f t="shared" si="0"/>
        <v>4</v>
      </c>
      <c r="E17" s="25">
        <v>0</v>
      </c>
      <c r="F17" s="25">
        <f t="shared" ref="F17:F19" si="11">D17*E17</f>
        <v>0</v>
      </c>
      <c r="G17" s="25">
        <f t="shared" ref="G17:G19" si="12">F17*0.05</f>
        <v>0</v>
      </c>
      <c r="H17" s="25">
        <f t="shared" ref="H17:H19" si="13">F17*0.1</f>
        <v>0</v>
      </c>
      <c r="I17" s="36">
        <f t="shared" si="4"/>
        <v>0</v>
      </c>
      <c r="J17" s="23"/>
      <c r="N17" s="21"/>
    </row>
    <row r="18" spans="1:14" ht="15.75" customHeight="1" x14ac:dyDescent="0.25">
      <c r="A18" s="56" t="s">
        <v>44</v>
      </c>
      <c r="B18" s="25">
        <v>4</v>
      </c>
      <c r="C18" s="25">
        <v>3</v>
      </c>
      <c r="D18" s="25">
        <f t="shared" si="0"/>
        <v>12</v>
      </c>
      <c r="E18" s="25">
        <v>0</v>
      </c>
      <c r="F18" s="25">
        <f t="shared" si="11"/>
        <v>0</v>
      </c>
      <c r="G18" s="25">
        <f t="shared" si="12"/>
        <v>0</v>
      </c>
      <c r="H18" s="25">
        <f t="shared" si="13"/>
        <v>0</v>
      </c>
      <c r="I18" s="36">
        <f t="shared" si="4"/>
        <v>0</v>
      </c>
      <c r="N18" s="21"/>
    </row>
    <row r="19" spans="1:14" ht="15.75" customHeight="1" x14ac:dyDescent="0.25">
      <c r="A19" s="56" t="s">
        <v>45</v>
      </c>
      <c r="B19" s="25">
        <v>1</v>
      </c>
      <c r="C19" s="25">
        <v>365</v>
      </c>
      <c r="D19" s="25">
        <f t="shared" si="0"/>
        <v>365</v>
      </c>
      <c r="E19" s="25">
        <v>0</v>
      </c>
      <c r="F19" s="25">
        <f t="shared" si="11"/>
        <v>0</v>
      </c>
      <c r="G19" s="25">
        <f t="shared" si="12"/>
        <v>0</v>
      </c>
      <c r="H19" s="25">
        <f t="shared" si="13"/>
        <v>0</v>
      </c>
      <c r="I19" s="36">
        <f t="shared" si="4"/>
        <v>0</v>
      </c>
      <c r="N19" s="21"/>
    </row>
    <row r="20" spans="1:14" ht="15.75" customHeight="1" x14ac:dyDescent="0.25">
      <c r="A20" s="24" t="s">
        <v>46</v>
      </c>
      <c r="B20" s="25" t="s">
        <v>47</v>
      </c>
      <c r="C20" s="34"/>
      <c r="D20" s="34"/>
      <c r="E20" s="25"/>
      <c r="F20" s="34"/>
      <c r="G20" s="34"/>
      <c r="H20" s="34"/>
      <c r="I20" s="35"/>
      <c r="N20" s="22"/>
    </row>
    <row r="21" spans="1:14" ht="15.75" customHeight="1" x14ac:dyDescent="0.25">
      <c r="A21" s="24" t="s">
        <v>48</v>
      </c>
      <c r="B21" s="25" t="s">
        <v>47</v>
      </c>
      <c r="C21" s="34"/>
      <c r="D21" s="34"/>
      <c r="E21" s="25"/>
      <c r="F21" s="34"/>
      <c r="G21" s="34"/>
      <c r="H21" s="34"/>
      <c r="I21" s="35"/>
      <c r="N21" s="22"/>
    </row>
    <row r="22" spans="1:14" ht="15.75" customHeight="1" x14ac:dyDescent="0.25">
      <c r="A22" s="24" t="s">
        <v>49</v>
      </c>
      <c r="B22" s="34"/>
      <c r="C22" s="34"/>
      <c r="D22" s="34"/>
      <c r="E22" s="25"/>
      <c r="F22" s="34"/>
      <c r="G22" s="34"/>
      <c r="H22" s="34"/>
      <c r="I22" s="35"/>
      <c r="N22" s="22"/>
    </row>
    <row r="23" spans="1:14" ht="15.75" customHeight="1" x14ac:dyDescent="0.25">
      <c r="A23" s="26" t="s">
        <v>50</v>
      </c>
      <c r="B23" s="25">
        <v>2</v>
      </c>
      <c r="C23" s="25">
        <v>1</v>
      </c>
      <c r="D23" s="25">
        <f t="shared" ref="D23:D33" si="14">B23*C23</f>
        <v>2</v>
      </c>
      <c r="E23" s="25">
        <v>0</v>
      </c>
      <c r="F23" s="25">
        <f t="shared" ref="F23:F33" si="15">D23*E23</f>
        <v>0</v>
      </c>
      <c r="G23" s="25">
        <f t="shared" ref="G23:G33" si="16">F23*0.05</f>
        <v>0</v>
      </c>
      <c r="H23" s="25">
        <f t="shared" ref="H23:H33" si="17">F23*0.1</f>
        <v>0</v>
      </c>
      <c r="I23" s="36">
        <f t="shared" ref="I23:I33" si="18">F23*L$6+G23*L$7+H23*L$8</f>
        <v>0</v>
      </c>
      <c r="N23" s="22"/>
    </row>
    <row r="24" spans="1:14" ht="15.75" customHeight="1" x14ac:dyDescent="0.25">
      <c r="A24" s="26" t="s">
        <v>51</v>
      </c>
      <c r="B24" s="25">
        <v>2</v>
      </c>
      <c r="C24" s="25">
        <v>1</v>
      </c>
      <c r="D24" s="25">
        <f t="shared" si="14"/>
        <v>2</v>
      </c>
      <c r="E24" s="25">
        <v>0</v>
      </c>
      <c r="F24" s="25">
        <f t="shared" si="15"/>
        <v>0</v>
      </c>
      <c r="G24" s="25">
        <f t="shared" si="16"/>
        <v>0</v>
      </c>
      <c r="H24" s="25">
        <f t="shared" si="17"/>
        <v>0</v>
      </c>
      <c r="I24" s="36">
        <f t="shared" si="18"/>
        <v>0</v>
      </c>
      <c r="N24" s="11"/>
    </row>
    <row r="25" spans="1:14" ht="15.75" customHeight="1" x14ac:dyDescent="0.25">
      <c r="A25" s="26" t="s">
        <v>52</v>
      </c>
      <c r="B25" s="25">
        <v>2</v>
      </c>
      <c r="C25" s="25">
        <v>1</v>
      </c>
      <c r="D25" s="25">
        <f t="shared" si="14"/>
        <v>2</v>
      </c>
      <c r="E25" s="25">
        <v>0</v>
      </c>
      <c r="F25" s="25">
        <f t="shared" si="15"/>
        <v>0</v>
      </c>
      <c r="G25" s="25">
        <f t="shared" si="16"/>
        <v>0</v>
      </c>
      <c r="H25" s="25">
        <f t="shared" si="17"/>
        <v>0</v>
      </c>
      <c r="I25" s="36">
        <f t="shared" si="18"/>
        <v>0</v>
      </c>
      <c r="N25" s="11"/>
    </row>
    <row r="26" spans="1:14" ht="15.75" customHeight="1" x14ac:dyDescent="0.25">
      <c r="A26" s="26" t="s">
        <v>53</v>
      </c>
      <c r="B26" s="25">
        <v>2</v>
      </c>
      <c r="C26" s="25">
        <v>1</v>
      </c>
      <c r="D26" s="25">
        <f t="shared" si="14"/>
        <v>2</v>
      </c>
      <c r="E26" s="25">
        <v>0</v>
      </c>
      <c r="F26" s="25">
        <f t="shared" si="15"/>
        <v>0</v>
      </c>
      <c r="G26" s="25">
        <f t="shared" si="16"/>
        <v>0</v>
      </c>
      <c r="H26" s="25">
        <f t="shared" si="17"/>
        <v>0</v>
      </c>
      <c r="I26" s="36">
        <f t="shared" si="18"/>
        <v>0</v>
      </c>
      <c r="N26" s="11"/>
    </row>
    <row r="27" spans="1:14" ht="15.75" customHeight="1" x14ac:dyDescent="0.25">
      <c r="A27" s="30" t="s">
        <v>54</v>
      </c>
      <c r="B27" s="13">
        <v>2</v>
      </c>
      <c r="C27" s="13">
        <v>1</v>
      </c>
      <c r="D27" s="25">
        <f t="shared" si="14"/>
        <v>2</v>
      </c>
      <c r="E27" s="13">
        <f>E12+E13</f>
        <v>2</v>
      </c>
      <c r="F27" s="13">
        <f t="shared" si="15"/>
        <v>4</v>
      </c>
      <c r="G27" s="13">
        <f t="shared" si="16"/>
        <v>0.2</v>
      </c>
      <c r="H27" s="13">
        <f t="shared" si="17"/>
        <v>0.4</v>
      </c>
      <c r="I27" s="36">
        <f t="shared" si="18"/>
        <v>630.02599999999995</v>
      </c>
      <c r="N27" s="11"/>
    </row>
    <row r="28" spans="1:14" ht="15.75" customHeight="1" x14ac:dyDescent="0.25">
      <c r="A28" s="30" t="s">
        <v>55</v>
      </c>
      <c r="B28" s="13">
        <v>16</v>
      </c>
      <c r="C28" s="13">
        <v>1</v>
      </c>
      <c r="D28" s="25">
        <f t="shared" si="14"/>
        <v>16</v>
      </c>
      <c r="E28" s="62">
        <f>E27</f>
        <v>2</v>
      </c>
      <c r="F28" s="13">
        <f t="shared" si="15"/>
        <v>32</v>
      </c>
      <c r="G28" s="13">
        <f t="shared" si="16"/>
        <v>1.6</v>
      </c>
      <c r="H28" s="13">
        <f t="shared" si="17"/>
        <v>3.2</v>
      </c>
      <c r="I28" s="36">
        <f t="shared" si="18"/>
        <v>5040.2079999999996</v>
      </c>
    </row>
    <row r="29" spans="1:14" ht="15.75" customHeight="1" x14ac:dyDescent="0.25">
      <c r="A29" s="57" t="s">
        <v>56</v>
      </c>
      <c r="B29" s="37">
        <v>2</v>
      </c>
      <c r="C29" s="13">
        <v>1</v>
      </c>
      <c r="D29" s="25">
        <f t="shared" si="14"/>
        <v>2</v>
      </c>
      <c r="E29" s="13">
        <v>0</v>
      </c>
      <c r="F29" s="13">
        <f t="shared" si="15"/>
        <v>0</v>
      </c>
      <c r="G29" s="13">
        <f t="shared" si="16"/>
        <v>0</v>
      </c>
      <c r="H29" s="13">
        <f t="shared" si="17"/>
        <v>0</v>
      </c>
      <c r="I29" s="36">
        <f t="shared" si="18"/>
        <v>0</v>
      </c>
    </row>
    <row r="30" spans="1:14" ht="15.75" customHeight="1" x14ac:dyDescent="0.25">
      <c r="A30" s="57" t="s">
        <v>57</v>
      </c>
      <c r="B30" s="38">
        <v>1</v>
      </c>
      <c r="C30" s="25">
        <v>6</v>
      </c>
      <c r="D30" s="25">
        <f t="shared" si="14"/>
        <v>6</v>
      </c>
      <c r="E30" s="25">
        <v>1</v>
      </c>
      <c r="F30" s="13">
        <f t="shared" si="15"/>
        <v>6</v>
      </c>
      <c r="G30" s="13">
        <f t="shared" si="16"/>
        <v>0.30000000000000004</v>
      </c>
      <c r="H30" s="13">
        <f t="shared" si="17"/>
        <v>0.60000000000000009</v>
      </c>
      <c r="I30" s="36">
        <f t="shared" si="18"/>
        <v>945.03899999999999</v>
      </c>
      <c r="N30" s="11"/>
    </row>
    <row r="31" spans="1:14" ht="15.75" customHeight="1" x14ac:dyDescent="0.25">
      <c r="A31" s="57" t="s">
        <v>58</v>
      </c>
      <c r="B31" s="37">
        <v>16</v>
      </c>
      <c r="C31" s="13">
        <v>1</v>
      </c>
      <c r="D31" s="25">
        <f t="shared" si="14"/>
        <v>16</v>
      </c>
      <c r="E31" s="13">
        <v>2</v>
      </c>
      <c r="F31" s="13">
        <f t="shared" ref="F31" si="19">D31*E31</f>
        <v>32</v>
      </c>
      <c r="G31" s="13">
        <f t="shared" ref="G31" si="20">F31*0.05</f>
        <v>1.6</v>
      </c>
      <c r="H31" s="13">
        <f t="shared" ref="H31" si="21">F31*0.1</f>
        <v>3.2</v>
      </c>
      <c r="I31" s="36">
        <f t="shared" si="18"/>
        <v>5040.2079999999996</v>
      </c>
      <c r="N31" s="11"/>
    </row>
    <row r="32" spans="1:14" ht="15.75" customHeight="1" x14ac:dyDescent="0.25">
      <c r="A32" s="57" t="s">
        <v>59</v>
      </c>
      <c r="B32" s="37">
        <v>8</v>
      </c>
      <c r="C32" s="13">
        <v>2</v>
      </c>
      <c r="D32" s="25">
        <f t="shared" si="14"/>
        <v>16</v>
      </c>
      <c r="E32" s="13">
        <v>2</v>
      </c>
      <c r="F32" s="13">
        <f>D32*E32</f>
        <v>32</v>
      </c>
      <c r="G32" s="13">
        <f t="shared" si="16"/>
        <v>1.6</v>
      </c>
      <c r="H32" s="13">
        <f t="shared" si="17"/>
        <v>3.2</v>
      </c>
      <c r="I32" s="36">
        <f t="shared" si="18"/>
        <v>5040.2079999999996</v>
      </c>
      <c r="N32" s="11"/>
    </row>
    <row r="33" spans="1:12" ht="15.75" customHeight="1" x14ac:dyDescent="0.25">
      <c r="A33" s="57" t="s">
        <v>60</v>
      </c>
      <c r="B33" s="37">
        <v>4</v>
      </c>
      <c r="C33" s="13">
        <v>1</v>
      </c>
      <c r="D33" s="25">
        <f t="shared" si="14"/>
        <v>4</v>
      </c>
      <c r="E33" s="13">
        <v>0</v>
      </c>
      <c r="F33" s="13">
        <f t="shared" si="15"/>
        <v>0</v>
      </c>
      <c r="G33" s="13">
        <f t="shared" si="16"/>
        <v>0</v>
      </c>
      <c r="H33" s="13">
        <f t="shared" si="17"/>
        <v>0</v>
      </c>
      <c r="I33" s="36">
        <f t="shared" si="18"/>
        <v>0</v>
      </c>
    </row>
    <row r="34" spans="1:12" ht="15.75" customHeight="1" x14ac:dyDescent="0.25">
      <c r="A34" s="12" t="s">
        <v>61</v>
      </c>
      <c r="B34" s="39"/>
      <c r="C34" s="39"/>
      <c r="D34" s="39"/>
      <c r="E34" s="39"/>
      <c r="F34" s="98">
        <f>ROUND(SUM(F5:H33),0)</f>
        <v>294</v>
      </c>
      <c r="G34" s="99"/>
      <c r="H34" s="100"/>
      <c r="I34" s="40">
        <f>SUM(I5:I33)</f>
        <v>40290.162700000001</v>
      </c>
    </row>
    <row r="35" spans="1:12" ht="15.75" customHeight="1" x14ac:dyDescent="0.25">
      <c r="A35" s="2" t="s">
        <v>62</v>
      </c>
      <c r="B35" s="41"/>
      <c r="C35" s="41"/>
      <c r="D35" s="41"/>
      <c r="E35" s="41"/>
      <c r="F35" s="41"/>
      <c r="G35" s="41"/>
      <c r="H35" s="41"/>
      <c r="I35" s="42"/>
    </row>
    <row r="36" spans="1:12" ht="15.75" customHeight="1" x14ac:dyDescent="0.25">
      <c r="A36" s="2" t="s">
        <v>63</v>
      </c>
      <c r="B36" s="25" t="s">
        <v>64</v>
      </c>
      <c r="C36" s="43"/>
      <c r="D36" s="43"/>
      <c r="E36" s="43"/>
      <c r="F36" s="43"/>
      <c r="G36" s="43"/>
      <c r="H36" s="43"/>
      <c r="I36" s="44"/>
      <c r="J36" s="23"/>
    </row>
    <row r="37" spans="1:12" ht="15.75" customHeight="1" x14ac:dyDescent="0.25">
      <c r="A37" s="2" t="s">
        <v>65</v>
      </c>
      <c r="B37" s="13" t="s">
        <v>66</v>
      </c>
      <c r="C37" s="41"/>
      <c r="D37" s="41"/>
      <c r="E37" s="41"/>
      <c r="F37" s="41"/>
      <c r="G37" s="41"/>
      <c r="H37" s="41"/>
      <c r="I37" s="42"/>
    </row>
    <row r="38" spans="1:12" ht="15.75" customHeight="1" x14ac:dyDescent="0.25">
      <c r="A38" s="2" t="s">
        <v>67</v>
      </c>
      <c r="B38" s="13" t="s">
        <v>66</v>
      </c>
      <c r="C38" s="41"/>
      <c r="D38" s="41"/>
      <c r="E38" s="41"/>
      <c r="F38" s="41"/>
      <c r="G38" s="41"/>
      <c r="H38" s="41"/>
      <c r="I38" s="42"/>
    </row>
    <row r="39" spans="1:12" ht="15.75" customHeight="1" x14ac:dyDescent="0.25">
      <c r="A39" s="2" t="s">
        <v>68</v>
      </c>
      <c r="B39" s="13" t="s">
        <v>66</v>
      </c>
      <c r="C39" s="41"/>
      <c r="D39" s="41"/>
      <c r="E39" s="41"/>
      <c r="F39" s="41"/>
      <c r="G39" s="41"/>
      <c r="H39" s="41"/>
      <c r="I39" s="42" t="s">
        <v>69</v>
      </c>
    </row>
    <row r="40" spans="1:12" ht="15.75" customHeight="1" x14ac:dyDescent="0.25">
      <c r="A40" s="2" t="s">
        <v>70</v>
      </c>
      <c r="B40" s="41"/>
      <c r="C40" s="41"/>
      <c r="D40" s="41"/>
      <c r="E40" s="41"/>
      <c r="F40" s="41"/>
      <c r="G40" s="41"/>
      <c r="H40" s="41"/>
      <c r="I40" s="42"/>
    </row>
    <row r="41" spans="1:12" ht="15.75" customHeight="1" x14ac:dyDescent="0.25">
      <c r="A41" s="30" t="s">
        <v>71</v>
      </c>
      <c r="B41" s="13">
        <v>0.25</v>
      </c>
      <c r="C41" s="13">
        <v>52</v>
      </c>
      <c r="D41" s="25">
        <f t="shared" ref="D41:D43" si="22">B41*C41</f>
        <v>13</v>
      </c>
      <c r="E41" s="13">
        <v>3</v>
      </c>
      <c r="F41" s="13">
        <f t="shared" ref="F41:F42" si="23">D41*E41</f>
        <v>39</v>
      </c>
      <c r="G41" s="13">
        <f t="shared" ref="G41:G42" si="24">F41*0.05</f>
        <v>1.9500000000000002</v>
      </c>
      <c r="H41" s="13">
        <f t="shared" ref="H41:H42" si="25">F41*0.1</f>
        <v>3.9000000000000004</v>
      </c>
      <c r="I41" s="36">
        <f t="shared" ref="I41:I43" si="26">F41*L$6+G41*L$7+H41*L$8</f>
        <v>6142.7534999999998</v>
      </c>
    </row>
    <row r="42" spans="1:12" ht="15.75" customHeight="1" x14ac:dyDescent="0.25">
      <c r="A42" s="2" t="s">
        <v>72</v>
      </c>
      <c r="B42" s="13">
        <v>20</v>
      </c>
      <c r="C42" s="13">
        <v>1</v>
      </c>
      <c r="D42" s="25">
        <f t="shared" si="22"/>
        <v>20</v>
      </c>
      <c r="E42" s="13">
        <v>0</v>
      </c>
      <c r="F42" s="13">
        <f t="shared" si="23"/>
        <v>0</v>
      </c>
      <c r="G42" s="13">
        <f t="shared" si="24"/>
        <v>0</v>
      </c>
      <c r="H42" s="13">
        <f t="shared" si="25"/>
        <v>0</v>
      </c>
      <c r="I42" s="36">
        <f t="shared" si="26"/>
        <v>0</v>
      </c>
    </row>
    <row r="43" spans="1:12" ht="15.75" customHeight="1" x14ac:dyDescent="0.25">
      <c r="A43" s="2" t="s">
        <v>73</v>
      </c>
      <c r="B43" s="13">
        <v>0.25</v>
      </c>
      <c r="C43" s="13">
        <v>3</v>
      </c>
      <c r="D43" s="25">
        <f t="shared" si="22"/>
        <v>0.75</v>
      </c>
      <c r="E43" s="13">
        <v>3</v>
      </c>
      <c r="F43" s="13">
        <f>D43*E43</f>
        <v>2.25</v>
      </c>
      <c r="G43" s="13">
        <f>F43*0.05</f>
        <v>0.1125</v>
      </c>
      <c r="H43" s="13">
        <f>F43*0.1</f>
        <v>0.22500000000000001</v>
      </c>
      <c r="I43" s="36">
        <f t="shared" si="26"/>
        <v>354.38962499999997</v>
      </c>
    </row>
    <row r="44" spans="1:12" ht="15.75" customHeight="1" x14ac:dyDescent="0.25">
      <c r="A44" s="2" t="s">
        <v>74</v>
      </c>
      <c r="B44" s="13" t="s">
        <v>27</v>
      </c>
      <c r="C44" s="41"/>
      <c r="D44" s="41"/>
      <c r="E44" s="41"/>
      <c r="F44" s="41"/>
      <c r="G44" s="41"/>
      <c r="H44" s="41"/>
      <c r="I44" s="45"/>
    </row>
    <row r="45" spans="1:12" ht="15.75" customHeight="1" x14ac:dyDescent="0.25">
      <c r="A45" s="12" t="s">
        <v>75</v>
      </c>
      <c r="B45" s="46"/>
      <c r="C45" s="47"/>
      <c r="D45" s="47"/>
      <c r="E45" s="47"/>
      <c r="F45" s="98">
        <f>ROUND(SUM(F36:H44),0)</f>
        <v>47</v>
      </c>
      <c r="G45" s="99"/>
      <c r="H45" s="100"/>
      <c r="I45" s="40">
        <f>SUM(I36:I44)</f>
        <v>6497.1431249999996</v>
      </c>
    </row>
    <row r="46" spans="1:12" ht="16.5" x14ac:dyDescent="0.25">
      <c r="A46" s="58" t="s">
        <v>76</v>
      </c>
      <c r="B46" s="48"/>
      <c r="C46" s="41"/>
      <c r="D46" s="41"/>
      <c r="E46" s="41"/>
      <c r="F46" s="93">
        <f>F45+F34</f>
        <v>341</v>
      </c>
      <c r="G46" s="94"/>
      <c r="H46" s="95"/>
      <c r="I46" s="49">
        <f>ROUND(I45+I34,-2)</f>
        <v>46800</v>
      </c>
    </row>
    <row r="47" spans="1:12" ht="15.75" customHeight="1" x14ac:dyDescent="0.25">
      <c r="A47" s="59" t="s">
        <v>77</v>
      </c>
      <c r="B47" s="50"/>
      <c r="C47" s="50"/>
      <c r="D47" s="50"/>
      <c r="E47" s="50"/>
      <c r="F47" s="50"/>
      <c r="G47" s="50"/>
      <c r="H47" s="51"/>
      <c r="I47" s="52">
        <f>'Capital O&amp;M'!J7</f>
        <v>87000</v>
      </c>
      <c r="K47">
        <f>Responses!E16</f>
        <v>18</v>
      </c>
      <c r="L47" t="s">
        <v>78</v>
      </c>
    </row>
    <row r="48" spans="1:12" ht="15.75" customHeight="1" x14ac:dyDescent="0.25">
      <c r="A48" s="59" t="s">
        <v>79</v>
      </c>
      <c r="B48" s="50"/>
      <c r="C48" s="50"/>
      <c r="D48" s="50"/>
      <c r="E48" s="50"/>
      <c r="F48" s="50"/>
      <c r="G48" s="50"/>
      <c r="H48" s="51"/>
      <c r="I48" s="52">
        <f>ROUND(I47+I46,-3)</f>
        <v>134000</v>
      </c>
      <c r="K48" s="15">
        <f>F46/Responses!E16</f>
        <v>18.944444444444443</v>
      </c>
      <c r="L48" t="s">
        <v>80</v>
      </c>
    </row>
    <row r="50" spans="1:10" s="54" customFormat="1" ht="12.75" x14ac:dyDescent="0.25">
      <c r="A50" s="53" t="s">
        <v>81</v>
      </c>
    </row>
    <row r="51" spans="1:10" s="54" customFormat="1" ht="31.5" customHeight="1" x14ac:dyDescent="0.25">
      <c r="A51" s="92" t="s">
        <v>82</v>
      </c>
      <c r="B51" s="92"/>
      <c r="C51" s="92"/>
      <c r="D51" s="92"/>
      <c r="E51" s="92"/>
      <c r="F51" s="92"/>
      <c r="G51" s="92"/>
      <c r="H51" s="92"/>
      <c r="I51" s="92"/>
    </row>
    <row r="52" spans="1:10" s="54" customFormat="1" ht="57" customHeight="1" x14ac:dyDescent="0.25">
      <c r="A52" s="101" t="s">
        <v>83</v>
      </c>
      <c r="B52" s="92"/>
      <c r="C52" s="92"/>
      <c r="D52" s="92"/>
      <c r="E52" s="92"/>
      <c r="F52" s="92"/>
      <c r="G52" s="92"/>
      <c r="H52" s="92"/>
      <c r="I52" s="92"/>
    </row>
    <row r="53" spans="1:10" s="54" customFormat="1" ht="15.75" x14ac:dyDescent="0.25">
      <c r="A53" s="92" t="s">
        <v>84</v>
      </c>
      <c r="B53" s="92"/>
      <c r="C53" s="92"/>
      <c r="D53" s="92"/>
      <c r="E53" s="92"/>
      <c r="F53" s="92"/>
      <c r="G53" s="92"/>
      <c r="H53" s="92"/>
      <c r="I53" s="92"/>
    </row>
    <row r="54" spans="1:10" s="54" customFormat="1" ht="15.75" x14ac:dyDescent="0.25">
      <c r="A54" s="96" t="s">
        <v>85</v>
      </c>
      <c r="B54" s="96"/>
      <c r="C54" s="96"/>
      <c r="D54" s="96"/>
      <c r="E54" s="96"/>
      <c r="F54" s="96"/>
      <c r="G54" s="96"/>
      <c r="H54" s="96"/>
      <c r="I54" s="96"/>
    </row>
    <row r="55" spans="1:10" s="54" customFormat="1" ht="60" customHeight="1" x14ac:dyDescent="0.25">
      <c r="A55" s="97" t="s">
        <v>86</v>
      </c>
      <c r="B55" s="97"/>
      <c r="C55" s="97"/>
      <c r="D55" s="97"/>
      <c r="E55" s="97"/>
      <c r="F55" s="97"/>
      <c r="G55" s="97"/>
      <c r="H55" s="97"/>
      <c r="I55" s="97"/>
    </row>
    <row r="56" spans="1:10" s="54" customFormat="1" ht="15.75" customHeight="1" x14ac:dyDescent="0.25">
      <c r="A56" s="92" t="s">
        <v>87</v>
      </c>
      <c r="B56" s="92"/>
      <c r="C56" s="92"/>
      <c r="D56" s="92"/>
      <c r="E56" s="92"/>
      <c r="F56" s="92"/>
      <c r="G56" s="92"/>
      <c r="H56" s="92"/>
      <c r="I56" s="92"/>
      <c r="J56" s="61"/>
    </row>
    <row r="57" spans="1:10" s="54" customFormat="1" ht="15.75" customHeight="1" x14ac:dyDescent="0.25">
      <c r="A57" s="92" t="s">
        <v>88</v>
      </c>
      <c r="B57" s="92"/>
      <c r="C57" s="92"/>
      <c r="D57" s="92"/>
      <c r="E57" s="92"/>
      <c r="F57" s="92"/>
      <c r="G57" s="92"/>
      <c r="H57" s="92"/>
      <c r="I57" s="92"/>
      <c r="J57" s="61"/>
    </row>
    <row r="58" spans="1:10" s="54" customFormat="1" ht="15.75" customHeight="1" x14ac:dyDescent="0.25">
      <c r="A58" s="92" t="s">
        <v>89</v>
      </c>
      <c r="B58" s="92"/>
      <c r="C58" s="92"/>
      <c r="D58" s="92"/>
      <c r="E58" s="92"/>
      <c r="F58" s="92"/>
      <c r="G58" s="92"/>
      <c r="H58" s="92"/>
      <c r="I58" s="92"/>
      <c r="J58" s="61"/>
    </row>
    <row r="59" spans="1:10" s="54" customFormat="1" ht="30.75" customHeight="1" x14ac:dyDescent="0.25">
      <c r="A59" s="92" t="s">
        <v>90</v>
      </c>
      <c r="B59" s="92"/>
      <c r="C59" s="92"/>
      <c r="D59" s="92"/>
      <c r="E59" s="92"/>
      <c r="F59" s="92"/>
      <c r="G59" s="92"/>
      <c r="H59" s="92"/>
      <c r="I59" s="92"/>
      <c r="J59" s="61"/>
    </row>
    <row r="60" spans="1:10" s="54" customFormat="1" ht="15.75" x14ac:dyDescent="0.25">
      <c r="A60" s="96" t="s">
        <v>91</v>
      </c>
      <c r="B60" s="96"/>
      <c r="C60" s="96"/>
      <c r="D60" s="96"/>
      <c r="E60" s="96"/>
      <c r="F60" s="96"/>
      <c r="G60" s="96"/>
      <c r="H60" s="96"/>
      <c r="I60" s="96"/>
    </row>
    <row r="61" spans="1:10" s="54" customFormat="1" ht="15.75" x14ac:dyDescent="0.25">
      <c r="A61" s="96" t="s">
        <v>92</v>
      </c>
      <c r="B61" s="96"/>
      <c r="C61" s="96"/>
      <c r="D61" s="96"/>
      <c r="E61" s="96"/>
      <c r="F61" s="96"/>
      <c r="G61" s="96"/>
      <c r="H61" s="96"/>
      <c r="I61" s="96"/>
    </row>
    <row r="62" spans="1:10" s="54" customFormat="1" ht="15.75" x14ac:dyDescent="0.25">
      <c r="A62" s="96" t="s">
        <v>93</v>
      </c>
      <c r="B62" s="96"/>
      <c r="C62" s="96"/>
      <c r="D62" s="96"/>
      <c r="E62" s="96"/>
      <c r="F62" s="96"/>
      <c r="G62" s="96"/>
      <c r="H62" s="96"/>
      <c r="I62" s="96"/>
    </row>
    <row r="63" spans="1:10" s="54" customFormat="1" ht="15.75" x14ac:dyDescent="0.25">
      <c r="A63" s="96" t="s">
        <v>94</v>
      </c>
      <c r="B63" s="96"/>
      <c r="C63" s="96"/>
      <c r="D63" s="96"/>
      <c r="E63" s="96"/>
      <c r="F63" s="96"/>
      <c r="G63" s="96"/>
      <c r="H63" s="96"/>
      <c r="I63" s="96"/>
    </row>
    <row r="64" spans="1:10" s="54" customFormat="1" ht="30" customHeight="1" x14ac:dyDescent="0.25">
      <c r="A64" s="92" t="s">
        <v>95</v>
      </c>
      <c r="B64" s="92"/>
      <c r="C64" s="92"/>
      <c r="D64" s="92"/>
      <c r="E64" s="92"/>
      <c r="F64" s="92"/>
      <c r="G64" s="92"/>
      <c r="H64" s="92"/>
      <c r="I64" s="92"/>
    </row>
    <row r="65" spans="1:9" s="54" customFormat="1" ht="15.75" x14ac:dyDescent="0.25">
      <c r="A65" s="96" t="s">
        <v>96</v>
      </c>
      <c r="B65" s="96"/>
      <c r="C65" s="96"/>
      <c r="D65" s="96"/>
      <c r="E65" s="96"/>
      <c r="F65" s="96"/>
      <c r="G65" s="96"/>
      <c r="H65" s="96"/>
      <c r="I65" s="96"/>
    </row>
    <row r="66" spans="1:9" s="54" customFormat="1" ht="15.75" x14ac:dyDescent="0.25">
      <c r="A66" s="96"/>
      <c r="B66" s="96"/>
      <c r="C66" s="96"/>
      <c r="D66" s="96"/>
      <c r="E66" s="96"/>
      <c r="F66" s="96"/>
      <c r="G66" s="96"/>
      <c r="H66" s="96"/>
      <c r="I66" s="96"/>
    </row>
  </sheetData>
  <mergeCells count="20">
    <mergeCell ref="F34:H34"/>
    <mergeCell ref="F45:H45"/>
    <mergeCell ref="A52:I52"/>
    <mergeCell ref="A51:I51"/>
    <mergeCell ref="K5:L5"/>
    <mergeCell ref="A58:I58"/>
    <mergeCell ref="A59:I59"/>
    <mergeCell ref="A55:I55"/>
    <mergeCell ref="A65:I65"/>
    <mergeCell ref="A66:I66"/>
    <mergeCell ref="A60:I60"/>
    <mergeCell ref="A61:I61"/>
    <mergeCell ref="A62:I62"/>
    <mergeCell ref="A63:I63"/>
    <mergeCell ref="A64:I64"/>
    <mergeCell ref="A53:I53"/>
    <mergeCell ref="F46:H46"/>
    <mergeCell ref="A54:I54"/>
    <mergeCell ref="A56:I56"/>
    <mergeCell ref="A57:I57"/>
  </mergeCells>
  <pageMargins left="0.7" right="0.7" top="0.75" bottom="0.75" header="0.3" footer="0.3"/>
  <pageSetup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3"/>
  <sheetViews>
    <sheetView zoomScale="120" zoomScaleNormal="120" workbookViewId="0">
      <selection activeCell="A2" sqref="A2"/>
    </sheetView>
  </sheetViews>
  <sheetFormatPr defaultRowHeight="15" x14ac:dyDescent="0.25"/>
  <cols>
    <col min="1" max="1" width="54.42578125" customWidth="1"/>
    <col min="2" max="2" width="10.42578125" customWidth="1"/>
    <col min="3" max="3" width="11" customWidth="1"/>
    <col min="4" max="4" width="11.5703125" customWidth="1"/>
    <col min="6" max="6" width="11.140625" customWidth="1"/>
    <col min="7" max="7" width="11.28515625" customWidth="1"/>
    <col min="8" max="8" width="11.5703125" customWidth="1"/>
    <col min="9" max="9" width="10.85546875" customWidth="1"/>
    <col min="11" max="11" width="10.7109375" customWidth="1"/>
  </cols>
  <sheetData>
    <row r="1" spans="1:12" ht="15.75" x14ac:dyDescent="0.25">
      <c r="A1" s="14" t="s">
        <v>97</v>
      </c>
    </row>
    <row r="3" spans="1:12" x14ac:dyDescent="0.25">
      <c r="A3" s="9" t="s">
        <v>98</v>
      </c>
      <c r="B3" s="19" t="s">
        <v>10</v>
      </c>
      <c r="C3" s="19" t="s">
        <v>11</v>
      </c>
      <c r="D3" s="19" t="s">
        <v>12</v>
      </c>
      <c r="E3" s="19" t="s">
        <v>13</v>
      </c>
      <c r="F3" s="19" t="s">
        <v>14</v>
      </c>
      <c r="G3" s="19" t="s">
        <v>15</v>
      </c>
      <c r="H3" s="19" t="s">
        <v>16</v>
      </c>
      <c r="I3" s="19" t="s">
        <v>17</v>
      </c>
    </row>
    <row r="4" spans="1:12" s="1" customFormat="1" ht="64.5" thickBot="1" x14ac:dyDescent="0.3">
      <c r="A4" s="10"/>
      <c r="B4" s="18" t="s">
        <v>99</v>
      </c>
      <c r="C4" s="18" t="s">
        <v>100</v>
      </c>
      <c r="D4" s="18" t="s">
        <v>101</v>
      </c>
      <c r="E4" s="18" t="s">
        <v>102</v>
      </c>
      <c r="F4" s="18" t="s">
        <v>22</v>
      </c>
      <c r="G4" s="18" t="s">
        <v>23</v>
      </c>
      <c r="H4" s="18" t="s">
        <v>24</v>
      </c>
      <c r="I4" s="18" t="s">
        <v>25</v>
      </c>
    </row>
    <row r="5" spans="1:12" ht="16.5" customHeight="1" thickBot="1" x14ac:dyDescent="0.3">
      <c r="A5" s="2" t="s">
        <v>103</v>
      </c>
      <c r="B5" s="4">
        <v>48</v>
      </c>
      <c r="C5" s="4">
        <v>1</v>
      </c>
      <c r="D5" s="4">
        <f>B5*C5</f>
        <v>48</v>
      </c>
      <c r="E5" s="4">
        <f>'Table 1'!E12</f>
        <v>1.8</v>
      </c>
      <c r="F5" s="4">
        <f>D5*E5</f>
        <v>86.4</v>
      </c>
      <c r="G5" s="4">
        <f>F5*0.05</f>
        <v>4.32</v>
      </c>
      <c r="H5" s="4">
        <f>F5*0.1</f>
        <v>8.64</v>
      </c>
      <c r="I5" s="5">
        <f>F5*L$7+G5*L$6+H5*L$8</f>
        <v>5530.0838400000002</v>
      </c>
      <c r="K5" s="104" t="s">
        <v>28</v>
      </c>
      <c r="L5" s="105"/>
    </row>
    <row r="6" spans="1:12" ht="16.5" customHeight="1" x14ac:dyDescent="0.25">
      <c r="A6" s="2" t="s">
        <v>104</v>
      </c>
      <c r="B6" s="6"/>
      <c r="C6" s="6"/>
      <c r="D6" s="6"/>
      <c r="E6" s="6"/>
      <c r="F6" s="6"/>
      <c r="G6" s="6"/>
      <c r="H6" s="6"/>
      <c r="I6" s="7"/>
      <c r="K6" s="63" t="s">
        <v>105</v>
      </c>
      <c r="L6" s="68">
        <v>76.912000000000006</v>
      </c>
    </row>
    <row r="7" spans="1:12" ht="16.5" customHeight="1" x14ac:dyDescent="0.25">
      <c r="A7" s="2" t="s">
        <v>106</v>
      </c>
      <c r="B7" s="4">
        <v>8</v>
      </c>
      <c r="C7" s="4">
        <v>1</v>
      </c>
      <c r="D7" s="4">
        <f t="shared" ref="D7:D8" si="0">B7*C7</f>
        <v>8</v>
      </c>
      <c r="E7" s="4">
        <f>'Table 1'!E13</f>
        <v>0.2</v>
      </c>
      <c r="F7" s="4">
        <f t="shared" ref="F7:F8" si="1">D7*E7</f>
        <v>1.6</v>
      </c>
      <c r="G7" s="4">
        <f t="shared" ref="G7:G8" si="2">F7*0.05</f>
        <v>8.0000000000000016E-2</v>
      </c>
      <c r="H7" s="4">
        <f t="shared" ref="H7:H8" si="3">F7*0.1</f>
        <v>0.16000000000000003</v>
      </c>
      <c r="I7" s="5">
        <f>F7*L$7+G7*L$6+H7*L$8</f>
        <v>102.40896000000001</v>
      </c>
      <c r="K7" s="63" t="s">
        <v>107</v>
      </c>
      <c r="L7" s="68">
        <v>57.072000000000003</v>
      </c>
    </row>
    <row r="8" spans="1:12" ht="16.5" customHeight="1" thickBot="1" x14ac:dyDescent="0.3">
      <c r="A8" s="2" t="s">
        <v>108</v>
      </c>
      <c r="B8" s="4">
        <v>20</v>
      </c>
      <c r="C8" s="4">
        <v>1</v>
      </c>
      <c r="D8" s="4">
        <f t="shared" si="0"/>
        <v>20</v>
      </c>
      <c r="E8" s="4">
        <f>'Table 1'!E13</f>
        <v>0.2</v>
      </c>
      <c r="F8" s="4">
        <f t="shared" si="1"/>
        <v>4</v>
      </c>
      <c r="G8" s="4">
        <f t="shared" si="2"/>
        <v>0.2</v>
      </c>
      <c r="H8" s="4">
        <f t="shared" si="3"/>
        <v>0.4</v>
      </c>
      <c r="I8" s="5">
        <f>F8*L$7+G8*L$6+H8*L$8</f>
        <v>256.0224</v>
      </c>
      <c r="K8" s="66" t="s">
        <v>109</v>
      </c>
      <c r="L8" s="69">
        <v>30.880000000000003</v>
      </c>
    </row>
    <row r="9" spans="1:12" ht="16.5" customHeight="1" x14ac:dyDescent="0.25">
      <c r="A9" s="2" t="s">
        <v>110</v>
      </c>
      <c r="B9" s="6"/>
      <c r="C9" s="6"/>
      <c r="D9" s="6"/>
      <c r="E9" s="6"/>
      <c r="F9" s="6"/>
      <c r="G9" s="6"/>
      <c r="H9" s="6"/>
      <c r="I9" s="7"/>
    </row>
    <row r="10" spans="1:12" ht="16.5" customHeight="1" x14ac:dyDescent="0.25">
      <c r="A10" s="30" t="s">
        <v>50</v>
      </c>
      <c r="B10" s="4">
        <v>2</v>
      </c>
      <c r="C10" s="4">
        <v>1</v>
      </c>
      <c r="D10" s="4">
        <f t="shared" ref="D10:D18" si="4">B10*C10</f>
        <v>2</v>
      </c>
      <c r="E10" s="4">
        <f>'Table 1'!E23</f>
        <v>0</v>
      </c>
      <c r="F10" s="4">
        <f t="shared" ref="F10:F18" si="5">D10*E10</f>
        <v>0</v>
      </c>
      <c r="G10" s="4">
        <f t="shared" ref="G10:G18" si="6">F10*0.05</f>
        <v>0</v>
      </c>
      <c r="H10" s="4">
        <f t="shared" ref="H10:H18" si="7">F10*0.1</f>
        <v>0</v>
      </c>
      <c r="I10" s="5">
        <f>F10*L$7+G10*L$6+H10*L$8</f>
        <v>0</v>
      </c>
    </row>
    <row r="11" spans="1:12" ht="16.5" customHeight="1" x14ac:dyDescent="0.25">
      <c r="A11" s="30" t="s">
        <v>51</v>
      </c>
      <c r="B11" s="4">
        <v>2</v>
      </c>
      <c r="C11" s="4">
        <v>1</v>
      </c>
      <c r="D11" s="4">
        <f t="shared" si="4"/>
        <v>2</v>
      </c>
      <c r="E11" s="4">
        <f>'Table 1'!E24</f>
        <v>0</v>
      </c>
      <c r="F11" s="4">
        <f t="shared" si="5"/>
        <v>0</v>
      </c>
      <c r="G11" s="4">
        <f t="shared" si="6"/>
        <v>0</v>
      </c>
      <c r="H11" s="4">
        <f t="shared" si="7"/>
        <v>0</v>
      </c>
      <c r="I11" s="5">
        <f>F11*L$7+G11*L$6+H11*L$8</f>
        <v>0</v>
      </c>
    </row>
    <row r="12" spans="1:12" ht="16.5" customHeight="1" x14ac:dyDescent="0.25">
      <c r="A12" s="30" t="s">
        <v>111</v>
      </c>
      <c r="B12" s="4">
        <v>2</v>
      </c>
      <c r="C12" s="4">
        <v>1</v>
      </c>
      <c r="D12" s="4">
        <f t="shared" si="4"/>
        <v>2</v>
      </c>
      <c r="E12" s="4">
        <f>'Table 1'!E25</f>
        <v>0</v>
      </c>
      <c r="F12" s="4">
        <f t="shared" si="5"/>
        <v>0</v>
      </c>
      <c r="G12" s="4">
        <f t="shared" si="6"/>
        <v>0</v>
      </c>
      <c r="H12" s="4">
        <f t="shared" si="7"/>
        <v>0</v>
      </c>
      <c r="I12" s="5">
        <f t="shared" ref="I12:I22" si="8">F12*L$7+G12*L$6+H12*L$8</f>
        <v>0</v>
      </c>
    </row>
    <row r="13" spans="1:12" ht="16.5" customHeight="1" x14ac:dyDescent="0.25">
      <c r="A13" s="30" t="s">
        <v>53</v>
      </c>
      <c r="B13" s="4">
        <v>2</v>
      </c>
      <c r="C13" s="4">
        <v>1</v>
      </c>
      <c r="D13" s="4">
        <f t="shared" si="4"/>
        <v>2</v>
      </c>
      <c r="E13" s="4">
        <f>'Table 1'!E26</f>
        <v>0</v>
      </c>
      <c r="F13" s="4">
        <f t="shared" si="5"/>
        <v>0</v>
      </c>
      <c r="G13" s="4">
        <f t="shared" si="6"/>
        <v>0</v>
      </c>
      <c r="H13" s="4">
        <f t="shared" si="7"/>
        <v>0</v>
      </c>
      <c r="I13" s="5">
        <f t="shared" si="8"/>
        <v>0</v>
      </c>
    </row>
    <row r="14" spans="1:12" ht="16.5" customHeight="1" x14ac:dyDescent="0.25">
      <c r="A14" s="30" t="s">
        <v>112</v>
      </c>
      <c r="B14" s="4">
        <v>2</v>
      </c>
      <c r="C14" s="4">
        <v>1</v>
      </c>
      <c r="D14" s="4">
        <f t="shared" si="4"/>
        <v>2</v>
      </c>
      <c r="E14" s="4">
        <f>'Table 1'!E27</f>
        <v>2</v>
      </c>
      <c r="F14" s="4">
        <f t="shared" si="5"/>
        <v>4</v>
      </c>
      <c r="G14" s="4">
        <f t="shared" si="6"/>
        <v>0.2</v>
      </c>
      <c r="H14" s="4">
        <f t="shared" si="7"/>
        <v>0.4</v>
      </c>
      <c r="I14" s="5">
        <f t="shared" si="8"/>
        <v>256.0224</v>
      </c>
    </row>
    <row r="15" spans="1:12" ht="16.5" customHeight="1" x14ac:dyDescent="0.25">
      <c r="A15" s="30" t="s">
        <v>113</v>
      </c>
      <c r="B15" s="4">
        <v>2</v>
      </c>
      <c r="C15" s="4">
        <v>1</v>
      </c>
      <c r="D15" s="4">
        <f t="shared" si="4"/>
        <v>2</v>
      </c>
      <c r="E15" s="4">
        <f>'Table 1'!E28</f>
        <v>2</v>
      </c>
      <c r="F15" s="4">
        <f t="shared" si="5"/>
        <v>4</v>
      </c>
      <c r="G15" s="4">
        <f t="shared" si="6"/>
        <v>0.2</v>
      </c>
      <c r="H15" s="4">
        <f t="shared" si="7"/>
        <v>0.4</v>
      </c>
      <c r="I15" s="5">
        <f t="shared" si="8"/>
        <v>256.0224</v>
      </c>
    </row>
    <row r="16" spans="1:12" ht="16.5" customHeight="1" x14ac:dyDescent="0.25">
      <c r="A16" s="30" t="s">
        <v>114</v>
      </c>
      <c r="B16" s="4">
        <v>2</v>
      </c>
      <c r="C16" s="4">
        <v>1</v>
      </c>
      <c r="D16" s="4">
        <f t="shared" si="4"/>
        <v>2</v>
      </c>
      <c r="E16" s="4">
        <f>'Table 1'!E29</f>
        <v>0</v>
      </c>
      <c r="F16" s="4">
        <f t="shared" si="5"/>
        <v>0</v>
      </c>
      <c r="G16" s="4">
        <f t="shared" si="6"/>
        <v>0</v>
      </c>
      <c r="H16" s="4">
        <f t="shared" si="7"/>
        <v>0</v>
      </c>
      <c r="I16" s="5">
        <f t="shared" si="8"/>
        <v>0</v>
      </c>
    </row>
    <row r="17" spans="1:14" ht="16.5" customHeight="1" x14ac:dyDescent="0.25">
      <c r="A17" s="30" t="s">
        <v>115</v>
      </c>
      <c r="B17" s="4">
        <v>2</v>
      </c>
      <c r="C17" s="4">
        <v>6</v>
      </c>
      <c r="D17" s="4">
        <f t="shared" ref="D17" si="9">B17*C17</f>
        <v>12</v>
      </c>
      <c r="E17" s="4">
        <f>'Table 1'!E30</f>
        <v>1</v>
      </c>
      <c r="F17" s="4">
        <f t="shared" si="5"/>
        <v>12</v>
      </c>
      <c r="G17" s="4">
        <f t="shared" si="6"/>
        <v>0.60000000000000009</v>
      </c>
      <c r="H17" s="4">
        <f t="shared" si="7"/>
        <v>1.2000000000000002</v>
      </c>
      <c r="I17" s="5">
        <f t="shared" si="8"/>
        <v>768.06720000000007</v>
      </c>
    </row>
    <row r="18" spans="1:14" ht="16.5" customHeight="1" x14ac:dyDescent="0.25">
      <c r="A18" s="30" t="s">
        <v>116</v>
      </c>
      <c r="B18" s="4">
        <v>40</v>
      </c>
      <c r="C18" s="4">
        <v>1</v>
      </c>
      <c r="D18" s="4">
        <f t="shared" si="4"/>
        <v>40</v>
      </c>
      <c r="E18" s="4">
        <f>E14</f>
        <v>2</v>
      </c>
      <c r="F18" s="4">
        <f t="shared" si="5"/>
        <v>80</v>
      </c>
      <c r="G18" s="4">
        <f t="shared" si="6"/>
        <v>4</v>
      </c>
      <c r="H18" s="4">
        <f t="shared" si="7"/>
        <v>8</v>
      </c>
      <c r="I18" s="5">
        <f t="shared" si="8"/>
        <v>5120.4480000000003</v>
      </c>
    </row>
    <row r="19" spans="1:14" ht="16.5" customHeight="1" x14ac:dyDescent="0.25">
      <c r="A19" s="2" t="s">
        <v>117</v>
      </c>
      <c r="B19" s="6"/>
      <c r="C19" s="6"/>
      <c r="D19" s="6"/>
      <c r="E19" s="6"/>
      <c r="F19" s="6"/>
      <c r="G19" s="6"/>
      <c r="H19" s="6"/>
      <c r="I19" s="7"/>
    </row>
    <row r="20" spans="1:14" ht="16.5" customHeight="1" x14ac:dyDescent="0.25">
      <c r="A20" s="30" t="s">
        <v>118</v>
      </c>
      <c r="B20" s="4">
        <v>16</v>
      </c>
      <c r="C20" s="4">
        <v>1</v>
      </c>
      <c r="D20" s="4">
        <f t="shared" ref="D20:D22" si="10">B20*C20</f>
        <v>16</v>
      </c>
      <c r="E20" s="4">
        <f>'Table 1'!E31</f>
        <v>2</v>
      </c>
      <c r="F20" s="4">
        <f t="shared" ref="F20:F22" si="11">D20*E20</f>
        <v>32</v>
      </c>
      <c r="G20" s="4">
        <f t="shared" ref="G20:G22" si="12">F20*0.05</f>
        <v>1.6</v>
      </c>
      <c r="H20" s="4">
        <f t="shared" ref="H20:H22" si="13">F20*0.1</f>
        <v>3.2</v>
      </c>
      <c r="I20" s="5">
        <f t="shared" si="8"/>
        <v>2048.1792</v>
      </c>
    </row>
    <row r="21" spans="1:14" ht="16.5" customHeight="1" x14ac:dyDescent="0.25">
      <c r="A21" s="30" t="s">
        <v>119</v>
      </c>
      <c r="B21" s="4">
        <v>8</v>
      </c>
      <c r="C21" s="4">
        <v>2</v>
      </c>
      <c r="D21" s="4">
        <f t="shared" si="10"/>
        <v>16</v>
      </c>
      <c r="E21" s="4">
        <f>'Table 1'!E32</f>
        <v>2</v>
      </c>
      <c r="F21" s="4">
        <f t="shared" si="11"/>
        <v>32</v>
      </c>
      <c r="G21" s="4">
        <f t="shared" si="12"/>
        <v>1.6</v>
      </c>
      <c r="H21" s="4">
        <f t="shared" si="13"/>
        <v>3.2</v>
      </c>
      <c r="I21" s="5">
        <f t="shared" si="8"/>
        <v>2048.1792</v>
      </c>
    </row>
    <row r="22" spans="1:14" ht="16.5" customHeight="1" x14ac:dyDescent="0.25">
      <c r="A22" s="2" t="s">
        <v>120</v>
      </c>
      <c r="B22" s="4">
        <v>2</v>
      </c>
      <c r="C22" s="4">
        <v>1</v>
      </c>
      <c r="D22" s="4">
        <f t="shared" si="10"/>
        <v>2</v>
      </c>
      <c r="E22" s="4">
        <f>'Table 1'!E33</f>
        <v>0</v>
      </c>
      <c r="F22" s="4">
        <f t="shared" si="11"/>
        <v>0</v>
      </c>
      <c r="G22" s="4">
        <f t="shared" si="12"/>
        <v>0</v>
      </c>
      <c r="H22" s="4">
        <f t="shared" si="13"/>
        <v>0</v>
      </c>
      <c r="I22" s="5">
        <f t="shared" si="8"/>
        <v>0</v>
      </c>
    </row>
    <row r="23" spans="1:14" ht="16.5" customHeight="1" x14ac:dyDescent="0.25">
      <c r="A23" s="3" t="s">
        <v>121</v>
      </c>
      <c r="B23" s="6"/>
      <c r="C23" s="6"/>
      <c r="D23" s="6"/>
      <c r="E23" s="6"/>
      <c r="F23" s="106">
        <f>SUM(F5:H22)</f>
        <v>294.40000000000003</v>
      </c>
      <c r="G23" s="107"/>
      <c r="H23" s="108"/>
      <c r="I23" s="8">
        <f>ROUND(SUM(I5:I22),-2)</f>
        <v>16400</v>
      </c>
    </row>
    <row r="24" spans="1:14" s="28" customFormat="1" ht="12.75" x14ac:dyDescent="0.2"/>
    <row r="25" spans="1:14" s="28" customFormat="1" ht="12.75" x14ac:dyDescent="0.2">
      <c r="A25" s="53" t="s">
        <v>81</v>
      </c>
    </row>
    <row r="26" spans="1:14" s="28" customFormat="1" ht="28.5" customHeight="1" x14ac:dyDescent="0.2">
      <c r="A26" s="92" t="s">
        <v>82</v>
      </c>
      <c r="B26" s="92"/>
      <c r="C26" s="92"/>
      <c r="D26" s="92"/>
      <c r="E26" s="92"/>
      <c r="F26" s="92"/>
      <c r="G26" s="92"/>
      <c r="H26" s="92"/>
      <c r="I26" s="92"/>
    </row>
    <row r="27" spans="1:14" s="28" customFormat="1" ht="43.5" customHeight="1" x14ac:dyDescent="0.2">
      <c r="A27" s="109" t="s">
        <v>122</v>
      </c>
      <c r="B27" s="92"/>
      <c r="C27" s="92"/>
      <c r="D27" s="92"/>
      <c r="E27" s="92"/>
      <c r="F27" s="92"/>
      <c r="G27" s="92"/>
      <c r="H27" s="92"/>
      <c r="I27" s="92"/>
      <c r="J27" s="31"/>
      <c r="K27" s="31"/>
      <c r="L27" s="31"/>
      <c r="M27" s="31"/>
      <c r="N27" s="31"/>
    </row>
    <row r="28" spans="1:14" s="28" customFormat="1" ht="15.75" x14ac:dyDescent="0.2">
      <c r="A28" s="96" t="s">
        <v>123</v>
      </c>
      <c r="B28" s="96"/>
      <c r="C28" s="96"/>
      <c r="D28" s="96"/>
      <c r="E28" s="96"/>
      <c r="F28" s="96"/>
      <c r="G28" s="96"/>
      <c r="H28" s="96"/>
      <c r="I28" s="96"/>
    </row>
    <row r="29" spans="1:14" s="28" customFormat="1" ht="15.75" x14ac:dyDescent="0.2">
      <c r="A29" s="96" t="s">
        <v>124</v>
      </c>
      <c r="B29" s="96"/>
      <c r="C29" s="96"/>
      <c r="D29" s="96"/>
      <c r="E29" s="96"/>
      <c r="F29" s="96"/>
      <c r="G29" s="96"/>
      <c r="H29" s="96"/>
      <c r="I29" s="96"/>
    </row>
    <row r="30" spans="1:14" s="28" customFormat="1" ht="15.75" x14ac:dyDescent="0.2">
      <c r="A30" s="96" t="s">
        <v>125</v>
      </c>
      <c r="B30" s="96"/>
      <c r="C30" s="96"/>
      <c r="D30" s="96"/>
      <c r="E30" s="96"/>
      <c r="F30" s="96"/>
      <c r="G30" s="96"/>
      <c r="H30" s="96"/>
      <c r="I30" s="96"/>
    </row>
    <row r="31" spans="1:14" s="28" customFormat="1" ht="15.75" x14ac:dyDescent="0.2">
      <c r="A31" s="96" t="s">
        <v>126</v>
      </c>
      <c r="B31" s="96"/>
      <c r="C31" s="96"/>
      <c r="D31" s="96"/>
      <c r="E31" s="96"/>
      <c r="F31" s="96"/>
      <c r="G31" s="96"/>
      <c r="H31" s="96"/>
      <c r="I31" s="96"/>
    </row>
    <row r="32" spans="1:14" s="28" customFormat="1" ht="15.75" x14ac:dyDescent="0.2">
      <c r="A32" s="96" t="s">
        <v>127</v>
      </c>
      <c r="B32" s="96"/>
      <c r="C32" s="96"/>
      <c r="D32" s="96"/>
      <c r="E32" s="96"/>
      <c r="F32" s="96"/>
      <c r="G32" s="96"/>
      <c r="H32" s="96"/>
      <c r="I32" s="96"/>
    </row>
    <row r="33" s="28" customFormat="1" ht="12.75" x14ac:dyDescent="0.2"/>
  </sheetData>
  <mergeCells count="9">
    <mergeCell ref="K5:L5"/>
    <mergeCell ref="A30:I30"/>
    <mergeCell ref="A31:I31"/>
    <mergeCell ref="A32:I32"/>
    <mergeCell ref="F23:H23"/>
    <mergeCell ref="A26:I26"/>
    <mergeCell ref="A27:I27"/>
    <mergeCell ref="A28:I28"/>
    <mergeCell ref="A29:I29"/>
  </mergeCells>
  <pageMargins left="0.7" right="0.7" top="0.75" bottom="0.75" header="0.3" footer="0.3"/>
  <pageSetup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BAE06-BF8D-4F53-A5DF-6985DD0245ED}">
  <dimension ref="A1:T12"/>
  <sheetViews>
    <sheetView workbookViewId="0">
      <selection activeCell="J8" sqref="J8"/>
    </sheetView>
  </sheetViews>
  <sheetFormatPr defaultRowHeight="15" x14ac:dyDescent="0.25"/>
  <cols>
    <col min="1" max="1" width="12.140625" customWidth="1"/>
    <col min="2" max="2" width="13.5703125" customWidth="1"/>
    <col min="3" max="3" width="11.42578125" customWidth="1"/>
    <col min="4" max="4" width="13.140625" bestFit="1" customWidth="1"/>
    <col min="5" max="5" width="12.5703125" customWidth="1"/>
    <col min="6" max="6" width="11.7109375" customWidth="1"/>
    <col min="7" max="7" width="11.140625" customWidth="1"/>
  </cols>
  <sheetData>
    <row r="1" spans="1:20" ht="16.5" thickBot="1" x14ac:dyDescent="0.3">
      <c r="A1" s="115" t="s">
        <v>128</v>
      </c>
      <c r="B1" s="115"/>
      <c r="C1" s="115"/>
      <c r="D1" s="115"/>
      <c r="E1" s="115"/>
      <c r="F1" s="115"/>
      <c r="G1" s="115"/>
    </row>
    <row r="2" spans="1:20" ht="26.1" customHeight="1" x14ac:dyDescent="0.25">
      <c r="A2" s="80" t="s">
        <v>10</v>
      </c>
      <c r="B2" s="79" t="s">
        <v>11</v>
      </c>
      <c r="C2" s="79" t="s">
        <v>12</v>
      </c>
      <c r="D2" s="79" t="s">
        <v>13</v>
      </c>
      <c r="E2" s="79" t="s">
        <v>14</v>
      </c>
      <c r="F2" s="79" t="s">
        <v>15</v>
      </c>
      <c r="G2" s="79" t="s">
        <v>16</v>
      </c>
      <c r="J2" s="113" t="s">
        <v>162</v>
      </c>
      <c r="K2" s="114"/>
    </row>
    <row r="3" spans="1:20" ht="41.25" x14ac:dyDescent="0.25">
      <c r="A3" s="80" t="s">
        <v>129</v>
      </c>
      <c r="B3" s="79" t="s">
        <v>130</v>
      </c>
      <c r="C3" s="79" t="s">
        <v>131</v>
      </c>
      <c r="D3" s="79" t="s">
        <v>132</v>
      </c>
      <c r="E3" s="79" t="s">
        <v>163</v>
      </c>
      <c r="F3" s="79" t="s">
        <v>133</v>
      </c>
      <c r="G3" s="79" t="s">
        <v>134</v>
      </c>
      <c r="J3" s="87">
        <v>2009</v>
      </c>
      <c r="K3" s="88">
        <f>521.9</f>
        <v>521.9</v>
      </c>
    </row>
    <row r="4" spans="1:20" ht="54" x14ac:dyDescent="0.25">
      <c r="A4" s="86" t="s">
        <v>135</v>
      </c>
      <c r="B4" s="81">
        <f>16820*K5/K3</f>
        <v>25715.037363479594</v>
      </c>
      <c r="C4" s="62">
        <v>0</v>
      </c>
      <c r="D4" s="81">
        <v>0</v>
      </c>
      <c r="E4" s="81">
        <f>380*K5/K3</f>
        <v>580.95803793830237</v>
      </c>
      <c r="F4" s="62">
        <v>3</v>
      </c>
      <c r="G4" s="81">
        <f>E4*F4</f>
        <v>1742.8741138149071</v>
      </c>
      <c r="J4" s="87">
        <v>2021</v>
      </c>
      <c r="K4" s="88">
        <f>708</f>
        <v>708</v>
      </c>
    </row>
    <row r="5" spans="1:20" ht="42" thickBot="1" x14ac:dyDescent="0.3">
      <c r="A5" s="86" t="s">
        <v>136</v>
      </c>
      <c r="B5" s="62"/>
      <c r="C5" s="62"/>
      <c r="D5" s="62"/>
      <c r="E5" s="81">
        <f>11220*K5/K4</f>
        <v>12644.686440677966</v>
      </c>
      <c r="F5" s="62">
        <v>2</v>
      </c>
      <c r="G5" s="81">
        <f>E5*F5</f>
        <v>25289.372881355932</v>
      </c>
      <c r="H5" s="1"/>
      <c r="I5" s="1"/>
      <c r="J5" s="89">
        <v>2023</v>
      </c>
      <c r="K5" s="90">
        <f>797.9</f>
        <v>797.9</v>
      </c>
      <c r="L5" s="1"/>
      <c r="M5" s="1"/>
      <c r="N5" s="1"/>
      <c r="O5" s="1"/>
      <c r="P5" s="1"/>
      <c r="Q5" s="1"/>
      <c r="R5" s="1"/>
      <c r="S5" s="1"/>
      <c r="T5" s="1"/>
    </row>
    <row r="6" spans="1:20" ht="28.5" x14ac:dyDescent="0.25">
      <c r="A6" s="76" t="s">
        <v>165</v>
      </c>
      <c r="B6" s="62"/>
      <c r="C6" s="62"/>
      <c r="D6" s="81">
        <v>60000</v>
      </c>
      <c r="E6" s="81"/>
      <c r="F6" s="62"/>
      <c r="G6" s="81"/>
      <c r="H6" s="1"/>
      <c r="I6" s="1"/>
      <c r="J6" s="1"/>
      <c r="K6" s="1"/>
      <c r="L6" s="1"/>
      <c r="M6" s="1"/>
      <c r="N6" s="1"/>
      <c r="O6" s="1"/>
      <c r="P6" s="1"/>
      <c r="Q6" s="1"/>
      <c r="R6" s="1"/>
      <c r="S6" s="1"/>
      <c r="T6" s="1"/>
    </row>
    <row r="7" spans="1:20" ht="28.5" x14ac:dyDescent="0.25">
      <c r="A7" s="76" t="s">
        <v>166</v>
      </c>
      <c r="B7" s="13"/>
      <c r="C7" s="13"/>
      <c r="D7" s="81">
        <f>SUM(D4:D6)</f>
        <v>60000</v>
      </c>
      <c r="E7" s="62"/>
      <c r="F7" s="62"/>
      <c r="G7" s="81">
        <f>ROUND(G4+G5,-2)</f>
        <v>27000</v>
      </c>
      <c r="J7" s="60">
        <f>D7+G7</f>
        <v>87000</v>
      </c>
    </row>
    <row r="8" spans="1:20" ht="31.5" customHeight="1" x14ac:dyDescent="0.25">
      <c r="A8" s="116" t="s">
        <v>164</v>
      </c>
      <c r="B8" s="117"/>
      <c r="C8" s="117"/>
      <c r="D8" s="117"/>
      <c r="E8" s="117"/>
      <c r="F8" s="117"/>
      <c r="G8" s="117"/>
      <c r="J8" s="60"/>
    </row>
    <row r="9" spans="1:20" ht="15.75" x14ac:dyDescent="0.25">
      <c r="A9" s="111" t="s">
        <v>137</v>
      </c>
      <c r="B9" s="111"/>
      <c r="C9" s="111"/>
      <c r="D9" s="111"/>
      <c r="E9" s="111"/>
      <c r="F9" s="111"/>
      <c r="G9" s="111"/>
    </row>
    <row r="10" spans="1:20" ht="31.5" customHeight="1" x14ac:dyDescent="0.25">
      <c r="A10" s="118" t="s">
        <v>138</v>
      </c>
      <c r="B10" s="118"/>
      <c r="C10" s="118"/>
      <c r="D10" s="118"/>
      <c r="E10" s="118"/>
      <c r="F10" s="118"/>
      <c r="G10" s="118"/>
    </row>
    <row r="11" spans="1:20" ht="42" customHeight="1" x14ac:dyDescent="0.25">
      <c r="A11" s="112" t="s">
        <v>168</v>
      </c>
      <c r="B11" s="112"/>
      <c r="C11" s="112"/>
      <c r="D11" s="112"/>
      <c r="E11" s="112"/>
      <c r="F11" s="112"/>
      <c r="G11" s="112"/>
    </row>
    <row r="12" spans="1:20" ht="15.75" x14ac:dyDescent="0.25">
      <c r="A12" s="110" t="s">
        <v>167</v>
      </c>
      <c r="B12" s="111"/>
      <c r="C12" s="111"/>
      <c r="D12" s="111"/>
      <c r="E12" s="111"/>
      <c r="F12" s="111"/>
      <c r="G12" s="111"/>
    </row>
  </sheetData>
  <mergeCells count="7">
    <mergeCell ref="A12:G12"/>
    <mergeCell ref="A11:G11"/>
    <mergeCell ref="J2:K2"/>
    <mergeCell ref="A1:G1"/>
    <mergeCell ref="A8:G8"/>
    <mergeCell ref="A9:G9"/>
    <mergeCell ref="A10:G10"/>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FE7A3-0195-467D-9C3F-BDB42821E445}">
  <dimension ref="A1:F9"/>
  <sheetViews>
    <sheetView workbookViewId="0">
      <selection activeCell="A10" sqref="A10"/>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119" t="s">
        <v>2</v>
      </c>
      <c r="B1" s="119"/>
      <c r="C1" s="119"/>
      <c r="D1" s="119"/>
      <c r="E1" s="119"/>
      <c r="F1" s="119"/>
    </row>
    <row r="2" spans="1:6" ht="25.5" x14ac:dyDescent="0.25">
      <c r="A2" s="75"/>
      <c r="B2" s="120" t="s">
        <v>139</v>
      </c>
      <c r="C2" s="120"/>
      <c r="D2" s="76" t="s">
        <v>140</v>
      </c>
      <c r="E2" s="76"/>
      <c r="F2" s="76"/>
    </row>
    <row r="3" spans="1:6" x14ac:dyDescent="0.25">
      <c r="A3" s="76"/>
      <c r="B3" s="13" t="s">
        <v>10</v>
      </c>
      <c r="C3" s="13" t="s">
        <v>11</v>
      </c>
      <c r="D3" s="13" t="s">
        <v>12</v>
      </c>
      <c r="E3" s="13" t="s">
        <v>13</v>
      </c>
      <c r="F3" s="13" t="s">
        <v>14</v>
      </c>
    </row>
    <row r="4" spans="1:6" ht="51" x14ac:dyDescent="0.25">
      <c r="A4" s="13" t="s">
        <v>141</v>
      </c>
      <c r="B4" s="76" t="s">
        <v>142</v>
      </c>
      <c r="C4" s="76" t="s">
        <v>143</v>
      </c>
      <c r="D4" s="76" t="s">
        <v>144</v>
      </c>
      <c r="E4" s="76" t="s">
        <v>145</v>
      </c>
      <c r="F4" s="76" t="s">
        <v>146</v>
      </c>
    </row>
    <row r="5" spans="1:6" x14ac:dyDescent="0.25">
      <c r="A5" s="13">
        <v>1</v>
      </c>
      <c r="B5" s="13">
        <v>0</v>
      </c>
      <c r="C5" s="13">
        <v>3</v>
      </c>
      <c r="D5" s="13">
        <v>0</v>
      </c>
      <c r="E5" s="13">
        <v>0</v>
      </c>
      <c r="F5" s="13">
        <f>B5+C5+D5-E5</f>
        <v>3</v>
      </c>
    </row>
    <row r="6" spans="1:6" x14ac:dyDescent="0.25">
      <c r="A6" s="13">
        <v>2</v>
      </c>
      <c r="B6" s="13">
        <v>0</v>
      </c>
      <c r="C6" s="13">
        <v>3</v>
      </c>
      <c r="D6" s="13">
        <v>0</v>
      </c>
      <c r="E6" s="13">
        <v>0</v>
      </c>
      <c r="F6" s="13">
        <f t="shared" ref="F6:F7" si="0">B6+C6+D6-E6</f>
        <v>3</v>
      </c>
    </row>
    <row r="7" spans="1:6" x14ac:dyDescent="0.25">
      <c r="A7" s="13">
        <v>3</v>
      </c>
      <c r="B7" s="13">
        <v>0</v>
      </c>
      <c r="C7" s="13">
        <f>F6</f>
        <v>3</v>
      </c>
      <c r="D7" s="13">
        <v>0</v>
      </c>
      <c r="E7" s="13">
        <v>0</v>
      </c>
      <c r="F7" s="13">
        <f t="shared" si="0"/>
        <v>3</v>
      </c>
    </row>
    <row r="8" spans="1:6" x14ac:dyDescent="0.25">
      <c r="A8" s="76" t="s">
        <v>147</v>
      </c>
      <c r="B8" s="13">
        <f>AVERAGE(B5:B7)</f>
        <v>0</v>
      </c>
      <c r="C8" s="13">
        <f>AVERAGE(C5:C7)</f>
        <v>3</v>
      </c>
      <c r="D8" s="13">
        <f t="shared" ref="D8:E8" si="1">AVERAGE(D5:D7)</f>
        <v>0</v>
      </c>
      <c r="E8" s="13">
        <f t="shared" si="1"/>
        <v>0</v>
      </c>
      <c r="F8" s="13">
        <f>AVERAGE(F5:F7)</f>
        <v>3</v>
      </c>
    </row>
    <row r="9" spans="1:6" ht="15.75" x14ac:dyDescent="0.25">
      <c r="A9" s="121" t="s">
        <v>148</v>
      </c>
      <c r="B9" s="121"/>
      <c r="C9" s="121"/>
      <c r="D9" s="121"/>
      <c r="E9" s="121"/>
      <c r="F9" s="121"/>
    </row>
  </sheetData>
  <mergeCells count="3">
    <mergeCell ref="A1:F1"/>
    <mergeCell ref="B2:C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22101-DBF9-4A36-A1DD-73E305698AEE}">
  <dimension ref="A1:F16"/>
  <sheetViews>
    <sheetView topLeftCell="A5" workbookViewId="0">
      <selection activeCell="C15" sqref="C15"/>
    </sheetView>
  </sheetViews>
  <sheetFormatPr defaultColWidth="13.7109375" defaultRowHeight="12.75" x14ac:dyDescent="0.2"/>
  <cols>
    <col min="1" max="1" width="19.28515625" style="77" customWidth="1"/>
    <col min="2" max="8" width="13.7109375" style="77"/>
    <col min="9" max="9" width="25.7109375" style="77" customWidth="1"/>
    <col min="10" max="11" width="13.7109375" style="77"/>
    <col min="12" max="12" width="15.7109375" style="77" customWidth="1"/>
    <col min="13" max="16384" width="13.7109375" style="77"/>
  </cols>
  <sheetData>
    <row r="1" spans="1:6" ht="15.75" x14ac:dyDescent="0.2">
      <c r="A1" s="119" t="s">
        <v>149</v>
      </c>
      <c r="B1" s="119"/>
      <c r="C1" s="119"/>
      <c r="D1" s="119"/>
      <c r="E1" s="119"/>
    </row>
    <row r="2" spans="1:6" x14ac:dyDescent="0.2">
      <c r="A2" s="13" t="s">
        <v>10</v>
      </c>
      <c r="B2" s="13" t="s">
        <v>11</v>
      </c>
      <c r="C2" s="13" t="s">
        <v>12</v>
      </c>
      <c r="D2" s="13" t="s">
        <v>13</v>
      </c>
      <c r="E2" s="13" t="s">
        <v>14</v>
      </c>
    </row>
    <row r="3" spans="1:6" ht="89.25" x14ac:dyDescent="0.2">
      <c r="A3" s="78" t="s">
        <v>150</v>
      </c>
      <c r="B3" s="78" t="s">
        <v>2</v>
      </c>
      <c r="C3" s="78" t="s">
        <v>151</v>
      </c>
      <c r="D3" s="78" t="s">
        <v>152</v>
      </c>
      <c r="E3" s="78" t="s">
        <v>153</v>
      </c>
    </row>
    <row r="4" spans="1:6" ht="24" x14ac:dyDescent="0.2">
      <c r="A4" s="82" t="s">
        <v>50</v>
      </c>
      <c r="B4" s="83">
        <v>0</v>
      </c>
      <c r="C4" s="83">
        <v>1</v>
      </c>
      <c r="D4" s="83">
        <v>0</v>
      </c>
      <c r="E4" s="83">
        <f>(B4*C4)+D4</f>
        <v>0</v>
      </c>
    </row>
    <row r="5" spans="1:6" ht="36" x14ac:dyDescent="0.2">
      <c r="A5" s="82" t="s">
        <v>51</v>
      </c>
      <c r="B5" s="83">
        <v>0</v>
      </c>
      <c r="C5" s="83">
        <v>1</v>
      </c>
      <c r="D5" s="83">
        <v>0</v>
      </c>
      <c r="E5" s="83">
        <f t="shared" ref="E5:E15" si="0">(B5*C5)+D5</f>
        <v>0</v>
      </c>
    </row>
    <row r="6" spans="1:6" ht="26.25" customHeight="1" x14ac:dyDescent="0.2">
      <c r="A6" s="82" t="s">
        <v>111</v>
      </c>
      <c r="B6" s="83">
        <v>0</v>
      </c>
      <c r="C6" s="83">
        <v>1</v>
      </c>
      <c r="D6" s="83">
        <v>0</v>
      </c>
      <c r="E6" s="83">
        <f t="shared" si="0"/>
        <v>0</v>
      </c>
    </row>
    <row r="7" spans="1:6" ht="24" x14ac:dyDescent="0.2">
      <c r="A7" s="82" t="s">
        <v>53</v>
      </c>
      <c r="B7" s="83">
        <v>0</v>
      </c>
      <c r="C7" s="83">
        <v>1</v>
      </c>
      <c r="D7" s="83">
        <v>0</v>
      </c>
      <c r="E7" s="83">
        <f t="shared" si="0"/>
        <v>0</v>
      </c>
    </row>
    <row r="8" spans="1:6" ht="24" x14ac:dyDescent="0.2">
      <c r="A8" s="82" t="s">
        <v>112</v>
      </c>
      <c r="B8" s="83">
        <v>2</v>
      </c>
      <c r="C8" s="83">
        <v>1</v>
      </c>
      <c r="D8" s="83">
        <v>0</v>
      </c>
      <c r="E8" s="83">
        <f t="shared" si="0"/>
        <v>2</v>
      </c>
    </row>
    <row r="9" spans="1:6" ht="24" x14ac:dyDescent="0.2">
      <c r="A9" s="82" t="s">
        <v>154</v>
      </c>
      <c r="B9" s="83">
        <v>2</v>
      </c>
      <c r="C9" s="83">
        <v>1</v>
      </c>
      <c r="D9" s="83">
        <v>0</v>
      </c>
      <c r="E9" s="83">
        <f t="shared" si="0"/>
        <v>2</v>
      </c>
    </row>
    <row r="10" spans="1:6" ht="24" x14ac:dyDescent="0.2">
      <c r="A10" s="82" t="s">
        <v>155</v>
      </c>
      <c r="B10" s="83">
        <v>0</v>
      </c>
      <c r="C10" s="83">
        <v>1</v>
      </c>
      <c r="D10" s="83">
        <v>0</v>
      </c>
      <c r="E10" s="83">
        <f t="shared" si="0"/>
        <v>0</v>
      </c>
    </row>
    <row r="11" spans="1:6" ht="36" x14ac:dyDescent="0.2">
      <c r="A11" s="82" t="s">
        <v>156</v>
      </c>
      <c r="B11" s="83">
        <v>1</v>
      </c>
      <c r="C11" s="83">
        <v>6</v>
      </c>
      <c r="D11" s="83">
        <v>0</v>
      </c>
      <c r="E11" s="83">
        <f t="shared" si="0"/>
        <v>6</v>
      </c>
    </row>
    <row r="12" spans="1:6" ht="24" x14ac:dyDescent="0.2">
      <c r="A12" s="82" t="s">
        <v>157</v>
      </c>
      <c r="B12" s="83">
        <v>2</v>
      </c>
      <c r="C12" s="83">
        <v>1</v>
      </c>
      <c r="D12" s="83">
        <v>0</v>
      </c>
      <c r="E12" s="83">
        <f t="shared" si="0"/>
        <v>2</v>
      </c>
    </row>
    <row r="13" spans="1:6" ht="24" x14ac:dyDescent="0.2">
      <c r="A13" s="82" t="s">
        <v>158</v>
      </c>
      <c r="B13" s="83">
        <v>2</v>
      </c>
      <c r="C13" s="83">
        <v>2</v>
      </c>
      <c r="D13" s="83">
        <v>0</v>
      </c>
      <c r="E13" s="83">
        <f t="shared" si="0"/>
        <v>4</v>
      </c>
      <c r="F13" s="29"/>
    </row>
    <row r="14" spans="1:6" ht="24" x14ac:dyDescent="0.2">
      <c r="A14" s="82" t="s">
        <v>159</v>
      </c>
      <c r="B14" s="83">
        <v>0</v>
      </c>
      <c r="C14" s="83">
        <v>1</v>
      </c>
      <c r="D14" s="83">
        <v>0</v>
      </c>
      <c r="E14" s="83">
        <f t="shared" si="0"/>
        <v>0</v>
      </c>
    </row>
    <row r="15" spans="1:6" ht="24" x14ac:dyDescent="0.2">
      <c r="A15" s="82" t="s">
        <v>160</v>
      </c>
      <c r="B15" s="83">
        <v>2</v>
      </c>
      <c r="C15" s="83">
        <v>1</v>
      </c>
      <c r="D15" s="83">
        <v>0</v>
      </c>
      <c r="E15" s="83">
        <f t="shared" si="0"/>
        <v>2</v>
      </c>
    </row>
    <row r="16" spans="1:6" x14ac:dyDescent="0.2">
      <c r="A16" s="84"/>
      <c r="B16" s="85"/>
      <c r="C16" s="85"/>
      <c r="D16" s="85" t="s">
        <v>161</v>
      </c>
      <c r="E16" s="83">
        <f>SUM(E4:E15)</f>
        <v>18</v>
      </c>
    </row>
  </sheetData>
  <mergeCells count="1">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2025-03-03T18:42:31+00:00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91DC8AF-ACFC-4F02-9E2C-5130D29BF8BA}">
  <ds:schemaRefs>
    <ds:schemaRef ds:uri="http://schemas.microsoft.com/sharepoint/v3/contenttype/forms"/>
  </ds:schemaRefs>
</ds:datastoreItem>
</file>

<file path=customXml/itemProps2.xml><?xml version="1.0" encoding="utf-8"?>
<ds:datastoreItem xmlns:ds="http://schemas.openxmlformats.org/officeDocument/2006/customXml" ds:itemID="{96EF627A-E40C-45C5-9890-C6AE62FDF04B}">
  <ds:schemaRefs>
    <ds:schemaRef ds:uri="http://www.w3.org/XML/1998/namespace"/>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4d6aed1e-57d3-46e3-9aba-f706adbce63b"/>
    <ds:schemaRef ds:uri="1891fcec-84c2-4840-9468-b51a784ab0d1"/>
    <ds:schemaRef ds:uri="http://schemas.microsoft.com/office/2006/metadata/properties"/>
  </ds:schemaRefs>
</ds:datastoreItem>
</file>

<file path=customXml/itemProps3.xml><?xml version="1.0" encoding="utf-8"?>
<ds:datastoreItem xmlns:ds="http://schemas.openxmlformats.org/officeDocument/2006/customXml" ds:itemID="{E2CB60F2-E28B-44E4-9ABD-ADBC777849F4}"/>
</file>

<file path=customXml/itemProps4.xml><?xml version="1.0" encoding="utf-8"?>
<ds:datastoreItem xmlns:ds="http://schemas.openxmlformats.org/officeDocument/2006/customXml" ds:itemID="{64376252-B9AD-4D11-B72C-9AD5350C7C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Summary</vt:lpstr>
      <vt:lpstr>Table 1</vt:lpstr>
      <vt:lpstr>Table 2</vt:lpstr>
      <vt:lpstr>Capital O&amp;M</vt:lpstr>
      <vt:lpstr>Respondents</vt:lpstr>
      <vt:lpstr>Responses</vt:lpstr>
      <vt:lpstr>'Table 1'!_GoBack</vt:lpstr>
      <vt:lpstr>'Table 1'!Print_Area</vt:lpstr>
      <vt:lpstr>'Table 2'!Print_Area</vt:lpstr>
      <vt:lpstr>'Table 1'!Print_Titles</vt:lpstr>
    </vt:vector>
  </TitlesOfParts>
  <Manager/>
  <Company>Eastern Research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Sellers</dc:creator>
  <cp:keywords/>
  <dc:description/>
  <cp:lastModifiedBy>ERG</cp:lastModifiedBy>
  <cp:revision/>
  <dcterms:created xsi:type="dcterms:W3CDTF">2015-03-31T15:02:34Z</dcterms:created>
  <dcterms:modified xsi:type="dcterms:W3CDTF">2025-03-04T15:00:04Z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