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https://easternresearchgroup.sharepoint.com/sites/CAAICRRenewals/Shared Documents/General/FY25_Drafts/1807.11 NESHAP for Pesticide Active Ingredient Production/Send to EPA/"/>
    </mc:Choice>
  </mc:AlternateContent>
  <xr:revisionPtr revIDLastSave="4" documentId="8_{98E746F5-37B2-4EA2-9E58-3023C68FDDAD}" xr6:coauthVersionLast="47" xr6:coauthVersionMax="47" xr10:uidLastSave="{DEA112A3-BE25-4BB0-9F80-8353598A991C}"/>
  <bookViews>
    <workbookView xWindow="-120" yWindow="-120" windowWidth="25440" windowHeight="15270" tabRatio="714" xr2:uid="{00000000-000D-0000-FFFF-FFFF00000000}"/>
  </bookViews>
  <sheets>
    <sheet name="Summary" sheetId="11" r:id="rId1"/>
    <sheet name="Table 1" sheetId="1" r:id="rId2"/>
    <sheet name="Table 2" sheetId="2" r:id="rId3"/>
    <sheet name="Capital O&amp;M" sheetId="10" r:id="rId4"/>
    <sheet name="Respondents" sheetId="9" r:id="rId5"/>
    <sheet name="Responses" sheetId="8" r:id="rId6"/>
  </sheets>
  <definedNames>
    <definedName name="_xlnm.Print_Area" localSheetId="1">'Table 1'!$A$1:$J$51</definedName>
    <definedName name="_xlnm.Print_Area" localSheetId="2">'Table 2'!$A$1:$J$4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 l="1"/>
  <c r="D10" i="8"/>
  <c r="F21" i="1"/>
  <c r="F6" i="2"/>
  <c r="E21" i="1"/>
  <c r="G21" i="1" l="1"/>
  <c r="I21" i="1"/>
  <c r="H11" i="10"/>
  <c r="H21" i="1" l="1"/>
  <c r="J21" i="1" s="1"/>
  <c r="G31" i="1"/>
  <c r="F24" i="1"/>
  <c r="F23" i="1"/>
  <c r="F18" i="1"/>
  <c r="H10" i="10" l="1"/>
  <c r="H9" i="10"/>
  <c r="H8" i="10"/>
  <c r="H7" i="10"/>
  <c r="E10" i="10"/>
  <c r="E9" i="10"/>
  <c r="E8" i="10"/>
  <c r="E11" i="10" s="1"/>
  <c r="E7" i="10"/>
  <c r="F8" i="1"/>
  <c r="F44" i="1"/>
  <c r="F43" i="1"/>
  <c r="F39" i="1"/>
  <c r="F37" i="1"/>
  <c r="F36" i="1"/>
  <c r="F22" i="1"/>
  <c r="F20" i="1"/>
  <c r="F19" i="1"/>
  <c r="F10" i="1"/>
  <c r="J11" i="10" l="1"/>
  <c r="E5" i="2"/>
  <c r="E6" i="2"/>
  <c r="D7" i="2"/>
  <c r="E7" i="2" s="1"/>
  <c r="D9" i="2"/>
  <c r="E9" i="2" s="1"/>
  <c r="D10" i="2"/>
  <c r="E10" i="2" s="1"/>
  <c r="D11" i="2"/>
  <c r="E11" i="2" s="1"/>
  <c r="D12" i="2"/>
  <c r="E12" i="2" s="1"/>
  <c r="D13" i="2"/>
  <c r="E13" i="2" s="1"/>
  <c r="D14" i="2"/>
  <c r="E14" i="2" s="1"/>
  <c r="D15" i="2"/>
  <c r="E15" i="2" s="1"/>
  <c r="D16" i="2"/>
  <c r="E16" i="2" s="1"/>
  <c r="D17" i="2"/>
  <c r="E17" i="2" s="1"/>
  <c r="D18" i="2"/>
  <c r="E18" i="2" s="1"/>
  <c r="D19" i="2"/>
  <c r="E19" i="2" s="1"/>
  <c r="D20" i="2"/>
  <c r="E20" i="2" s="1"/>
  <c r="D21" i="2"/>
  <c r="E21" i="2" s="1"/>
  <c r="J48" i="1" l="1"/>
  <c r="B6" i="11"/>
  <c r="F29" i="1"/>
  <c r="F30" i="1" s="1"/>
  <c r="F28" i="1"/>
  <c r="F21" i="2" s="1"/>
  <c r="G21" i="2" s="1"/>
  <c r="F27" i="1"/>
  <c r="F20" i="2" s="1"/>
  <c r="G20" i="2" s="1"/>
  <c r="F17" i="2"/>
  <c r="G17" i="2" s="1"/>
  <c r="F13" i="2"/>
  <c r="G13" i="2" s="1"/>
  <c r="F14" i="2" l="1"/>
  <c r="G14" i="2" s="1"/>
  <c r="H14" i="2" s="1"/>
  <c r="F10" i="2"/>
  <c r="G10" i="2" s="1"/>
  <c r="I10" i="2" s="1"/>
  <c r="F11" i="2"/>
  <c r="G11" i="2" s="1"/>
  <c r="H11" i="2" s="1"/>
  <c r="F12" i="2"/>
  <c r="G12" i="2" s="1"/>
  <c r="H12" i="2" s="1"/>
  <c r="F42" i="1"/>
  <c r="H13" i="2"/>
  <c r="I13" i="2"/>
  <c r="I20" i="2"/>
  <c r="H20" i="2"/>
  <c r="I21" i="2"/>
  <c r="H21" i="2"/>
  <c r="J21" i="2" s="1"/>
  <c r="F16" i="2"/>
  <c r="G16" i="2" s="1"/>
  <c r="I17" i="2"/>
  <c r="H17" i="2"/>
  <c r="F9" i="2"/>
  <c r="G9" i="2" s="1"/>
  <c r="F26" i="1"/>
  <c r="F19" i="2" s="1"/>
  <c r="G19" i="2" s="1"/>
  <c r="F41" i="1"/>
  <c r="J20" i="2" l="1"/>
  <c r="I14" i="2"/>
  <c r="J14" i="2" s="1"/>
  <c r="I12" i="2"/>
  <c r="J12" i="2" s="1"/>
  <c r="J17" i="2"/>
  <c r="J13" i="2"/>
  <c r="H10" i="2"/>
  <c r="J10" i="2" s="1"/>
  <c r="I11" i="2"/>
  <c r="J11" i="2" s="1"/>
  <c r="H16" i="2"/>
  <c r="I16" i="2"/>
  <c r="F18" i="2"/>
  <c r="G18" i="2" s="1"/>
  <c r="F7" i="2"/>
  <c r="G7" i="2" s="1"/>
  <c r="F5" i="2"/>
  <c r="F15" i="2"/>
  <c r="G15" i="2" s="1"/>
  <c r="I19" i="2"/>
  <c r="H19" i="2"/>
  <c r="I9" i="2"/>
  <c r="H9" i="2"/>
  <c r="J19" i="2" l="1"/>
  <c r="J9" i="2"/>
  <c r="J16" i="2"/>
  <c r="H15" i="2"/>
  <c r="I15" i="2"/>
  <c r="H18" i="2"/>
  <c r="I18" i="2"/>
  <c r="G6" i="2"/>
  <c r="G5" i="2"/>
  <c r="H7" i="2"/>
  <c r="I7" i="2"/>
  <c r="J15" i="2" l="1"/>
  <c r="J18" i="2"/>
  <c r="H5" i="2"/>
  <c r="J5" i="2" s="1"/>
  <c r="I5" i="2"/>
  <c r="H6" i="2"/>
  <c r="I6" i="2"/>
  <c r="J7" i="2"/>
  <c r="D5" i="8"/>
  <c r="D6" i="8"/>
  <c r="D7" i="8"/>
  <c r="D8" i="8"/>
  <c r="D9" i="8"/>
  <c r="D11" i="8"/>
  <c r="D12" i="8"/>
  <c r="D13" i="8"/>
  <c r="D14" i="8"/>
  <c r="D15" i="8"/>
  <c r="D16" i="8"/>
  <c r="D4" i="8"/>
  <c r="E44" i="1"/>
  <c r="E43" i="1"/>
  <c r="E41" i="1"/>
  <c r="G41" i="1" s="1"/>
  <c r="E37" i="1"/>
  <c r="E36" i="1"/>
  <c r="C16" i="8"/>
  <c r="E29" i="1"/>
  <c r="C8" i="8"/>
  <c r="C12" i="8"/>
  <c r="E22" i="1"/>
  <c r="E20" i="1"/>
  <c r="E19" i="1"/>
  <c r="E15" i="1"/>
  <c r="E17" i="1"/>
  <c r="E18" i="1"/>
  <c r="E14" i="1"/>
  <c r="E10" i="1"/>
  <c r="E8" i="1"/>
  <c r="D7" i="9"/>
  <c r="G7" i="9" s="1"/>
  <c r="J6" i="2" l="1"/>
  <c r="G22" i="2"/>
  <c r="H41" i="1"/>
  <c r="I41" i="1"/>
  <c r="F8" i="8"/>
  <c r="F12" i="8"/>
  <c r="C15" i="8"/>
  <c r="F15" i="8" s="1"/>
  <c r="C7" i="8"/>
  <c r="F7" i="8" s="1"/>
  <c r="F16" i="8"/>
  <c r="G44" i="1"/>
  <c r="H44" i="1" s="1"/>
  <c r="G43" i="1"/>
  <c r="H43" i="1" s="1"/>
  <c r="G37" i="1"/>
  <c r="I37" i="1" s="1"/>
  <c r="G36" i="1"/>
  <c r="G29" i="1"/>
  <c r="H29" i="1" s="1"/>
  <c r="G17" i="1"/>
  <c r="H17" i="1" s="1"/>
  <c r="G18" i="1"/>
  <c r="G8" i="1"/>
  <c r="E42" i="1"/>
  <c r="E10" i="9"/>
  <c r="D8" i="9"/>
  <c r="J22" i="2" l="1"/>
  <c r="J41" i="1"/>
  <c r="C14" i="8"/>
  <c r="F14" i="8" s="1"/>
  <c r="C9" i="8"/>
  <c r="F9" i="8" s="1"/>
  <c r="H18" i="1"/>
  <c r="C11" i="8"/>
  <c r="F11" i="8" s="1"/>
  <c r="C4" i="8"/>
  <c r="F4" i="8" s="1"/>
  <c r="C5" i="8"/>
  <c r="F5" i="8" s="1"/>
  <c r="C10" i="8"/>
  <c r="F10" i="8" s="1"/>
  <c r="F17" i="8" s="1"/>
  <c r="G19" i="1"/>
  <c r="I19" i="1" s="1"/>
  <c r="G14" i="1"/>
  <c r="I14" i="1" s="1"/>
  <c r="G15" i="1"/>
  <c r="I15" i="1" s="1"/>
  <c r="G22" i="1"/>
  <c r="I22" i="1" s="1"/>
  <c r="I36" i="1"/>
  <c r="I44" i="1"/>
  <c r="J44" i="1" s="1"/>
  <c r="I43" i="1"/>
  <c r="J43" i="1" s="1"/>
  <c r="G42" i="1"/>
  <c r="I42" i="1" s="1"/>
  <c r="H37" i="1"/>
  <c r="J37" i="1" s="1"/>
  <c r="H36" i="1"/>
  <c r="H8" i="1"/>
  <c r="J8" i="1" s="1"/>
  <c r="I29" i="1"/>
  <c r="J29" i="1" s="1"/>
  <c r="G10" i="1"/>
  <c r="H10" i="1" s="1"/>
  <c r="G20" i="1"/>
  <c r="I17" i="1"/>
  <c r="J17" i="1" s="1"/>
  <c r="I18" i="1"/>
  <c r="I8" i="1"/>
  <c r="C10" i="9"/>
  <c r="G8" i="9"/>
  <c r="D9" i="9" s="1"/>
  <c r="G9" i="9" s="1"/>
  <c r="G10" i="9" s="1"/>
  <c r="B3" i="11" s="1"/>
  <c r="J18" i="1" l="1"/>
  <c r="J36" i="1"/>
  <c r="C13" i="8"/>
  <c r="F13" i="8" s="1"/>
  <c r="H14" i="1"/>
  <c r="J14" i="1" s="1"/>
  <c r="H19" i="1"/>
  <c r="J19" i="1" s="1"/>
  <c r="H22" i="1"/>
  <c r="J22" i="1" s="1"/>
  <c r="H15" i="1"/>
  <c r="J15" i="1" s="1"/>
  <c r="H42" i="1"/>
  <c r="J42" i="1" s="1"/>
  <c r="I10" i="1"/>
  <c r="J10" i="1" s="1"/>
  <c r="I20" i="1"/>
  <c r="H20" i="1"/>
  <c r="D10" i="9"/>
  <c r="E39" i="1"/>
  <c r="G39" i="1" s="1"/>
  <c r="E28" i="1"/>
  <c r="G28" i="1" s="1"/>
  <c r="E30" i="1"/>
  <c r="G30" i="1" s="1"/>
  <c r="E26" i="1"/>
  <c r="G26" i="1" s="1"/>
  <c r="E27" i="1"/>
  <c r="G27" i="1" s="1"/>
  <c r="E24" i="1"/>
  <c r="G24" i="1" s="1"/>
  <c r="E23" i="1"/>
  <c r="G23" i="1" s="1"/>
  <c r="E16" i="1"/>
  <c r="H39" i="1" l="1"/>
  <c r="I39" i="1"/>
  <c r="G46" i="1" s="1"/>
  <c r="H28" i="1"/>
  <c r="I28" i="1"/>
  <c r="H30" i="1"/>
  <c r="I30" i="1"/>
  <c r="I26" i="1"/>
  <c r="H26" i="1"/>
  <c r="H27" i="1"/>
  <c r="I27" i="1"/>
  <c r="H24" i="1"/>
  <c r="I24" i="1"/>
  <c r="I23" i="1"/>
  <c r="H23" i="1"/>
  <c r="J20" i="1"/>
  <c r="C6" i="8" l="1"/>
  <c r="F6" i="8" s="1"/>
  <c r="J39" i="1"/>
  <c r="J46" i="1" s="1"/>
  <c r="J28" i="1"/>
  <c r="J30" i="1"/>
  <c r="J26" i="1"/>
  <c r="J27" i="1"/>
  <c r="J24" i="1"/>
  <c r="J23" i="1"/>
  <c r="G16" i="1"/>
  <c r="H16" i="1" l="1"/>
  <c r="J16" i="1" s="1"/>
  <c r="I16" i="1"/>
  <c r="G47" i="1" l="1"/>
  <c r="J47" i="1"/>
  <c r="B4" i="11" l="1"/>
  <c r="J50" i="1"/>
  <c r="B2" i="11" s="1"/>
  <c r="J49" i="1"/>
  <c r="B5" i="11" s="1"/>
</calcChain>
</file>

<file path=xl/sharedStrings.xml><?xml version="1.0" encoding="utf-8"?>
<sst xmlns="http://schemas.openxmlformats.org/spreadsheetml/2006/main" count="214" uniqueCount="178">
  <si>
    <t>ICR Summary Information</t>
  </si>
  <si>
    <t>Hours Per Response</t>
  </si>
  <si>
    <t>Number of Respondents</t>
  </si>
  <si>
    <t>Total Estimated Burden Hours</t>
  </si>
  <si>
    <t>Total Estimated Costs</t>
  </si>
  <si>
    <t>Annualized Capital O&amp;M</t>
  </si>
  <si>
    <t>Form Number</t>
  </si>
  <si>
    <t>Table 1: Annual Respondent Burden and Cost – NESHAP for Pesticide Active Ingredient Production (40 CFR Part 63, Subpart MMM) (Renewal)</t>
  </si>
  <si>
    <t>Burden item</t>
  </si>
  <si>
    <t>A</t>
  </si>
  <si>
    <t>B</t>
  </si>
  <si>
    <t>C</t>
  </si>
  <si>
    <t>D</t>
  </si>
  <si>
    <t>E</t>
  </si>
  <si>
    <t>F</t>
  </si>
  <si>
    <t>G</t>
  </si>
  <si>
    <t>H</t>
  </si>
  <si>
    <t>Source Type</t>
  </si>
  <si>
    <t>No.</t>
  </si>
  <si>
    <t>Person-hours
per occurrence</t>
  </si>
  <si>
    <t>Annual occurrences
per respondent</t>
  </si>
  <si>
    <t>Person-hours
per respondent
per year (AxB)</t>
  </si>
  <si>
    <r>
      <t xml:space="preserve">Respondents
per year </t>
    </r>
    <r>
      <rPr>
        <b/>
        <vertAlign val="superscript"/>
        <sz val="10"/>
        <rFont val="Times New Roman"/>
        <family val="1"/>
      </rPr>
      <t>a</t>
    </r>
  </si>
  <si>
    <t>Technical hours per
year (CxD)</t>
  </si>
  <si>
    <t>Management hours per year (Ex0.05)</t>
  </si>
  <si>
    <t>Clerical hours
per year
(Ex0.10)</t>
  </si>
  <si>
    <r>
      <t xml:space="preserve">Annual Cost
($) </t>
    </r>
    <r>
      <rPr>
        <b/>
        <vertAlign val="superscript"/>
        <sz val="10"/>
        <rFont val="Times New Roman"/>
        <family val="1"/>
      </rPr>
      <t>b</t>
    </r>
  </si>
  <si>
    <t>Existing</t>
  </si>
  <si>
    <t>1.  Applications</t>
  </si>
  <si>
    <t>N/A</t>
  </si>
  <si>
    <t>Modified</t>
  </si>
  <si>
    <t>2.  Surveys and studies</t>
  </si>
  <si>
    <t>New</t>
  </si>
  <si>
    <t>3.  Reporting requirements</t>
  </si>
  <si>
    <t>A.  Familiarization with Regulatory Requirements</t>
  </si>
  <si>
    <t>Labor Rates</t>
  </si>
  <si>
    <t>B.  Required activities</t>
  </si>
  <si>
    <t>Managerial</t>
  </si>
  <si>
    <t>Performance evaluation test (CMS certification)</t>
  </si>
  <si>
    <t>Technical</t>
  </si>
  <si>
    <t>C.  Create information</t>
  </si>
  <si>
    <t>See 3B</t>
  </si>
  <si>
    <t>Clerical</t>
  </si>
  <si>
    <t>D.  Gather existing information</t>
  </si>
  <si>
    <t>See 3E</t>
  </si>
  <si>
    <t>E.  Write report</t>
  </si>
  <si>
    <r>
      <t xml:space="preserve">Notification and application of construction/reconstruction </t>
    </r>
    <r>
      <rPr>
        <vertAlign val="superscript"/>
        <sz val="10"/>
        <rFont val="Times New Roman"/>
        <family val="1"/>
      </rPr>
      <t>c</t>
    </r>
  </si>
  <si>
    <r>
      <t xml:space="preserve">Notification of applicability </t>
    </r>
    <r>
      <rPr>
        <vertAlign val="superscript"/>
        <sz val="10"/>
        <rFont val="Times New Roman"/>
        <family val="1"/>
      </rPr>
      <t>c</t>
    </r>
  </si>
  <si>
    <r>
      <t xml:space="preserve">Notification of anticipated startup </t>
    </r>
    <r>
      <rPr>
        <vertAlign val="superscript"/>
        <sz val="10"/>
        <rFont val="Times New Roman"/>
        <family val="1"/>
      </rPr>
      <t>c</t>
    </r>
  </si>
  <si>
    <r>
      <t xml:space="preserve">Notification of actual startup </t>
    </r>
    <r>
      <rPr>
        <vertAlign val="superscript"/>
        <sz val="10"/>
        <rFont val="Times New Roman"/>
        <family val="1"/>
      </rPr>
      <t>c</t>
    </r>
  </si>
  <si>
    <r>
      <t xml:space="preserve">Notification of process changes </t>
    </r>
    <r>
      <rPr>
        <vertAlign val="superscript"/>
        <sz val="10"/>
        <rFont val="Times New Roman"/>
        <family val="1"/>
      </rPr>
      <t>d</t>
    </r>
  </si>
  <si>
    <r>
      <t xml:space="preserve">Pre-compliance report </t>
    </r>
    <r>
      <rPr>
        <vertAlign val="superscript"/>
        <sz val="10"/>
        <rFont val="Times New Roman"/>
        <family val="1"/>
      </rPr>
      <t>c</t>
    </r>
  </si>
  <si>
    <r>
      <t xml:space="preserve">Notification of initial performance test </t>
    </r>
    <r>
      <rPr>
        <vertAlign val="superscript"/>
        <sz val="10"/>
        <rFont val="Times New Roman"/>
        <family val="1"/>
      </rPr>
      <t>c</t>
    </r>
  </si>
  <si>
    <r>
      <t xml:space="preserve">Notification of initial CMS performance evaluation </t>
    </r>
    <r>
      <rPr>
        <vertAlign val="superscript"/>
        <sz val="10"/>
        <rFont val="Times New Roman"/>
        <family val="1"/>
      </rPr>
      <t>c</t>
    </r>
  </si>
  <si>
    <r>
      <t xml:space="preserve">CMS evaluation with performance test </t>
    </r>
    <r>
      <rPr>
        <vertAlign val="superscript"/>
        <sz val="10"/>
        <rFont val="Times New Roman"/>
        <family val="1"/>
      </rPr>
      <t>c, e</t>
    </r>
  </si>
  <si>
    <r>
      <t xml:space="preserve">CMS evaluation without performance test </t>
    </r>
    <r>
      <rPr>
        <vertAlign val="superscript"/>
        <sz val="10"/>
        <rFont val="Times New Roman"/>
        <family val="1"/>
      </rPr>
      <t>c, f</t>
    </r>
  </si>
  <si>
    <t>Periodic reporting</t>
  </si>
  <si>
    <r>
      <t xml:space="preserve">Semiannual report </t>
    </r>
    <r>
      <rPr>
        <vertAlign val="superscript"/>
        <sz val="10"/>
        <rFont val="Times New Roman"/>
        <family val="1"/>
      </rPr>
      <t>g</t>
    </r>
  </si>
  <si>
    <r>
      <t xml:space="preserve">Quarterly report </t>
    </r>
    <r>
      <rPr>
        <vertAlign val="superscript"/>
        <sz val="10"/>
        <rFont val="Times New Roman"/>
        <family val="1"/>
      </rPr>
      <t>h</t>
    </r>
  </si>
  <si>
    <r>
      <t xml:space="preserve">Emissions averaging plan </t>
    </r>
    <r>
      <rPr>
        <vertAlign val="superscript"/>
        <sz val="10"/>
        <rFont val="Times New Roman"/>
        <family val="1"/>
      </rPr>
      <t>i</t>
    </r>
  </si>
  <si>
    <r>
      <t>PRD reporting</t>
    </r>
    <r>
      <rPr>
        <vertAlign val="superscript"/>
        <sz val="10"/>
        <rFont val="Times New Roman"/>
        <family val="1"/>
      </rPr>
      <t>k</t>
    </r>
  </si>
  <si>
    <r>
      <t>LDAR reporting</t>
    </r>
    <r>
      <rPr>
        <vertAlign val="superscript"/>
        <sz val="10"/>
        <rFont val="Times New Roman"/>
        <family val="1"/>
      </rPr>
      <t>k</t>
    </r>
  </si>
  <si>
    <t>Subtotal for Reporting Requirements</t>
  </si>
  <si>
    <t>4.  Recordkeeping requirements</t>
  </si>
  <si>
    <t>See 3A</t>
  </si>
  <si>
    <t>B.  Plan activities</t>
  </si>
  <si>
    <t>C.  Implement activities</t>
  </si>
  <si>
    <r>
      <t xml:space="preserve">D.  Develop record system </t>
    </r>
    <r>
      <rPr>
        <vertAlign val="superscript"/>
        <sz val="10"/>
        <rFont val="Times New Roman"/>
        <family val="1"/>
      </rPr>
      <t>c</t>
    </r>
  </si>
  <si>
    <r>
      <t xml:space="preserve">E.  Develop QA/QC plan for CMS </t>
    </r>
    <r>
      <rPr>
        <vertAlign val="superscript"/>
        <sz val="10"/>
        <rFont val="Times New Roman"/>
        <family val="1"/>
      </rPr>
      <t>c</t>
    </r>
  </si>
  <si>
    <t>F.  Time to enter information</t>
  </si>
  <si>
    <t>Records of excess emissions</t>
  </si>
  <si>
    <t>Records of CMS data</t>
  </si>
  <si>
    <r>
      <t xml:space="preserve">Record continuously monitored parameters </t>
    </r>
    <r>
      <rPr>
        <vertAlign val="superscript"/>
        <sz val="10"/>
        <rFont val="Times New Roman"/>
        <family val="1"/>
      </rPr>
      <t>j</t>
    </r>
  </si>
  <si>
    <t>Enter/verify information for periodic report</t>
  </si>
  <si>
    <r>
      <t xml:space="preserve">G.  CMS calibration </t>
    </r>
    <r>
      <rPr>
        <vertAlign val="superscript"/>
        <sz val="10"/>
        <rFont val="Times New Roman"/>
        <family val="1"/>
      </rPr>
      <t>c</t>
    </r>
  </si>
  <si>
    <r>
      <t xml:space="preserve">H.  Train personnel </t>
    </r>
    <r>
      <rPr>
        <vertAlign val="superscript"/>
        <sz val="10"/>
        <rFont val="Times New Roman"/>
        <family val="1"/>
      </rPr>
      <t>c</t>
    </r>
  </si>
  <si>
    <t>I.  Audits</t>
  </si>
  <si>
    <t>Subtotal for Recordkeeping Requirements</t>
  </si>
  <si>
    <r>
      <t>TOTAL ANNUAL BURDEN AND COST (ROUNDED)</t>
    </r>
    <r>
      <rPr>
        <vertAlign val="superscript"/>
        <sz val="10"/>
        <rFont val="Times New Roman"/>
        <family val="1"/>
      </rPr>
      <t>l</t>
    </r>
  </si>
  <si>
    <r>
      <t>TOTAL CAPITAL AND O&amp;M COST (rounded)</t>
    </r>
    <r>
      <rPr>
        <vertAlign val="superscript"/>
        <sz val="10"/>
        <rFont val="Times New Roman"/>
        <family val="1"/>
      </rPr>
      <t>l</t>
    </r>
  </si>
  <si>
    <r>
      <t>GRAND TOTAL (rounded)</t>
    </r>
    <r>
      <rPr>
        <vertAlign val="superscript"/>
        <sz val="10"/>
        <rFont val="Times New Roman"/>
        <family val="1"/>
      </rPr>
      <t>l</t>
    </r>
  </si>
  <si>
    <t>hr/response</t>
  </si>
  <si>
    <t>Table 2: Average Annual EPA Burden and Cost – NESHAP for Pesticide Active Ingredient Production (40 CFR Part 63, Subpart MMM) (Renewal)</t>
  </si>
  <si>
    <t>EPA
person-hours
per occurrence</t>
  </si>
  <si>
    <t>EPA person-hours
per respondent
per year (AxB)</t>
  </si>
  <si>
    <t>Technical hours
per year
(CxD)</t>
  </si>
  <si>
    <t>Management
hours per year
(Ex0.05)</t>
  </si>
  <si>
    <r>
      <t xml:space="preserve">Annual cost
($) </t>
    </r>
    <r>
      <rPr>
        <b/>
        <vertAlign val="superscript"/>
        <sz val="10"/>
        <rFont val="Times New Roman"/>
        <family val="1"/>
      </rPr>
      <t>b</t>
    </r>
  </si>
  <si>
    <t>Initial performance test</t>
  </si>
  <si>
    <r>
      <rPr>
        <sz val="10"/>
        <color rgb="FF000000"/>
        <rFont val="Times New Roman"/>
        <family val="1"/>
      </rPr>
      <t xml:space="preserve">Repeat performance test </t>
    </r>
    <r>
      <rPr>
        <vertAlign val="superscript"/>
        <sz val="10"/>
        <color rgb="FF000000"/>
        <rFont val="Times New Roman"/>
        <family val="1"/>
      </rPr>
      <t>c</t>
    </r>
  </si>
  <si>
    <r>
      <t xml:space="preserve">Performance evaluation test (CMS certification) </t>
    </r>
    <r>
      <rPr>
        <vertAlign val="superscript"/>
        <sz val="10"/>
        <rFont val="Times New Roman"/>
        <family val="1"/>
      </rPr>
      <t>d</t>
    </r>
  </si>
  <si>
    <t>Report review</t>
  </si>
  <si>
    <t>Notification of construction/reconstruction</t>
  </si>
  <si>
    <t>Notification of applicability</t>
  </si>
  <si>
    <t>Notification of anticipated startup</t>
  </si>
  <si>
    <t>Notification of actual startup</t>
  </si>
  <si>
    <r>
      <t xml:space="preserve">Notification of process changes </t>
    </r>
    <r>
      <rPr>
        <vertAlign val="superscript"/>
        <sz val="10"/>
        <rFont val="Times New Roman"/>
        <family val="1"/>
      </rPr>
      <t>e</t>
    </r>
  </si>
  <si>
    <t>Pre-compliance plan</t>
  </si>
  <si>
    <t>Notification of initial performance test</t>
  </si>
  <si>
    <t>Notification of initial CMS performance evaluation</t>
  </si>
  <si>
    <r>
      <t xml:space="preserve">CMS evaluation with performance test </t>
    </r>
    <r>
      <rPr>
        <vertAlign val="superscript"/>
        <sz val="10"/>
        <rFont val="Times New Roman"/>
        <family val="1"/>
      </rPr>
      <t>f</t>
    </r>
  </si>
  <si>
    <r>
      <t xml:space="preserve">CMS evaluation without performance test </t>
    </r>
    <r>
      <rPr>
        <vertAlign val="superscript"/>
        <sz val="10"/>
        <rFont val="Times New Roman"/>
        <family val="1"/>
      </rPr>
      <t>g</t>
    </r>
  </si>
  <si>
    <r>
      <t xml:space="preserve">Semiannual report </t>
    </r>
    <r>
      <rPr>
        <vertAlign val="superscript"/>
        <sz val="10"/>
        <rFont val="Times New Roman"/>
        <family val="1"/>
      </rPr>
      <t>h</t>
    </r>
  </si>
  <si>
    <r>
      <t xml:space="preserve">Quarterly report </t>
    </r>
    <r>
      <rPr>
        <vertAlign val="superscript"/>
        <sz val="10"/>
        <rFont val="Times New Roman"/>
        <family val="1"/>
      </rPr>
      <t>i</t>
    </r>
  </si>
  <si>
    <r>
      <t xml:space="preserve">Emissions averaging plan </t>
    </r>
    <r>
      <rPr>
        <vertAlign val="superscript"/>
        <sz val="10"/>
        <rFont val="Times New Roman"/>
        <family val="1"/>
      </rPr>
      <t>j</t>
    </r>
  </si>
  <si>
    <r>
      <t>TOTAL ANNUAL BURDEN AND COST (ROUNDED)</t>
    </r>
    <r>
      <rPr>
        <vertAlign val="superscript"/>
        <sz val="10"/>
        <rFont val="Times New Roman"/>
        <family val="1"/>
      </rPr>
      <t>k</t>
    </r>
  </si>
  <si>
    <t>Capital/Startup vs. Operation and Maintenance (O&amp;M) Costs</t>
  </si>
  <si>
    <t>(A)</t>
  </si>
  <si>
    <t>(B)</t>
  </si>
  <si>
    <t>(C)</t>
  </si>
  <si>
    <t>(D)</t>
  </si>
  <si>
    <t>(E)</t>
  </si>
  <si>
    <t>(F)</t>
  </si>
  <si>
    <t>(G)</t>
  </si>
  <si>
    <t>Continuous Monitoring Device</t>
  </si>
  <si>
    <t>Capital/Startup Cost for One Respondent</t>
  </si>
  <si>
    <r>
      <t xml:space="preserve">Number of New Respondents </t>
    </r>
    <r>
      <rPr>
        <vertAlign val="superscript"/>
        <sz val="10"/>
        <color rgb="FF7030A0"/>
        <rFont val="Times New Roman"/>
        <family val="1"/>
      </rPr>
      <t>a</t>
    </r>
  </si>
  <si>
    <t>Total Capital/Startup Cost, 
(B X C)</t>
  </si>
  <si>
    <t>Annual O&amp;M Costs for One Respondent</t>
  </si>
  <si>
    <t>Number of Respondents with O&amp;M</t>
  </si>
  <si>
    <t>Total O&amp;M,
(E X F)</t>
  </si>
  <si>
    <r>
      <t xml:space="preserve">PRD Electronic Indicators </t>
    </r>
    <r>
      <rPr>
        <vertAlign val="superscript"/>
        <sz val="10"/>
        <color rgb="FF7030A0"/>
        <rFont val="Times New Roman"/>
        <family val="1"/>
      </rPr>
      <t>b</t>
    </r>
  </si>
  <si>
    <t>Performance Tests</t>
  </si>
  <si>
    <r>
      <t>Process Vents CMS</t>
    </r>
    <r>
      <rPr>
        <vertAlign val="superscript"/>
        <sz val="10"/>
        <color rgb="FF7030A0"/>
        <rFont val="Times New Roman"/>
        <family val="1"/>
      </rPr>
      <t>c</t>
    </r>
  </si>
  <si>
    <r>
      <t>Wastewater CMS</t>
    </r>
    <r>
      <rPr>
        <vertAlign val="superscript"/>
        <sz val="10"/>
        <color rgb="FF7030A0"/>
        <rFont val="Times New Roman"/>
        <family val="1"/>
      </rPr>
      <t>d</t>
    </r>
  </si>
  <si>
    <t>TOTAL</t>
  </si>
  <si>
    <t>Total (rounded)</t>
  </si>
  <si>
    <r>
      <rPr>
        <vertAlign val="superscript"/>
        <sz val="10"/>
        <color rgb="FF000000"/>
        <rFont val="Times New Roman"/>
        <family val="1"/>
      </rPr>
      <t>a</t>
    </r>
    <r>
      <rPr>
        <sz val="10"/>
        <color rgb="FF000000"/>
        <rFont val="Times New Roman"/>
        <family val="1"/>
      </rPr>
      <t xml:space="preserve"> On average, EPA estimates 19 existing sources will be subject to the NESHAP and no new sources will become subject to the standard over the three-year period of this ICR. However, based on previous comments received from Corteva, we assume one existing source per year will install a new process unit. </t>
    </r>
  </si>
  <si>
    <r>
      <rPr>
        <vertAlign val="superscript"/>
        <sz val="10"/>
        <color rgb="FF000000"/>
        <rFont val="Times New Roman"/>
        <family val="1"/>
      </rPr>
      <t>b</t>
    </r>
    <r>
      <rPr>
        <sz val="10"/>
        <color rgb="FF000000"/>
        <rFont val="Times New Roman"/>
        <family val="1"/>
      </rPr>
      <t xml:space="preserve"> Based on previous comments received from Corteva, we assume a cost of $2,825 annually per respondent for annual PRD monitoring.</t>
    </r>
  </si>
  <si>
    <r>
      <rPr>
        <vertAlign val="superscript"/>
        <sz val="10"/>
        <color rgb="FF000000"/>
        <rFont val="Times New Roman"/>
        <family val="1"/>
      </rPr>
      <t>c</t>
    </r>
    <r>
      <rPr>
        <sz val="10"/>
        <color rgb="FF000000"/>
        <rFont val="Times New Roman"/>
        <family val="1"/>
      </rPr>
      <t xml:space="preserve"> Based on previous comments received from Corteva, we assume approximately 10 hours of technical labor for programming time, correct instrumentation, and calibrations, or $1,220 per respondent annually. </t>
    </r>
  </si>
  <si>
    <r>
      <rPr>
        <vertAlign val="superscript"/>
        <sz val="10"/>
        <color rgb="FF000000"/>
        <rFont val="Times New Roman"/>
        <family val="1"/>
      </rPr>
      <t>d</t>
    </r>
    <r>
      <rPr>
        <sz val="10"/>
        <color rgb="FF000000"/>
        <rFont val="Times New Roman"/>
        <family val="1"/>
      </rPr>
      <t xml:space="preserve"> Based on previous comments received from Corteva, we assume a cost of $9,038 annually per respondent for calibration and maintenance for the treatment device and associated control devices and operating parameters.</t>
    </r>
  </si>
  <si>
    <t>Respondents That Submit Reports</t>
  </si>
  <si>
    <t>Respondents That Do Not Submit Any Reports</t>
  </si>
  <si>
    <t>Year</t>
  </si>
  <si>
    <t>Number of Existing Respondents</t>
  </si>
  <si>
    <t>Number of Existing  Respondents that keep records but do not submit reports</t>
  </si>
  <si>
    <t>(E=A+B+C-D)</t>
  </si>
  <si>
    <t>Average</t>
  </si>
  <si>
    <t>Total Annual Responses</t>
  </si>
  <si>
    <t>(A)
Information Collection Activity</t>
  </si>
  <si>
    <t xml:space="preserve">(B)
Number of Respondents  </t>
  </si>
  <si>
    <t>(C)
Number of Responses</t>
  </si>
  <si>
    <t>(D)
Number of Existing Respondents That Keep Records But Do Not Submit Reports</t>
  </si>
  <si>
    <t>(E)
Total Annual Responses
E=(BxC)+D</t>
  </si>
  <si>
    <t>Notification of process changes</t>
  </si>
  <si>
    <t>CMS evaluation with performance test</t>
  </si>
  <si>
    <t>CMS evaluation without performance test</t>
  </si>
  <si>
    <t>Semiannual report</t>
  </si>
  <si>
    <t>Quarterly report</t>
  </si>
  <si>
    <t>Emissions averaging plan</t>
  </si>
  <si>
    <t>Total</t>
  </si>
  <si>
    <t xml:space="preserve">Number of Existing Respondents That Are Also New Respondents </t>
  </si>
  <si>
    <r>
      <t xml:space="preserve">Number of New Respondents </t>
    </r>
    <r>
      <rPr>
        <vertAlign val="superscript"/>
        <sz val="10"/>
        <color rgb="FFFF0000"/>
        <rFont val="Times New Roman"/>
        <family val="1"/>
      </rPr>
      <t>a</t>
    </r>
  </si>
  <si>
    <r>
      <rPr>
        <vertAlign val="superscript"/>
        <sz val="10"/>
        <rFont val="Times New Roman"/>
        <family val="1"/>
      </rPr>
      <t>b</t>
    </r>
    <r>
      <rPr>
        <sz val="10"/>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</si>
  <si>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r>
      <rPr>
        <vertAlign val="superscript"/>
        <sz val="10"/>
        <rFont val="Times New Roman"/>
        <family val="1"/>
      </rPr>
      <t>d</t>
    </r>
    <r>
      <rPr>
        <sz val="10"/>
        <rFont val="Times New Roman"/>
        <family val="1"/>
      </rPr>
      <t xml:space="preserve">  EPA assumes 5 percent of existing facilities (19 x 0.05 = 1, after rounding) will implement process changes.</t>
    </r>
  </si>
  <si>
    <r>
      <rPr>
        <vertAlign val="superscript"/>
        <sz val="10"/>
        <rFont val="Times New Roman"/>
        <family val="1"/>
      </rPr>
      <t>f</t>
    </r>
    <r>
      <rPr>
        <sz val="10"/>
        <rFont val="Times New Roman"/>
        <family val="1"/>
      </rPr>
      <t xml:space="preserve">  EPA assumes 10 percent of new sources will comply by submitting engineering calculations, designing calculations, and CMS performance evaluation results.</t>
    </r>
  </si>
  <si>
    <r>
      <rPr>
        <vertAlign val="superscript"/>
        <sz val="10"/>
        <rFont val="Times New Roman"/>
        <family val="1"/>
      </rPr>
      <t>g</t>
    </r>
    <r>
      <rPr>
        <sz val="10"/>
        <rFont val="Times New Roman"/>
        <family val="1"/>
      </rPr>
      <t xml:space="preserve">  EPA assumes 90 percent of sources (19 x 0.9 = 17, after rounding) will have no exceedances and periods of noncompliance; therefore, they will submit periodic reports on a semiannual basis.</t>
    </r>
  </si>
  <si>
    <r>
      <rPr>
        <vertAlign val="superscript"/>
        <sz val="10"/>
        <rFont val="Times New Roman"/>
        <family val="1"/>
      </rPr>
      <t>h</t>
    </r>
    <r>
      <rPr>
        <sz val="10"/>
        <rFont val="Times New Roman"/>
        <family val="1"/>
      </rPr>
      <t xml:space="preserve">  EPA assumes 10 percent of sources (19 x 0.1 = 2, after rounding) will have exceedances and periods of noncompliance; therefore, they will submit periodic reports on a quarterly basis.</t>
    </r>
  </si>
  <si>
    <r>
      <rPr>
        <vertAlign val="superscript"/>
        <sz val="10"/>
        <rFont val="Times New Roman"/>
        <family val="1"/>
      </rPr>
      <t>j</t>
    </r>
    <r>
      <rPr>
        <sz val="10"/>
        <rFont val="Times New Roman"/>
        <family val="1"/>
      </rPr>
      <t xml:space="preserve">  EPA assumes it will take 1 hour, 320 times per year, to record continuously monitored parameter data.</t>
    </r>
  </si>
  <si>
    <r>
      <rPr>
        <vertAlign val="superscript"/>
        <sz val="10"/>
        <rFont val="Times New Roman"/>
        <family val="1"/>
      </rPr>
      <t>k</t>
    </r>
    <r>
      <rPr>
        <sz val="10"/>
        <rFont val="Times New Roman"/>
        <family val="1"/>
      </rPr>
      <t xml:space="preserve"> Pressure Relief Device (PRD) reporting and Leak Detection and Repair (LDAR) reporting are submitted with the semiannual report.</t>
    </r>
  </si>
  <si>
    <r>
      <rPr>
        <vertAlign val="superscript"/>
        <sz val="10"/>
        <rFont val="Times New Roman"/>
        <family val="1"/>
      </rPr>
      <t>l</t>
    </r>
    <r>
      <rPr>
        <sz val="10"/>
        <rFont val="Times New Roman"/>
        <family val="1"/>
      </rPr>
      <t xml:space="preserve"> Totals have been rounded to 3 significant figures. Figures may not add exactly due to rounding.</t>
    </r>
  </si>
  <si>
    <r>
      <rPr>
        <vertAlign val="superscript"/>
        <sz val="10"/>
        <rFont val="Times New Roman"/>
        <family val="1"/>
      </rPr>
      <t>a</t>
    </r>
    <r>
      <rPr>
        <sz val="10"/>
        <rFont val="Times New Roman"/>
        <family val="1"/>
      </rPr>
      <t xml:space="preserve">  On average, EPA estimates 19 existing sources will be subject to the NESHAP.  No new sources will become subject to the standard over the three-year period of this ICR. However, based on comments received from Corteva, we assume one existing source per year will install a new process unit. </t>
    </r>
  </si>
  <si>
    <r>
      <rPr>
        <vertAlign val="superscript"/>
        <sz val="10"/>
        <rFont val="Times New Roman"/>
        <family val="1"/>
      </rPr>
      <t>b</t>
    </r>
    <r>
      <rPr>
        <sz val="10"/>
        <rFont val="Times New Roman"/>
        <family val="1"/>
      </rPr>
      <t xml:space="preserve">  This cost is based on the average hourly labor rate as follows: Managerial $76.91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</si>
  <si>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r>
      <rPr>
        <vertAlign val="superscript"/>
        <sz val="10"/>
        <rFont val="Times New Roman"/>
        <family val="1"/>
      </rPr>
      <t>c</t>
    </r>
    <r>
      <rPr>
        <sz val="10"/>
        <rFont val="Times New Roman"/>
        <family val="1"/>
      </rPr>
      <t xml:space="preserve">  EPA assumes five percent of new sources will repeat performance testing.</t>
    </r>
  </si>
  <si>
    <r>
      <rPr>
        <vertAlign val="superscript"/>
        <sz val="10"/>
        <rFont val="Times New Roman"/>
        <family val="1"/>
      </rPr>
      <t>d</t>
    </r>
    <r>
      <rPr>
        <sz val="10"/>
        <rFont val="Times New Roman"/>
        <family val="1"/>
      </rPr>
      <t xml:space="preserve">  EPA assumes Agency personnel will attend ten percent of evaluation tests.</t>
    </r>
  </si>
  <si>
    <r>
      <rPr>
        <vertAlign val="superscript"/>
        <sz val="10"/>
        <rFont val="Times New Roman"/>
        <family val="1"/>
      </rPr>
      <t>e</t>
    </r>
    <r>
      <rPr>
        <sz val="10"/>
        <rFont val="Times New Roman"/>
        <family val="1"/>
      </rPr>
      <t xml:space="preserve">  EPA assumes 5 percent of existing facilities (19 x 0.05 = 1, after rounding) will implement process changes.</t>
    </r>
  </si>
  <si>
    <r>
      <rPr>
        <vertAlign val="superscript"/>
        <sz val="10"/>
        <rFont val="Times New Roman"/>
        <family val="1"/>
      </rPr>
      <t>f</t>
    </r>
    <r>
      <rPr>
        <sz val="10"/>
        <rFont val="Times New Roman"/>
        <family val="1"/>
      </rPr>
      <t xml:space="preserve">  EPA assumes 90 percent of new sources will comply by conducting performance testing.</t>
    </r>
  </si>
  <si>
    <r>
      <rPr>
        <vertAlign val="superscript"/>
        <sz val="10"/>
        <rFont val="Times New Roman"/>
        <family val="1"/>
      </rPr>
      <t>g</t>
    </r>
    <r>
      <rPr>
        <sz val="10"/>
        <rFont val="Times New Roman"/>
        <family val="1"/>
      </rPr>
      <t xml:space="preserve">  EPA assumes 10 percent of new sources will comply by submitting engineering calculations, designing calculations, and CMS performance evaluation results.</t>
    </r>
  </si>
  <si>
    <r>
      <rPr>
        <vertAlign val="superscript"/>
        <sz val="10"/>
        <rFont val="Times New Roman"/>
        <family val="1"/>
      </rPr>
      <t>h</t>
    </r>
    <r>
      <rPr>
        <sz val="10"/>
        <rFont val="Times New Roman"/>
        <family val="1"/>
      </rPr>
      <t xml:space="preserve">  EPA assumes 90 percent of sources (19 x 0.9 = 17, after rounding) will have no exceedances and periods of noncompliance; therefore, they will submit periodic reports on a semiannual basis.</t>
    </r>
  </si>
  <si>
    <r>
      <rPr>
        <vertAlign val="superscript"/>
        <sz val="10"/>
        <rFont val="Times New Roman"/>
        <family val="1"/>
      </rPr>
      <t>i</t>
    </r>
    <r>
      <rPr>
        <sz val="10"/>
        <rFont val="Times New Roman"/>
        <family val="1"/>
      </rPr>
      <t xml:space="preserve">  EPA assumes 10 percent of sources (19 x 0.1 = 2, after rounding) will have exceedances and periods of noncompliance; therefore, they will submit periodic reports on a quarterly basis.</t>
    </r>
  </si>
  <si>
    <r>
      <rPr>
        <vertAlign val="superscript"/>
        <sz val="10"/>
        <rFont val="Times New Roman"/>
        <family val="1"/>
      </rPr>
      <t>j</t>
    </r>
    <r>
      <rPr>
        <sz val="10"/>
        <rFont val="Times New Roman"/>
        <family val="1"/>
      </rPr>
      <t xml:space="preserve">  EPA assumes 10 percent of existing sources will comply with emissions averaging requirements.  New sources are not allowed to use emissions averaging.</t>
    </r>
  </si>
  <si>
    <r>
      <rPr>
        <vertAlign val="superscript"/>
        <sz val="10"/>
        <rFont val="Times New Roman"/>
        <family val="1"/>
      </rPr>
      <t>k</t>
    </r>
    <r>
      <rPr>
        <sz val="10"/>
        <rFont val="Times New Roman"/>
        <family val="1"/>
      </rPr>
      <t xml:space="preserve"> Totals have been rounded to 3 significant figures. Figures may not add exactly due to rounding.</t>
    </r>
  </si>
  <si>
    <r>
      <t>a</t>
    </r>
    <r>
      <rPr>
        <sz val="10"/>
        <rFont val="Times New Roman"/>
        <family val="1"/>
      </rPr>
      <t xml:space="preserve"> New respondents include sources with constructed, reconstructed and modified affected facilities. </t>
    </r>
  </si>
  <si>
    <r>
      <t>Pre-compliance</t>
    </r>
    <r>
      <rPr>
        <sz val="9"/>
        <color rgb="FFFF0000"/>
        <rFont val="Times New Roman"/>
        <family val="1"/>
      </rPr>
      <t xml:space="preserve"> </t>
    </r>
    <r>
      <rPr>
        <sz val="9"/>
        <rFont val="Times New Roman"/>
        <family val="1"/>
      </rPr>
      <t>report</t>
    </r>
  </si>
  <si>
    <r>
      <rPr>
        <vertAlign val="superscript"/>
        <sz val="9"/>
        <rFont val="Times New Roman"/>
        <family val="1"/>
      </rPr>
      <t>i</t>
    </r>
    <r>
      <rPr>
        <sz val="9"/>
        <rFont val="Times New Roman"/>
        <family val="1"/>
      </rPr>
      <t xml:space="preserve">  </t>
    </r>
    <r>
      <rPr>
        <sz val="10"/>
        <rFont val="Times New Roman"/>
        <family val="1"/>
      </rPr>
      <t>EPA assumes 10 percent of existing sources will comply with emissions averaging requirements.  New sources are not allowed to use emissions averaging.</t>
    </r>
  </si>
  <si>
    <r>
      <t xml:space="preserve">Notification of repeat performance test </t>
    </r>
    <r>
      <rPr>
        <vertAlign val="superscript"/>
        <sz val="10"/>
        <rFont val="Times New Roman"/>
        <family val="1"/>
      </rPr>
      <t>c</t>
    </r>
  </si>
  <si>
    <r>
      <rPr>
        <vertAlign val="superscript"/>
        <sz val="10"/>
        <rFont val="Times New Roman"/>
        <family val="1"/>
      </rPr>
      <t xml:space="preserve">e </t>
    </r>
    <r>
      <rPr>
        <sz val="10"/>
        <rFont val="Times New Roman"/>
        <family val="1"/>
      </rPr>
      <t xml:space="preserve"> EPA assumes 90 percent of new sources will comply by conducting performance testing. </t>
    </r>
  </si>
  <si>
    <r>
      <rPr>
        <vertAlign val="superscript"/>
        <sz val="10"/>
        <rFont val="Times New Roman"/>
        <family val="1"/>
      </rPr>
      <t>c</t>
    </r>
    <r>
      <rPr>
        <sz val="10"/>
        <rFont val="Times New Roman"/>
        <family val="1"/>
      </rPr>
      <t xml:space="preserve">  Applies to new or reconstructed sources only. However, based on comments received from Corteva, we assume one existing source per year will install a new process unit and would be required to conduct certain activities, including submit an updated pre-compliance report, notifications of initial performance test or performance evaluation, update record management systems, and develop of a QA/QC plan for CMS. We assume 5 percent of new sources would be required to conduct a repeat performance test.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</si>
</sst>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00"/>
    <numFmt numFmtId="165" formatCode="#,##0.0"/>
    <numFmt numFmtId="166" formatCode="&quot;$&quot;#,##0"/>
  </numFmts>
  <fonts count="30" x14ac:knownFonts="1">
    <font>
      <sz val="10"/>
      <color theme="1"/>
      <name val="Arial"/>
      <family val="2"/>
    </font>
    <font>
      <sz val="10"/>
      <color theme="1"/>
      <name val="Times New Roman"/>
      <family val="1"/>
    </font>
    <font>
      <sz val="10"/>
      <name val="Times New Roman"/>
      <family val="1"/>
    </font>
    <font>
      <b/>
      <sz val="10"/>
      <name val="Times New Roman"/>
      <family val="1"/>
    </font>
    <font>
      <b/>
      <vertAlign val="superscript"/>
      <sz val="10"/>
      <name val="Times New Roman"/>
      <family val="1"/>
    </font>
    <font>
      <b/>
      <sz val="12"/>
      <color rgb="FF000000"/>
      <name val="Times New Roman"/>
      <family val="1"/>
    </font>
    <font>
      <sz val="9"/>
      <color rgb="FF000000"/>
      <name val="Times New Roman"/>
      <family val="1"/>
    </font>
    <font>
      <sz val="9"/>
      <color theme="1"/>
      <name val="Times New Roman"/>
      <family val="1"/>
    </font>
    <font>
      <sz val="9"/>
      <name val="Times New Roman"/>
      <family val="1"/>
    </font>
    <font>
      <sz val="10"/>
      <color rgb="FF000000"/>
      <name val="Times New Roman"/>
      <family val="1"/>
    </font>
    <font>
      <b/>
      <sz val="12"/>
      <name val="Times New Roman"/>
      <family val="1"/>
    </font>
    <font>
      <vertAlign val="superscript"/>
      <sz val="10"/>
      <name val="Times New Roman"/>
      <family val="1"/>
    </font>
    <font>
      <b/>
      <i/>
      <sz val="10"/>
      <name val="Times New Roman"/>
      <family val="1"/>
    </font>
    <font>
      <sz val="10"/>
      <color rgb="FFFF0000"/>
      <name val="Times New Roman"/>
      <family val="1"/>
    </font>
    <font>
      <sz val="10"/>
      <color theme="1"/>
      <name val="Arial"/>
      <family val="2"/>
    </font>
    <font>
      <sz val="10"/>
      <color rgb="FFFF0000"/>
      <name val="Arial"/>
      <family val="2"/>
    </font>
    <font>
      <sz val="12"/>
      <color rgb="FF000000"/>
      <name val="Times New Roman"/>
      <family val="1"/>
    </font>
    <font>
      <b/>
      <sz val="10"/>
      <color rgb="FF000000"/>
      <name val="Times New Roman"/>
      <family val="1"/>
    </font>
    <font>
      <sz val="10"/>
      <color rgb="FF0070C0"/>
      <name val="Times New Roman"/>
      <family val="1"/>
    </font>
    <font>
      <sz val="10"/>
      <color rgb="FF7030A0"/>
      <name val="Times New Roman"/>
      <family val="1"/>
    </font>
    <font>
      <vertAlign val="superscript"/>
      <sz val="10"/>
      <color rgb="FF7030A0"/>
      <name val="Times New Roman"/>
      <family val="1"/>
    </font>
    <font>
      <b/>
      <sz val="11"/>
      <color rgb="FF000000"/>
      <name val="Times New Roman"/>
      <family val="1"/>
    </font>
    <font>
      <sz val="11"/>
      <color theme="1"/>
      <name val="Times New Roman"/>
      <family val="1"/>
    </font>
    <font>
      <sz val="10"/>
      <color rgb="FF000000"/>
      <name val="Times New Roman"/>
      <family val="1"/>
    </font>
    <font>
      <vertAlign val="superscript"/>
      <sz val="10"/>
      <color rgb="FF000000"/>
      <name val="Times New Roman"/>
      <family val="1"/>
    </font>
    <font>
      <vertAlign val="superscript"/>
      <sz val="10"/>
      <color rgb="FFFF0000"/>
      <name val="Times New Roman"/>
      <family val="1"/>
    </font>
    <font>
      <sz val="9"/>
      <color rgb="FFFF0000"/>
      <name val="Times New Roman"/>
      <family val="1"/>
    </font>
    <font>
      <vertAlign val="superscript"/>
      <sz val="9"/>
      <name val="Times New Roman"/>
      <family val="1"/>
    </font>
    <font>
      <b/>
      <sz val="10"/>
      <color theme="1"/>
      <name val="Times New Roman"/>
      <family val="1"/>
    </font>
    <font>
      <b/>
      <sz val="11"/>
      <color theme="1"/>
      <name val="Times New Roman"/>
      <family val="1"/>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44" fontId="14" fillId="0" borderId="0" applyFont="0" applyFill="0" applyBorder="0" applyAlignment="0" applyProtection="0"/>
  </cellStyleXfs>
  <cellXfs count="137">
    <xf numFmtId="0" fontId="0" fillId="0" borderId="0" xfId="0"/>
    <xf numFmtId="0" fontId="2" fillId="0" borderId="0" xfId="0" applyFont="1"/>
    <xf numFmtId="0" fontId="3" fillId="0" borderId="1" xfId="0" applyFont="1" applyBorder="1" applyAlignment="1">
      <alignment horizontal="center"/>
    </xf>
    <xf numFmtId="0" fontId="2" fillId="0" borderId="0" xfId="0" applyFont="1" applyAlignment="1">
      <alignment wrapText="1"/>
    </xf>
    <xf numFmtId="4" fontId="3" fillId="0" borderId="1" xfId="0" applyNumberFormat="1" applyFont="1" applyBorder="1" applyAlignment="1">
      <alignment horizontal="center"/>
    </xf>
    <xf numFmtId="4" fontId="3" fillId="0" borderId="1" xfId="0" applyNumberFormat="1" applyFont="1" applyBorder="1" applyAlignment="1">
      <alignment horizontal="center" wrapText="1"/>
    </xf>
    <xf numFmtId="4" fontId="2" fillId="0" borderId="0" xfId="0" applyNumberFormat="1" applyFont="1"/>
    <xf numFmtId="0" fontId="3" fillId="0" borderId="1" xfId="0" applyFont="1" applyBorder="1" applyAlignment="1">
      <alignment horizontal="center" vertical="center"/>
    </xf>
    <xf numFmtId="0" fontId="2" fillId="0" borderId="0" xfId="0" applyFont="1" applyAlignment="1">
      <alignment horizontal="left" vertical="top"/>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1" fillId="0" borderId="0" xfId="0" quotePrefix="1" applyFont="1" applyAlignment="1">
      <alignment horizontal="left"/>
    </xf>
    <xf numFmtId="0" fontId="10" fillId="0" borderId="0" xfId="0" applyFont="1"/>
    <xf numFmtId="0" fontId="2" fillId="0" borderId="0" xfId="0" applyFont="1" applyAlignment="1">
      <alignment horizontal="center"/>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5" fillId="0" borderId="7" xfId="0" applyFont="1" applyBorder="1" applyAlignment="1">
      <alignment vertical="top" wrapText="1"/>
    </xf>
    <xf numFmtId="0" fontId="6" fillId="0" borderId="1" xfId="0" applyFont="1" applyBorder="1" applyAlignment="1">
      <alignment vertical="top" wrapText="1"/>
    </xf>
    <xf numFmtId="0" fontId="9" fillId="0" borderId="1" xfId="0" applyFont="1" applyBorder="1" applyAlignment="1">
      <alignment horizontal="center" vertical="top" wrapText="1"/>
    </xf>
    <xf numFmtId="3" fontId="9" fillId="0" borderId="1" xfId="0" applyNumberFormat="1" applyFont="1" applyBorder="1" applyAlignment="1">
      <alignment horizontal="center" vertical="top" wrapText="1"/>
    </xf>
    <xf numFmtId="0" fontId="2" fillId="0" borderId="0" xfId="0" quotePrefix="1" applyFont="1"/>
    <xf numFmtId="0" fontId="2" fillId="0" borderId="0" xfId="0" applyFont="1" applyAlignment="1">
      <alignment horizontal="left"/>
    </xf>
    <xf numFmtId="164" fontId="2" fillId="0" borderId="0" xfId="0" applyNumberFormat="1" applyFont="1" applyAlignment="1">
      <alignment horizontal="left" vertical="top"/>
    </xf>
    <xf numFmtId="0" fontId="3" fillId="0" borderId="0" xfId="0" applyFont="1"/>
    <xf numFmtId="0" fontId="2" fillId="0" borderId="1" xfId="0" applyFont="1" applyBorder="1"/>
    <xf numFmtId="3" fontId="2" fillId="0" borderId="1" xfId="0" applyNumberFormat="1" applyFont="1" applyBorder="1"/>
    <xf numFmtId="0" fontId="3" fillId="2" borderId="1" xfId="0" applyFont="1" applyFill="1" applyBorder="1"/>
    <xf numFmtId="0" fontId="3" fillId="0" borderId="1" xfId="0" applyFont="1" applyBorder="1" applyAlignment="1">
      <alignment horizontal="center" vertical="top" wrapText="1"/>
    </xf>
    <xf numFmtId="0" fontId="3" fillId="0" borderId="1" xfId="0" applyFont="1" applyBorder="1" applyAlignment="1">
      <alignment vertical="top" wrapText="1"/>
    </xf>
    <xf numFmtId="0" fontId="6" fillId="0" borderId="1" xfId="0" applyFont="1" applyBorder="1" applyAlignment="1">
      <alignment horizontal="left" vertical="top" wrapText="1"/>
    </xf>
    <xf numFmtId="3" fontId="6" fillId="0" borderId="1" xfId="0" applyNumberFormat="1" applyFont="1" applyBorder="1" applyAlignment="1">
      <alignment horizontal="center" vertical="top" wrapText="1"/>
    </xf>
    <xf numFmtId="0" fontId="7" fillId="0" borderId="1" xfId="0" applyFont="1" applyBorder="1" applyAlignment="1">
      <alignment vertical="top" wrapText="1"/>
    </xf>
    <xf numFmtId="0" fontId="6" fillId="0" borderId="1" xfId="0" applyFont="1" applyBorder="1" applyAlignment="1">
      <alignment horizontal="center" vertical="top" wrapText="1"/>
    </xf>
    <xf numFmtId="0" fontId="3" fillId="0" borderId="1" xfId="0" applyFont="1" applyBorder="1" applyAlignment="1">
      <alignment horizontal="center" wrapText="1"/>
    </xf>
    <xf numFmtId="0" fontId="13" fillId="0" borderId="0" xfId="0" applyFont="1"/>
    <xf numFmtId="3" fontId="2" fillId="0" borderId="0" xfId="0" applyNumberFormat="1" applyFont="1"/>
    <xf numFmtId="3" fontId="2" fillId="0" borderId="0" xfId="0" applyNumberFormat="1" applyFont="1" applyAlignment="1">
      <alignment horizontal="right"/>
    </xf>
    <xf numFmtId="0" fontId="2" fillId="0" borderId="1" xfId="0" applyFont="1" applyBorder="1" applyAlignment="1">
      <alignment vertical="top" wrapText="1"/>
    </xf>
    <xf numFmtId="0" fontId="2" fillId="0" borderId="1" xfId="0" applyFont="1" applyBorder="1" applyAlignment="1">
      <alignment horizontal="center" vertical="top" wrapText="1"/>
    </xf>
    <xf numFmtId="4" fontId="2" fillId="0" borderId="1" xfId="0" applyNumberFormat="1" applyFont="1" applyBorder="1" applyAlignment="1">
      <alignment horizontal="right" vertical="top" wrapText="1"/>
    </xf>
    <xf numFmtId="0" fontId="2" fillId="0" borderId="1" xfId="0" applyFont="1" applyBorder="1" applyAlignment="1">
      <alignment horizontal="left" vertical="top" wrapText="1" indent="1"/>
    </xf>
    <xf numFmtId="3" fontId="2" fillId="0" borderId="1" xfId="0" applyNumberFormat="1" applyFont="1" applyBorder="1" applyAlignment="1">
      <alignment horizontal="center" vertical="top" wrapText="1"/>
    </xf>
    <xf numFmtId="0" fontId="2" fillId="0" borderId="1" xfId="0" applyFont="1" applyBorder="1" applyAlignment="1">
      <alignment horizontal="left" vertical="top" wrapText="1" indent="3"/>
    </xf>
    <xf numFmtId="165" fontId="2" fillId="0" borderId="1" xfId="0" applyNumberFormat="1" applyFont="1" applyBorder="1" applyAlignment="1">
      <alignment horizontal="center" vertical="top" wrapText="1"/>
    </xf>
    <xf numFmtId="0" fontId="2" fillId="0" borderId="1" xfId="0" applyFont="1" applyBorder="1" applyAlignment="1">
      <alignment horizontal="left" vertical="top" wrapText="1" indent="5"/>
    </xf>
    <xf numFmtId="1" fontId="2" fillId="0" borderId="1" xfId="0" applyNumberFormat="1" applyFont="1" applyBorder="1" applyAlignment="1">
      <alignment horizontal="center" vertical="top" wrapText="1"/>
    </xf>
    <xf numFmtId="4" fontId="2" fillId="0" borderId="1" xfId="0" applyNumberFormat="1" applyFont="1" applyBorder="1" applyAlignment="1">
      <alignment horizontal="center" vertical="top" wrapText="1"/>
    </xf>
    <xf numFmtId="0" fontId="12" fillId="0" borderId="1" xfId="0" applyFont="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indent="2"/>
    </xf>
    <xf numFmtId="3" fontId="3" fillId="0" borderId="1" xfId="0" applyNumberFormat="1" applyFont="1" applyBorder="1" applyAlignment="1">
      <alignment horizontal="center" vertical="top" wrapText="1"/>
    </xf>
    <xf numFmtId="0" fontId="3" fillId="0" borderId="1" xfId="0" applyFont="1" applyBorder="1" applyAlignment="1">
      <alignment vertical="top"/>
    </xf>
    <xf numFmtId="164" fontId="2" fillId="0" borderId="1" xfId="1" applyNumberFormat="1" applyFont="1" applyFill="1" applyBorder="1" applyAlignment="1">
      <alignment horizontal="right" vertical="top" wrapText="1"/>
    </xf>
    <xf numFmtId="166" fontId="2" fillId="0" borderId="1" xfId="1" applyNumberFormat="1" applyFont="1" applyFill="1" applyBorder="1" applyAlignment="1">
      <alignment horizontal="right" vertical="top" wrapText="1"/>
    </xf>
    <xf numFmtId="166" fontId="3" fillId="0" borderId="1" xfId="1" applyNumberFormat="1" applyFont="1" applyFill="1" applyBorder="1" applyAlignment="1">
      <alignment horizontal="right" vertical="top" wrapText="1"/>
    </xf>
    <xf numFmtId="166" fontId="3" fillId="0" borderId="1" xfId="1" applyNumberFormat="1" applyFont="1" applyFill="1" applyBorder="1"/>
    <xf numFmtId="164" fontId="2" fillId="0" borderId="1" xfId="0" applyNumberFormat="1" applyFont="1" applyBorder="1" applyAlignment="1">
      <alignment horizontal="right" vertical="top" wrapText="1"/>
    </xf>
    <xf numFmtId="166" fontId="3" fillId="0" borderId="1" xfId="0" applyNumberFormat="1" applyFont="1" applyBorder="1" applyAlignment="1">
      <alignment horizontal="right" vertical="top" wrapText="1"/>
    </xf>
    <xf numFmtId="0" fontId="15" fillId="0" borderId="0" xfId="0" applyFont="1"/>
    <xf numFmtId="0" fontId="8" fillId="0" borderId="0" xfId="0" applyFont="1"/>
    <xf numFmtId="0" fontId="9" fillId="0" borderId="1" xfId="0" applyFont="1" applyBorder="1" applyAlignment="1">
      <alignment vertical="center" wrapText="1"/>
    </xf>
    <xf numFmtId="0" fontId="9" fillId="0" borderId="1" xfId="0" applyFont="1" applyBorder="1" applyAlignment="1">
      <alignment horizontal="right" vertical="center" wrapText="1"/>
    </xf>
    <xf numFmtId="6" fontId="9" fillId="0" borderId="1" xfId="0" applyNumberFormat="1" applyFont="1" applyBorder="1" applyAlignment="1">
      <alignment horizontal="right" vertical="center" wrapText="1"/>
    </xf>
    <xf numFmtId="0" fontId="9"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8" xfId="0" applyFont="1" applyBorder="1" applyAlignment="1">
      <alignment vertical="center" wrapText="1"/>
    </xf>
    <xf numFmtId="0" fontId="13" fillId="0" borderId="0" xfId="0" applyFont="1" applyAlignment="1">
      <alignment horizontal="left"/>
    </xf>
    <xf numFmtId="0" fontId="18" fillId="0" borderId="0" xfId="0" applyFont="1"/>
    <xf numFmtId="0" fontId="19" fillId="0" borderId="0" xfId="0" applyFont="1"/>
    <xf numFmtId="0" fontId="17" fillId="0" borderId="5" xfId="0" applyFont="1" applyBorder="1" applyAlignment="1">
      <alignment vertical="center" wrapText="1"/>
    </xf>
    <xf numFmtId="0" fontId="17" fillId="0" borderId="5" xfId="0" applyFont="1" applyBorder="1" applyAlignment="1">
      <alignment horizontal="right" vertical="center" wrapText="1"/>
    </xf>
    <xf numFmtId="6" fontId="17" fillId="0" borderId="5" xfId="0" applyNumberFormat="1" applyFont="1" applyBorder="1" applyAlignment="1">
      <alignment horizontal="right" vertical="center" wrapText="1"/>
    </xf>
    <xf numFmtId="0" fontId="2" fillId="0" borderId="0" xfId="0" applyFont="1" applyAlignment="1">
      <alignment horizontal="left" wrapText="1"/>
    </xf>
    <xf numFmtId="165" fontId="8" fillId="0" borderId="1" xfId="0" applyNumberFormat="1" applyFont="1" applyBorder="1" applyAlignment="1">
      <alignment horizontal="center" vertical="top" wrapText="1"/>
    </xf>
    <xf numFmtId="0" fontId="22" fillId="0" borderId="0" xfId="0" applyFont="1" applyAlignment="1">
      <alignment vertical="center" wrapText="1"/>
    </xf>
    <xf numFmtId="1" fontId="22" fillId="0" borderId="0" xfId="0" applyNumberFormat="1" applyFont="1"/>
    <xf numFmtId="0" fontId="22" fillId="0" borderId="0" xfId="0" applyFont="1"/>
    <xf numFmtId="3" fontId="22" fillId="0" borderId="0" xfId="0" applyNumberFormat="1" applyFont="1"/>
    <xf numFmtId="6" fontId="22" fillId="0" borderId="0" xfId="0" applyNumberFormat="1" applyFont="1"/>
    <xf numFmtId="164" fontId="2" fillId="0" borderId="19" xfId="0" applyNumberFormat="1" applyFont="1" applyBorder="1"/>
    <xf numFmtId="164" fontId="2" fillId="0" borderId="15" xfId="0" applyNumberFormat="1" applyFont="1" applyBorder="1"/>
    <xf numFmtId="164" fontId="2" fillId="0" borderId="17" xfId="0" applyNumberFormat="1" applyFont="1" applyBorder="1"/>
    <xf numFmtId="164" fontId="2" fillId="0" borderId="19" xfId="0" applyNumberFormat="1" applyFont="1" applyBorder="1" applyAlignment="1">
      <alignment horizontal="right" vertical="top"/>
    </xf>
    <xf numFmtId="164" fontId="2" fillId="0" borderId="15" xfId="0" applyNumberFormat="1" applyFont="1" applyBorder="1" applyAlignment="1">
      <alignment horizontal="right" vertical="top"/>
    </xf>
    <xf numFmtId="164" fontId="2" fillId="0" borderId="17" xfId="0" applyNumberFormat="1" applyFont="1" applyBorder="1" applyAlignment="1">
      <alignment horizontal="right" vertical="top"/>
    </xf>
    <xf numFmtId="0" fontId="23" fillId="0" borderId="1" xfId="0" applyFont="1" applyBorder="1" applyAlignment="1">
      <alignment horizontal="left" vertical="top" wrapText="1"/>
    </xf>
    <xf numFmtId="0" fontId="1" fillId="0" borderId="0" xfId="0" applyFont="1"/>
    <xf numFmtId="6" fontId="28" fillId="0" borderId="0" xfId="0" applyNumberFormat="1" applyFont="1"/>
    <xf numFmtId="0" fontId="1" fillId="0" borderId="18" xfId="0" applyFont="1" applyBorder="1"/>
    <xf numFmtId="0" fontId="1" fillId="0" borderId="14" xfId="0" applyFont="1" applyBorder="1"/>
    <xf numFmtId="0" fontId="1" fillId="0" borderId="16" xfId="0" applyFont="1" applyBorder="1"/>
    <xf numFmtId="0" fontId="9" fillId="0" borderId="18" xfId="0" applyFont="1" applyBorder="1"/>
    <xf numFmtId="0" fontId="9" fillId="0" borderId="14" xfId="0" applyFont="1" applyBorder="1"/>
    <xf numFmtId="0" fontId="9" fillId="0" borderId="16" xfId="0" applyFont="1" applyBorder="1"/>
    <xf numFmtId="0" fontId="21" fillId="0" borderId="0" xfId="0" applyFont="1" applyAlignment="1">
      <alignment horizont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0" borderId="1" xfId="0" applyFont="1" applyBorder="1" applyAlignment="1">
      <alignment horizontal="center" wrapText="1"/>
    </xf>
    <xf numFmtId="0" fontId="2" fillId="0" borderId="0" xfId="0" applyFont="1" applyAlignment="1">
      <alignment horizontal="left" wrapText="1"/>
    </xf>
    <xf numFmtId="3" fontId="3" fillId="0" borderId="1" xfId="0" applyNumberFormat="1" applyFont="1" applyBorder="1" applyAlignment="1">
      <alignment horizontal="center" vertical="top" wrapText="1"/>
    </xf>
    <xf numFmtId="2" fontId="2" fillId="0" borderId="0" xfId="0" applyNumberFormat="1" applyFont="1" applyAlignment="1">
      <alignment horizontal="left" wrapText="1"/>
    </xf>
    <xf numFmtId="0" fontId="8" fillId="0" borderId="0" xfId="0" applyFont="1" applyAlignment="1">
      <alignment horizontal="left" wrapText="1"/>
    </xf>
    <xf numFmtId="3" fontId="3" fillId="0" borderId="2" xfId="0" applyNumberFormat="1" applyFont="1" applyBorder="1" applyAlignment="1">
      <alignment horizontal="center" vertical="top" wrapText="1"/>
    </xf>
    <xf numFmtId="3" fontId="3" fillId="0" borderId="3" xfId="0" applyNumberFormat="1" applyFont="1" applyBorder="1" applyAlignment="1">
      <alignment horizontal="center" vertical="top" wrapText="1"/>
    </xf>
    <xf numFmtId="3" fontId="3" fillId="0" borderId="4" xfId="0" applyNumberFormat="1" applyFont="1" applyBorder="1" applyAlignment="1">
      <alignment horizontal="center" vertical="top" wrapText="1"/>
    </xf>
    <xf numFmtId="0" fontId="2" fillId="0" borderId="0" xfId="0" applyFont="1" applyAlignment="1">
      <alignment horizontal="left"/>
    </xf>
    <xf numFmtId="0" fontId="3" fillId="0" borderId="1" xfId="0" applyFont="1" applyBorder="1" applyAlignment="1">
      <alignment horizontal="left" wrapText="1"/>
    </xf>
    <xf numFmtId="0" fontId="2" fillId="0" borderId="0" xfId="0" applyFont="1" applyAlignment="1">
      <alignment horizontal="left" vertical="top" wrapText="1"/>
    </xf>
    <xf numFmtId="0" fontId="23" fillId="0" borderId="0" xfId="0" applyFont="1" applyAlignment="1">
      <alignment horizontal="left" vertical="center" wrapText="1"/>
    </xf>
    <xf numFmtId="0" fontId="2" fillId="0" borderId="0" xfId="0" applyFont="1" applyAlignment="1">
      <alignment horizontal="lef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9" xfId="0" applyFont="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3" fillId="0" borderId="11"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4" xfId="0" applyFont="1" applyBorder="1" applyAlignment="1">
      <alignment horizontal="center" vertical="top" wrapText="1"/>
    </xf>
    <xf numFmtId="0" fontId="11" fillId="0" borderId="11" xfId="0" applyFont="1" applyBorder="1" applyAlignment="1">
      <alignment horizontal="left" vertical="top" wrapText="1"/>
    </xf>
    <xf numFmtId="0" fontId="5" fillId="0" borderId="1" xfId="0" applyFont="1" applyBorder="1" applyAlignment="1">
      <alignment horizontal="center" vertical="top" wrapText="1"/>
    </xf>
    <xf numFmtId="0" fontId="2" fillId="0" borderId="1" xfId="0" applyFont="1" applyFill="1" applyBorder="1" applyAlignment="1">
      <alignment horizontal="left" vertical="top" wrapText="1" indent="3"/>
    </xf>
    <xf numFmtId="0" fontId="2" fillId="0" borderId="1" xfId="0"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2" fillId="0" borderId="1" xfId="0" applyNumberFormat="1" applyFont="1" applyFill="1" applyBorder="1" applyAlignment="1">
      <alignment horizontal="center" vertical="top" wrapText="1"/>
    </xf>
    <xf numFmtId="4" fontId="2" fillId="0" borderId="1" xfId="0" applyNumberFormat="1" applyFont="1" applyFill="1" applyBorder="1" applyAlignment="1">
      <alignment horizontal="center"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54AAB-FE7E-420C-AAC6-5C3CB4393B2E}">
  <dimension ref="A1:B7"/>
  <sheetViews>
    <sheetView tabSelected="1" workbookViewId="0">
      <selection activeCell="B7" sqref="B7"/>
    </sheetView>
  </sheetViews>
  <sheetFormatPr defaultRowHeight="12.75" x14ac:dyDescent="0.2"/>
  <cols>
    <col min="1" max="1" width="27.42578125" customWidth="1"/>
    <col min="2" max="2" width="13.28515625" customWidth="1"/>
  </cols>
  <sheetData>
    <row r="1" spans="1:2" ht="14.25" x14ac:dyDescent="0.2">
      <c r="A1" s="98" t="s">
        <v>0</v>
      </c>
      <c r="B1" s="98"/>
    </row>
    <row r="2" spans="1:2" ht="15.75" customHeight="1" x14ac:dyDescent="0.25">
      <c r="A2" s="78" t="s">
        <v>1</v>
      </c>
      <c r="B2" s="79">
        <f>'Table 1'!J50</f>
        <v>269</v>
      </c>
    </row>
    <row r="3" spans="1:2" ht="15.75" customHeight="1" x14ac:dyDescent="0.25">
      <c r="A3" s="78" t="s">
        <v>2</v>
      </c>
      <c r="B3" s="81">
        <f>Respondents!G10</f>
        <v>19</v>
      </c>
    </row>
    <row r="4" spans="1:2" ht="15.75" customHeight="1" x14ac:dyDescent="0.25">
      <c r="A4" s="78" t="s">
        <v>3</v>
      </c>
      <c r="B4" s="81">
        <f>'Table 1'!G47</f>
        <v>13200</v>
      </c>
    </row>
    <row r="5" spans="1:2" ht="15.75" customHeight="1" x14ac:dyDescent="0.25">
      <c r="A5" s="78" t="s">
        <v>4</v>
      </c>
      <c r="B5" s="82">
        <f>'Table 1'!J49</f>
        <v>2150000</v>
      </c>
    </row>
    <row r="6" spans="1:2" ht="15.75" customHeight="1" x14ac:dyDescent="0.25">
      <c r="A6" s="78" t="s">
        <v>5</v>
      </c>
      <c r="B6" s="82">
        <f>'Capital O&amp;M'!J11</f>
        <v>339000</v>
      </c>
    </row>
    <row r="7" spans="1:2" ht="15.75" customHeight="1" x14ac:dyDescent="0.25">
      <c r="A7" s="78" t="s">
        <v>6</v>
      </c>
      <c r="B7" s="80" t="s">
        <v>29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62"/>
  <sheetViews>
    <sheetView topLeftCell="B1" zoomScaleNormal="100" zoomScaleSheetLayoutView="55" workbookViewId="0">
      <selection activeCell="L21" sqref="L21"/>
    </sheetView>
  </sheetViews>
  <sheetFormatPr defaultColWidth="9.140625" defaultRowHeight="12.75" x14ac:dyDescent="0.2"/>
  <cols>
    <col min="1" max="1" width="0.7109375" style="1" customWidth="1"/>
    <col min="2" max="2" width="40.7109375" style="1" customWidth="1"/>
    <col min="3" max="4" width="14.5703125" style="1" customWidth="1"/>
    <col min="5" max="5" width="15.140625" style="1" customWidth="1"/>
    <col min="6" max="6" width="13" style="1" bestFit="1" customWidth="1"/>
    <col min="7" max="9" width="13" style="1" customWidth="1"/>
    <col min="10" max="10" width="14.85546875" style="6" customWidth="1"/>
    <col min="11" max="11" width="2" style="1" customWidth="1"/>
    <col min="12" max="12" width="11.140625" style="1" customWidth="1"/>
    <col min="13" max="13" width="7.7109375" style="1" bestFit="1" customWidth="1"/>
    <col min="14" max="14" width="9.140625" style="1"/>
    <col min="15" max="15" width="5" style="1" customWidth="1"/>
    <col min="16" max="19" width="9.140625" style="1"/>
    <col min="20" max="20" width="15.42578125" style="1" customWidth="1"/>
    <col min="21" max="16384" width="9.140625" style="1"/>
  </cols>
  <sheetData>
    <row r="1" spans="2:17" ht="15.75" x14ac:dyDescent="0.25">
      <c r="B1" s="12" t="s">
        <v>7</v>
      </c>
    </row>
    <row r="3" spans="2:17" x14ac:dyDescent="0.2">
      <c r="B3" s="104" t="s">
        <v>8</v>
      </c>
      <c r="C3" s="2" t="s">
        <v>9</v>
      </c>
      <c r="D3" s="2" t="s">
        <v>10</v>
      </c>
      <c r="E3" s="2" t="s">
        <v>11</v>
      </c>
      <c r="F3" s="2" t="s">
        <v>12</v>
      </c>
      <c r="G3" s="2" t="s">
        <v>13</v>
      </c>
      <c r="H3" s="2" t="s">
        <v>14</v>
      </c>
      <c r="I3" s="2" t="s">
        <v>15</v>
      </c>
      <c r="J3" s="4" t="s">
        <v>16</v>
      </c>
      <c r="P3" s="26" t="s">
        <v>17</v>
      </c>
      <c r="Q3" s="26" t="s">
        <v>18</v>
      </c>
    </row>
    <row r="4" spans="2:17" s="3" customFormat="1" ht="38.25" x14ac:dyDescent="0.2">
      <c r="B4" s="104"/>
      <c r="C4" s="33" t="s">
        <v>19</v>
      </c>
      <c r="D4" s="33" t="s">
        <v>20</v>
      </c>
      <c r="E4" s="33" t="s">
        <v>21</v>
      </c>
      <c r="F4" s="33" t="s">
        <v>22</v>
      </c>
      <c r="G4" s="33" t="s">
        <v>23</v>
      </c>
      <c r="H4" s="33" t="s">
        <v>24</v>
      </c>
      <c r="I4" s="33" t="s">
        <v>25</v>
      </c>
      <c r="J4" s="5" t="s">
        <v>26</v>
      </c>
      <c r="L4" s="1"/>
      <c r="P4" s="24" t="s">
        <v>27</v>
      </c>
      <c r="Q4" s="25">
        <v>19</v>
      </c>
    </row>
    <row r="5" spans="2:17" x14ac:dyDescent="0.2">
      <c r="B5" s="37" t="s">
        <v>28</v>
      </c>
      <c r="C5" s="38" t="s">
        <v>29</v>
      </c>
      <c r="D5" s="38"/>
      <c r="E5" s="38"/>
      <c r="F5" s="38"/>
      <c r="G5" s="38"/>
      <c r="H5" s="38"/>
      <c r="I5" s="38"/>
      <c r="J5" s="39"/>
      <c r="P5" s="24" t="s">
        <v>30</v>
      </c>
      <c r="Q5" s="25">
        <v>0</v>
      </c>
    </row>
    <row r="6" spans="2:17" x14ac:dyDescent="0.2">
      <c r="B6" s="37" t="s">
        <v>31</v>
      </c>
      <c r="C6" s="38" t="s">
        <v>29</v>
      </c>
      <c r="D6" s="38"/>
      <c r="E6" s="38"/>
      <c r="F6" s="38"/>
      <c r="G6" s="38"/>
      <c r="H6" s="38"/>
      <c r="I6" s="38"/>
      <c r="J6" s="39"/>
      <c r="P6" s="24" t="s">
        <v>32</v>
      </c>
      <c r="Q6" s="25">
        <v>1</v>
      </c>
    </row>
    <row r="7" spans="2:17" x14ac:dyDescent="0.2">
      <c r="B7" s="37" t="s">
        <v>33</v>
      </c>
      <c r="C7" s="38"/>
      <c r="D7" s="38"/>
      <c r="E7" s="38"/>
      <c r="F7" s="38"/>
      <c r="G7" s="38"/>
      <c r="H7" s="38"/>
      <c r="I7" s="38"/>
      <c r="J7" s="39"/>
    </row>
    <row r="8" spans="2:17" ht="15" thickBot="1" x14ac:dyDescent="0.25">
      <c r="B8" s="40" t="s">
        <v>34</v>
      </c>
      <c r="C8" s="38">
        <v>2</v>
      </c>
      <c r="D8" s="38">
        <v>1</v>
      </c>
      <c r="E8" s="41">
        <f>C8*D8</f>
        <v>2</v>
      </c>
      <c r="F8" s="41">
        <f>Q4</f>
        <v>19</v>
      </c>
      <c r="G8" s="41">
        <f>E8*F8</f>
        <v>38</v>
      </c>
      <c r="H8" s="41">
        <f>G8*0.05</f>
        <v>1.9000000000000001</v>
      </c>
      <c r="I8" s="41">
        <f>G8*0.1</f>
        <v>3.8000000000000003</v>
      </c>
      <c r="J8" s="52">
        <f>G8*$M$10+H8*$M$9+I8*$M$11</f>
        <v>5985.2469999999994</v>
      </c>
      <c r="K8" s="34"/>
      <c r="L8" s="99" t="s">
        <v>35</v>
      </c>
      <c r="M8" s="100"/>
    </row>
    <row r="9" spans="2:17" x14ac:dyDescent="0.2">
      <c r="B9" s="40" t="s">
        <v>36</v>
      </c>
      <c r="C9" s="38"/>
      <c r="D9" s="38"/>
      <c r="E9" s="38"/>
      <c r="F9" s="38"/>
      <c r="G9" s="38"/>
      <c r="H9" s="38"/>
      <c r="I9" s="38"/>
      <c r="J9" s="52"/>
      <c r="L9" s="92" t="s">
        <v>37</v>
      </c>
      <c r="M9" s="83">
        <v>172.41</v>
      </c>
    </row>
    <row r="10" spans="2:17" ht="25.5" x14ac:dyDescent="0.2">
      <c r="B10" s="42" t="s">
        <v>38</v>
      </c>
      <c r="C10" s="38">
        <v>13</v>
      </c>
      <c r="D10" s="38">
        <v>6</v>
      </c>
      <c r="E10" s="41">
        <f>C10*D10</f>
        <v>78</v>
      </c>
      <c r="F10" s="41">
        <f>$Q$6</f>
        <v>1</v>
      </c>
      <c r="G10" s="41">
        <f>E10*F10</f>
        <v>78</v>
      </c>
      <c r="H10" s="41">
        <f>G10*0.05</f>
        <v>3.9000000000000004</v>
      </c>
      <c r="I10" s="41">
        <f>G10*0.1</f>
        <v>7.8000000000000007</v>
      </c>
      <c r="J10" s="53">
        <f>G10*$M$10+H10*$M$9+I10*$M$11</f>
        <v>12285.507</v>
      </c>
      <c r="K10" s="34"/>
      <c r="L10" s="93" t="s">
        <v>39</v>
      </c>
      <c r="M10" s="84">
        <v>141.75</v>
      </c>
    </row>
    <row r="11" spans="2:17" ht="13.5" thickBot="1" x14ac:dyDescent="0.25">
      <c r="B11" s="40" t="s">
        <v>40</v>
      </c>
      <c r="C11" s="38" t="s">
        <v>41</v>
      </c>
      <c r="D11" s="38"/>
      <c r="E11" s="38"/>
      <c r="F11" s="38"/>
      <c r="G11" s="38"/>
      <c r="H11" s="38"/>
      <c r="I11" s="38"/>
      <c r="J11" s="52"/>
      <c r="K11" s="34"/>
      <c r="L11" s="94" t="s">
        <v>42</v>
      </c>
      <c r="M11" s="85">
        <v>71.36</v>
      </c>
    </row>
    <row r="12" spans="2:17" x14ac:dyDescent="0.2">
      <c r="B12" s="40" t="s">
        <v>43</v>
      </c>
      <c r="C12" s="38" t="s">
        <v>44</v>
      </c>
      <c r="D12" s="38"/>
      <c r="E12" s="38"/>
      <c r="F12" s="38"/>
      <c r="G12" s="38"/>
      <c r="H12" s="38"/>
      <c r="I12" s="38"/>
      <c r="J12" s="52"/>
      <c r="K12" s="34"/>
    </row>
    <row r="13" spans="2:17" x14ac:dyDescent="0.2">
      <c r="B13" s="40" t="s">
        <v>45</v>
      </c>
      <c r="C13" s="38"/>
      <c r="D13" s="38"/>
      <c r="E13" s="38"/>
      <c r="F13" s="38"/>
      <c r="G13" s="38"/>
      <c r="H13" s="38"/>
      <c r="I13" s="38"/>
      <c r="J13" s="52"/>
      <c r="K13" s="34"/>
    </row>
    <row r="14" spans="2:17" ht="28.5" x14ac:dyDescent="0.2">
      <c r="B14" s="42" t="s">
        <v>46</v>
      </c>
      <c r="C14" s="38">
        <v>2</v>
      </c>
      <c r="D14" s="38">
        <v>1</v>
      </c>
      <c r="E14" s="41">
        <f>C14*D14</f>
        <v>2</v>
      </c>
      <c r="F14" s="41">
        <v>0</v>
      </c>
      <c r="G14" s="41">
        <f t="shared" ref="G14:G22" si="0">E14*F14</f>
        <v>0</v>
      </c>
      <c r="H14" s="41">
        <f t="shared" ref="H14:H22" si="1">G14*0.05</f>
        <v>0</v>
      </c>
      <c r="I14" s="41">
        <f t="shared" ref="I14:I22" si="2">G14*0.1</f>
        <v>0</v>
      </c>
      <c r="J14" s="53">
        <f t="shared" ref="J14:J24" si="3">G14*$M$10+H14*$M$9+I14*$M$11</f>
        <v>0</v>
      </c>
      <c r="K14" s="34"/>
    </row>
    <row r="15" spans="2:17" ht="15.75" x14ac:dyDescent="0.2">
      <c r="B15" s="42" t="s">
        <v>47</v>
      </c>
      <c r="C15" s="38">
        <v>2</v>
      </c>
      <c r="D15" s="38">
        <v>1</v>
      </c>
      <c r="E15" s="41">
        <f t="shared" ref="E15" si="4">C15*D15</f>
        <v>2</v>
      </c>
      <c r="F15" s="41">
        <v>0</v>
      </c>
      <c r="G15" s="41">
        <f>E15*F15</f>
        <v>0</v>
      </c>
      <c r="H15" s="41">
        <f>G15*0.05</f>
        <v>0</v>
      </c>
      <c r="I15" s="41">
        <f>G15*0.1</f>
        <v>0</v>
      </c>
      <c r="J15" s="53">
        <f t="shared" si="3"/>
        <v>0</v>
      </c>
      <c r="K15" s="34"/>
    </row>
    <row r="16" spans="2:17" ht="15.75" x14ac:dyDescent="0.2">
      <c r="B16" s="42" t="s">
        <v>48</v>
      </c>
      <c r="C16" s="38">
        <v>2</v>
      </c>
      <c r="D16" s="38">
        <v>1</v>
      </c>
      <c r="E16" s="41">
        <f t="shared" ref="E16" si="5">C16*D16</f>
        <v>2</v>
      </c>
      <c r="F16" s="41">
        <v>0</v>
      </c>
      <c r="G16" s="41">
        <f>E16*F16</f>
        <v>0</v>
      </c>
      <c r="H16" s="41">
        <f>G16*0.05</f>
        <v>0</v>
      </c>
      <c r="I16" s="41">
        <f>G16*0.1</f>
        <v>0</v>
      </c>
      <c r="J16" s="53">
        <f>G16*$M$10+H16*$M$9+I16*$M$11</f>
        <v>0</v>
      </c>
      <c r="K16" s="34"/>
    </row>
    <row r="17" spans="2:12" ht="15.75" x14ac:dyDescent="0.2">
      <c r="B17" s="42" t="s">
        <v>49</v>
      </c>
      <c r="C17" s="38">
        <v>2</v>
      </c>
      <c r="D17" s="38">
        <v>1</v>
      </c>
      <c r="E17" s="41">
        <f t="shared" ref="E17" si="6">C17*D17</f>
        <v>2</v>
      </c>
      <c r="F17" s="41">
        <v>0</v>
      </c>
      <c r="G17" s="41">
        <f>E17*F17</f>
        <v>0</v>
      </c>
      <c r="H17" s="41">
        <f>G17*0.05</f>
        <v>0</v>
      </c>
      <c r="I17" s="41">
        <f>G17*0.1</f>
        <v>0</v>
      </c>
      <c r="J17" s="53">
        <f t="shared" si="3"/>
        <v>0</v>
      </c>
      <c r="K17" s="34"/>
    </row>
    <row r="18" spans="2:12" ht="15.75" x14ac:dyDescent="0.2">
      <c r="B18" s="42" t="s">
        <v>50</v>
      </c>
      <c r="C18" s="38">
        <v>8</v>
      </c>
      <c r="D18" s="38">
        <v>1</v>
      </c>
      <c r="E18" s="41">
        <f>C18*D18</f>
        <v>8</v>
      </c>
      <c r="F18" s="41">
        <f>ROUND(Q4*0.05, 0)</f>
        <v>1</v>
      </c>
      <c r="G18" s="41">
        <f t="shared" si="0"/>
        <v>8</v>
      </c>
      <c r="H18" s="43">
        <f t="shared" si="1"/>
        <v>0.4</v>
      </c>
      <c r="I18" s="43">
        <f t="shared" si="2"/>
        <v>0.8</v>
      </c>
      <c r="J18" s="52">
        <f t="shared" si="3"/>
        <v>1260.0519999999999</v>
      </c>
    </row>
    <row r="19" spans="2:12" ht="15.75" x14ac:dyDescent="0.2">
      <c r="B19" s="42" t="s">
        <v>51</v>
      </c>
      <c r="C19" s="38">
        <v>40</v>
      </c>
      <c r="D19" s="38">
        <v>1</v>
      </c>
      <c r="E19" s="41">
        <f t="shared" ref="E19" si="7">C19*D19</f>
        <v>40</v>
      </c>
      <c r="F19" s="41">
        <f>$Q$6</f>
        <v>1</v>
      </c>
      <c r="G19" s="41">
        <f t="shared" si="0"/>
        <v>40</v>
      </c>
      <c r="H19" s="41">
        <f t="shared" si="1"/>
        <v>2</v>
      </c>
      <c r="I19" s="41">
        <f t="shared" si="2"/>
        <v>4</v>
      </c>
      <c r="J19" s="53">
        <f t="shared" si="3"/>
        <v>6300.2599999999993</v>
      </c>
      <c r="K19" s="34"/>
    </row>
    <row r="20" spans="2:12" ht="15.75" x14ac:dyDescent="0.2">
      <c r="B20" s="42" t="s">
        <v>52</v>
      </c>
      <c r="C20" s="38">
        <v>2</v>
      </c>
      <c r="D20" s="38">
        <v>1</v>
      </c>
      <c r="E20" s="41">
        <f t="shared" ref="E20" si="8">C20*D20</f>
        <v>2</v>
      </c>
      <c r="F20" s="41">
        <f>$Q$6</f>
        <v>1</v>
      </c>
      <c r="G20" s="41">
        <f t="shared" si="0"/>
        <v>2</v>
      </c>
      <c r="H20" s="46">
        <f t="shared" si="1"/>
        <v>0.1</v>
      </c>
      <c r="I20" s="46">
        <f t="shared" si="2"/>
        <v>0.2</v>
      </c>
      <c r="J20" s="53">
        <f t="shared" si="3"/>
        <v>315.01299999999998</v>
      </c>
      <c r="K20" s="34"/>
    </row>
    <row r="21" spans="2:12" ht="15.75" x14ac:dyDescent="0.2">
      <c r="B21" s="132" t="s">
        <v>175</v>
      </c>
      <c r="C21" s="133">
        <v>2</v>
      </c>
      <c r="D21" s="133">
        <v>1</v>
      </c>
      <c r="E21" s="134">
        <f t="shared" ref="E21" si="9">C21*D21</f>
        <v>2</v>
      </c>
      <c r="F21" s="135">
        <f>F20*0.05</f>
        <v>0.05</v>
      </c>
      <c r="G21" s="136">
        <f t="shared" ref="G21" si="10">E21*F21</f>
        <v>0.1</v>
      </c>
      <c r="H21" s="136">
        <f t="shared" ref="H21" si="11">G21*0.05</f>
        <v>5.000000000000001E-3</v>
      </c>
      <c r="I21" s="136">
        <f t="shared" ref="I21" si="12">G21*0.1</f>
        <v>1.0000000000000002E-2</v>
      </c>
      <c r="J21" s="53">
        <f t="shared" ref="J21" si="13">G21*$M$10+H21*$M$9+I21*$M$11</f>
        <v>15.75065</v>
      </c>
      <c r="K21" s="34"/>
    </row>
    <row r="22" spans="2:12" ht="28.5" x14ac:dyDescent="0.2">
      <c r="B22" s="42" t="s">
        <v>53</v>
      </c>
      <c r="C22" s="38">
        <v>2</v>
      </c>
      <c r="D22" s="38">
        <v>1</v>
      </c>
      <c r="E22" s="41">
        <f t="shared" ref="E22" si="14">C22*D22</f>
        <v>2</v>
      </c>
      <c r="F22" s="41">
        <f>$Q$6</f>
        <v>1</v>
      </c>
      <c r="G22" s="41">
        <f t="shared" si="0"/>
        <v>2</v>
      </c>
      <c r="H22" s="41">
        <f t="shared" si="1"/>
        <v>0.1</v>
      </c>
      <c r="I22" s="41">
        <f t="shared" si="2"/>
        <v>0.2</v>
      </c>
      <c r="J22" s="53">
        <f t="shared" si="3"/>
        <v>315.01299999999998</v>
      </c>
      <c r="K22" s="34"/>
    </row>
    <row r="23" spans="2:12" ht="31.5" x14ac:dyDescent="0.2">
      <c r="B23" s="44" t="s">
        <v>54</v>
      </c>
      <c r="C23" s="38">
        <v>80</v>
      </c>
      <c r="D23" s="38">
        <v>1</v>
      </c>
      <c r="E23" s="41">
        <f t="shared" ref="E23" si="15">C23*D23</f>
        <v>80</v>
      </c>
      <c r="F23" s="43">
        <f>$Q$6*0.9</f>
        <v>0.9</v>
      </c>
      <c r="G23" s="41">
        <f t="shared" ref="G23:G24" si="16">E23*F23</f>
        <v>72</v>
      </c>
      <c r="H23" s="41">
        <f t="shared" ref="H23:H30" si="17">G23*0.05</f>
        <v>3.6</v>
      </c>
      <c r="I23" s="41">
        <f t="shared" ref="I23:I24" si="18">G23*0.1</f>
        <v>7.2</v>
      </c>
      <c r="J23" s="53">
        <f t="shared" si="3"/>
        <v>11340.467999999999</v>
      </c>
      <c r="K23" s="34"/>
    </row>
    <row r="24" spans="2:12" ht="28.5" x14ac:dyDescent="0.2">
      <c r="B24" s="44" t="s">
        <v>55</v>
      </c>
      <c r="C24" s="38">
        <v>120</v>
      </c>
      <c r="D24" s="38">
        <v>1</v>
      </c>
      <c r="E24" s="41">
        <f t="shared" ref="E24" si="19">C24*D24</f>
        <v>120</v>
      </c>
      <c r="F24" s="43">
        <f>$Q$6*0.1</f>
        <v>0.1</v>
      </c>
      <c r="G24" s="41">
        <f t="shared" si="16"/>
        <v>12</v>
      </c>
      <c r="H24" s="41">
        <f t="shared" si="17"/>
        <v>0.60000000000000009</v>
      </c>
      <c r="I24" s="41">
        <f t="shared" si="18"/>
        <v>1.2000000000000002</v>
      </c>
      <c r="J24" s="53">
        <f t="shared" si="3"/>
        <v>1890.078</v>
      </c>
      <c r="K24" s="34"/>
    </row>
    <row r="25" spans="2:12" x14ac:dyDescent="0.2">
      <c r="B25" s="42" t="s">
        <v>56</v>
      </c>
      <c r="C25" s="38"/>
      <c r="D25" s="38"/>
      <c r="E25" s="38"/>
      <c r="F25" s="41"/>
      <c r="G25" s="41"/>
      <c r="H25" s="43"/>
      <c r="I25" s="43"/>
      <c r="J25" s="52"/>
    </row>
    <row r="26" spans="2:12" ht="15.75" x14ac:dyDescent="0.2">
      <c r="B26" s="44" t="s">
        <v>57</v>
      </c>
      <c r="C26" s="38">
        <v>8</v>
      </c>
      <c r="D26" s="38">
        <v>2</v>
      </c>
      <c r="E26" s="41">
        <f t="shared" ref="E26:E30" si="20">C26*D26</f>
        <v>16</v>
      </c>
      <c r="F26" s="45">
        <f>Q4-F27</f>
        <v>17</v>
      </c>
      <c r="G26" s="41">
        <f t="shared" ref="G26" si="21">E26*F26</f>
        <v>272</v>
      </c>
      <c r="H26" s="43">
        <f t="shared" si="17"/>
        <v>13.600000000000001</v>
      </c>
      <c r="I26" s="43">
        <f t="shared" ref="I26" si="22">G26*0.1</f>
        <v>27.200000000000003</v>
      </c>
      <c r="J26" s="52">
        <f>G26*$M$10+H26*$M$9+I26*$M$11</f>
        <v>42841.767999999996</v>
      </c>
      <c r="L26" s="34"/>
    </row>
    <row r="27" spans="2:12" ht="15.75" x14ac:dyDescent="0.2">
      <c r="B27" s="44" t="s">
        <v>58</v>
      </c>
      <c r="C27" s="38">
        <v>24</v>
      </c>
      <c r="D27" s="38">
        <v>4</v>
      </c>
      <c r="E27" s="41">
        <f t="shared" ref="E27" si="23">C27*D27</f>
        <v>96</v>
      </c>
      <c r="F27" s="45">
        <f>ROUND(Q4*0.1, 0)</f>
        <v>2</v>
      </c>
      <c r="G27" s="41">
        <f t="shared" ref="G27" si="24">E27*F27</f>
        <v>192</v>
      </c>
      <c r="H27" s="43">
        <f>G27*0.05</f>
        <v>9.6000000000000014</v>
      </c>
      <c r="I27" s="43">
        <f t="shared" ref="I27" si="25">G27*0.1</f>
        <v>19.200000000000003</v>
      </c>
      <c r="J27" s="52">
        <f>G27*$M$10+H27*$M$9+I27*$M$11</f>
        <v>30241.248</v>
      </c>
    </row>
    <row r="28" spans="2:12" ht="15.75" x14ac:dyDescent="0.2">
      <c r="B28" s="44" t="s">
        <v>59</v>
      </c>
      <c r="C28" s="38">
        <v>40</v>
      </c>
      <c r="D28" s="38">
        <v>1</v>
      </c>
      <c r="E28" s="41">
        <f t="shared" ref="E28" si="26">C28*D28</f>
        <v>40</v>
      </c>
      <c r="F28" s="45">
        <f>ROUND(Q4*0.1, 0)</f>
        <v>2</v>
      </c>
      <c r="G28" s="41">
        <f t="shared" ref="G28" si="27">E28*F28</f>
        <v>80</v>
      </c>
      <c r="H28" s="41">
        <f>G28*0.05</f>
        <v>4</v>
      </c>
      <c r="I28" s="41">
        <f t="shared" ref="I28" si="28">G28*0.1</f>
        <v>8</v>
      </c>
      <c r="J28" s="52">
        <f>G28*$M$10+H28*$M$9+I28*$M$11</f>
        <v>12600.519999999999</v>
      </c>
    </row>
    <row r="29" spans="2:12" ht="15.75" x14ac:dyDescent="0.2">
      <c r="B29" s="44" t="s">
        <v>60</v>
      </c>
      <c r="C29" s="38">
        <v>5.5</v>
      </c>
      <c r="D29" s="38">
        <v>2</v>
      </c>
      <c r="E29" s="41">
        <f t="shared" ref="E29" si="29">C29*D29</f>
        <v>11</v>
      </c>
      <c r="F29" s="45">
        <f>Q4</f>
        <v>19</v>
      </c>
      <c r="G29" s="41">
        <f t="shared" ref="G29" si="30">E29*F29</f>
        <v>209</v>
      </c>
      <c r="H29" s="43">
        <f t="shared" si="17"/>
        <v>10.450000000000001</v>
      </c>
      <c r="I29" s="43">
        <f t="shared" ref="I29" si="31">G29*0.1</f>
        <v>20.900000000000002</v>
      </c>
      <c r="J29" s="52">
        <f>G29*$M$10+H29*$M$9+I29*$M$11</f>
        <v>32918.858500000002</v>
      </c>
    </row>
    <row r="30" spans="2:12" ht="15.75" x14ac:dyDescent="0.2">
      <c r="B30" s="44" t="s">
        <v>61</v>
      </c>
      <c r="C30" s="38">
        <v>94</v>
      </c>
      <c r="D30" s="38">
        <v>2</v>
      </c>
      <c r="E30" s="41">
        <f t="shared" si="20"/>
        <v>188</v>
      </c>
      <c r="F30" s="45">
        <f>F29</f>
        <v>19</v>
      </c>
      <c r="G30" s="41">
        <f t="shared" ref="G30" si="32">E30*F30</f>
        <v>3572</v>
      </c>
      <c r="H30" s="43">
        <f t="shared" si="17"/>
        <v>178.60000000000002</v>
      </c>
      <c r="I30" s="43">
        <f t="shared" ref="I30" si="33">G30*0.1</f>
        <v>357.20000000000005</v>
      </c>
      <c r="J30" s="52">
        <f>G30*$M$10+H30*$M$9+I30*$M$11</f>
        <v>562613.21799999999</v>
      </c>
    </row>
    <row r="31" spans="2:12" ht="13.5" x14ac:dyDescent="0.2">
      <c r="B31" s="47" t="s">
        <v>62</v>
      </c>
      <c r="C31" s="27"/>
      <c r="D31" s="27"/>
      <c r="E31" s="27"/>
      <c r="F31" s="50"/>
      <c r="G31" s="106">
        <f>ROUND(SUM(G8:I30),0)</f>
        <v>5264</v>
      </c>
      <c r="H31" s="106"/>
      <c r="I31" s="106"/>
      <c r="J31" s="54">
        <f>ROUND(SUM(J8:J30),0)</f>
        <v>720923</v>
      </c>
      <c r="L31" s="34"/>
    </row>
    <row r="32" spans="2:12" x14ac:dyDescent="0.2">
      <c r="B32" s="37" t="s">
        <v>63</v>
      </c>
      <c r="C32" s="38"/>
      <c r="D32" s="38"/>
      <c r="E32" s="38"/>
      <c r="F32" s="38"/>
      <c r="G32" s="38"/>
      <c r="H32" s="38"/>
      <c r="I32" s="38"/>
      <c r="J32" s="52"/>
    </row>
    <row r="33" spans="2:17" x14ac:dyDescent="0.2">
      <c r="B33" s="40" t="s">
        <v>34</v>
      </c>
      <c r="C33" s="38" t="s">
        <v>64</v>
      </c>
      <c r="D33" s="38"/>
      <c r="E33" s="38"/>
      <c r="F33" s="38"/>
      <c r="G33" s="38"/>
      <c r="H33" s="38"/>
      <c r="I33" s="38"/>
      <c r="J33" s="52"/>
      <c r="K33" s="34"/>
    </row>
    <row r="34" spans="2:17" x14ac:dyDescent="0.2">
      <c r="B34" s="40" t="s">
        <v>65</v>
      </c>
      <c r="C34" s="38" t="s">
        <v>29</v>
      </c>
      <c r="D34" s="38"/>
      <c r="E34" s="38"/>
      <c r="F34" s="38"/>
      <c r="G34" s="38"/>
      <c r="H34" s="38"/>
      <c r="I34" s="38"/>
      <c r="J34" s="52"/>
      <c r="K34" s="34"/>
    </row>
    <row r="35" spans="2:17" x14ac:dyDescent="0.2">
      <c r="B35" s="40" t="s">
        <v>66</v>
      </c>
      <c r="C35" s="38" t="s">
        <v>29</v>
      </c>
      <c r="D35" s="38"/>
      <c r="E35" s="38"/>
      <c r="F35" s="38"/>
      <c r="G35" s="38"/>
      <c r="H35" s="38"/>
      <c r="I35" s="38"/>
      <c r="J35" s="52"/>
      <c r="K35" s="34"/>
    </row>
    <row r="36" spans="2:17" ht="15.75" x14ac:dyDescent="0.2">
      <c r="B36" s="40" t="s">
        <v>67</v>
      </c>
      <c r="C36" s="38">
        <v>40</v>
      </c>
      <c r="D36" s="38">
        <v>1</v>
      </c>
      <c r="E36" s="41">
        <f t="shared" ref="E36" si="34">C36*D36</f>
        <v>40</v>
      </c>
      <c r="F36" s="41">
        <f>$Q$6</f>
        <v>1</v>
      </c>
      <c r="G36" s="41">
        <f t="shared" ref="G36" si="35">E36*F36</f>
        <v>40</v>
      </c>
      <c r="H36" s="41">
        <f t="shared" ref="H36:H44" si="36">G36*0.05</f>
        <v>2</v>
      </c>
      <c r="I36" s="41">
        <f t="shared" ref="I36" si="37">G36*0.1</f>
        <v>4</v>
      </c>
      <c r="J36" s="53">
        <f>G36*$M$10+H36*$M$9+I36*$M$11</f>
        <v>6300.2599999999993</v>
      </c>
    </row>
    <row r="37" spans="2:17" ht="15.75" x14ac:dyDescent="0.2">
      <c r="B37" s="40" t="s">
        <v>68</v>
      </c>
      <c r="C37" s="38">
        <v>40</v>
      </c>
      <c r="D37" s="38">
        <v>1</v>
      </c>
      <c r="E37" s="41">
        <f t="shared" ref="E37" si="38">C37*D37</f>
        <v>40</v>
      </c>
      <c r="F37" s="41">
        <f>$Q$6</f>
        <v>1</v>
      </c>
      <c r="G37" s="41">
        <f t="shared" ref="G37" si="39">E37*F37</f>
        <v>40</v>
      </c>
      <c r="H37" s="41">
        <f t="shared" si="36"/>
        <v>2</v>
      </c>
      <c r="I37" s="41">
        <f t="shared" ref="I37" si="40">G37*0.1</f>
        <v>4</v>
      </c>
      <c r="J37" s="53">
        <f>G37*$M$10+H37*$M$9+I37*$M$11</f>
        <v>6300.2599999999993</v>
      </c>
    </row>
    <row r="38" spans="2:17" x14ac:dyDescent="0.2">
      <c r="B38" s="40" t="s">
        <v>69</v>
      </c>
      <c r="C38" s="38"/>
      <c r="D38" s="38"/>
      <c r="E38" s="38"/>
      <c r="F38" s="38"/>
      <c r="G38" s="38"/>
      <c r="H38" s="38"/>
      <c r="I38" s="38"/>
      <c r="J38" s="52"/>
    </row>
    <row r="39" spans="2:17" x14ac:dyDescent="0.2">
      <c r="B39" s="42" t="s">
        <v>70</v>
      </c>
      <c r="C39" s="38">
        <v>1.5</v>
      </c>
      <c r="D39" s="38">
        <v>52</v>
      </c>
      <c r="E39" s="41">
        <f t="shared" ref="E39" si="41">C39*D39</f>
        <v>78</v>
      </c>
      <c r="F39" s="41">
        <f>$Q$6</f>
        <v>1</v>
      </c>
      <c r="G39" s="41">
        <f t="shared" ref="G39" si="42">E39*F39</f>
        <v>78</v>
      </c>
      <c r="H39" s="41">
        <f t="shared" si="36"/>
        <v>3.9000000000000004</v>
      </c>
      <c r="I39" s="41">
        <f t="shared" ref="I39" si="43">G39*0.1</f>
        <v>7.8000000000000007</v>
      </c>
      <c r="J39" s="53">
        <f>G39*$M$10+H39*$M$9+I39*$M$11</f>
        <v>12285.507</v>
      </c>
      <c r="L39" s="34"/>
      <c r="Q39" s="71"/>
    </row>
    <row r="40" spans="2:17" x14ac:dyDescent="0.2">
      <c r="B40" s="42" t="s">
        <v>71</v>
      </c>
      <c r="C40" s="38"/>
      <c r="D40" s="38"/>
      <c r="E40" s="43"/>
      <c r="F40" s="41"/>
      <c r="G40" s="43"/>
      <c r="H40" s="46"/>
      <c r="I40" s="46"/>
      <c r="J40" s="52"/>
    </row>
    <row r="41" spans="2:17" ht="28.5" x14ac:dyDescent="0.2">
      <c r="B41" s="44" t="s">
        <v>72</v>
      </c>
      <c r="C41" s="38">
        <v>1</v>
      </c>
      <c r="D41" s="38">
        <v>320</v>
      </c>
      <c r="E41" s="41">
        <f t="shared" ref="E41" si="44">C41*D41</f>
        <v>320</v>
      </c>
      <c r="F41" s="41">
        <f>F29</f>
        <v>19</v>
      </c>
      <c r="G41" s="41">
        <f>E41*F41</f>
        <v>6080</v>
      </c>
      <c r="H41" s="41">
        <f>G41*0.05</f>
        <v>304</v>
      </c>
      <c r="I41" s="41">
        <f>G41*0.1</f>
        <v>608</v>
      </c>
      <c r="J41" s="52">
        <f>G41*$M$10+H41*$M$9+I41*$M$11</f>
        <v>957639.52</v>
      </c>
    </row>
    <row r="42" spans="2:17" ht="25.5" x14ac:dyDescent="0.2">
      <c r="B42" s="44" t="s">
        <v>73</v>
      </c>
      <c r="C42" s="38">
        <v>16</v>
      </c>
      <c r="D42" s="38">
        <v>2</v>
      </c>
      <c r="E42" s="41">
        <f t="shared" ref="E42:E44" si="45">C42*D42</f>
        <v>32</v>
      </c>
      <c r="F42" s="41">
        <f>F29</f>
        <v>19</v>
      </c>
      <c r="G42" s="41">
        <f t="shared" ref="G42:G43" si="46">E42*F42</f>
        <v>608</v>
      </c>
      <c r="H42" s="43">
        <f t="shared" si="36"/>
        <v>30.400000000000002</v>
      </c>
      <c r="I42" s="43">
        <f t="shared" ref="I42:I43" si="47">G42*0.1</f>
        <v>60.800000000000004</v>
      </c>
      <c r="J42" s="52">
        <f>G42*$M$10+H42*$M$9+I42*$M$11</f>
        <v>95763.95199999999</v>
      </c>
    </row>
    <row r="43" spans="2:17" ht="15.75" x14ac:dyDescent="0.2">
      <c r="B43" s="40" t="s">
        <v>74</v>
      </c>
      <c r="C43" s="38">
        <v>48</v>
      </c>
      <c r="D43" s="38">
        <v>1</v>
      </c>
      <c r="E43" s="41">
        <f t="shared" si="45"/>
        <v>48</v>
      </c>
      <c r="F43" s="41">
        <f>$Q$6</f>
        <v>1</v>
      </c>
      <c r="G43" s="41">
        <f t="shared" si="46"/>
        <v>48</v>
      </c>
      <c r="H43" s="41">
        <f t="shared" si="36"/>
        <v>2.4000000000000004</v>
      </c>
      <c r="I43" s="41">
        <f t="shared" si="47"/>
        <v>4.8000000000000007</v>
      </c>
      <c r="J43" s="53">
        <f>G43*$M$10+H43*$M$9+I43*$M$11</f>
        <v>7560.3119999999999</v>
      </c>
    </row>
    <row r="44" spans="2:17" ht="15.75" x14ac:dyDescent="0.2">
      <c r="B44" s="40" t="s">
        <v>75</v>
      </c>
      <c r="C44" s="38">
        <v>40</v>
      </c>
      <c r="D44" s="38">
        <v>1</v>
      </c>
      <c r="E44" s="38">
        <f t="shared" si="45"/>
        <v>40</v>
      </c>
      <c r="F44" s="41">
        <f>$Q$6</f>
        <v>1</v>
      </c>
      <c r="G44" s="41">
        <f t="shared" ref="G44" si="48">E44*F44</f>
        <v>40</v>
      </c>
      <c r="H44" s="41">
        <f t="shared" si="36"/>
        <v>2</v>
      </c>
      <c r="I44" s="41">
        <f t="shared" ref="I44" si="49">G44*0.1</f>
        <v>4</v>
      </c>
      <c r="J44" s="53">
        <f>G44*$M$10+H44*$M$9+I44*$M$11</f>
        <v>6300.2599999999993</v>
      </c>
    </row>
    <row r="45" spans="2:17" x14ac:dyDescent="0.2">
      <c r="B45" s="40" t="s">
        <v>76</v>
      </c>
      <c r="C45" s="38" t="s">
        <v>29</v>
      </c>
      <c r="D45" s="38"/>
      <c r="E45" s="38"/>
      <c r="F45" s="38"/>
      <c r="G45" s="38"/>
      <c r="H45" s="38"/>
      <c r="I45" s="38"/>
      <c r="J45" s="52"/>
    </row>
    <row r="46" spans="2:17" ht="13.5" x14ac:dyDescent="0.2">
      <c r="B46" s="47" t="s">
        <v>77</v>
      </c>
      <c r="C46" s="27"/>
      <c r="D46" s="27"/>
      <c r="E46" s="27"/>
      <c r="F46" s="50"/>
      <c r="G46" s="106">
        <f>ROUND(SUM(G33:I45),0)</f>
        <v>7974</v>
      </c>
      <c r="H46" s="106"/>
      <c r="I46" s="106"/>
      <c r="J46" s="54">
        <f>ROUND(SUM(J33:J45),-3)</f>
        <v>1092000</v>
      </c>
      <c r="L46" s="34"/>
    </row>
    <row r="47" spans="2:17" ht="28.5" x14ac:dyDescent="0.2">
      <c r="B47" s="28" t="s">
        <v>78</v>
      </c>
      <c r="C47" s="27"/>
      <c r="D47" s="27"/>
      <c r="E47" s="28"/>
      <c r="F47" s="27"/>
      <c r="G47" s="109">
        <f>ROUND(G31+G46,-2)</f>
        <v>13200</v>
      </c>
      <c r="H47" s="110"/>
      <c r="I47" s="111"/>
      <c r="J47" s="54">
        <f>ROUND(J31+J46,-4)</f>
        <v>1810000</v>
      </c>
    </row>
    <row r="48" spans="2:17" ht="15.75" x14ac:dyDescent="0.2">
      <c r="B48" s="51" t="s">
        <v>79</v>
      </c>
      <c r="C48" s="27"/>
      <c r="D48" s="27"/>
      <c r="E48" s="27"/>
      <c r="F48" s="50"/>
      <c r="G48" s="106"/>
      <c r="H48" s="106"/>
      <c r="I48" s="106"/>
      <c r="J48" s="54">
        <f>'Capital O&amp;M'!J11</f>
        <v>339000</v>
      </c>
    </row>
    <row r="49" spans="2:21" ht="15.75" x14ac:dyDescent="0.2">
      <c r="B49" s="51" t="s">
        <v>80</v>
      </c>
      <c r="C49" s="24"/>
      <c r="D49" s="24"/>
      <c r="E49" s="24"/>
      <c r="F49" s="24"/>
      <c r="G49" s="101"/>
      <c r="H49" s="102"/>
      <c r="I49" s="103"/>
      <c r="J49" s="55">
        <f>ROUND(SUM(J47:J48),-4)</f>
        <v>2150000</v>
      </c>
      <c r="K49" s="20"/>
      <c r="M49" s="35"/>
    </row>
    <row r="50" spans="2:21" x14ac:dyDescent="0.2">
      <c r="J50" s="36">
        <f>ROUND('Table 1'!G47/Responses!F17, 0)</f>
        <v>269</v>
      </c>
      <c r="L50" s="1" t="s">
        <v>81</v>
      </c>
    </row>
    <row r="51" spans="2:21" ht="23.25" customHeight="1" x14ac:dyDescent="0.2">
      <c r="B51" s="105" t="s">
        <v>161</v>
      </c>
      <c r="C51" s="105"/>
      <c r="D51" s="105"/>
      <c r="E51" s="105"/>
      <c r="F51" s="105"/>
      <c r="G51" s="105"/>
      <c r="H51" s="105"/>
      <c r="I51" s="105"/>
      <c r="J51" s="105"/>
      <c r="K51" s="34"/>
    </row>
    <row r="52" spans="2:21" ht="38.25" customHeight="1" x14ac:dyDescent="0.2">
      <c r="B52" s="107" t="s">
        <v>153</v>
      </c>
      <c r="C52" s="107"/>
      <c r="D52" s="107"/>
      <c r="E52" s="107"/>
      <c r="F52" s="107"/>
      <c r="G52" s="107"/>
      <c r="H52" s="107"/>
      <c r="I52" s="107"/>
      <c r="J52" s="107"/>
    </row>
    <row r="53" spans="2:21" ht="38.1" customHeight="1" x14ac:dyDescent="0.2">
      <c r="B53" s="105" t="s">
        <v>177</v>
      </c>
      <c r="C53" s="105"/>
      <c r="D53" s="105"/>
      <c r="E53" s="105"/>
      <c r="F53" s="105"/>
      <c r="G53" s="105"/>
      <c r="H53" s="105"/>
      <c r="I53" s="105"/>
      <c r="J53" s="105"/>
      <c r="L53" s="72"/>
      <c r="U53" s="71"/>
    </row>
    <row r="54" spans="2:21" ht="15.75" x14ac:dyDescent="0.2">
      <c r="B54" s="1" t="s">
        <v>154</v>
      </c>
      <c r="C54" s="76"/>
      <c r="D54" s="76"/>
      <c r="E54" s="76"/>
      <c r="F54" s="76"/>
      <c r="G54" s="76"/>
      <c r="H54" s="76"/>
      <c r="I54" s="76"/>
      <c r="J54" s="76"/>
      <c r="L54" s="34"/>
      <c r="S54" s="71"/>
    </row>
    <row r="55" spans="2:21" ht="15.75" x14ac:dyDescent="0.2">
      <c r="B55" s="1" t="s">
        <v>176</v>
      </c>
    </row>
    <row r="56" spans="2:21" x14ac:dyDescent="0.2">
      <c r="B56" s="105" t="s">
        <v>155</v>
      </c>
      <c r="C56" s="105"/>
      <c r="D56" s="105"/>
      <c r="E56" s="105"/>
      <c r="F56" s="105"/>
      <c r="G56" s="105"/>
      <c r="H56" s="105"/>
      <c r="I56" s="105"/>
      <c r="J56" s="105"/>
    </row>
    <row r="57" spans="2:21" x14ac:dyDescent="0.2">
      <c r="B57" s="105" t="s">
        <v>156</v>
      </c>
      <c r="C57" s="105"/>
      <c r="D57" s="105"/>
      <c r="E57" s="105"/>
      <c r="F57" s="105"/>
      <c r="G57" s="105"/>
      <c r="H57" s="105"/>
      <c r="I57" s="105"/>
      <c r="J57" s="105"/>
      <c r="L57" s="34"/>
      <c r="N57" s="71"/>
    </row>
    <row r="58" spans="2:21" x14ac:dyDescent="0.2">
      <c r="B58" s="105" t="s">
        <v>157</v>
      </c>
      <c r="C58" s="105"/>
      <c r="D58" s="105"/>
      <c r="E58" s="105"/>
      <c r="F58" s="105"/>
      <c r="G58" s="105"/>
      <c r="H58" s="105"/>
      <c r="I58" s="105"/>
      <c r="J58" s="105"/>
      <c r="L58" s="34"/>
      <c r="N58" s="71"/>
    </row>
    <row r="59" spans="2:21" s="59" customFormat="1" x14ac:dyDescent="0.2">
      <c r="B59" s="108" t="s">
        <v>174</v>
      </c>
      <c r="C59" s="108"/>
      <c r="D59" s="108"/>
      <c r="E59" s="108"/>
      <c r="F59" s="108"/>
      <c r="G59" s="108"/>
      <c r="H59" s="108"/>
      <c r="I59" s="108"/>
      <c r="J59" s="108"/>
      <c r="L59" s="34"/>
    </row>
    <row r="60" spans="2:21" x14ac:dyDescent="0.2">
      <c r="B60" s="105" t="s">
        <v>158</v>
      </c>
      <c r="C60" s="105"/>
      <c r="D60" s="105"/>
      <c r="E60" s="105"/>
      <c r="F60" s="105"/>
      <c r="G60" s="105"/>
      <c r="H60" s="105"/>
      <c r="I60" s="105"/>
      <c r="J60" s="105"/>
    </row>
    <row r="61" spans="2:21" ht="15.75" x14ac:dyDescent="0.2">
      <c r="B61" s="21" t="s">
        <v>159</v>
      </c>
      <c r="C61" s="76"/>
      <c r="D61" s="76"/>
      <c r="E61" s="76"/>
      <c r="F61" s="76"/>
      <c r="G61" s="76"/>
      <c r="H61" s="76"/>
      <c r="I61" s="76"/>
      <c r="J61" s="76"/>
    </row>
    <row r="62" spans="2:21" ht="15.75" x14ac:dyDescent="0.2">
      <c r="B62" s="1" t="s">
        <v>160</v>
      </c>
    </row>
  </sheetData>
  <mergeCells count="15">
    <mergeCell ref="L8:M8"/>
    <mergeCell ref="G49:I49"/>
    <mergeCell ref="B3:B4"/>
    <mergeCell ref="B60:J60"/>
    <mergeCell ref="G31:I31"/>
    <mergeCell ref="G46:I46"/>
    <mergeCell ref="B51:J51"/>
    <mergeCell ref="B52:J52"/>
    <mergeCell ref="B57:J57"/>
    <mergeCell ref="B59:J59"/>
    <mergeCell ref="B53:J53"/>
    <mergeCell ref="B56:J56"/>
    <mergeCell ref="B58:J58"/>
    <mergeCell ref="G47:I47"/>
    <mergeCell ref="G48:I48"/>
  </mergeCells>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35"/>
  <sheetViews>
    <sheetView zoomScale="90" zoomScaleNormal="90" workbookViewId="0">
      <selection activeCell="B15" sqref="B15"/>
    </sheetView>
  </sheetViews>
  <sheetFormatPr defaultColWidth="9.140625" defaultRowHeight="12.75" x14ac:dyDescent="0.2"/>
  <cols>
    <col min="1" max="1" width="0.85546875" style="1" customWidth="1"/>
    <col min="2" max="2" width="49.28515625" style="1" bestFit="1" customWidth="1"/>
    <col min="3" max="3" width="15.140625" style="1" bestFit="1" customWidth="1"/>
    <col min="4" max="4" width="15" style="1" customWidth="1"/>
    <col min="5" max="5" width="15.7109375" style="1" customWidth="1"/>
    <col min="6" max="6" width="13" style="1" bestFit="1" customWidth="1"/>
    <col min="7" max="7" width="15.85546875" style="1" customWidth="1"/>
    <col min="8" max="8" width="15.140625" style="1" bestFit="1" customWidth="1"/>
    <col min="9" max="9" width="14.42578125" style="1" customWidth="1"/>
    <col min="10" max="10" width="11.28515625" style="1" customWidth="1"/>
    <col min="11" max="11" width="2" style="1" customWidth="1"/>
    <col min="12" max="12" width="12.28515625" style="1" customWidth="1"/>
    <col min="13" max="13" width="7.7109375" style="1" customWidth="1"/>
    <col min="14" max="14" width="3.42578125" style="1" customWidth="1"/>
    <col min="15" max="16384" width="9.140625" style="1"/>
  </cols>
  <sheetData>
    <row r="1" spans="2:20" ht="15.75" x14ac:dyDescent="0.25">
      <c r="B1" s="12" t="s">
        <v>82</v>
      </c>
      <c r="C1" s="12"/>
    </row>
    <row r="3" spans="2:20" ht="12.75" customHeight="1" x14ac:dyDescent="0.2">
      <c r="B3" s="113" t="s">
        <v>8</v>
      </c>
      <c r="C3" s="7" t="s">
        <v>9</v>
      </c>
      <c r="D3" s="7" t="s">
        <v>10</v>
      </c>
      <c r="E3" s="7" t="s">
        <v>11</v>
      </c>
      <c r="F3" s="7" t="s">
        <v>12</v>
      </c>
      <c r="G3" s="7" t="s">
        <v>13</v>
      </c>
      <c r="H3" s="7" t="s">
        <v>14</v>
      </c>
      <c r="I3" s="7" t="s">
        <v>15</v>
      </c>
      <c r="J3" s="7" t="s">
        <v>16</v>
      </c>
      <c r="K3" s="13"/>
      <c r="L3" s="8"/>
    </row>
    <row r="4" spans="2:20" s="3" customFormat="1" ht="38.25" x14ac:dyDescent="0.2">
      <c r="B4" s="113"/>
      <c r="C4" s="33" t="s">
        <v>83</v>
      </c>
      <c r="D4" s="33" t="s">
        <v>20</v>
      </c>
      <c r="E4" s="33" t="s">
        <v>84</v>
      </c>
      <c r="F4" s="33" t="s">
        <v>22</v>
      </c>
      <c r="G4" s="33" t="s">
        <v>85</v>
      </c>
      <c r="H4" s="33" t="s">
        <v>86</v>
      </c>
      <c r="I4" s="33" t="s">
        <v>25</v>
      </c>
      <c r="J4" s="33" t="s">
        <v>87</v>
      </c>
      <c r="K4" s="1"/>
      <c r="L4" s="8"/>
    </row>
    <row r="5" spans="2:20" x14ac:dyDescent="0.2">
      <c r="B5" s="48" t="s">
        <v>88</v>
      </c>
      <c r="C5" s="38">
        <v>40</v>
      </c>
      <c r="D5" s="38">
        <v>1</v>
      </c>
      <c r="E5" s="38">
        <f>C5*D5</f>
        <v>40</v>
      </c>
      <c r="F5" s="41">
        <f>'Table 1'!F20</f>
        <v>1</v>
      </c>
      <c r="G5" s="41">
        <f>E5*F5</f>
        <v>40</v>
      </c>
      <c r="H5" s="41">
        <f>G5*0.05</f>
        <v>2</v>
      </c>
      <c r="I5" s="41">
        <f>G5*0.1</f>
        <v>4</v>
      </c>
      <c r="J5" s="53">
        <f>G5*$M$10+H5*$M$9+I5*$M$11</f>
        <v>2560.1400000000003</v>
      </c>
      <c r="L5" s="8"/>
    </row>
    <row r="6" spans="2:20" ht="15.75" x14ac:dyDescent="0.2">
      <c r="B6" s="89" t="s">
        <v>89</v>
      </c>
      <c r="C6" s="38">
        <v>40</v>
      </c>
      <c r="D6" s="38">
        <v>1</v>
      </c>
      <c r="E6" s="38">
        <f>C6*D6</f>
        <v>40</v>
      </c>
      <c r="F6" s="43">
        <f>F5*0.05</f>
        <v>0.05</v>
      </c>
      <c r="G6" s="41">
        <f>E6*F6</f>
        <v>2</v>
      </c>
      <c r="H6" s="41">
        <f>G6*0.05</f>
        <v>0.1</v>
      </c>
      <c r="I6" s="41">
        <f>G6*0.1</f>
        <v>0.2</v>
      </c>
      <c r="J6" s="53">
        <f>G6*$M$10+H6*$M$9+I6*$M$11</f>
        <v>128.00700000000001</v>
      </c>
      <c r="L6" s="8"/>
      <c r="M6" s="22"/>
    </row>
    <row r="7" spans="2:20" ht="16.5" thickBot="1" x14ac:dyDescent="0.25">
      <c r="B7" s="48" t="s">
        <v>90</v>
      </c>
      <c r="C7" s="38">
        <v>2</v>
      </c>
      <c r="D7" s="38">
        <f>'Table 1'!D10</f>
        <v>6</v>
      </c>
      <c r="E7" s="38">
        <f t="shared" ref="E7:E10" si="0">C7*D7</f>
        <v>12</v>
      </c>
      <c r="F7" s="43">
        <f>'Table 1'!F10*0.1</f>
        <v>0.1</v>
      </c>
      <c r="G7" s="41">
        <f>E7*F7</f>
        <v>1.2000000000000002</v>
      </c>
      <c r="H7" s="41">
        <f>G7*0.05</f>
        <v>6.0000000000000012E-2</v>
      </c>
      <c r="I7" s="41">
        <f>G7*0.1</f>
        <v>0.12000000000000002</v>
      </c>
      <c r="J7" s="53">
        <f>G7*$M$10+H7*$M$9+I7*$M$11</f>
        <v>76.804200000000009</v>
      </c>
      <c r="L7" s="21"/>
      <c r="M7" s="21"/>
    </row>
    <row r="8" spans="2:20" ht="15" thickBot="1" x14ac:dyDescent="0.25">
      <c r="B8" s="48" t="s">
        <v>91</v>
      </c>
      <c r="C8" s="38"/>
      <c r="D8" s="38"/>
      <c r="E8" s="38"/>
      <c r="F8" s="41"/>
      <c r="G8" s="41"/>
      <c r="H8" s="43"/>
      <c r="I8" s="41"/>
      <c r="J8" s="53"/>
      <c r="L8" s="99" t="s">
        <v>35</v>
      </c>
      <c r="M8" s="100"/>
    </row>
    <row r="9" spans="2:20" x14ac:dyDescent="0.2">
      <c r="B9" s="40" t="s">
        <v>92</v>
      </c>
      <c r="C9" s="38">
        <v>2</v>
      </c>
      <c r="D9" s="38">
        <f>'Table 1'!D14</f>
        <v>1</v>
      </c>
      <c r="E9" s="38">
        <f>C9*D9</f>
        <v>2</v>
      </c>
      <c r="F9" s="41">
        <f>'Table 1'!F14</f>
        <v>0</v>
      </c>
      <c r="G9" s="41">
        <f t="shared" ref="G9:G21" si="1">E9*F9</f>
        <v>0</v>
      </c>
      <c r="H9" s="41">
        <f t="shared" ref="H9:H21" si="2">G9*0.05</f>
        <v>0</v>
      </c>
      <c r="I9" s="41">
        <f t="shared" ref="I9:I21" si="3">G9*0.1</f>
        <v>0</v>
      </c>
      <c r="J9" s="53">
        <f t="shared" ref="J9:J21" si="4">G9*$M$10+H9*$M$9+I9*$M$11</f>
        <v>0</v>
      </c>
      <c r="L9" s="95" t="s">
        <v>37</v>
      </c>
      <c r="M9" s="86">
        <v>76.91</v>
      </c>
      <c r="T9" s="71"/>
    </row>
    <row r="10" spans="2:20" x14ac:dyDescent="0.2">
      <c r="B10" s="40" t="s">
        <v>93</v>
      </c>
      <c r="C10" s="38">
        <v>2</v>
      </c>
      <c r="D10" s="38">
        <f>'Table 1'!D15</f>
        <v>1</v>
      </c>
      <c r="E10" s="38">
        <f t="shared" si="0"/>
        <v>2</v>
      </c>
      <c r="F10" s="41">
        <f>'Table 1'!F15</f>
        <v>0</v>
      </c>
      <c r="G10" s="41">
        <f t="shared" si="1"/>
        <v>0</v>
      </c>
      <c r="H10" s="41">
        <f t="shared" si="2"/>
        <v>0</v>
      </c>
      <c r="I10" s="41">
        <f t="shared" si="3"/>
        <v>0</v>
      </c>
      <c r="J10" s="53">
        <f t="shared" si="4"/>
        <v>0</v>
      </c>
      <c r="L10" s="96" t="s">
        <v>39</v>
      </c>
      <c r="M10" s="87">
        <v>57.07</v>
      </c>
    </row>
    <row r="11" spans="2:20" ht="13.5" thickBot="1" x14ac:dyDescent="0.25">
      <c r="B11" s="40" t="s">
        <v>94</v>
      </c>
      <c r="C11" s="38">
        <v>2</v>
      </c>
      <c r="D11" s="38">
        <f>'Table 1'!D16</f>
        <v>1</v>
      </c>
      <c r="E11" s="38">
        <f t="shared" ref="E11" si="5">C11*D11</f>
        <v>2</v>
      </c>
      <c r="F11" s="41">
        <f>'Table 1'!F16</f>
        <v>0</v>
      </c>
      <c r="G11" s="41">
        <f t="shared" si="1"/>
        <v>0</v>
      </c>
      <c r="H11" s="41">
        <f t="shared" si="2"/>
        <v>0</v>
      </c>
      <c r="I11" s="41">
        <f t="shared" si="3"/>
        <v>0</v>
      </c>
      <c r="J11" s="53">
        <f t="shared" si="4"/>
        <v>0</v>
      </c>
      <c r="L11" s="97" t="s">
        <v>42</v>
      </c>
      <c r="M11" s="88">
        <v>30.88</v>
      </c>
    </row>
    <row r="12" spans="2:20" x14ac:dyDescent="0.2">
      <c r="B12" s="40" t="s">
        <v>95</v>
      </c>
      <c r="C12" s="38">
        <v>2</v>
      </c>
      <c r="D12" s="38">
        <f>'Table 1'!D17</f>
        <v>1</v>
      </c>
      <c r="E12" s="38">
        <f t="shared" ref="E12" si="6">C12*D12</f>
        <v>2</v>
      </c>
      <c r="F12" s="41">
        <f>'Table 1'!F17</f>
        <v>0</v>
      </c>
      <c r="G12" s="41">
        <f t="shared" si="1"/>
        <v>0</v>
      </c>
      <c r="H12" s="41">
        <f t="shared" si="2"/>
        <v>0</v>
      </c>
      <c r="I12" s="41">
        <f t="shared" si="3"/>
        <v>0</v>
      </c>
      <c r="J12" s="53">
        <f t="shared" si="4"/>
        <v>0</v>
      </c>
      <c r="L12" s="21"/>
      <c r="M12" s="21"/>
    </row>
    <row r="13" spans="2:20" ht="15.75" x14ac:dyDescent="0.2">
      <c r="B13" s="40" t="s">
        <v>96</v>
      </c>
      <c r="C13" s="38">
        <v>8</v>
      </c>
      <c r="D13" s="38">
        <f>'Table 1'!D18</f>
        <v>1</v>
      </c>
      <c r="E13" s="38">
        <f>C13*D13</f>
        <v>8</v>
      </c>
      <c r="F13" s="41">
        <f>'Table 1'!F18</f>
        <v>1</v>
      </c>
      <c r="G13" s="41">
        <f t="shared" si="1"/>
        <v>8</v>
      </c>
      <c r="H13" s="43">
        <f t="shared" si="2"/>
        <v>0.4</v>
      </c>
      <c r="I13" s="43">
        <f t="shared" si="3"/>
        <v>0.8</v>
      </c>
      <c r="J13" s="56">
        <f t="shared" si="4"/>
        <v>512.02800000000002</v>
      </c>
      <c r="L13" s="21"/>
      <c r="M13" s="21"/>
    </row>
    <row r="14" spans="2:20" x14ac:dyDescent="0.2">
      <c r="B14" s="40" t="s">
        <v>97</v>
      </c>
      <c r="C14" s="38">
        <v>4</v>
      </c>
      <c r="D14" s="38">
        <f>'Table 1'!D19</f>
        <v>1</v>
      </c>
      <c r="E14" s="38">
        <f t="shared" ref="E14:E21" si="7">C14*D14</f>
        <v>4</v>
      </c>
      <c r="F14" s="41">
        <f>'Table 1'!F19</f>
        <v>1</v>
      </c>
      <c r="G14" s="41">
        <f t="shared" si="1"/>
        <v>4</v>
      </c>
      <c r="H14" s="41">
        <f t="shared" si="2"/>
        <v>0.2</v>
      </c>
      <c r="I14" s="41">
        <f t="shared" si="3"/>
        <v>0.4</v>
      </c>
      <c r="J14" s="53">
        <f t="shared" si="4"/>
        <v>256.01400000000001</v>
      </c>
      <c r="L14" s="21"/>
      <c r="M14" s="21"/>
    </row>
    <row r="15" spans="2:20" x14ac:dyDescent="0.2">
      <c r="B15" s="40" t="s">
        <v>98</v>
      </c>
      <c r="C15" s="38">
        <v>2</v>
      </c>
      <c r="D15" s="38">
        <f>'Table 1'!D20</f>
        <v>1</v>
      </c>
      <c r="E15" s="38">
        <f t="shared" si="7"/>
        <v>2</v>
      </c>
      <c r="F15" s="41">
        <f>'Table 1'!F20</f>
        <v>1</v>
      </c>
      <c r="G15" s="41">
        <f t="shared" si="1"/>
        <v>2</v>
      </c>
      <c r="H15" s="41">
        <f t="shared" si="2"/>
        <v>0.1</v>
      </c>
      <c r="I15" s="41">
        <f t="shared" si="3"/>
        <v>0.2</v>
      </c>
      <c r="J15" s="53">
        <f t="shared" si="4"/>
        <v>128.00700000000001</v>
      </c>
      <c r="L15" s="21"/>
      <c r="M15" s="21"/>
    </row>
    <row r="16" spans="2:20" x14ac:dyDescent="0.2">
      <c r="B16" s="40" t="s">
        <v>99</v>
      </c>
      <c r="C16" s="38">
        <v>2</v>
      </c>
      <c r="D16" s="38">
        <f>'Table 1'!D22</f>
        <v>1</v>
      </c>
      <c r="E16" s="38">
        <f t="shared" si="7"/>
        <v>2</v>
      </c>
      <c r="F16" s="41">
        <f>'Table 1'!F22</f>
        <v>1</v>
      </c>
      <c r="G16" s="41">
        <f t="shared" si="1"/>
        <v>2</v>
      </c>
      <c r="H16" s="41">
        <f t="shared" si="2"/>
        <v>0.1</v>
      </c>
      <c r="I16" s="41">
        <f t="shared" si="3"/>
        <v>0.2</v>
      </c>
      <c r="J16" s="53">
        <f t="shared" si="4"/>
        <v>128.00700000000001</v>
      </c>
      <c r="L16" s="21"/>
      <c r="M16" s="21"/>
    </row>
    <row r="17" spans="2:18" ht="15.75" x14ac:dyDescent="0.2">
      <c r="B17" s="49" t="s">
        <v>100</v>
      </c>
      <c r="C17" s="38">
        <v>40</v>
      </c>
      <c r="D17" s="38">
        <f>'Table 1'!D23</f>
        <v>1</v>
      </c>
      <c r="E17" s="38">
        <f t="shared" si="7"/>
        <v>40</v>
      </c>
      <c r="F17" s="43">
        <f>'Table 1'!F23</f>
        <v>0.9</v>
      </c>
      <c r="G17" s="41">
        <f t="shared" si="1"/>
        <v>36</v>
      </c>
      <c r="H17" s="41">
        <f t="shared" si="2"/>
        <v>1.8</v>
      </c>
      <c r="I17" s="41">
        <f t="shared" si="3"/>
        <v>3.6</v>
      </c>
      <c r="J17" s="53">
        <f t="shared" si="4"/>
        <v>2304.1260000000002</v>
      </c>
      <c r="L17" s="21"/>
      <c r="M17" s="21"/>
    </row>
    <row r="18" spans="2:18" ht="15.75" x14ac:dyDescent="0.2">
      <c r="B18" s="49" t="s">
        <v>101</v>
      </c>
      <c r="C18" s="38">
        <v>40</v>
      </c>
      <c r="D18" s="38">
        <f>'Table 1'!D24</f>
        <v>1</v>
      </c>
      <c r="E18" s="38">
        <f t="shared" si="7"/>
        <v>40</v>
      </c>
      <c r="F18" s="43">
        <f>'Table 1'!F24</f>
        <v>0.1</v>
      </c>
      <c r="G18" s="41">
        <f t="shared" si="1"/>
        <v>4</v>
      </c>
      <c r="H18" s="41">
        <f t="shared" si="2"/>
        <v>0.2</v>
      </c>
      <c r="I18" s="41">
        <f t="shared" si="3"/>
        <v>0.4</v>
      </c>
      <c r="J18" s="53">
        <f t="shared" si="4"/>
        <v>256.01400000000001</v>
      </c>
      <c r="L18" s="21"/>
      <c r="M18" s="21"/>
    </row>
    <row r="19" spans="2:18" ht="15.75" x14ac:dyDescent="0.2">
      <c r="B19" s="40" t="s">
        <v>102</v>
      </c>
      <c r="C19" s="38">
        <v>2</v>
      </c>
      <c r="D19" s="38">
        <f>'Table 1'!D26</f>
        <v>2</v>
      </c>
      <c r="E19" s="38">
        <f t="shared" si="7"/>
        <v>4</v>
      </c>
      <c r="F19" s="41">
        <f>'Table 1'!F26</f>
        <v>17</v>
      </c>
      <c r="G19" s="41">
        <f t="shared" si="1"/>
        <v>68</v>
      </c>
      <c r="H19" s="43">
        <f t="shared" si="2"/>
        <v>3.4000000000000004</v>
      </c>
      <c r="I19" s="43">
        <f t="shared" si="3"/>
        <v>6.8000000000000007</v>
      </c>
      <c r="J19" s="56">
        <f t="shared" si="4"/>
        <v>4352.2380000000003</v>
      </c>
      <c r="L19" s="34"/>
      <c r="M19" s="21"/>
    </row>
    <row r="20" spans="2:18" ht="15.75" x14ac:dyDescent="0.2">
      <c r="B20" s="40" t="s">
        <v>103</v>
      </c>
      <c r="C20" s="38">
        <v>8</v>
      </c>
      <c r="D20" s="38">
        <f>'Table 1'!D27</f>
        <v>4</v>
      </c>
      <c r="E20" s="38">
        <f t="shared" si="7"/>
        <v>32</v>
      </c>
      <c r="F20" s="41">
        <f>'Table 1'!F27</f>
        <v>2</v>
      </c>
      <c r="G20" s="41">
        <f t="shared" si="1"/>
        <v>64</v>
      </c>
      <c r="H20" s="43">
        <f t="shared" si="2"/>
        <v>3.2</v>
      </c>
      <c r="I20" s="43">
        <f t="shared" si="3"/>
        <v>6.4</v>
      </c>
      <c r="J20" s="56">
        <f t="shared" si="4"/>
        <v>4096.2240000000002</v>
      </c>
    </row>
    <row r="21" spans="2:18" ht="15.75" x14ac:dyDescent="0.2">
      <c r="B21" s="40" t="s">
        <v>104</v>
      </c>
      <c r="C21" s="38">
        <v>20</v>
      </c>
      <c r="D21" s="38">
        <f>'Table 1'!D28</f>
        <v>1</v>
      </c>
      <c r="E21" s="38">
        <f t="shared" si="7"/>
        <v>20</v>
      </c>
      <c r="F21" s="41">
        <f>'Table 1'!F28</f>
        <v>2</v>
      </c>
      <c r="G21" s="41">
        <f t="shared" si="1"/>
        <v>40</v>
      </c>
      <c r="H21" s="41">
        <f t="shared" si="2"/>
        <v>2</v>
      </c>
      <c r="I21" s="41">
        <f t="shared" si="3"/>
        <v>4</v>
      </c>
      <c r="J21" s="56">
        <f t="shared" si="4"/>
        <v>2560.1400000000003</v>
      </c>
      <c r="L21" s="34"/>
      <c r="M21" s="21"/>
    </row>
    <row r="22" spans="2:18" ht="15.75" x14ac:dyDescent="0.2">
      <c r="B22" s="28" t="s">
        <v>105</v>
      </c>
      <c r="C22" s="27"/>
      <c r="D22" s="27"/>
      <c r="E22" s="27"/>
      <c r="F22" s="27"/>
      <c r="G22" s="106">
        <f>ROUND(SUM(G5:I21),0)</f>
        <v>312</v>
      </c>
      <c r="H22" s="106"/>
      <c r="I22" s="106"/>
      <c r="J22" s="57">
        <f>ROUND(SUM(J5:J21),-2)</f>
        <v>17400</v>
      </c>
      <c r="K22" s="20"/>
      <c r="M22" s="35"/>
    </row>
    <row r="23" spans="2:18" x14ac:dyDescent="0.2">
      <c r="K23" s="20"/>
    </row>
    <row r="24" spans="2:18" x14ac:dyDescent="0.2">
      <c r="B24" s="23"/>
      <c r="K24" s="20"/>
    </row>
    <row r="25" spans="2:18" ht="27" customHeight="1" x14ac:dyDescent="0.2">
      <c r="B25" s="105" t="s">
        <v>161</v>
      </c>
      <c r="C25" s="105"/>
      <c r="D25" s="105"/>
      <c r="E25" s="105"/>
      <c r="F25" s="105"/>
      <c r="G25" s="105"/>
      <c r="H25" s="105"/>
      <c r="I25" s="105"/>
      <c r="J25" s="105"/>
    </row>
    <row r="26" spans="2:18" x14ac:dyDescent="0.2">
      <c r="B26" s="114" t="s">
        <v>162</v>
      </c>
      <c r="C26" s="114"/>
      <c r="D26" s="114"/>
      <c r="E26" s="114"/>
      <c r="F26" s="114"/>
      <c r="G26" s="114"/>
      <c r="H26" s="114"/>
      <c r="I26" s="114"/>
      <c r="J26" s="114"/>
    </row>
    <row r="27" spans="2:18" ht="15.75" x14ac:dyDescent="0.2">
      <c r="B27" s="112" t="s">
        <v>163</v>
      </c>
      <c r="C27" s="112"/>
      <c r="D27" s="112"/>
      <c r="E27" s="112"/>
      <c r="F27" s="112"/>
      <c r="G27" s="112"/>
      <c r="H27" s="112"/>
      <c r="I27" s="112"/>
      <c r="J27" s="112"/>
    </row>
    <row r="28" spans="2:18" ht="15.75" x14ac:dyDescent="0.2">
      <c r="B28" s="112" t="s">
        <v>164</v>
      </c>
      <c r="C28" s="112"/>
      <c r="D28" s="112"/>
      <c r="E28" s="112"/>
      <c r="F28" s="112"/>
      <c r="G28" s="112"/>
      <c r="H28" s="112"/>
      <c r="I28" s="112"/>
      <c r="J28" s="112"/>
    </row>
    <row r="29" spans="2:18" ht="15.75" x14ac:dyDescent="0.2">
      <c r="B29" s="112" t="s">
        <v>165</v>
      </c>
      <c r="C29" s="112"/>
      <c r="D29" s="112"/>
      <c r="E29" s="112"/>
      <c r="F29" s="112"/>
      <c r="G29" s="112"/>
      <c r="H29" s="112"/>
      <c r="I29" s="112"/>
      <c r="J29" s="112"/>
      <c r="L29" s="70"/>
      <c r="R29" s="71"/>
    </row>
    <row r="30" spans="2:18" ht="15.75" x14ac:dyDescent="0.2">
      <c r="B30" s="112" t="s">
        <v>166</v>
      </c>
      <c r="C30" s="112"/>
      <c r="D30" s="112"/>
      <c r="E30" s="112"/>
      <c r="F30" s="112"/>
      <c r="G30" s="112"/>
      <c r="H30" s="112"/>
      <c r="I30" s="112"/>
      <c r="J30" s="112"/>
    </row>
    <row r="31" spans="2:18" x14ac:dyDescent="0.2">
      <c r="B31" s="105" t="s">
        <v>167</v>
      </c>
      <c r="C31" s="105"/>
      <c r="D31" s="105"/>
      <c r="E31" s="105"/>
      <c r="F31" s="105"/>
      <c r="G31" s="105"/>
      <c r="H31" s="105"/>
      <c r="I31" s="105"/>
      <c r="J31" s="105"/>
    </row>
    <row r="32" spans="2:18" ht="12.75" customHeight="1" x14ac:dyDescent="0.2">
      <c r="B32" s="105" t="s">
        <v>168</v>
      </c>
      <c r="C32" s="105"/>
      <c r="D32" s="105"/>
      <c r="E32" s="105"/>
      <c r="F32" s="105"/>
      <c r="G32" s="105"/>
      <c r="H32" s="105"/>
      <c r="I32" s="105"/>
      <c r="J32" s="105"/>
    </row>
    <row r="33" spans="2:10" x14ac:dyDescent="0.2">
      <c r="B33" s="105" t="s">
        <v>169</v>
      </c>
      <c r="C33" s="105"/>
      <c r="D33" s="105"/>
      <c r="E33" s="105"/>
      <c r="F33" s="105"/>
      <c r="G33" s="105"/>
      <c r="H33" s="105"/>
      <c r="I33" s="105"/>
      <c r="J33" s="105"/>
    </row>
    <row r="34" spans="2:10" ht="12.75" customHeight="1" x14ac:dyDescent="0.2">
      <c r="B34" s="105" t="s">
        <v>170</v>
      </c>
      <c r="C34" s="105"/>
      <c r="D34" s="105"/>
      <c r="E34" s="105"/>
      <c r="F34" s="105"/>
      <c r="G34" s="105"/>
      <c r="H34" s="105"/>
      <c r="I34" s="105"/>
      <c r="J34" s="105"/>
    </row>
    <row r="35" spans="2:10" ht="15.75" x14ac:dyDescent="0.2">
      <c r="B35" s="1" t="s">
        <v>171</v>
      </c>
    </row>
  </sheetData>
  <mergeCells count="13">
    <mergeCell ref="L8:M8"/>
    <mergeCell ref="B25:J25"/>
    <mergeCell ref="G22:I22"/>
    <mergeCell ref="B3:B4"/>
    <mergeCell ref="B26:J26"/>
    <mergeCell ref="B34:J34"/>
    <mergeCell ref="B33:J33"/>
    <mergeCell ref="B32:J32"/>
    <mergeCell ref="B27:J27"/>
    <mergeCell ref="B28:J28"/>
    <mergeCell ref="B29:J29"/>
    <mergeCell ref="B31:J31"/>
    <mergeCell ref="B30:J30"/>
  </mergeCells>
  <pageMargins left="0.7" right="0.7" top="0.75" bottom="0.75" header="0.3" footer="0.3"/>
  <pageSetup scale="72" orientation="landscape" r:id="rId1"/>
  <colBreaks count="1" manualBreakCount="1">
    <brk id="10" max="1048575" man="1"/>
  </colBreaks>
  <ignoredErrors>
    <ignoredError sqref="F5 F7:F2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EF622-D897-4F8C-A5F6-EEC8C2B198D0}">
  <dimension ref="B3:K15"/>
  <sheetViews>
    <sheetView workbookViewId="0">
      <selection activeCell="B14" sqref="B14:H14"/>
    </sheetView>
  </sheetViews>
  <sheetFormatPr defaultRowHeight="12.75" x14ac:dyDescent="0.2"/>
  <cols>
    <col min="2" max="2" width="18" customWidth="1"/>
    <col min="3" max="3" width="12.5703125" customWidth="1"/>
    <col min="4" max="4" width="17.28515625" customWidth="1"/>
    <col min="5" max="5" width="16.28515625" customWidth="1"/>
    <col min="6" max="6" width="18" customWidth="1"/>
    <col min="7" max="7" width="15.85546875" customWidth="1"/>
    <col min="10" max="10" width="13.140625" customWidth="1"/>
  </cols>
  <sheetData>
    <row r="3" spans="2:11" ht="15.75" x14ac:dyDescent="0.2">
      <c r="B3" s="117"/>
      <c r="C3" s="118"/>
      <c r="D3" s="118"/>
      <c r="E3" s="118"/>
      <c r="F3" s="118"/>
      <c r="G3" s="118"/>
      <c r="H3" s="119"/>
    </row>
    <row r="4" spans="2:11" ht="15.75" x14ac:dyDescent="0.2">
      <c r="B4" s="120" t="s">
        <v>106</v>
      </c>
      <c r="C4" s="121"/>
      <c r="D4" s="121"/>
      <c r="E4" s="121"/>
      <c r="F4" s="121"/>
      <c r="G4" s="121"/>
      <c r="H4" s="122"/>
    </row>
    <row r="5" spans="2:11" x14ac:dyDescent="0.2">
      <c r="B5" s="63" t="s">
        <v>107</v>
      </c>
      <c r="C5" s="65" t="s">
        <v>108</v>
      </c>
      <c r="D5" s="63" t="s">
        <v>109</v>
      </c>
      <c r="E5" s="67" t="s">
        <v>110</v>
      </c>
      <c r="F5" s="63" t="s">
        <v>111</v>
      </c>
      <c r="G5" s="67" t="s">
        <v>112</v>
      </c>
      <c r="H5" s="63" t="s">
        <v>113</v>
      </c>
    </row>
    <row r="6" spans="2:11" ht="54" customHeight="1" x14ac:dyDescent="0.2">
      <c r="B6" s="64" t="s">
        <v>114</v>
      </c>
      <c r="C6" s="66" t="s">
        <v>115</v>
      </c>
      <c r="D6" s="64" t="s">
        <v>116</v>
      </c>
      <c r="E6" s="68" t="s">
        <v>117</v>
      </c>
      <c r="F6" s="64" t="s">
        <v>118</v>
      </c>
      <c r="G6" s="68" t="s">
        <v>119</v>
      </c>
      <c r="H6" s="69" t="s">
        <v>120</v>
      </c>
      <c r="K6" s="68"/>
    </row>
    <row r="7" spans="2:11" ht="28.5" x14ac:dyDescent="0.2">
      <c r="B7" s="60" t="s">
        <v>121</v>
      </c>
      <c r="C7" s="62">
        <v>11632</v>
      </c>
      <c r="D7" s="61">
        <v>1</v>
      </c>
      <c r="E7" s="62">
        <f>C7*D7</f>
        <v>11632</v>
      </c>
      <c r="F7" s="62">
        <v>2825</v>
      </c>
      <c r="G7" s="61">
        <v>19</v>
      </c>
      <c r="H7" s="62">
        <f>F7*G7</f>
        <v>53675</v>
      </c>
    </row>
    <row r="8" spans="2:11" x14ac:dyDescent="0.2">
      <c r="B8" s="60" t="s">
        <v>122</v>
      </c>
      <c r="C8" s="62">
        <v>52200</v>
      </c>
      <c r="D8" s="61">
        <v>1</v>
      </c>
      <c r="E8" s="62">
        <f>C8*D8</f>
        <v>52200</v>
      </c>
      <c r="F8" s="62">
        <v>0</v>
      </c>
      <c r="G8" s="61">
        <v>0</v>
      </c>
      <c r="H8" s="62">
        <f>F8*G8</f>
        <v>0</v>
      </c>
    </row>
    <row r="9" spans="2:11" ht="15.75" x14ac:dyDescent="0.2">
      <c r="B9" s="60" t="s">
        <v>123</v>
      </c>
      <c r="C9" s="62">
        <v>15920</v>
      </c>
      <c r="D9" s="61">
        <v>1</v>
      </c>
      <c r="E9" s="62">
        <f>C9*D9</f>
        <v>15920</v>
      </c>
      <c r="F9" s="62">
        <v>1220</v>
      </c>
      <c r="G9" s="61">
        <v>19</v>
      </c>
      <c r="H9" s="62">
        <f>F9*G9</f>
        <v>23180</v>
      </c>
    </row>
    <row r="10" spans="2:11" ht="15.75" x14ac:dyDescent="0.2">
      <c r="B10" s="60" t="s">
        <v>124</v>
      </c>
      <c r="C10" s="62">
        <v>10690</v>
      </c>
      <c r="D10" s="61">
        <v>1</v>
      </c>
      <c r="E10" s="62">
        <f>C10*D10</f>
        <v>10690</v>
      </c>
      <c r="F10" s="62">
        <v>9038</v>
      </c>
      <c r="G10" s="61">
        <v>19</v>
      </c>
      <c r="H10" s="62">
        <f>F10*G10</f>
        <v>171722</v>
      </c>
    </row>
    <row r="11" spans="2:11" x14ac:dyDescent="0.2">
      <c r="B11" s="73" t="s">
        <v>126</v>
      </c>
      <c r="C11" s="74"/>
      <c r="D11" s="74"/>
      <c r="E11" s="75">
        <f>ROUND(SUM(E7:E10),-2)</f>
        <v>90400</v>
      </c>
      <c r="F11" s="74"/>
      <c r="G11" s="74"/>
      <c r="H11" s="75">
        <f>ROUND(SUM(H7:H10),-3)</f>
        <v>249000</v>
      </c>
      <c r="I11" s="90" t="s">
        <v>125</v>
      </c>
      <c r="J11" s="91">
        <f>ROUND(SUM(E11,H11),-3)</f>
        <v>339000</v>
      </c>
    </row>
    <row r="12" spans="2:11" ht="51" customHeight="1" x14ac:dyDescent="0.2">
      <c r="B12" s="123" t="s">
        <v>127</v>
      </c>
      <c r="C12" s="124"/>
      <c r="D12" s="124"/>
      <c r="E12" s="124"/>
      <c r="F12" s="124"/>
      <c r="G12" s="124"/>
      <c r="H12" s="124"/>
    </row>
    <row r="13" spans="2:11" ht="15.75" customHeight="1" x14ac:dyDescent="0.2">
      <c r="B13" s="115" t="s">
        <v>128</v>
      </c>
      <c r="C13" s="116"/>
      <c r="D13" s="116"/>
      <c r="E13" s="116"/>
      <c r="F13" s="116"/>
      <c r="G13" s="116"/>
      <c r="H13" s="116"/>
    </row>
    <row r="14" spans="2:11" ht="29.25" customHeight="1" x14ac:dyDescent="0.2">
      <c r="B14" s="115" t="s">
        <v>129</v>
      </c>
      <c r="C14" s="116"/>
      <c r="D14" s="116"/>
      <c r="E14" s="116"/>
      <c r="F14" s="116"/>
      <c r="G14" s="116"/>
      <c r="H14" s="116"/>
    </row>
    <row r="15" spans="2:11" ht="27.75" customHeight="1" x14ac:dyDescent="0.2">
      <c r="B15" s="115" t="s">
        <v>130</v>
      </c>
      <c r="C15" s="116"/>
      <c r="D15" s="116"/>
      <c r="E15" s="116"/>
      <c r="F15" s="116"/>
      <c r="G15" s="116"/>
      <c r="H15" s="116"/>
    </row>
  </sheetData>
  <mergeCells count="6">
    <mergeCell ref="B15:H15"/>
    <mergeCell ref="B3:H3"/>
    <mergeCell ref="B4:H4"/>
    <mergeCell ref="B12:H12"/>
    <mergeCell ref="B13:H13"/>
    <mergeCell ref="B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1"/>
  <sheetViews>
    <sheetView workbookViewId="0">
      <selection activeCell="G32" sqref="G32"/>
    </sheetView>
  </sheetViews>
  <sheetFormatPr defaultRowHeight="12.75" x14ac:dyDescent="0.2"/>
  <cols>
    <col min="1" max="1" width="1" customWidth="1"/>
    <col min="2" max="2" width="9.7109375" customWidth="1"/>
    <col min="3" max="3" width="12.85546875" bestFit="1" customWidth="1"/>
    <col min="4" max="4" width="15.5703125" bestFit="1" customWidth="1"/>
    <col min="5" max="5" width="18.5703125" customWidth="1"/>
    <col min="6" max="6" width="15.5703125" bestFit="1" customWidth="1"/>
    <col min="7" max="7" width="12.85546875" customWidth="1"/>
  </cols>
  <sheetData>
    <row r="2" spans="2:7" ht="15.75" x14ac:dyDescent="0.2">
      <c r="B2" s="125" t="s">
        <v>2</v>
      </c>
      <c r="C2" s="126"/>
      <c r="D2" s="126"/>
      <c r="E2" s="126"/>
      <c r="F2" s="126"/>
      <c r="G2" s="127"/>
    </row>
    <row r="3" spans="2:7" ht="24" customHeight="1" x14ac:dyDescent="0.2">
      <c r="B3" s="16"/>
      <c r="C3" s="128" t="s">
        <v>131</v>
      </c>
      <c r="D3" s="129"/>
      <c r="E3" s="17" t="s">
        <v>132</v>
      </c>
      <c r="F3" s="128"/>
      <c r="G3" s="129"/>
    </row>
    <row r="4" spans="2:7" x14ac:dyDescent="0.2">
      <c r="B4" s="14"/>
      <c r="C4" s="15" t="s">
        <v>107</v>
      </c>
      <c r="D4" s="15" t="s">
        <v>108</v>
      </c>
      <c r="E4" s="15" t="s">
        <v>109</v>
      </c>
      <c r="F4" s="15" t="s">
        <v>110</v>
      </c>
      <c r="G4" s="15" t="s">
        <v>111</v>
      </c>
    </row>
    <row r="5" spans="2:7" ht="68.25" customHeight="1" x14ac:dyDescent="0.2">
      <c r="B5" s="15" t="s">
        <v>133</v>
      </c>
      <c r="C5" s="15" t="s">
        <v>152</v>
      </c>
      <c r="D5" s="15" t="s">
        <v>134</v>
      </c>
      <c r="E5" s="15" t="s">
        <v>135</v>
      </c>
      <c r="F5" s="15" t="s">
        <v>151</v>
      </c>
      <c r="G5" s="15" t="s">
        <v>2</v>
      </c>
    </row>
    <row r="6" spans="2:7" x14ac:dyDescent="0.2">
      <c r="B6" s="15"/>
      <c r="C6" s="15"/>
      <c r="D6" s="15"/>
      <c r="E6" s="15"/>
      <c r="F6" s="15"/>
      <c r="G6" s="15" t="s">
        <v>136</v>
      </c>
    </row>
    <row r="7" spans="2:7" x14ac:dyDescent="0.2">
      <c r="B7" s="18">
        <v>1</v>
      </c>
      <c r="C7" s="19">
        <v>1</v>
      </c>
      <c r="D7" s="19">
        <f>'Table 1'!Q4</f>
        <v>19</v>
      </c>
      <c r="E7" s="18">
        <v>0</v>
      </c>
      <c r="F7" s="18">
        <v>1</v>
      </c>
      <c r="G7" s="19">
        <f>C7+D7+E7-F7</f>
        <v>19</v>
      </c>
    </row>
    <row r="8" spans="2:7" x14ac:dyDescent="0.2">
      <c r="B8" s="18">
        <v>2</v>
      </c>
      <c r="C8" s="18">
        <v>1</v>
      </c>
      <c r="D8" s="18">
        <f>G7</f>
        <v>19</v>
      </c>
      <c r="E8" s="18">
        <v>0</v>
      </c>
      <c r="F8" s="18">
        <v>1</v>
      </c>
      <c r="G8" s="18">
        <f t="shared" ref="G8:G9" si="0">C8+D8+E8-F8</f>
        <v>19</v>
      </c>
    </row>
    <row r="9" spans="2:7" x14ac:dyDescent="0.2">
      <c r="B9" s="18">
        <v>3</v>
      </c>
      <c r="C9" s="18">
        <v>1</v>
      </c>
      <c r="D9" s="18">
        <f>G8</f>
        <v>19</v>
      </c>
      <c r="E9" s="18">
        <v>0</v>
      </c>
      <c r="F9" s="18">
        <v>1</v>
      </c>
      <c r="G9" s="18">
        <f t="shared" si="0"/>
        <v>19</v>
      </c>
    </row>
    <row r="10" spans="2:7" x14ac:dyDescent="0.2">
      <c r="B10" s="18" t="s">
        <v>137</v>
      </c>
      <c r="C10" s="19">
        <f>AVERAGE(C7:C9)</f>
        <v>1</v>
      </c>
      <c r="D10" s="19">
        <f t="shared" ref="D10:G10" si="1">AVERAGE(D7:D9)</f>
        <v>19</v>
      </c>
      <c r="E10" s="19">
        <f t="shared" si="1"/>
        <v>0</v>
      </c>
      <c r="F10" s="19">
        <v>1</v>
      </c>
      <c r="G10" s="19">
        <f t="shared" si="1"/>
        <v>19</v>
      </c>
    </row>
    <row r="11" spans="2:7" ht="15.75" x14ac:dyDescent="0.2">
      <c r="B11" s="130" t="s">
        <v>172</v>
      </c>
      <c r="C11" s="130"/>
      <c r="D11" s="130"/>
      <c r="E11" s="130"/>
      <c r="F11" s="130"/>
      <c r="G11" s="130"/>
    </row>
  </sheetData>
  <mergeCells count="4">
    <mergeCell ref="B2:G2"/>
    <mergeCell ref="C3:D3"/>
    <mergeCell ref="F3:G3"/>
    <mergeCell ref="B11:G1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0"/>
  <sheetViews>
    <sheetView workbookViewId="0">
      <selection activeCell="D14" sqref="D14"/>
    </sheetView>
  </sheetViews>
  <sheetFormatPr defaultColWidth="9.140625" defaultRowHeight="12.75" x14ac:dyDescent="0.2"/>
  <cols>
    <col min="1" max="1" width="0.7109375" customWidth="1"/>
    <col min="2" max="2" width="31.28515625" customWidth="1"/>
    <col min="3" max="4" width="10" customWidth="1"/>
    <col min="5" max="5" width="16" customWidth="1"/>
    <col min="6" max="6" width="10.5703125" customWidth="1"/>
  </cols>
  <sheetData>
    <row r="2" spans="2:7" ht="15.75" x14ac:dyDescent="0.2">
      <c r="B2" s="131" t="s">
        <v>138</v>
      </c>
      <c r="C2" s="131"/>
      <c r="D2" s="131"/>
      <c r="E2" s="131"/>
      <c r="F2" s="131"/>
    </row>
    <row r="3" spans="2:7" ht="63.75" customHeight="1" x14ac:dyDescent="0.2">
      <c r="B3" s="9" t="s">
        <v>139</v>
      </c>
      <c r="C3" s="10" t="s">
        <v>140</v>
      </c>
      <c r="D3" s="10" t="s">
        <v>141</v>
      </c>
      <c r="E3" s="9" t="s">
        <v>142</v>
      </c>
      <c r="F3" s="9" t="s">
        <v>143</v>
      </c>
    </row>
    <row r="4" spans="2:7" x14ac:dyDescent="0.2">
      <c r="B4" s="29" t="s">
        <v>92</v>
      </c>
      <c r="C4" s="30">
        <f>'Table 1'!F14</f>
        <v>0</v>
      </c>
      <c r="D4" s="30">
        <f>'Table 1'!D14</f>
        <v>1</v>
      </c>
      <c r="E4" s="32">
        <v>0</v>
      </c>
      <c r="F4" s="32">
        <f>C4*D4+E4</f>
        <v>0</v>
      </c>
    </row>
    <row r="5" spans="2:7" x14ac:dyDescent="0.2">
      <c r="B5" s="29" t="s">
        <v>93</v>
      </c>
      <c r="C5" s="30">
        <f>'Table 1'!F15</f>
        <v>0</v>
      </c>
      <c r="D5" s="30">
        <f>'Table 1'!D15</f>
        <v>1</v>
      </c>
      <c r="E5" s="32">
        <v>0</v>
      </c>
      <c r="F5" s="32">
        <f t="shared" ref="F5:F16" si="0">C5*D5+E5</f>
        <v>0</v>
      </c>
    </row>
    <row r="6" spans="2:7" x14ac:dyDescent="0.2">
      <c r="B6" s="29" t="s">
        <v>94</v>
      </c>
      <c r="C6" s="30">
        <f>'Table 1'!F16</f>
        <v>0</v>
      </c>
      <c r="D6" s="30">
        <f>'Table 1'!D16</f>
        <v>1</v>
      </c>
      <c r="E6" s="32">
        <v>0</v>
      </c>
      <c r="F6" s="32">
        <f t="shared" si="0"/>
        <v>0</v>
      </c>
    </row>
    <row r="7" spans="2:7" x14ac:dyDescent="0.2">
      <c r="B7" s="29" t="s">
        <v>95</v>
      </c>
      <c r="C7" s="30">
        <f>'Table 1'!F17</f>
        <v>0</v>
      </c>
      <c r="D7" s="30">
        <f>'Table 1'!D17</f>
        <v>1</v>
      </c>
      <c r="E7" s="32">
        <v>0</v>
      </c>
      <c r="F7" s="32">
        <f t="shared" si="0"/>
        <v>0</v>
      </c>
    </row>
    <row r="8" spans="2:7" x14ac:dyDescent="0.2">
      <c r="B8" s="29" t="s">
        <v>144</v>
      </c>
      <c r="C8" s="30">
        <f>'Table 1'!F18</f>
        <v>1</v>
      </c>
      <c r="D8" s="30">
        <f>'Table 1'!D18</f>
        <v>1</v>
      </c>
      <c r="E8" s="32">
        <v>0</v>
      </c>
      <c r="F8" s="32">
        <f t="shared" si="0"/>
        <v>1</v>
      </c>
    </row>
    <row r="9" spans="2:7" x14ac:dyDescent="0.2">
      <c r="B9" s="29" t="s">
        <v>173</v>
      </c>
      <c r="C9" s="30">
        <f>'Table 1'!F19</f>
        <v>1</v>
      </c>
      <c r="D9" s="30">
        <f>'Table 1'!D19</f>
        <v>1</v>
      </c>
      <c r="E9" s="32">
        <v>0</v>
      </c>
      <c r="F9" s="32">
        <f t="shared" si="0"/>
        <v>1</v>
      </c>
      <c r="G9" s="58"/>
    </row>
    <row r="10" spans="2:7" ht="14.25" customHeight="1" x14ac:dyDescent="0.2">
      <c r="B10" s="29" t="s">
        <v>98</v>
      </c>
      <c r="C10" s="30">
        <f>'Table 1'!F20</f>
        <v>1</v>
      </c>
      <c r="D10" s="30">
        <f>'Table 1'!F20</f>
        <v>1</v>
      </c>
      <c r="E10" s="32">
        <v>0</v>
      </c>
      <c r="F10" s="32">
        <f t="shared" si="0"/>
        <v>1</v>
      </c>
    </row>
    <row r="11" spans="2:7" ht="24" x14ac:dyDescent="0.2">
      <c r="B11" s="29" t="s">
        <v>99</v>
      </c>
      <c r="C11" s="30">
        <f>'Table 1'!F22</f>
        <v>1</v>
      </c>
      <c r="D11" s="30">
        <f>'Table 1'!D22</f>
        <v>1</v>
      </c>
      <c r="E11" s="32">
        <v>0</v>
      </c>
      <c r="F11" s="32">
        <f t="shared" si="0"/>
        <v>1</v>
      </c>
    </row>
    <row r="12" spans="2:7" x14ac:dyDescent="0.2">
      <c r="B12" s="29" t="s">
        <v>145</v>
      </c>
      <c r="C12" s="77">
        <f>'Table 1'!F23</f>
        <v>0.9</v>
      </c>
      <c r="D12" s="30">
        <f>'Table 1'!D23</f>
        <v>1</v>
      </c>
      <c r="E12" s="32">
        <v>0</v>
      </c>
      <c r="F12" s="32">
        <f t="shared" si="0"/>
        <v>0.9</v>
      </c>
    </row>
    <row r="13" spans="2:7" x14ac:dyDescent="0.2">
      <c r="B13" s="29" t="s">
        <v>146</v>
      </c>
      <c r="C13" s="77">
        <f>'Table 1'!F24</f>
        <v>0.1</v>
      </c>
      <c r="D13" s="30">
        <f>'Table 1'!D24</f>
        <v>1</v>
      </c>
      <c r="E13" s="32">
        <v>0</v>
      </c>
      <c r="F13" s="32">
        <f t="shared" si="0"/>
        <v>0.1</v>
      </c>
    </row>
    <row r="14" spans="2:7" x14ac:dyDescent="0.2">
      <c r="B14" s="29" t="s">
        <v>147</v>
      </c>
      <c r="C14" s="30">
        <f>'Table 1'!F26</f>
        <v>17</v>
      </c>
      <c r="D14" s="30">
        <f>'Table 1'!D26</f>
        <v>2</v>
      </c>
      <c r="E14" s="32">
        <v>0</v>
      </c>
      <c r="F14" s="32">
        <f t="shared" si="0"/>
        <v>34</v>
      </c>
    </row>
    <row r="15" spans="2:7" x14ac:dyDescent="0.2">
      <c r="B15" s="29" t="s">
        <v>148</v>
      </c>
      <c r="C15" s="30">
        <f>'Table 1'!F27</f>
        <v>2</v>
      </c>
      <c r="D15" s="30">
        <f>'Table 1'!D27</f>
        <v>4</v>
      </c>
      <c r="E15" s="32">
        <v>0</v>
      </c>
      <c r="F15" s="32">
        <f t="shared" si="0"/>
        <v>8</v>
      </c>
    </row>
    <row r="16" spans="2:7" x14ac:dyDescent="0.2">
      <c r="B16" s="29" t="s">
        <v>149</v>
      </c>
      <c r="C16" s="30">
        <f>'Table 1'!F28</f>
        <v>2</v>
      </c>
      <c r="D16" s="30">
        <f>'Table 1'!D28</f>
        <v>1</v>
      </c>
      <c r="E16" s="32">
        <v>0</v>
      </c>
      <c r="F16" s="32">
        <f t="shared" si="0"/>
        <v>2</v>
      </c>
    </row>
    <row r="17" spans="2:7" x14ac:dyDescent="0.2">
      <c r="B17" s="31"/>
      <c r="C17" s="31"/>
      <c r="D17" s="31"/>
      <c r="E17" s="9" t="s">
        <v>150</v>
      </c>
      <c r="F17" s="9">
        <f>ROUND(SUM(F4:F16),0)</f>
        <v>49</v>
      </c>
      <c r="G17" s="11"/>
    </row>
    <row r="19" spans="2:7" x14ac:dyDescent="0.2">
      <c r="B19" s="58"/>
    </row>
    <row r="20" spans="2:7" x14ac:dyDescent="0.2">
      <c r="B20" s="58"/>
    </row>
  </sheetData>
  <mergeCells count="1">
    <mergeCell ref="B2:F2"/>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2025-01-06T16:11:21+00:00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32591F09-EE31-4DEF-83C2-4CA05B649CB0}"/>
</file>

<file path=customXml/itemProps2.xml><?xml version="1.0" encoding="utf-8"?>
<ds:datastoreItem xmlns:ds="http://schemas.openxmlformats.org/officeDocument/2006/customXml" ds:itemID="{7F695170-DEFF-414B-82F0-9B08F15E5645}">
  <ds:schemaRef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 ds:uri="http://purl.org/dc/elements/1.1/"/>
    <ds:schemaRef ds:uri="http://schemas.microsoft.com/office/2006/documentManagement/types"/>
    <ds:schemaRef ds:uri="4d6aed1e-57d3-46e3-9aba-f706adbce63b"/>
    <ds:schemaRef ds:uri="1891fcec-84c2-4840-9468-b51a784ab0d1"/>
    <ds:schemaRef ds:uri="http://purl.org/dc/terms/"/>
  </ds:schemaRefs>
</ds:datastoreItem>
</file>

<file path=customXml/itemProps3.xml><?xml version="1.0" encoding="utf-8"?>
<ds:datastoreItem xmlns:ds="http://schemas.openxmlformats.org/officeDocument/2006/customXml" ds:itemID="{6B2B85ED-5BD7-45D3-AB31-1EB5210E75F5}">
  <ds:schemaRefs>
    <ds:schemaRef ds:uri="http://schemas.microsoft.com/sharepoint/v3/contenttype/forms"/>
  </ds:schemaRefs>
</ds:datastoreItem>
</file>

<file path=customXml/itemProps4.xml><?xml version="1.0" encoding="utf-8"?>
<ds:datastoreItem xmlns:ds="http://schemas.openxmlformats.org/officeDocument/2006/customXml" ds:itemID="{9BB333AE-064E-4703-8CD8-2E46EAB1FA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Summary</vt:lpstr>
      <vt:lpstr>Table 1</vt:lpstr>
      <vt:lpstr>Table 2</vt:lpstr>
      <vt:lpstr>Capital O&amp;M</vt:lpstr>
      <vt:lpstr>Respondents</vt:lpstr>
      <vt:lpstr>Responses</vt:lpstr>
      <vt:lpstr>'Table 1'!Print_Area</vt:lpstr>
      <vt:lpstr>'Table 2'!Print_Area</vt:lpstr>
    </vt:vector>
  </TitlesOfParts>
  <Manager/>
  <Company>Eastern Research Group,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ERG, EV</dc:creator>
  <cp:keywords/>
  <dc:description/>
  <cp:lastModifiedBy>ERG</cp:lastModifiedBy>
  <cp:revision/>
  <dcterms:created xsi:type="dcterms:W3CDTF">2013-07-15T20:11:44Z</dcterms:created>
  <dcterms:modified xsi:type="dcterms:W3CDTF">2025-01-02T17:27:43Z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MediaServiceImageTags">
    <vt:lpwstr/>
  </property>
</Properties>
</file>