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S:\PDD\PDD General\PDD Rules\Information Collections\Packages\0584-0064 (Big Burden)\2023 Renewal\Final OMB Package\"/>
    </mc:Choice>
  </mc:AlternateContent>
  <xr:revisionPtr revIDLastSave="0" documentId="8_{5C77F127-D90E-4EEC-8026-4D4A147CD8B6}" xr6:coauthVersionLast="47" xr6:coauthVersionMax="47" xr10:uidLastSave="{00000000-0000-0000-0000-000000000000}"/>
  <bookViews>
    <workbookView xWindow="-110" yWindow="-110" windowWidth="19420" windowHeight="10420" xr2:uid="{5CB46A90-7B70-4105-8AB7-5C9E5A21AAE0}"/>
  </bookViews>
  <sheets>
    <sheet name="Burden Calculations" sheetId="1" r:id="rId1"/>
    <sheet name="Assumptions" sheetId="4" r:id="rId2"/>
    <sheet name="Labor Rates" sheetId="5" r:id="rId3"/>
    <sheet name="Total Burden by Burden Type" sheetId="3" r:id="rId4"/>
    <sheet name="Total Burden by Type and Respon" sheetId="7" r:id="rId5"/>
    <sheet name="ESRI_MAPINFO_SHEET" sheetId="6" state="veryHidden" r:id="rId6"/>
    <sheet name="Respon. Cost" sheetId="9" r:id="rId7"/>
    <sheet name="Federal Burde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3" l="1"/>
  <c r="G8" i="3"/>
  <c r="C5" i="3"/>
  <c r="K7" i="3"/>
  <c r="K8" i="3" s="1"/>
  <c r="K6" i="3"/>
  <c r="K5" i="3"/>
  <c r="H5" i="7"/>
  <c r="I6" i="3"/>
  <c r="D10" i="8"/>
  <c r="D9" i="8"/>
  <c r="F7" i="9"/>
  <c r="G78" i="1"/>
  <c r="G76" i="1"/>
  <c r="O142" i="1"/>
  <c r="M142" i="1"/>
  <c r="L142" i="1"/>
  <c r="K142" i="1"/>
  <c r="J142" i="1" s="1"/>
  <c r="I142" i="1"/>
  <c r="H142" i="1" s="1"/>
  <c r="F142" i="1"/>
  <c r="E142" i="1"/>
  <c r="E144" i="1" s="1"/>
  <c r="J74" i="1"/>
  <c r="J73" i="1"/>
  <c r="J61" i="1"/>
  <c r="J59" i="1"/>
  <c r="J64" i="1"/>
  <c r="J66" i="1"/>
  <c r="J65" i="1"/>
  <c r="F78" i="4"/>
  <c r="G73" i="1"/>
  <c r="I73" i="1" s="1"/>
  <c r="M73" i="1" s="1"/>
  <c r="E9" i="8"/>
  <c r="E10" i="8" l="1"/>
  <c r="E10" i="5"/>
  <c r="E9" i="5"/>
  <c r="E6" i="5"/>
  <c r="H11" i="7" s="1"/>
  <c r="E7" i="5"/>
  <c r="H6" i="7"/>
  <c r="H9" i="7"/>
  <c r="D7" i="3" l="1"/>
  <c r="D5" i="3"/>
  <c r="F38" i="4"/>
  <c r="F37" i="4"/>
  <c r="F40" i="4"/>
  <c r="F36" i="4"/>
  <c r="F41" i="4"/>
  <c r="G24" i="1"/>
  <c r="F23" i="4"/>
  <c r="F32" i="4"/>
  <c r="I21" i="1"/>
  <c r="I20" i="1"/>
  <c r="G19" i="1"/>
  <c r="F19" i="1"/>
  <c r="N78" i="1"/>
  <c r="L78" i="1"/>
  <c r="F76" i="1"/>
  <c r="E76" i="1"/>
  <c r="L144" i="1"/>
  <c r="L71" i="1"/>
  <c r="L76" i="1" l="1"/>
  <c r="G70" i="1"/>
  <c r="E70" i="1"/>
  <c r="E64" i="1"/>
  <c r="E62" i="1"/>
  <c r="E61" i="1"/>
  <c r="E60" i="1"/>
  <c r="E59" i="1"/>
  <c r="E58" i="1"/>
  <c r="E57" i="1"/>
  <c r="E52" i="1"/>
  <c r="F45" i="4" l="1"/>
  <c r="F84" i="4"/>
  <c r="F56" i="4"/>
  <c r="F55" i="4"/>
  <c r="F25" i="4"/>
  <c r="F20" i="4"/>
  <c r="F19" i="4"/>
  <c r="F18" i="4"/>
  <c r="F17" i="4"/>
  <c r="F16" i="4"/>
  <c r="F46" i="4" l="1"/>
  <c r="F27" i="4"/>
  <c r="F15" i="4"/>
  <c r="F26" i="4" s="1"/>
  <c r="F39" i="4" l="1"/>
  <c r="F44" i="4"/>
  <c r="F8" i="4"/>
  <c r="F81" i="4" l="1"/>
  <c r="G61" i="1"/>
  <c r="F61" i="1" s="1"/>
  <c r="E122" i="1"/>
  <c r="G122" i="1" s="1"/>
  <c r="G52" i="1"/>
  <c r="I52" i="1" s="1"/>
  <c r="G59" i="1"/>
  <c r="F59" i="1" s="1"/>
  <c r="N53" i="1"/>
  <c r="G64" i="1"/>
  <c r="N24" i="1"/>
  <c r="G13" i="1"/>
  <c r="G8" i="1"/>
  <c r="J7" i="3"/>
  <c r="H70" i="1"/>
  <c r="F70" i="1"/>
  <c r="G10" i="1"/>
  <c r="I10" i="1" s="1"/>
  <c r="I70" i="1"/>
  <c r="F79" i="4"/>
  <c r="F62" i="4"/>
  <c r="F51" i="4"/>
  <c r="F49" i="4"/>
  <c r="M53" i="1" s="1"/>
  <c r="F48" i="4"/>
  <c r="G51" i="1" s="1"/>
  <c r="I51" i="1" s="1"/>
  <c r="F47" i="4"/>
  <c r="F43" i="4"/>
  <c r="F42" i="4"/>
  <c r="F34" i="4"/>
  <c r="G38" i="1" s="1"/>
  <c r="F31" i="4"/>
  <c r="G27" i="1"/>
  <c r="I24" i="1"/>
  <c r="O24" i="1" s="1"/>
  <c r="F61" i="4"/>
  <c r="F9" i="4"/>
  <c r="E8" i="9"/>
  <c r="J123" i="1"/>
  <c r="J122" i="1"/>
  <c r="J140" i="1"/>
  <c r="J139" i="1"/>
  <c r="J137" i="1"/>
  <c r="J136" i="1"/>
  <c r="J135" i="1"/>
  <c r="J134" i="1"/>
  <c r="J133" i="1"/>
  <c r="J132" i="1"/>
  <c r="J131" i="1"/>
  <c r="J130" i="1"/>
  <c r="J129" i="1"/>
  <c r="J128" i="1"/>
  <c r="J127" i="1"/>
  <c r="J125" i="1"/>
  <c r="J124" i="1"/>
  <c r="J120" i="1"/>
  <c r="J119" i="1"/>
  <c r="J118" i="1"/>
  <c r="J117" i="1"/>
  <c r="J116" i="1"/>
  <c r="J126" i="1"/>
  <c r="J114" i="1"/>
  <c r="J113" i="1"/>
  <c r="J112" i="1"/>
  <c r="J111" i="1"/>
  <c r="J110" i="1"/>
  <c r="J109" i="1"/>
  <c r="J108" i="1"/>
  <c r="J106" i="1"/>
  <c r="J105" i="1"/>
  <c r="J103" i="1"/>
  <c r="J101" i="1"/>
  <c r="J100" i="1"/>
  <c r="J99" i="1"/>
  <c r="J98" i="1"/>
  <c r="J97" i="1"/>
  <c r="J96" i="1"/>
  <c r="J95" i="1"/>
  <c r="J94" i="1"/>
  <c r="J93" i="1"/>
  <c r="J92" i="1"/>
  <c r="J91" i="1"/>
  <c r="J90" i="1"/>
  <c r="J89" i="1"/>
  <c r="J88" i="1"/>
  <c r="J87" i="1"/>
  <c r="J85" i="1"/>
  <c r="J84" i="1"/>
  <c r="J82" i="1"/>
  <c r="F8" i="5"/>
  <c r="F118" i="1"/>
  <c r="F117" i="1"/>
  <c r="N134" i="1"/>
  <c r="E42" i="1"/>
  <c r="F7" i="5"/>
  <c r="H76" i="4"/>
  <c r="E41" i="1"/>
  <c r="E44" i="1"/>
  <c r="E43" i="1"/>
  <c r="E45" i="1"/>
  <c r="E33" i="1"/>
  <c r="E28" i="4"/>
  <c r="H56" i="4"/>
  <c r="H55" i="4"/>
  <c r="N57" i="1"/>
  <c r="N98" i="1"/>
  <c r="N130" i="1"/>
  <c r="E68" i="1"/>
  <c r="G17" i="1"/>
  <c r="E7" i="9" l="1"/>
  <c r="J20" i="1"/>
  <c r="F6" i="5"/>
  <c r="J8" i="1"/>
  <c r="J18" i="1"/>
  <c r="J27" i="1"/>
  <c r="J38" i="1"/>
  <c r="J47" i="1"/>
  <c r="J60" i="1"/>
  <c r="J52" i="1"/>
  <c r="J58" i="1"/>
  <c r="J17" i="1"/>
  <c r="J37" i="1"/>
  <c r="J45" i="1"/>
  <c r="J10" i="1"/>
  <c r="J19" i="1"/>
  <c r="J29" i="1"/>
  <c r="J39" i="1"/>
  <c r="J48" i="1"/>
  <c r="J62" i="1"/>
  <c r="J11" i="1"/>
  <c r="J21" i="1"/>
  <c r="J31" i="1"/>
  <c r="J49" i="1"/>
  <c r="J50" i="1"/>
  <c r="J13" i="1"/>
  <c r="J22" i="1"/>
  <c r="J33" i="1"/>
  <c r="J41" i="1"/>
  <c r="J51" i="1"/>
  <c r="K51" i="1" s="1"/>
  <c r="J14" i="1"/>
  <c r="J23" i="1"/>
  <c r="J34" i="1"/>
  <c r="J42" i="1"/>
  <c r="J53" i="1"/>
  <c r="J67" i="1"/>
  <c r="E6" i="9"/>
  <c r="J26" i="1"/>
  <c r="J15" i="1"/>
  <c r="J24" i="1"/>
  <c r="J35" i="1"/>
  <c r="J43" i="1"/>
  <c r="J54" i="1"/>
  <c r="J70" i="1"/>
  <c r="J16" i="1"/>
  <c r="J25" i="1"/>
  <c r="J36" i="1"/>
  <c r="J44" i="1"/>
  <c r="J56" i="1"/>
  <c r="J57" i="1"/>
  <c r="I8" i="1"/>
  <c r="G29" i="1"/>
  <c r="F28" i="4"/>
  <c r="F82" i="4"/>
  <c r="F29" i="4"/>
  <c r="F83" i="4"/>
  <c r="G67" i="1" s="1"/>
  <c r="F30" i="4"/>
  <c r="G53" i="1"/>
  <c r="F52" i="4"/>
  <c r="F53" i="4" s="1"/>
  <c r="M57" i="1" s="1"/>
  <c r="M24" i="1"/>
  <c r="F33" i="4"/>
  <c r="G25" i="1"/>
  <c r="I25" i="1" s="1"/>
  <c r="M25" i="1" s="1"/>
  <c r="G36" i="1"/>
  <c r="F35" i="4"/>
  <c r="G39" i="1" s="1"/>
  <c r="F80" i="4"/>
  <c r="F52" i="1"/>
  <c r="M70" i="1"/>
  <c r="O70" i="1" s="1"/>
  <c r="N52" i="1"/>
  <c r="K52" i="1"/>
  <c r="I64" i="1"/>
  <c r="N64" i="1" s="1"/>
  <c r="F64" i="1"/>
  <c r="J55" i="1"/>
  <c r="G71" i="1"/>
  <c r="N71" i="1"/>
  <c r="L7" i="3" s="1"/>
  <c r="E71" i="1"/>
  <c r="O52" i="1" l="1"/>
  <c r="M8" i="1"/>
  <c r="M71" i="1"/>
  <c r="O64" i="1"/>
  <c r="E118" i="1"/>
  <c r="G118" i="1" s="1"/>
  <c r="F71" i="1"/>
  <c r="D11" i="7" s="1"/>
  <c r="D12" i="7" s="1"/>
  <c r="C11" i="7"/>
  <c r="C12" i="7" s="1"/>
  <c r="C7" i="3"/>
  <c r="E11" i="7"/>
  <c r="E12" i="7" s="1"/>
  <c r="E7" i="3"/>
  <c r="F71" i="4"/>
  <c r="H71" i="4" s="1"/>
  <c r="F70" i="4"/>
  <c r="H70" i="4" s="1"/>
  <c r="H82" i="4"/>
  <c r="H80" i="4"/>
  <c r="H78" i="4"/>
  <c r="O8" i="1" l="1"/>
  <c r="H84" i="4"/>
  <c r="E120" i="1"/>
  <c r="G120" i="1" s="1"/>
  <c r="M98" i="1" l="1"/>
  <c r="E98" i="1"/>
  <c r="G98" i="1" s="1"/>
  <c r="E108" i="1"/>
  <c r="G108" i="1" s="1"/>
  <c r="G33" i="1"/>
  <c r="F33" i="1" s="1"/>
  <c r="F67" i="4"/>
  <c r="F63" i="4"/>
  <c r="H63" i="4" s="1"/>
  <c r="H62" i="4"/>
  <c r="E116" i="1"/>
  <c r="G116" i="1" s="1"/>
  <c r="G11" i="1"/>
  <c r="F65" i="4"/>
  <c r="H65" i="4" s="1"/>
  <c r="N76" i="1"/>
  <c r="L6" i="3" s="1"/>
  <c r="E82" i="1"/>
  <c r="G82" i="1" s="1"/>
  <c r="L122" i="1"/>
  <c r="I122" i="1"/>
  <c r="N122" i="1" s="1"/>
  <c r="O122" i="1" s="1"/>
  <c r="E123" i="1"/>
  <c r="G123" i="1" s="1"/>
  <c r="I123" i="1" s="1"/>
  <c r="N123" i="1" s="1"/>
  <c r="O123" i="1" s="1"/>
  <c r="L123" i="1"/>
  <c r="L129" i="1"/>
  <c r="E129" i="1"/>
  <c r="L64" i="1"/>
  <c r="L61" i="1"/>
  <c r="L59" i="1"/>
  <c r="L68" i="1" s="1"/>
  <c r="E84" i="1"/>
  <c r="G84" i="1" s="1"/>
  <c r="G58" i="1"/>
  <c r="E10" i="1"/>
  <c r="I61" i="1"/>
  <c r="G60" i="1"/>
  <c r="G74" i="1"/>
  <c r="I74" i="1" s="1"/>
  <c r="M74" i="1" s="1"/>
  <c r="E78" i="1" l="1"/>
  <c r="K61" i="1"/>
  <c r="N61" i="1"/>
  <c r="O61" i="1" s="1"/>
  <c r="I58" i="1"/>
  <c r="F58" i="1"/>
  <c r="I59" i="1"/>
  <c r="E117" i="1"/>
  <c r="G117" i="1" s="1"/>
  <c r="E119" i="1"/>
  <c r="G129" i="1"/>
  <c r="C6" i="3"/>
  <c r="C8" i="3" s="1"/>
  <c r="G41" i="1"/>
  <c r="I41" i="1" s="1"/>
  <c r="M41" i="1" s="1"/>
  <c r="F66" i="4"/>
  <c r="H61" i="4"/>
  <c r="F72" i="4"/>
  <c r="H72" i="4" s="1"/>
  <c r="K59" i="1"/>
  <c r="I53" i="1"/>
  <c r="K53" i="1" s="1"/>
  <c r="K24" i="1"/>
  <c r="F10" i="1"/>
  <c r="K8" i="1"/>
  <c r="H49" i="4"/>
  <c r="I60" i="1"/>
  <c r="F60" i="1"/>
  <c r="N59" i="1" l="1"/>
  <c r="K60" i="1"/>
  <c r="M60" i="1"/>
  <c r="O60" i="1" s="1"/>
  <c r="I129" i="1"/>
  <c r="K58" i="1"/>
  <c r="M58" i="1"/>
  <c r="O58" i="1" s="1"/>
  <c r="E126" i="1"/>
  <c r="G126" i="1" s="1"/>
  <c r="G49" i="1"/>
  <c r="K70" i="1"/>
  <c r="K71" i="1" s="1"/>
  <c r="I7" i="3" s="1"/>
  <c r="I71" i="1"/>
  <c r="H71" i="1" s="1"/>
  <c r="K64" i="1"/>
  <c r="H81" i="4"/>
  <c r="G119" i="1"/>
  <c r="G42" i="1"/>
  <c r="F42" i="1" s="1"/>
  <c r="O53" i="1"/>
  <c r="H53" i="4"/>
  <c r="F69" i="4"/>
  <c r="G57" i="1"/>
  <c r="I57" i="1" s="1"/>
  <c r="M130" i="1"/>
  <c r="E130" i="1"/>
  <c r="O59" i="1" l="1"/>
  <c r="N68" i="1"/>
  <c r="N129" i="1"/>
  <c r="K129" i="1"/>
  <c r="O71" i="1"/>
  <c r="F11" i="7"/>
  <c r="F12" i="7" s="1"/>
  <c r="G11" i="7"/>
  <c r="G7" i="3"/>
  <c r="H7" i="3" s="1"/>
  <c r="J71" i="1"/>
  <c r="H12" i="7" s="1"/>
  <c r="H83" i="4"/>
  <c r="H69" i="4"/>
  <c r="M134" i="1"/>
  <c r="J5" i="3"/>
  <c r="C9" i="7"/>
  <c r="E73" i="1"/>
  <c r="F73" i="1" s="1"/>
  <c r="E74" i="1"/>
  <c r="F74" i="1" s="1"/>
  <c r="J6" i="3"/>
  <c r="I67" i="1" l="1"/>
  <c r="N142" i="1"/>
  <c r="N144" i="1" s="1"/>
  <c r="O129" i="1"/>
  <c r="J8" i="3"/>
  <c r="G12" i="7"/>
  <c r="I12" i="7" s="1"/>
  <c r="I11" i="7"/>
  <c r="M7" i="3"/>
  <c r="F7" i="3"/>
  <c r="E136" i="1"/>
  <c r="G136" i="1" s="1"/>
  <c r="I136" i="1" s="1"/>
  <c r="M136" i="1" s="1"/>
  <c r="L5" i="3" l="1"/>
  <c r="L8" i="3" s="1"/>
  <c r="M67" i="1"/>
  <c r="O67" i="1" s="1"/>
  <c r="K67" i="1"/>
  <c r="E22" i="1"/>
  <c r="C6" i="7" l="1"/>
  <c r="I42" i="1"/>
  <c r="G43" i="1"/>
  <c r="I43" i="1" s="1"/>
  <c r="M43" i="1" s="1"/>
  <c r="K42" i="1" l="1"/>
  <c r="M42" i="1"/>
  <c r="H120" i="1"/>
  <c r="E135" i="1" l="1"/>
  <c r="G135" i="1" s="1"/>
  <c r="I135" i="1" s="1"/>
  <c r="M135" i="1" s="1"/>
  <c r="O135" i="1" s="1"/>
  <c r="E137" i="1"/>
  <c r="G137" i="1" s="1"/>
  <c r="I137" i="1" s="1"/>
  <c r="M137" i="1" s="1"/>
  <c r="K135" i="1" l="1"/>
  <c r="K137" i="1"/>
  <c r="O137" i="1"/>
  <c r="E101" i="1" l="1"/>
  <c r="F64" i="4"/>
  <c r="E124" i="1"/>
  <c r="G124" i="1" s="1"/>
  <c r="G26" i="1"/>
  <c r="I26" i="1" s="1"/>
  <c r="M26" i="1" s="1"/>
  <c r="I124" i="1" l="1"/>
  <c r="K124" i="1" s="1"/>
  <c r="E128" i="1"/>
  <c r="G128" i="1" s="1"/>
  <c r="K74" i="1"/>
  <c r="E125" i="1"/>
  <c r="G125" i="1" s="1"/>
  <c r="G45" i="1"/>
  <c r="I45" i="1" s="1"/>
  <c r="M45" i="1" s="1"/>
  <c r="I120" i="1"/>
  <c r="M120" i="1" s="1"/>
  <c r="G56" i="1"/>
  <c r="G65" i="1"/>
  <c r="I128" i="1" l="1"/>
  <c r="K128" i="1" s="1"/>
  <c r="M124" i="1"/>
  <c r="O124" i="1" s="1"/>
  <c r="I49" i="1"/>
  <c r="M49" i="1" s="1"/>
  <c r="O49" i="1" s="1"/>
  <c r="I125" i="1"/>
  <c r="O74" i="1"/>
  <c r="O120" i="1"/>
  <c r="K120" i="1"/>
  <c r="G62" i="1"/>
  <c r="H25" i="4"/>
  <c r="H22" i="4"/>
  <c r="M128" i="1" l="1"/>
  <c r="O128" i="1" s="1"/>
  <c r="K49" i="1"/>
  <c r="M125" i="1"/>
  <c r="O125" i="1" s="1"/>
  <c r="K125" i="1"/>
  <c r="G55" i="1"/>
  <c r="M76" i="1"/>
  <c r="F62" i="1"/>
  <c r="I62" i="1"/>
  <c r="O45" i="1"/>
  <c r="F68" i="4"/>
  <c r="E87" i="1"/>
  <c r="K62" i="1" l="1"/>
  <c r="M62" i="1"/>
  <c r="O62" i="1" s="1"/>
  <c r="O73" i="1"/>
  <c r="I76" i="1"/>
  <c r="H76" i="1" s="1"/>
  <c r="F9" i="7" s="1"/>
  <c r="F10" i="7" s="1"/>
  <c r="K73" i="1"/>
  <c r="K76" i="1" s="1"/>
  <c r="E9" i="7"/>
  <c r="E6" i="3"/>
  <c r="D6" i="3" s="1"/>
  <c r="F45" i="1"/>
  <c r="J76" i="1" l="1"/>
  <c r="H10" i="7" s="1"/>
  <c r="G9" i="7"/>
  <c r="I9" i="7" s="1"/>
  <c r="G7" i="9"/>
  <c r="M6" i="3"/>
  <c r="E134" i="1"/>
  <c r="G134" i="1" s="1"/>
  <c r="I134" i="1" s="1"/>
  <c r="D9" i="7"/>
  <c r="C5" i="7"/>
  <c r="C7" i="7" s="1"/>
  <c r="G6" i="3"/>
  <c r="O76" i="1"/>
  <c r="F57" i="1"/>
  <c r="O57" i="1"/>
  <c r="E140" i="1"/>
  <c r="E99" i="1"/>
  <c r="E27" i="1"/>
  <c r="H27" i="4"/>
  <c r="G34" i="1"/>
  <c r="E66" i="1"/>
  <c r="G66" i="1" s="1"/>
  <c r="I66" i="1" s="1"/>
  <c r="M66" i="1" s="1"/>
  <c r="O66" i="1" s="1"/>
  <c r="E65" i="1"/>
  <c r="E49" i="1"/>
  <c r="F49" i="1" s="1"/>
  <c r="E56" i="1"/>
  <c r="F56" i="1" s="1"/>
  <c r="E55" i="1"/>
  <c r="E54" i="1"/>
  <c r="E53" i="1"/>
  <c r="F53" i="1" s="1"/>
  <c r="E51" i="1"/>
  <c r="F51" i="1" s="1"/>
  <c r="E50" i="1"/>
  <c r="E48" i="1"/>
  <c r="E47" i="1"/>
  <c r="E39" i="1"/>
  <c r="F39" i="1" s="1"/>
  <c r="E38" i="1"/>
  <c r="E37" i="1"/>
  <c r="E36" i="1"/>
  <c r="E35" i="1"/>
  <c r="E34" i="1"/>
  <c r="E31" i="1"/>
  <c r="E29" i="1"/>
  <c r="E26" i="1"/>
  <c r="E25" i="1"/>
  <c r="E24" i="1"/>
  <c r="F24" i="1" s="1"/>
  <c r="E23" i="1"/>
  <c r="E21" i="1"/>
  <c r="E20" i="1"/>
  <c r="E19" i="1"/>
  <c r="E18" i="1"/>
  <c r="E17" i="1"/>
  <c r="E16" i="1"/>
  <c r="E15" i="1"/>
  <c r="E14" i="1"/>
  <c r="E13" i="1"/>
  <c r="E67" i="1"/>
  <c r="F67" i="1" s="1"/>
  <c r="H6" i="3" l="1"/>
  <c r="F6" i="3"/>
  <c r="O134" i="1"/>
  <c r="K134" i="1"/>
  <c r="G140" i="1"/>
  <c r="I140" i="1" s="1"/>
  <c r="M140" i="1" s="1"/>
  <c r="F27" i="1"/>
  <c r="I27" i="1"/>
  <c r="K27" i="1" l="1"/>
  <c r="M27" i="1"/>
  <c r="O27" i="1" s="1"/>
  <c r="O140" i="1"/>
  <c r="K140" i="1"/>
  <c r="K45" i="1"/>
  <c r="K57" i="1"/>
  <c r="E139" i="1" l="1"/>
  <c r="G139" i="1" s="1"/>
  <c r="I139" i="1" s="1"/>
  <c r="E133" i="1"/>
  <c r="G133" i="1" s="1"/>
  <c r="I133" i="1" s="1"/>
  <c r="K133" i="1" s="1"/>
  <c r="I126" i="1"/>
  <c r="I56" i="1"/>
  <c r="H79" i="4"/>
  <c r="H77" i="4"/>
  <c r="G130" i="1"/>
  <c r="I130" i="1" s="1"/>
  <c r="O130" i="1" s="1"/>
  <c r="E131" i="1"/>
  <c r="G131" i="1" s="1"/>
  <c r="I131" i="1" s="1"/>
  <c r="K131" i="1" s="1"/>
  <c r="E132" i="1"/>
  <c r="G132" i="1" s="1"/>
  <c r="I132" i="1" s="1"/>
  <c r="K132" i="1" s="1"/>
  <c r="E127" i="1"/>
  <c r="G127" i="1" s="1"/>
  <c r="I127" i="1" s="1"/>
  <c r="K127" i="1" s="1"/>
  <c r="H41" i="4"/>
  <c r="H42" i="4"/>
  <c r="H43" i="4"/>
  <c r="H44" i="4"/>
  <c r="H45" i="4"/>
  <c r="H46" i="4"/>
  <c r="H47" i="4"/>
  <c r="H48" i="4"/>
  <c r="H51" i="4"/>
  <c r="H52" i="4"/>
  <c r="H64" i="4"/>
  <c r="H66" i="4"/>
  <c r="H67" i="4"/>
  <c r="H68" i="4"/>
  <c r="H8" i="4"/>
  <c r="H9" i="4"/>
  <c r="E91" i="1"/>
  <c r="G91" i="1" s="1"/>
  <c r="I91" i="1" s="1"/>
  <c r="I11" i="1"/>
  <c r="E85" i="1"/>
  <c r="G85" i="1" s="1"/>
  <c r="K25" i="1"/>
  <c r="K26" i="1"/>
  <c r="G48" i="1"/>
  <c r="I48" i="1" s="1"/>
  <c r="G50" i="1"/>
  <c r="I50" i="1" s="1"/>
  <c r="G54" i="1"/>
  <c r="I54" i="1" s="1"/>
  <c r="I55" i="1"/>
  <c r="G47" i="1"/>
  <c r="I47" i="1" s="1"/>
  <c r="K43" i="1"/>
  <c r="G44" i="1"/>
  <c r="I44" i="1" s="1"/>
  <c r="M44" i="1" s="1"/>
  <c r="F41" i="1"/>
  <c r="I39" i="1"/>
  <c r="I38" i="1"/>
  <c r="G37" i="1"/>
  <c r="I36" i="1"/>
  <c r="G35" i="1"/>
  <c r="I35" i="1" s="1"/>
  <c r="I34" i="1"/>
  <c r="I33" i="1"/>
  <c r="G31" i="1"/>
  <c r="I31" i="1" s="1"/>
  <c r="I29" i="1"/>
  <c r="G23" i="1"/>
  <c r="I23" i="1" s="1"/>
  <c r="G22" i="1"/>
  <c r="I22" i="1" s="1"/>
  <c r="G21" i="1"/>
  <c r="G20" i="1"/>
  <c r="I19" i="1"/>
  <c r="G18" i="1"/>
  <c r="I18" i="1" s="1"/>
  <c r="I17" i="1"/>
  <c r="G16" i="1"/>
  <c r="I16" i="1" s="1"/>
  <c r="G15" i="1"/>
  <c r="I15" i="1" s="1"/>
  <c r="G14" i="1"/>
  <c r="G68" i="1" s="1"/>
  <c r="F78" i="1" s="1"/>
  <c r="I119" i="1"/>
  <c r="I118" i="1"/>
  <c r="I117" i="1"/>
  <c r="I116" i="1"/>
  <c r="M116" i="1" s="1"/>
  <c r="E109" i="1"/>
  <c r="G109" i="1" s="1"/>
  <c r="I109" i="1" s="1"/>
  <c r="E110" i="1"/>
  <c r="G110" i="1" s="1"/>
  <c r="I110" i="1" s="1"/>
  <c r="E111" i="1"/>
  <c r="G111" i="1" s="1"/>
  <c r="E112" i="1"/>
  <c r="G112" i="1" s="1"/>
  <c r="I112" i="1" s="1"/>
  <c r="E113" i="1"/>
  <c r="G113" i="1" s="1"/>
  <c r="I113" i="1" s="1"/>
  <c r="E114" i="1"/>
  <c r="I108" i="1"/>
  <c r="E106" i="1"/>
  <c r="E105" i="1"/>
  <c r="G105" i="1" s="1"/>
  <c r="I105" i="1" s="1"/>
  <c r="M105" i="1" s="1"/>
  <c r="G101" i="1"/>
  <c r="I101" i="1" s="1"/>
  <c r="E100" i="1"/>
  <c r="G100" i="1" s="1"/>
  <c r="I100" i="1" s="1"/>
  <c r="G99" i="1"/>
  <c r="I99" i="1" s="1"/>
  <c r="I98" i="1"/>
  <c r="E96" i="1"/>
  <c r="G96" i="1" s="1"/>
  <c r="I96" i="1" s="1"/>
  <c r="M96" i="1" s="1"/>
  <c r="E95" i="1"/>
  <c r="G95" i="1" s="1"/>
  <c r="I95" i="1" s="1"/>
  <c r="M95" i="1" s="1"/>
  <c r="E94" i="1"/>
  <c r="G94" i="1" s="1"/>
  <c r="I94" i="1" s="1"/>
  <c r="H15" i="4"/>
  <c r="H16" i="4"/>
  <c r="H17" i="4"/>
  <c r="H18" i="4"/>
  <c r="H19" i="4"/>
  <c r="H20" i="4"/>
  <c r="H23" i="4"/>
  <c r="H26" i="4"/>
  <c r="H29" i="4"/>
  <c r="H30" i="4"/>
  <c r="H31" i="4"/>
  <c r="H32" i="4"/>
  <c r="H33" i="4"/>
  <c r="H34" i="4"/>
  <c r="H35" i="4"/>
  <c r="E93" i="1"/>
  <c r="G93" i="1" s="1"/>
  <c r="I93" i="1" s="1"/>
  <c r="E103" i="1"/>
  <c r="G103" i="1" s="1"/>
  <c r="I103" i="1" s="1"/>
  <c r="M103" i="1" s="1"/>
  <c r="E97" i="1"/>
  <c r="E92" i="1"/>
  <c r="G92" i="1" s="1"/>
  <c r="I92" i="1" s="1"/>
  <c r="M92" i="1" s="1"/>
  <c r="E90" i="1"/>
  <c r="E89" i="1"/>
  <c r="G89" i="1" s="1"/>
  <c r="I89" i="1" s="1"/>
  <c r="E88" i="1"/>
  <c r="G88" i="1" s="1"/>
  <c r="I88" i="1" s="1"/>
  <c r="G87" i="1"/>
  <c r="I87" i="1" s="1"/>
  <c r="I84" i="1"/>
  <c r="E11" i="1"/>
  <c r="E8" i="1"/>
  <c r="F8" i="1" s="1"/>
  <c r="H10" i="4"/>
  <c r="H11" i="4"/>
  <c r="H12" i="4"/>
  <c r="H13" i="4"/>
  <c r="H14" i="4"/>
  <c r="I111" i="1" l="1"/>
  <c r="G142" i="1"/>
  <c r="I37" i="1"/>
  <c r="F68" i="1"/>
  <c r="K84" i="1"/>
  <c r="M84" i="1"/>
  <c r="K87" i="1"/>
  <c r="M87" i="1"/>
  <c r="O87" i="1" s="1"/>
  <c r="K88" i="1"/>
  <c r="M88" i="1"/>
  <c r="O88" i="1" s="1"/>
  <c r="K89" i="1"/>
  <c r="M89" i="1"/>
  <c r="O89" i="1" s="1"/>
  <c r="K93" i="1"/>
  <c r="M93" i="1"/>
  <c r="O93" i="1" s="1"/>
  <c r="K94" i="1"/>
  <c r="M94" i="1"/>
  <c r="O94" i="1" s="1"/>
  <c r="K99" i="1"/>
  <c r="M99" i="1"/>
  <c r="O99" i="1" s="1"/>
  <c r="K100" i="1"/>
  <c r="M100" i="1"/>
  <c r="K101" i="1"/>
  <c r="M101" i="1"/>
  <c r="O101" i="1" s="1"/>
  <c r="K108" i="1"/>
  <c r="M108" i="1"/>
  <c r="O108" i="1" s="1"/>
  <c r="K113" i="1"/>
  <c r="M113" i="1"/>
  <c r="O113" i="1" s="1"/>
  <c r="K112" i="1"/>
  <c r="M112" i="1"/>
  <c r="O112" i="1" s="1"/>
  <c r="K110" i="1"/>
  <c r="M110" i="1"/>
  <c r="O110" i="1" s="1"/>
  <c r="K109" i="1"/>
  <c r="M109" i="1"/>
  <c r="O109" i="1" s="1"/>
  <c r="K117" i="1"/>
  <c r="M117" i="1"/>
  <c r="O117" i="1" s="1"/>
  <c r="K118" i="1"/>
  <c r="M118" i="1"/>
  <c r="K119" i="1"/>
  <c r="M119" i="1"/>
  <c r="O119" i="1" s="1"/>
  <c r="K10" i="1"/>
  <c r="M10" i="1"/>
  <c r="I14" i="1"/>
  <c r="K15" i="1"/>
  <c r="M15" i="1"/>
  <c r="O15" i="1" s="1"/>
  <c r="K16" i="1"/>
  <c r="M16" i="1"/>
  <c r="O16" i="1" s="1"/>
  <c r="K17" i="1"/>
  <c r="M17" i="1"/>
  <c r="O17" i="1" s="1"/>
  <c r="K18" i="1"/>
  <c r="M18" i="1"/>
  <c r="O18" i="1" s="1"/>
  <c r="K19" i="1"/>
  <c r="M19" i="1"/>
  <c r="O19" i="1" s="1"/>
  <c r="K20" i="1"/>
  <c r="M20" i="1"/>
  <c r="O20" i="1" s="1"/>
  <c r="K21" i="1"/>
  <c r="M21" i="1"/>
  <c r="O21" i="1" s="1"/>
  <c r="K22" i="1"/>
  <c r="M22" i="1"/>
  <c r="O22" i="1" s="1"/>
  <c r="K23" i="1"/>
  <c r="M23" i="1"/>
  <c r="O23" i="1" s="1"/>
  <c r="K29" i="1"/>
  <c r="M29" i="1"/>
  <c r="K31" i="1"/>
  <c r="M31" i="1"/>
  <c r="O31" i="1" s="1"/>
  <c r="K33" i="1"/>
  <c r="M33" i="1"/>
  <c r="O33" i="1" s="1"/>
  <c r="K34" i="1"/>
  <c r="M34" i="1"/>
  <c r="O34" i="1" s="1"/>
  <c r="K35" i="1"/>
  <c r="M35" i="1"/>
  <c r="O35" i="1" s="1"/>
  <c r="K36" i="1"/>
  <c r="M36" i="1"/>
  <c r="O36" i="1" s="1"/>
  <c r="K37" i="1"/>
  <c r="M37" i="1"/>
  <c r="O37" i="1" s="1"/>
  <c r="K38" i="1"/>
  <c r="M38" i="1"/>
  <c r="O38" i="1" s="1"/>
  <c r="K39" i="1"/>
  <c r="M39" i="1"/>
  <c r="O39" i="1" s="1"/>
  <c r="K47" i="1"/>
  <c r="M47" i="1"/>
  <c r="O47" i="1" s="1"/>
  <c r="K55" i="1"/>
  <c r="M55" i="1"/>
  <c r="O55" i="1" s="1"/>
  <c r="K54" i="1"/>
  <c r="M54" i="1"/>
  <c r="O54" i="1" s="1"/>
  <c r="M51" i="1"/>
  <c r="O51" i="1" s="1"/>
  <c r="K50" i="1"/>
  <c r="M50" i="1"/>
  <c r="O50" i="1" s="1"/>
  <c r="K48" i="1"/>
  <c r="M48" i="1"/>
  <c r="O48" i="1" s="1"/>
  <c r="K11" i="1"/>
  <c r="M11" i="1"/>
  <c r="O11" i="1" s="1"/>
  <c r="K91" i="1"/>
  <c r="M91" i="1"/>
  <c r="O91" i="1" s="1"/>
  <c r="K56" i="1"/>
  <c r="M56" i="1"/>
  <c r="O56" i="1" s="1"/>
  <c r="O96" i="1"/>
  <c r="K96" i="1"/>
  <c r="O98" i="1"/>
  <c r="K98" i="1"/>
  <c r="M139" i="1"/>
  <c r="O139" i="1" s="1"/>
  <c r="K139" i="1"/>
  <c r="G106" i="1"/>
  <c r="I106" i="1" s="1"/>
  <c r="M106" i="1" s="1"/>
  <c r="O106" i="1" s="1"/>
  <c r="G114" i="1"/>
  <c r="I114" i="1" s="1"/>
  <c r="G97" i="1"/>
  <c r="I97" i="1" s="1"/>
  <c r="M97" i="1" s="1"/>
  <c r="I85" i="1"/>
  <c r="G90" i="1"/>
  <c r="K44" i="1"/>
  <c r="K41" i="1"/>
  <c r="I13" i="1"/>
  <c r="F13" i="1"/>
  <c r="O84" i="1"/>
  <c r="O118" i="1"/>
  <c r="O29" i="1"/>
  <c r="O25" i="1"/>
  <c r="M131" i="1"/>
  <c r="O131" i="1" s="1"/>
  <c r="M133" i="1"/>
  <c r="O133" i="1" s="1"/>
  <c r="O42" i="1"/>
  <c r="O95" i="1"/>
  <c r="K95" i="1"/>
  <c r="K106" i="1"/>
  <c r="O116" i="1"/>
  <c r="K116" i="1"/>
  <c r="M127" i="1"/>
  <c r="O127" i="1" s="1"/>
  <c r="O105" i="1"/>
  <c r="K105" i="1"/>
  <c r="O92" i="1"/>
  <c r="K92" i="1"/>
  <c r="K130" i="1"/>
  <c r="K66" i="1"/>
  <c r="O103" i="1"/>
  <c r="K103" i="1"/>
  <c r="K111" i="1"/>
  <c r="O43" i="1"/>
  <c r="O26" i="1"/>
  <c r="M132" i="1"/>
  <c r="O132" i="1" s="1"/>
  <c r="C10" i="7"/>
  <c r="C13" i="7" s="1"/>
  <c r="F65" i="1"/>
  <c r="I65" i="1"/>
  <c r="F50" i="1"/>
  <c r="F55" i="1"/>
  <c r="F54" i="1"/>
  <c r="F48" i="1"/>
  <c r="F29" i="1"/>
  <c r="F47" i="1"/>
  <c r="F34" i="1"/>
  <c r="F38" i="1"/>
  <c r="F35" i="1"/>
  <c r="F44" i="1"/>
  <c r="F22" i="1"/>
  <c r="F31" i="1"/>
  <c r="F36" i="1"/>
  <c r="F43" i="1"/>
  <c r="F37" i="1"/>
  <c r="F26" i="1"/>
  <c r="F25" i="1"/>
  <c r="F20" i="1"/>
  <c r="F23" i="1"/>
  <c r="F17" i="1"/>
  <c r="F14" i="1"/>
  <c r="F11" i="1"/>
  <c r="F21" i="1"/>
  <c r="F18" i="1"/>
  <c r="F16" i="1"/>
  <c r="F15" i="1"/>
  <c r="H28" i="4"/>
  <c r="M111" i="1" l="1"/>
  <c r="I68" i="1"/>
  <c r="I78" i="1" s="1"/>
  <c r="O10" i="1"/>
  <c r="K65" i="1"/>
  <c r="M65" i="1"/>
  <c r="O65" i="1" s="1"/>
  <c r="K85" i="1"/>
  <c r="M85" i="1"/>
  <c r="O85" i="1" s="1"/>
  <c r="K114" i="1"/>
  <c r="M114" i="1"/>
  <c r="O114" i="1" s="1"/>
  <c r="K14" i="1"/>
  <c r="M14" i="1"/>
  <c r="O14" i="1" s="1"/>
  <c r="K13" i="1"/>
  <c r="K68" i="1" s="1"/>
  <c r="K78" i="1" s="1"/>
  <c r="M13" i="1"/>
  <c r="M68" i="1" s="1"/>
  <c r="M78" i="1" s="1"/>
  <c r="O97" i="1"/>
  <c r="K97" i="1"/>
  <c r="O100" i="1"/>
  <c r="O41" i="1"/>
  <c r="O44" i="1"/>
  <c r="I90" i="1"/>
  <c r="M90" i="1" s="1"/>
  <c r="D5" i="7"/>
  <c r="E5" i="7"/>
  <c r="I82" i="1"/>
  <c r="K126" i="1"/>
  <c r="H68" i="1" l="1"/>
  <c r="F5" i="7" s="1"/>
  <c r="O111" i="1"/>
  <c r="O68" i="1"/>
  <c r="O78" i="1" s="1"/>
  <c r="G144" i="1"/>
  <c r="F144" i="1" s="1"/>
  <c r="O13" i="1"/>
  <c r="K82" i="1"/>
  <c r="M82" i="1"/>
  <c r="F6" i="9"/>
  <c r="G6" i="9" s="1"/>
  <c r="G10" i="9" s="1"/>
  <c r="O90" i="1"/>
  <c r="K90" i="1"/>
  <c r="M126" i="1"/>
  <c r="H7" i="4"/>
  <c r="H6" i="4"/>
  <c r="H5" i="4"/>
  <c r="E8" i="8" l="1"/>
  <c r="E11" i="8" s="1"/>
  <c r="J68" i="1"/>
  <c r="H78" i="1"/>
  <c r="O126" i="1"/>
  <c r="J78" i="1"/>
  <c r="O82" i="1"/>
  <c r="G5" i="7" l="1"/>
  <c r="I5" i="7" s="1"/>
  <c r="E10" i="7" l="1"/>
  <c r="D10" i="7" l="1"/>
  <c r="G10" i="7"/>
  <c r="I10" i="7" s="1"/>
  <c r="K136" i="1" l="1"/>
  <c r="O136" i="1"/>
  <c r="E6" i="7"/>
  <c r="E7" i="7" s="1"/>
  <c r="E5" i="3"/>
  <c r="E8" i="3" s="1"/>
  <c r="D8" i="3" s="1"/>
  <c r="D7" i="7" l="1"/>
  <c r="E13" i="7"/>
  <c r="D13" i="7" s="1"/>
  <c r="M5" i="3"/>
  <c r="M144" i="1"/>
  <c r="D6" i="7"/>
  <c r="O144" i="1" l="1"/>
  <c r="K122" i="1"/>
  <c r="K123" i="1"/>
  <c r="I144" i="1" l="1"/>
  <c r="F8" i="9" l="1"/>
  <c r="G8" i="9" s="1"/>
  <c r="G9" i="9" s="1"/>
  <c r="G11" i="9" s="1"/>
  <c r="I5" i="3"/>
  <c r="K144" i="1"/>
  <c r="J144" i="1" s="1"/>
  <c r="F6" i="7"/>
  <c r="G6" i="7"/>
  <c r="I6" i="7" s="1"/>
  <c r="I7" i="7" s="1"/>
  <c r="G5" i="3"/>
  <c r="I13" i="7" l="1"/>
  <c r="F8" i="3"/>
  <c r="H5" i="3"/>
  <c r="I8" i="3"/>
  <c r="F5" i="3"/>
  <c r="H144" i="1"/>
  <c r="G7" i="7"/>
  <c r="H7" i="7" s="1"/>
  <c r="H8" i="3" l="1"/>
  <c r="G13" i="7"/>
  <c r="H13" i="7" s="1"/>
  <c r="F7" i="7"/>
  <c r="F1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tc={BD0E4617-5783-48A8-906A-A4AFF01764DA}</author>
    <author>tc={5424E737-D042-464D-9D4D-91E3AAFD72E4}</author>
  </authors>
  <commentList>
    <comment ref="F4" authorId="0" shapeId="0" xr:uid="{BD0E4617-5783-48A8-906A-A4AFF01764DA}">
      <text>
        <t>[Threaded comment]
Your version of Excel allows you to read this threaded comment; however, any edits to it will get removed if the file is opened in a newer version of Excel. Learn more: https://go.microsoft.com/fwlink/?linkid=870924
Comment:
    F=G/E for State Agency Reporting</t>
      </text>
    </comment>
    <comment ref="G4" authorId="1" shapeId="0" xr:uid="{5424E737-D042-464D-9D4D-91E3AAFD72E4}">
      <text>
        <t>[Threaded comment]
Your version of Excel allows you to read this threaded comment; however, any edits to it will get removed if the file is opened in a newer version of Excel. Learn more: https://go.microsoft.com/fwlink/?linkid=870924
Comment:
    G= E x F for Individuals/Household Reporting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ICF</author>
  </authors>
  <commentList>
    <comment ref="C8" authorId="0" shapeId="0" xr:uid="{00000000-0006-0000-0300-000001000000}">
      <text>
        <r>
          <rPr>
            <sz val="9"/>
            <color indexed="81"/>
            <rFont val="Tahoma"/>
            <family val="2"/>
          </rPr>
          <t xml:space="preserve">This estimate is the total number of respondents. If there are respondents that conduct both reporting and recordkeeping activities, the respondent should be counted once.
</t>
        </r>
      </text>
    </comment>
  </commentList>
</comments>
</file>

<file path=xl/sharedStrings.xml><?xml version="1.0" encoding="utf-8"?>
<sst xmlns="http://schemas.openxmlformats.org/spreadsheetml/2006/main" count="843" uniqueCount="409">
  <si>
    <t>Requirement in Currently Approved ICR</t>
  </si>
  <si>
    <t>FNS SNAP Forms ICR Reporting Burden Estimate (OMB Control No. 0584-0064)</t>
  </si>
  <si>
    <t>Regulatory Section</t>
  </si>
  <si>
    <t>Burden Activity</t>
  </si>
  <si>
    <t>Number of Respondents</t>
  </si>
  <si>
    <t>Responses per Respondent</t>
  </si>
  <si>
    <t>Total Annual Responses</t>
  </si>
  <si>
    <t>Estimated Average Hours per Response</t>
  </si>
  <si>
    <t>Estimated Total Hours</t>
  </si>
  <si>
    <t>Hourly Cost to Respondent</t>
  </si>
  <si>
    <t>Cost to Respondents</t>
  </si>
  <si>
    <t>Previously Approved Burden Hours</t>
  </si>
  <si>
    <t>Change in Burden Hours due to an Adjustment</t>
  </si>
  <si>
    <t>Change in Burden Hours due to Program Change</t>
  </si>
  <si>
    <t>Total Burden Hour Difference</t>
  </si>
  <si>
    <t>Legend</t>
  </si>
  <si>
    <t>Newly added rows (program changes)</t>
  </si>
  <si>
    <t xml:space="preserve">Rows with both adjustments and program changes </t>
  </si>
  <si>
    <t>C</t>
  </si>
  <si>
    <t>D</t>
  </si>
  <si>
    <t>E</t>
  </si>
  <si>
    <t>F</t>
  </si>
  <si>
    <t>G</t>
  </si>
  <si>
    <t>H</t>
  </si>
  <si>
    <t>I = G x H</t>
  </si>
  <si>
    <t>J</t>
  </si>
  <si>
    <t>K = I x J</t>
  </si>
  <si>
    <t>L</t>
  </si>
  <si>
    <t>M</t>
  </si>
  <si>
    <t>N</t>
  </si>
  <si>
    <t>O = M + N</t>
  </si>
  <si>
    <t>Affected Public:  State, Local, or Tribal Governments</t>
  </si>
  <si>
    <t>Application</t>
  </si>
  <si>
    <t>Yes</t>
  </si>
  <si>
    <t>New application</t>
  </si>
  <si>
    <t>Interview</t>
  </si>
  <si>
    <t>273.2(e)(1)</t>
  </si>
  <si>
    <t>Interview: Initial Interview (Telephone)</t>
  </si>
  <si>
    <t>Interview: Initial Interview (In Person)</t>
  </si>
  <si>
    <t>Verification</t>
  </si>
  <si>
    <t>273.2(f)(1) &amp; (2)</t>
  </si>
  <si>
    <t>Verification: Income</t>
  </si>
  <si>
    <t>Verification: Identity</t>
  </si>
  <si>
    <t>Verification: Alien Eligibility</t>
  </si>
  <si>
    <t>Verification: Social Security Number</t>
  </si>
  <si>
    <t>Verification: Medical expenses (if claimed and to receive income deduction)</t>
  </si>
  <si>
    <t>Verification: Residency</t>
  </si>
  <si>
    <t>Verification: Utility expenses (if the State agency does not utilize a standard utility allowance and the applicant wishes to claim expenses or the State chooses to optionally verify)</t>
  </si>
  <si>
    <t>Verification: Hours worked (Able-bodied Adults w/out Dependents)</t>
  </si>
  <si>
    <t>Verification: Legal obligation to pay child support and actual child support payments</t>
  </si>
  <si>
    <t>Verification: Disability</t>
  </si>
  <si>
    <t>Verification: Household composition</t>
  </si>
  <si>
    <t>Verification: Questionable Information</t>
  </si>
  <si>
    <t>Verification: Newly certified households w/ dependent care</t>
  </si>
  <si>
    <t>Verification: Existing households w/ dependent care</t>
  </si>
  <si>
    <t>273.5(b)(5)</t>
  </si>
  <si>
    <t>Verification: Student Work Hours</t>
  </si>
  <si>
    <t>Recertification Application</t>
  </si>
  <si>
    <t>273.14(b)</t>
  </si>
  <si>
    <t>Recertification application</t>
  </si>
  <si>
    <t>Recertification Interview</t>
  </si>
  <si>
    <t>273.14(b)(3)</t>
  </si>
  <si>
    <t>Interview: Recertification</t>
  </si>
  <si>
    <t>Recertification Verification</t>
  </si>
  <si>
    <t>273.2(f)(8)(i)</t>
  </si>
  <si>
    <t>Recertification Verification: Income (if source changed or amount changed by more than $50)</t>
  </si>
  <si>
    <t>Recertification Verification: Social Security Number (if Social Security number is new)</t>
  </si>
  <si>
    <t>Recertification Verification: Medical expenses (unreported and reoccurring expenses that have  changed by more than $25)</t>
  </si>
  <si>
    <t>Recertification Verification: Legal obligation to pay child support (if there were changes in obligation to pay)</t>
  </si>
  <si>
    <t>Recertification Verification: Utility expenses (if has changed by more than $25)</t>
  </si>
  <si>
    <t>Recertification Verification: Hours worked (Able-bodied Adults w/out Dependents)</t>
  </si>
  <si>
    <t>Recertification Verification: Other information which has changed may be verified</t>
  </si>
  <si>
    <t>Reports</t>
  </si>
  <si>
    <t>Monthly Reports</t>
  </si>
  <si>
    <t>273.12(a)(4)</t>
  </si>
  <si>
    <t>Quarterly Reports</t>
  </si>
  <si>
    <t xml:space="preserve">273.12(a)(5) </t>
  </si>
  <si>
    <t>Simplified or Periodic Reports</t>
  </si>
  <si>
    <t>273.12(a)(1)</t>
  </si>
  <si>
    <t>Change Reports</t>
  </si>
  <si>
    <t>273.24(b)(7)</t>
  </si>
  <si>
    <t>Report of ABAWDs Change in Work Hours Below 20 Hours per Week</t>
  </si>
  <si>
    <t>Notices</t>
  </si>
  <si>
    <t>273.10(g)(1)(i) &amp; (ii) &amp; (iii)</t>
  </si>
  <si>
    <t>Notice of Eligibility, Denial, or Pending Status</t>
  </si>
  <si>
    <t>273.12(a)(4)(iii) &amp; 273.12(a)(5)(iii)(D)</t>
  </si>
  <si>
    <t>Notice of Missing or Incomplete Report</t>
  </si>
  <si>
    <t>273.12(c)(4)(i)</t>
  </si>
  <si>
    <t>Failure to Report Shelter Cost Change due to move notices</t>
  </si>
  <si>
    <t>273.2(h)(1)(i)(D) &amp; 273.14(b)(3)(iii)</t>
  </si>
  <si>
    <t>Notice of Missed Interviews</t>
  </si>
  <si>
    <t>273.14(b)(1)</t>
  </si>
  <si>
    <t>Notice of Expiration</t>
  </si>
  <si>
    <t>No</t>
  </si>
  <si>
    <t>273.14(b)(5)</t>
  </si>
  <si>
    <t xml:space="preserve">Provide list of available Employment and Training (E&amp;T) servies </t>
  </si>
  <si>
    <t>273.13(a)</t>
  </si>
  <si>
    <t xml:space="preserve">Notice of Adverse Action </t>
  </si>
  <si>
    <t xml:space="preserve">273.12(a)(4)(v) &amp; 273.13(b) </t>
  </si>
  <si>
    <t>Adequate Notice</t>
  </si>
  <si>
    <t xml:space="preserve">273.12(c)(3)(i) </t>
  </si>
  <si>
    <t>Request for Contact</t>
  </si>
  <si>
    <t>273.11(o)(2)</t>
  </si>
  <si>
    <t>Notice of option to disqualify custodial parent for failure to cooperate</t>
  </si>
  <si>
    <t xml:space="preserve">273.12(c)(3)(iii) </t>
  </si>
  <si>
    <t>Notice of Match Results</t>
  </si>
  <si>
    <t>273.7(c)(1)</t>
  </si>
  <si>
    <t>Notice of Subject to Work Requirements</t>
  </si>
  <si>
    <t>273.7(c)(1)(ii) &amp; (iii) and 273.24(b)(8)</t>
  </si>
  <si>
    <t xml:space="preserve">Inform ABAWDs of the ABAWD work requirement </t>
  </si>
  <si>
    <t>273.7(c)(2)</t>
  </si>
  <si>
    <t>Referral to E&amp;T and Notice of Requirements</t>
  </si>
  <si>
    <t>273.7(c)(18)(i)</t>
  </si>
  <si>
    <t>Inform E&amp;T Participants of Provider Determination</t>
  </si>
  <si>
    <t>273.2(c)(5)</t>
  </si>
  <si>
    <t>Notice of Required Verification</t>
  </si>
  <si>
    <t>Other</t>
  </si>
  <si>
    <t xml:space="preserve">273.14(b)(5) </t>
  </si>
  <si>
    <t>Review and modify list of available Employment and Training (E&amp;T) Services</t>
  </si>
  <si>
    <t>273.11(n)(3) &amp; (4)</t>
  </si>
  <si>
    <t>Fleeing felon and probation or parole violators determination</t>
  </si>
  <si>
    <t>273.12(e)(3)</t>
  </si>
  <si>
    <t>Mass change in Federal benefits procedures</t>
  </si>
  <si>
    <t>273.12(b)(4)</t>
  </si>
  <si>
    <t>Providing households with a Change Report Form</t>
  </si>
  <si>
    <t>State Agency Reporting Subtotal</t>
  </si>
  <si>
    <t>State Agency Public Disclosure/Third Party Notification</t>
  </si>
  <si>
    <t>272.1(c)(1)</t>
  </si>
  <si>
    <t>State Agency disclosures to third-parties</t>
  </si>
  <si>
    <t>State Agency Disclosures to Third-Parties Subtotal</t>
  </si>
  <si>
    <t>Local Agency Recordkeeping</t>
  </si>
  <si>
    <t>272.1(f)</t>
  </si>
  <si>
    <t>Case Files</t>
  </si>
  <si>
    <t>272.4(e)</t>
  </si>
  <si>
    <t>Monitoring Duplicate Participation</t>
  </si>
  <si>
    <t>Local Agency Recordkeeping Subtotal</t>
  </si>
  <si>
    <t>State, Local, and Tribal Government Reporting, Third-Party Disclosure, and  Recordkeeping Subotal</t>
  </si>
  <si>
    <t>Affected Public:  Individuals/Household</t>
  </si>
  <si>
    <t>Individuals/Household Reporting</t>
  </si>
  <si>
    <t>Initial interview</t>
  </si>
  <si>
    <t>Initial interview travel</t>
  </si>
  <si>
    <t>Verification: Utility expenses (if the State agency does not utilize a standard utility allowance and the applicant wishes to claim expenses)</t>
  </si>
  <si>
    <r>
      <rPr>
        <sz val="11"/>
        <rFont val="Calibri"/>
        <family val="2"/>
        <scheme val="minor"/>
      </rPr>
      <t>Verification:</t>
    </r>
    <r>
      <rPr>
        <sz val="11"/>
        <color theme="1"/>
        <rFont val="Calibri"/>
        <family val="2"/>
        <scheme val="minor"/>
      </rPr>
      <t xml:space="preserve"> Hours worked (Able-bodied Adults w/out Dependents)</t>
    </r>
  </si>
  <si>
    <t xml:space="preserve">Verification: Student Work Hours </t>
  </si>
  <si>
    <t>273.9(d)(4) and 273.10(e)(1)(i)(E)</t>
  </si>
  <si>
    <r>
      <rPr>
        <sz val="11"/>
        <rFont val="Calibri"/>
        <family val="2"/>
        <scheme val="minor"/>
      </rPr>
      <t xml:space="preserve">Verification: </t>
    </r>
    <r>
      <rPr>
        <sz val="11"/>
        <color theme="1"/>
        <rFont val="Calibri"/>
        <family val="2"/>
        <scheme val="minor"/>
      </rPr>
      <t>Newly certified households w/ dependent care</t>
    </r>
  </si>
  <si>
    <r>
      <rPr>
        <sz val="11"/>
        <rFont val="Calibri"/>
        <family val="2"/>
        <scheme val="minor"/>
      </rPr>
      <t>Verification:</t>
    </r>
    <r>
      <rPr>
        <sz val="11"/>
        <color theme="1"/>
        <rFont val="Calibri"/>
        <family val="2"/>
        <scheme val="minor"/>
      </rPr>
      <t xml:space="preserve"> Existing households w/ dependent care</t>
    </r>
  </si>
  <si>
    <t>Recertification interview</t>
  </si>
  <si>
    <t>Recertification travel time</t>
  </si>
  <si>
    <t>Recertification Verification: Legal obligation to pay child support (if there were  changes in obligation to pay)</t>
  </si>
  <si>
    <t>Monthly Report</t>
  </si>
  <si>
    <t>Quarterly Report</t>
  </si>
  <si>
    <t>Simplified or Periodic Report</t>
  </si>
  <si>
    <t>Change Report</t>
  </si>
  <si>
    <t>Review Information on Provider Determination</t>
  </si>
  <si>
    <t>273.7(c)(1)(iii) &amp; 273.24(b)(8)</t>
  </si>
  <si>
    <t>Read ABAWD written statement of work requirements</t>
  </si>
  <si>
    <t>Read list of available Employment and Training (E&amp;T) Services</t>
  </si>
  <si>
    <t>Notice of Adverse Action</t>
  </si>
  <si>
    <t>b)(5)</t>
  </si>
  <si>
    <t>Review Change Report Form</t>
  </si>
  <si>
    <t>Individuals/Household Reporting Subotal</t>
  </si>
  <si>
    <t>TOTAL REPORTING, RECORDKEEPING, AND THIRD-PARTY DISCLOSURE  BURDEN</t>
  </si>
  <si>
    <t>Included in Currently Approved ICR</t>
  </si>
  <si>
    <t>FNS SNAP Forms ICR Assumptions (OMB Control No. 0584-0064)</t>
  </si>
  <si>
    <t>Not in Currently Approved ICR</t>
  </si>
  <si>
    <t>Item</t>
  </si>
  <si>
    <t>Regulatory Citation</t>
  </si>
  <si>
    <t>Estimate in Currently Approved ICR</t>
  </si>
  <si>
    <t>Updated Estimate</t>
  </si>
  <si>
    <t>Difference in Estimate</t>
  </si>
  <si>
    <t>Notes</t>
  </si>
  <si>
    <t>Data Entry</t>
  </si>
  <si>
    <t>Number</t>
  </si>
  <si>
    <t>Data Source</t>
  </si>
  <si>
    <t>Calculation; Do Not Enter Data</t>
  </si>
  <si>
    <t>Number of State agencies</t>
  </si>
  <si>
    <t>Multiple</t>
  </si>
  <si>
    <t>Number of States and territories authorized to implement SNAP per the Food and Nutrition Act of 2008</t>
  </si>
  <si>
    <t>Number of States using telephone interviews</t>
  </si>
  <si>
    <t>State Plans of Operation</t>
  </si>
  <si>
    <t xml:space="preserve">This increase is representative of the fact that all State agencies have adopted BOTH telephone and in-person interviews, rather than some State agencies using in-person and others using telephone. </t>
  </si>
  <si>
    <t>Number of States using in-person interviews</t>
  </si>
  <si>
    <t>Number of telephone initial interviews</t>
  </si>
  <si>
    <t>Calculation. Estimated from previous ICR using updated caseload data from the Food Program and Reporting System. Calculation uses ratio.</t>
  </si>
  <si>
    <t>Represents 75% of total initial applications</t>
  </si>
  <si>
    <t>Number of in-person initial interviews</t>
  </si>
  <si>
    <t xml:space="preserve">Represents 25% of total initial applications </t>
  </si>
  <si>
    <t>Number of States using monthly reports</t>
  </si>
  <si>
    <t>FNS SNAP State Options Report, 15th Edition (2023), page 10</t>
  </si>
  <si>
    <t>Updated to reflect the correct number in the Options Report</t>
  </si>
  <si>
    <t>Number of States using quarterly reports</t>
  </si>
  <si>
    <t xml:space="preserve">Using one to reflect FY 2019 SNAP QC data and the potential that States may use quarterly reporting for ABAWD households in particular; however, no States currently use quarterly reporting. </t>
  </si>
  <si>
    <t>Number of States using simplified or periodic reports</t>
  </si>
  <si>
    <t>Included TX in this estimate although they are listed as "under review"</t>
  </si>
  <si>
    <t>Number of States using change reports</t>
  </si>
  <si>
    <t>Number of initial applications</t>
  </si>
  <si>
    <t>NDB-FY 22, 366B</t>
  </si>
  <si>
    <t>Number of recertification applications</t>
  </si>
  <si>
    <t xml:space="preserve">Calculation. Ratio of FY19 recerts to FY19 initial applications, applied to the NDB-FY 22 number of applications. </t>
  </si>
  <si>
    <t xml:space="preserve">The NDB-FY 22, 366B number of recerts showed a decrease in recertifications between FY19 and FY22 even though applications went up. Normally, we would expect applications and recertifications to align in whether they increase or decrease. The reason recerts decreased in particular is because of COVID-19 adjustments that allowed States to extend certification periods and therefore reduced the number of recertifications. To better estimate the number of recertifications in the future, without those adjustments in place, we updated using a ratio. Suggest using unadjusted NDB data in future iterations of this burden when available and returning this cell to blue. </t>
  </si>
  <si>
    <t>Number of medical expense verifications</t>
  </si>
  <si>
    <t>Characteristics of Supplemental Nutrition Assistance Program Households: Fiscal Year 2020, Prepandemic Period; Table A.9.a., Total number of medical expense; percentage applied to NDB-FY22 number of households</t>
  </si>
  <si>
    <t>Number of utility expense verifications</t>
  </si>
  <si>
    <t>Characteristics of Supplemental Nutrition Assistance Program Households: Fiscal Year 2020, Prepandemic Period; Table A.9.a., Total number of excess shelter expense; percentage applied to NDB-FY22 number of households</t>
  </si>
  <si>
    <t>Number of ABAWD verifications</t>
  </si>
  <si>
    <t>Characteristics of Supplemental Nutrition Assistance Program Households: Fiscal Year 2020, pre-pandemic period; Table A.23.a.; Total number of participants, adults age 18–49 without disabilities in childless households; percentage applied to NDB-FY22 number of participants</t>
  </si>
  <si>
    <t>Number of child support verifications</t>
  </si>
  <si>
    <t>Characteristics of Supplemental Nutrition Assistance Program Households: Fiscal Year 2020 pre-pandemic period; Table A.9.a., Total number of child support payment; percentage applied to NDB-FY22 number of households</t>
  </si>
  <si>
    <t>Number of disabled verifications</t>
  </si>
  <si>
    <t>Characteristics of Supplemental Nutrition Assistance Program Households: Fiscal Year 2020 pre-pandemic period; Table B.5.a.; Number of non-elderly individuals with disabilities; percentage applied to NDB-FY 22 number of households</t>
  </si>
  <si>
    <t>Number of SNAP participants</t>
  </si>
  <si>
    <t>Not Applicable</t>
  </si>
  <si>
    <t>N/A</t>
  </si>
  <si>
    <t>NDB-FY 22, Montly Participation Households, Benefits table posted on the public website: https://www.fns.usda.gov/pd/supplemental-nutrition-assistance-program-snap</t>
  </si>
  <si>
    <t xml:space="preserve">This number is only used for adjusting Characteristics Report numbers to the most recent FY. </t>
  </si>
  <si>
    <t>Number of households</t>
  </si>
  <si>
    <t xml:space="preserve">Number included for calculations and for number of household respondents. In previous iterations of this burden table, we used the total number of households in the characteristics report. However, given the lag in the characteristics report at the time of this renewal and in response to public comments, we used more recent NDB data posted publicly on the website. </t>
  </si>
  <si>
    <t>Number of households with questionable information verifications</t>
  </si>
  <si>
    <t xml:space="preserve">Verification of questionable/unclear information following a positive NAC match </t>
  </si>
  <si>
    <t>272.18(c)(3), 273.2(f)(1)(2), 272.18(c)(5),273.12(c)(3)(iv)</t>
  </si>
  <si>
    <t>Updates from Interim Final Rule: SNAP: Requirement for Interstate Data Matching to Prevent Duplicate Issuances (87 FR 59633), estimates provided by the State Administration Branch</t>
  </si>
  <si>
    <t xml:space="preserve">In the next iteration of this burden table, this row's estimates should be combined with Row 22, "Number of households with questionable information verifications" and reestimated. </t>
  </si>
  <si>
    <t>Number of existing households w/ dependent care verifications</t>
  </si>
  <si>
    <t>Characteristics of Supplemental Nutrition Assistance Program Households: Fiscal Year 2020 pre-pandemic period; Table A.9.a, Total number of dependent care; percentage applied to NDB-FY 22 number of households</t>
  </si>
  <si>
    <t>Number of newly certified households w/ dependent care verifications</t>
  </si>
  <si>
    <t>Number of student work hour verifications</t>
  </si>
  <si>
    <t xml:space="preserve">A GAO Audit indicates 2,257,121 students received SNAP in 2016. The audit also indicates that, according to 2015-2016 National Postsecondary Student Aid Study (NPSAS) data, 60 percent of low-income students had a job while enrolled in college. GAO Audit: Food Insecurity--Better Information Could Help Eligible College Students Access Federal Food Assistance Benefits; Table 1 and Footnote 51. Available at https://www.gao.gov/assets/700/696254.pdf. Divided the number of students in 2016 according to the GAO report by the total number of households in 2016 using the FY16 Characteristics report (Table A.12), then multiplied this by the total number of households in 2022 (latest data) and multiplied this by 60% to represent the number of low-income students with a job per the GAO report. </t>
  </si>
  <si>
    <t>As of 3/2/2023, GAO is working on a new report on student hunger, so by the next iteration of this burden table, we expect updated estimates of both the number of students and the percentage of students working while enrolled so that we can go back to a simplier calculation like in the 2020 renewal. In the meantime, for this iteration, we applied a ratio of the number of students in 2016 to FY19 household data and used the same percentage of working students (60%) to estimate the number of student work hour verifications.</t>
  </si>
  <si>
    <t>Number of in-person recertification interviews</t>
  </si>
  <si>
    <t>Assumes 20% of recertification interviews will be in person and include travel time.</t>
  </si>
  <si>
    <t>Number of income verifications for recertifications</t>
  </si>
  <si>
    <t>Number of Social Security Number verifications for recertifications</t>
  </si>
  <si>
    <t>Number of medical expense verifications for recertifications</t>
  </si>
  <si>
    <t>Number of child support verifications for recertifications</t>
  </si>
  <si>
    <t>Calculation. Applies ratio of initial and recertification applications to child support expense universe.</t>
  </si>
  <si>
    <t>Number of utility expense verifications for recertifications</t>
  </si>
  <si>
    <t>Calculation. Applies ratio of initial and recertification applications to utility expense universe.</t>
  </si>
  <si>
    <t>Number of ABAWD verifications for recertifications</t>
  </si>
  <si>
    <t>Equal to the number of ABAWDs. ABAWDs avg 10 mos cert period, so this assumes 1 recert.</t>
  </si>
  <si>
    <t>Number of other information verifications for  recertifications</t>
  </si>
  <si>
    <t>Calculation. Subtracts ABAWD recertification from total number of recertifications.</t>
  </si>
  <si>
    <t>Number of monthly reporting households</t>
  </si>
  <si>
    <t>FY2019 SNAP Quality Control Data, 0.05% of total households doing monthly reporting</t>
  </si>
  <si>
    <t xml:space="preserve">N/A </t>
  </si>
  <si>
    <t>Number of quarterly reporting households</t>
  </si>
  <si>
    <t>FY2019 SNAP Quality Control Data, 0.03% of total households doing quarterly reporting</t>
  </si>
  <si>
    <t>Number of simplified or periodic reporting households</t>
  </si>
  <si>
    <t>FY2019 SNAP Quality Control Data, 79% of total households doing simplified reporting</t>
  </si>
  <si>
    <t>Number of simplified or periodic reporting households that submit a report</t>
  </si>
  <si>
    <t>Number of simplified reporting households multiplied by .75, assumes 75% of SR households will submit a periodic report</t>
  </si>
  <si>
    <t>Assumed 75% of SR households submit a report because many States use 6-month cert periods for SR households. In these cases, the households does not have to submit a PR.</t>
  </si>
  <si>
    <t>Number of change reporting households</t>
  </si>
  <si>
    <t>FY2019 SNAP Quality Control Data, 14.10% of total households doing change reporting</t>
  </si>
  <si>
    <t>Number of monthly reporting submissions</t>
  </si>
  <si>
    <t>Number of monthly reporting households multiplied by 11 months</t>
  </si>
  <si>
    <t>Note: New data source/calculation method.</t>
  </si>
  <si>
    <t>Number of quarterly reporting submissions</t>
  </si>
  <si>
    <t>Number of quarterly reporting households multiplied by 3 quarters</t>
  </si>
  <si>
    <t>Note: new data source/calculation method.</t>
  </si>
  <si>
    <t>Number of simplified or periodic reporting submissions</t>
  </si>
  <si>
    <t>Assumes 75% of simplified reporting households will submit one periodic report</t>
  </si>
  <si>
    <t xml:space="preserve">Note: new data source/calculation method. </t>
  </si>
  <si>
    <t>Number of change reporting submissions</t>
  </si>
  <si>
    <t>Number of change reporting households, assumes each change reporting household will submit three change reports</t>
  </si>
  <si>
    <t>Number of Eligibility, Denial, or Pending Status notices</t>
  </si>
  <si>
    <t>Calculation. Applies ratio based on total households of FY18 vs FY 22.</t>
  </si>
  <si>
    <t>The previous formula included a multiplier of 1.1. We removed this multiplier because we think using a ratio to FY18 is sufficient.</t>
  </si>
  <si>
    <t>Number of Missing or Incomplete Report notices</t>
  </si>
  <si>
    <t>Number of Missed Interview notices</t>
  </si>
  <si>
    <t>Calculation. Applies ratio based on total households of FY18 vs FY22.</t>
  </si>
  <si>
    <t xml:space="preserve">Number of Expiration notices </t>
  </si>
  <si>
    <t>Number of Adverse Action Notices (NOAAs)</t>
  </si>
  <si>
    <t xml:space="preserve">NAC - Combined Notice of Match Results and Notice of Adverse Action
</t>
  </si>
  <si>
    <t xml:space="preserve">272.18(c)(5), 273.12(c)(3)(iv)(A), 273.13(a)(2)
</t>
  </si>
  <si>
    <t xml:space="preserve">In the next iteration of this burden table, this row's estimates should be combined with Row 47, "Number of NOAAs" and reestimated. </t>
  </si>
  <si>
    <t>Number of Adequate notices</t>
  </si>
  <si>
    <t>Number of Request for Contact notices</t>
  </si>
  <si>
    <t>Calculation. 1/3 of NOAAs due to regulatory limitation.</t>
  </si>
  <si>
    <t>Number of Match Results Notices</t>
  </si>
  <si>
    <t>Calculation. Using Request for Contact as a proxy for this number.</t>
  </si>
  <si>
    <t xml:space="preserve">NAC - Notice of Match Results </t>
  </si>
  <si>
    <t>272.18(c)(3)(iii)</t>
  </si>
  <si>
    <t xml:space="preserve">In the next iteration of this burden table, this row's estimates should be combined with Row 51, "Number of Notice of Match Results" and reestimated. </t>
  </si>
  <si>
    <t>Number of Subject to Work Requirements Notices</t>
  </si>
  <si>
    <t>Characteristics of Supplemental Nutrition Assistance Program Households: Fiscal Year 2020 pre-pandemic period; Table A.25.a., Number of participants with work registrant status; percentage applied to NDB-FY 22 number of participants</t>
  </si>
  <si>
    <t>In the next iteration of this burden table, suggest combining "Number of ABAWD Work Requirements Notice" with the line items for number of "Referral to E&amp;T and Notice Requirements" and "Number of subject to work requirements notices" since the ETO final rule made this one consolidated work notice.</t>
  </si>
  <si>
    <t>Number of Referral to E&amp;T and Notice of Requirements</t>
  </si>
  <si>
    <t>Characteristics of Supplemental Nutrition Assistance Program Households: Fiscal Year 2020 pre-pandemic period; Table A.25.a., Mandatory employment and training program participant; percentage applied to NDB-FY 22 number of participants</t>
  </si>
  <si>
    <t>The increase in the number of referral to E&amp;T and Notice of Requirments derives from a more accurate data source shared by the OET office. In the next iteration of this burden table, suggest combining "Number of ABAWD Work Requirements Notice" with the line items for number of "Referral to E&amp;T and Notice Requirements" and "Number of subject to work requirements notices" since the ETO final rule made this one consolidated work notice.</t>
  </si>
  <si>
    <t>Number of State agencies developing lists of E&amp;T Services</t>
  </si>
  <si>
    <t>Employment and Training Opportunities (ETO) final rule collection (OMB Control #0584-0604) burden table shared by the Office of Employment and Training on 1/20/23.</t>
  </si>
  <si>
    <t>Number of E&amp;T Provider determination notices</t>
  </si>
  <si>
    <t>Number of State agencies developing ABAWD written statement of work requirements</t>
  </si>
  <si>
    <t>273.7(c)(1)(iii)</t>
  </si>
  <si>
    <t>Number of ABAWD Work Requirement notices</t>
  </si>
  <si>
    <t>Number of Required Verification Notices</t>
  </si>
  <si>
    <t>Calculation. Application + recertification.</t>
  </si>
  <si>
    <t>Number of Eligibility, Denial, or Pending Status notices read by households</t>
  </si>
  <si>
    <t>Calculation. Assumes 80% of missed interview notices are read.</t>
  </si>
  <si>
    <t>Number of Missing or Incomplete Report notices read by households</t>
  </si>
  <si>
    <t>Calculation. Assumes 80% of adverse action notices are read.</t>
  </si>
  <si>
    <t>Number of Missed Interview notices read by households</t>
  </si>
  <si>
    <t>Number of Expiration notices read by households</t>
  </si>
  <si>
    <t>Number of Adverse Action notices read by households</t>
  </si>
  <si>
    <t>Number of Adequate Notices read by households</t>
  </si>
  <si>
    <t>Calculation. Assumes 80% of adequate notices are read.</t>
  </si>
  <si>
    <t>Number of Request for Contact notices read by households</t>
  </si>
  <si>
    <t>Calculation. Assumes 80% of request for contact notices are read.</t>
  </si>
  <si>
    <t>Number of Match Results Notices read by households</t>
  </si>
  <si>
    <t>Calculation. Assumes 80% of notice of match results are read.</t>
  </si>
  <si>
    <t>Number of Subject to Work Requirements Notices read by households</t>
  </si>
  <si>
    <t>Calculation. Assumes 80% of subject to work requirements notices are read.</t>
  </si>
  <si>
    <t xml:space="preserve">In the next iteration of this burden table, suggest combining "Number of ABAWD Work Requirements Notice read by households" with the line items for number of "Number of Work Requirements Notices read by households" and "number of referral to E&amp;T notice of requirements read by households" since the ETO final rule made this one consolidated work notice. </t>
  </si>
  <si>
    <t>Number of Referral to E&amp;T and Notice of Requirements read by households</t>
  </si>
  <si>
    <t xml:space="preserve">Calculation. Assumes 80% of referrals to E&amp;T and notice of requirements are read. </t>
  </si>
  <si>
    <t>Number of Required Verification Notices read by households</t>
  </si>
  <si>
    <t>Calculation. Assumes 80% of required verification notices are read.</t>
  </si>
  <si>
    <t>Number of E&amp;T Provider determination Notices read by households</t>
  </si>
  <si>
    <t>Employment and Training Opportunities (ETO) final rule collection (OMB Control #0584-0604) burden table shared by the Office of Employment and Training on 1/20/23. Assumes 100% of notices are read.</t>
  </si>
  <si>
    <t>In the next iteration of this burden table, recommend applying the assumption that 80% of these notices are read by households to this notice.</t>
  </si>
  <si>
    <t>Number of ABAWD written statement of work requirements read by households</t>
  </si>
  <si>
    <t>Number of E&amp;T Services lists read by households</t>
  </si>
  <si>
    <t>Employment and Training Opportunities (ETO) final rule collection (OMB Control #0584-0604) burden table shared by the Office of Employment and Training on 1/20/23. Assumes 100% of notices are read. According to the OET rule, this is the number of households with no earned income and with no elderly or disabled members.</t>
  </si>
  <si>
    <t>In the next iteration of this burden table, recommend applying the assumption that 80% of these notices are read by households to this notice. Also suggest combining "Number of ABAWD Work Requirements Notice read by households" with the line items for number of "Number of Work Requirements Notices read by households" and "number of referral to E&amp;T notice of requirements read by households" since the ETO final rule made this one consolidated work notice.</t>
  </si>
  <si>
    <t>Previous ICR</t>
  </si>
  <si>
    <t>Number of local agencies</t>
  </si>
  <si>
    <t>272.1(f), 272.4(e)</t>
  </si>
  <si>
    <t>Number of case file records</t>
  </si>
  <si>
    <t>Caseload from FY 18, FY 19, and FY 20 characteristics reports. Characteristics of Supplemental Nutrition Assistance Program Households: Fiscal Year 2020 pre-pandemic period; Table A.29.a.</t>
  </si>
  <si>
    <t xml:space="preserve">Note: We use the three previous years of caseload data because States have to keep records for three years. </t>
  </si>
  <si>
    <t>Number of duplicate participation records</t>
  </si>
  <si>
    <t>Number of Option to Disqualify Custodial Parent for Failure to Cooperate notices</t>
  </si>
  <si>
    <t>Calculation. Assumes this notice would impact 1% of all initial applications and recertifications.</t>
  </si>
  <si>
    <t>Number of Failure to Report Shelter Cost Change due to move notices</t>
  </si>
  <si>
    <t xml:space="preserve">Calculation. Assumes this notice would impact 3.5% of all simplifed reporting households and 10% of total change reports.  </t>
  </si>
  <si>
    <t xml:space="preserve">In this iteration, we are calculating using a new methodology that separates this line item from recertifications since this policy affects households during their certification period, for all reporting types. The change in methodology resulted in an increase to the burden hours for this item. We are using 10% of change reports because there are ten different items change reporters have to report, and for the purposes of these estimates, we are assuming the breakdown of those items is evenly split amongst all change reports. </t>
  </si>
  <si>
    <t>Number of fleeing felon and probation or parole violators determinations</t>
  </si>
  <si>
    <t>Calculation. Assumes this notice would impact 2% of all initial applications and recertifications.</t>
  </si>
  <si>
    <t>Number of Change Report Forms a State must provide households</t>
  </si>
  <si>
    <t>Calculation. Estimated from number of initial applications and recertifications and number of change report forms.</t>
  </si>
  <si>
    <t>Number reporting changes in work hours below 20 a week (ABAWDs)</t>
  </si>
  <si>
    <t>Characteristics of Supplemental Nutrition Assistance Program Households: Fiscal Year 2020 pre-pandemic period; Table A.23.a.; Total number of participants, adults age 18–49 without disabilities in childless households; percentage applied to NDB-FY 22 number of participants, then multiplied by the percentage of ABAWDs who work, which can be found in Table A.26.a. of the same Characteristics Report (for FY20 pre-pandemic period, 25.4% of ABAWDs worked)</t>
  </si>
  <si>
    <t>FNS SNAP Forms ICR Labor Rates (OMB Control No. 0584-0064)</t>
  </si>
  <si>
    <t xml:space="preserve">Updated Estimate </t>
  </si>
  <si>
    <t>Type of Respondent</t>
  </si>
  <si>
    <t xml:space="preserve">Estimate in Currently Approved ICR </t>
  </si>
  <si>
    <t>Hourly Mean Wage</t>
  </si>
  <si>
    <t xml:space="preserve">Fully-Loaded Wage </t>
  </si>
  <si>
    <t xml:space="preserve">Reimbursement Value </t>
  </si>
  <si>
    <t xml:space="preserve">Data Source </t>
  </si>
  <si>
    <t>State Agency</t>
  </si>
  <si>
    <t>Bureau of Labor Statistics (BLS) Occupational Employment and Wages Statistics data from May 2022; Occupation Code 43-4061 Eligibility Interviewers, Government Programs; Hourly Mean Wage Rate for State Government = $22.10. Available at https://www.bls.gov/oes/current/oes434061.htm#nat.
Final labor rate is a fully loaded rate including fringe benefits and overhead at 33% of the BLS reported labor rate ($22.10 X 1.33 = $29.39).</t>
  </si>
  <si>
    <t>Local Agency</t>
  </si>
  <si>
    <t>Bureau of Labor Statistics (BLS) Occupational Employment and Wages Statistics data from May 2022; Occupation Code 43-4061 Eligibility Interviewers, Government Programs; Median Hourly Wage Rate for Local Government  = $26.05. Available at https://www.bls.gov/oes/current/oes434061.htm#nat.
Final labor rate is a fully loaded rate including fringe benefits and overhead at 33% of the BLS reported labor rate ($26.05 X 1.33 = $34.65).</t>
  </si>
  <si>
    <t>Households</t>
  </si>
  <si>
    <t>Data from Bureau of Labor Statistics (BLS) 2023 median weekly earnings for full-time wage and salary workers, averaged, divided by 40 hours, with a 20% reduction to remove taxes and other work-related costs. Available at https://www.bls.gov/cps/data.htm.</t>
  </si>
  <si>
    <t>National Office Program Analyst (GS 12/2)</t>
  </si>
  <si>
    <t>U.S. Office of Personnel Management (OPM) 2023 General Schedule (GS) salary table incorporating the 4.1% GS increase and a locality payment of 32.49% for the locality pay area of Washington-Baltimore-Arlington, DC-MD-VA-WV-PA. Available at https://www.opm.gov/policy-data-oversight/pay-leave/salaries-wages/salary-tables/pdf/2023/DCB_h.pdf.</t>
  </si>
  <si>
    <t>National Office Branch Chief (GS 14/1)</t>
  </si>
  <si>
    <t>FNS SNAP Forms ICR Total Burden Estimate (OMB Control No. 0584-0064)</t>
  </si>
  <si>
    <t>Responses Per Respondent</t>
  </si>
  <si>
    <t>Estimated Average Hours Per Response</t>
  </si>
  <si>
    <t>A</t>
  </si>
  <si>
    <t>B</t>
  </si>
  <si>
    <t>C = A x B</t>
  </si>
  <si>
    <t>E = C x D</t>
  </si>
  <si>
    <t>G = E x F</t>
  </si>
  <si>
    <t>I</t>
  </si>
  <si>
    <t>K</t>
  </si>
  <si>
    <t>Total Reporting Burden</t>
  </si>
  <si>
    <t>Total Recordkeeping Burden</t>
  </si>
  <si>
    <t>Total State Agency disclosures to third-parties</t>
  </si>
  <si>
    <t>Total Burden for #0584-0064</t>
  </si>
  <si>
    <t>Respondent</t>
  </si>
  <si>
    <t>Estimated Number of Respondent</t>
  </si>
  <si>
    <t>Responses Annually per Respondent</t>
  </si>
  <si>
    <t xml:space="preserve">Total Annual Responses </t>
  </si>
  <si>
    <t>Estimated Average Number of Hours Per Response</t>
  </si>
  <si>
    <t xml:space="preserve">Estimated Total Hours </t>
  </si>
  <si>
    <t>Hourly Wage Rates</t>
  </si>
  <si>
    <t>Total Annual Cost to Respondents</t>
  </si>
  <si>
    <t>Reporting Burden</t>
  </si>
  <si>
    <t>State/Local/Tribal Governments</t>
  </si>
  <si>
    <t> Total Estimated Reporting Burden</t>
  </si>
  <si>
    <t>Recordkeeping Burden</t>
  </si>
  <si>
    <t> Total Estimated Recordkeeping Burden</t>
  </si>
  <si>
    <t>TOTAL REPORTING AND RECORDKEEPING BURDEN FOR #0584-0064</t>
  </si>
  <si>
    <t xml:space="preserve">FNS SNAP ICR Federal Cost Estimate (OMB Control No. 0584-0064) </t>
  </si>
  <si>
    <t xml:space="preserve">Respondent </t>
  </si>
  <si>
    <t xml:space="preserve">Hourly Wage Rate </t>
  </si>
  <si>
    <t xml:space="preserve">Total Burden Hours </t>
  </si>
  <si>
    <t>Costs (US$ approx.)</t>
  </si>
  <si>
    <t xml:space="preserve">State Agencies </t>
  </si>
  <si>
    <t xml:space="preserve">Local Agencies </t>
  </si>
  <si>
    <t xml:space="preserve">Households </t>
  </si>
  <si>
    <t xml:space="preserve">Total State, Local, Household Cost (Before 50% Federal reimbursement offset) </t>
  </si>
  <si>
    <t xml:space="preserve">50% Federal Reimbursement Offset </t>
  </si>
  <si>
    <t xml:space="preserve">Total Cost to Respondents (State, Local, Household minus 50% Federal reimbursement for State and Local Governments) </t>
  </si>
  <si>
    <t>Burden - Federal Government (OMB Control No. 0584-0064)</t>
  </si>
  <si>
    <t xml:space="preserve">Estimated Total Annual Burden Hours </t>
  </si>
  <si>
    <t>Estimated Hourly Wage Rate, Fully-Loaded</t>
  </si>
  <si>
    <t xml:space="preserve">Cost (US$) (Approx.) </t>
  </si>
  <si>
    <t>50% Federal Reimbursement Cost to States and Local Agencies</t>
  </si>
  <si>
    <t> </t>
  </si>
  <si>
    <t>Review of Information Collection – National Office Branch Chief (GS 14/1)</t>
  </si>
  <si>
    <t xml:space="preserve">Total Federal Cost </t>
  </si>
  <si>
    <t>Draft of Information Collection – National Office Program Analyst (GS 12/1)</t>
  </si>
  <si>
    <t>Individuals/Households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</si>
</sst>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0.000"/>
    <numFmt numFmtId="166" formatCode="&quot;$&quot;#,##0"/>
    <numFmt numFmtId="167" formatCode="#,##0.0000"/>
    <numFmt numFmtId="168" formatCode="#,##0.0000000000"/>
    <numFmt numFmtId="169" formatCode="_(* #,##0_);_(* \(#,##0\);_(* &quot;-&quot;??_);_(@_)"/>
    <numFmt numFmtId="170" formatCode="#,##0.0"/>
  </numFmts>
  <fonts count="29"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1"/>
      <name val="Calibri"/>
      <family val="2"/>
      <scheme val="minor"/>
    </font>
    <font>
      <sz val="10"/>
      <name val="Arial"/>
      <family val="2"/>
    </font>
    <font>
      <sz val="11"/>
      <color rgb="FF9C6500"/>
      <name val="Calibri"/>
      <family val="2"/>
      <scheme val="minor"/>
    </font>
    <font>
      <sz val="8"/>
      <name val="Calibri"/>
      <family val="2"/>
      <scheme val="minor"/>
    </font>
    <font>
      <sz val="9"/>
      <color indexed="81"/>
      <name val="Tahoma"/>
      <family val="2"/>
    </font>
    <font>
      <sz val="11"/>
      <color rgb="FF000000"/>
      <name val="Calibri"/>
      <family val="2"/>
    </font>
    <font>
      <i/>
      <sz val="11"/>
      <color theme="4" tint="-0.249977111117893"/>
      <name val="Calibri"/>
      <family val="2"/>
      <scheme val="minor"/>
    </font>
    <font>
      <b/>
      <sz val="12"/>
      <color theme="4" tint="-0.249977111117893"/>
      <name val="Calibri"/>
      <family val="2"/>
      <scheme val="minor"/>
    </font>
    <font>
      <sz val="12"/>
      <color theme="1"/>
      <name val="Times New Roman"/>
      <family val="1"/>
    </font>
    <font>
      <sz val="11"/>
      <color theme="1"/>
      <name val="Calibri"/>
      <family val="2"/>
      <scheme val="minor"/>
    </font>
    <font>
      <sz val="11"/>
      <color rgb="FFFF00FF"/>
      <name val="Calibri"/>
      <family val="2"/>
      <scheme val="minor"/>
    </font>
    <font>
      <sz val="11"/>
      <name val="Calibri"/>
      <family val="2"/>
      <scheme val="minor"/>
    </font>
    <font>
      <i/>
      <sz val="11"/>
      <name val="Calibri"/>
      <family val="2"/>
      <scheme val="minor"/>
    </font>
    <font>
      <b/>
      <sz val="11"/>
      <color rgb="FF000000"/>
      <name val="Calibri"/>
    </font>
    <font>
      <b/>
      <sz val="16"/>
      <color theme="4" tint="-0.249977111117893"/>
      <name val="Calibri"/>
      <family val="2"/>
      <scheme val="minor"/>
    </font>
    <font>
      <b/>
      <sz val="18"/>
      <color theme="1"/>
      <name val="Calibri"/>
      <family val="2"/>
      <scheme val="minor"/>
    </font>
    <font>
      <sz val="11"/>
      <color rgb="FF000000"/>
      <name val="Calibri"/>
    </font>
    <font>
      <b/>
      <sz val="11"/>
      <color theme="1"/>
      <name val="Times New Roman"/>
    </font>
    <font>
      <sz val="11"/>
      <color theme="1"/>
      <name val="Times New Roman"/>
    </font>
    <font>
      <sz val="11"/>
      <color rgb="FF000000"/>
      <name val="Calibri"/>
      <charset val="1"/>
    </font>
    <font>
      <b/>
      <sz val="11"/>
      <color rgb="FF000000"/>
      <name val="Calibri"/>
      <family val="2"/>
    </font>
    <font>
      <sz val="11"/>
      <color theme="1"/>
      <name val="Calibri"/>
    </font>
    <font>
      <b/>
      <sz val="11"/>
      <color theme="1"/>
      <name val="Calibri"/>
    </font>
    <font>
      <sz val="11"/>
      <color rgb="FFFF0000"/>
      <name val="Calibri"/>
      <family val="2"/>
      <scheme val="minor"/>
    </font>
    <font>
      <sz val="11"/>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rgb="FFFFEB9C"/>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8CBAD"/>
        <bgColor indexed="64"/>
      </patternFill>
    </fill>
    <fill>
      <patternFill patternType="solid">
        <fgColor rgb="FFFFFFFF"/>
        <bgColor indexed="64"/>
      </patternFill>
    </fill>
    <fill>
      <patternFill patternType="solid">
        <fgColor rgb="FFE7E6E6"/>
        <bgColor indexed="64"/>
      </patternFill>
    </fill>
    <fill>
      <patternFill patternType="solid">
        <fgColor rgb="FFFFF2CC"/>
        <bgColor rgb="FF000000"/>
      </patternFill>
    </fill>
    <fill>
      <patternFill patternType="solid">
        <fgColor rgb="FFD9E1F2"/>
        <bgColor rgb="FF000000"/>
      </patternFill>
    </fill>
    <fill>
      <patternFill patternType="solid">
        <fgColor rgb="FFF8CBAD"/>
        <bgColor rgb="FF000000"/>
      </patternFill>
    </fill>
    <fill>
      <patternFill patternType="solid">
        <fgColor rgb="FFD9E1F2"/>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style="thin">
        <color rgb="FF000000"/>
      </right>
      <top style="thin">
        <color rgb="FF000000"/>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s>
  <cellStyleXfs count="8">
    <xf numFmtId="0" fontId="0" fillId="0" borderId="0"/>
    <xf numFmtId="0" fontId="3" fillId="0" borderId="0"/>
    <xf numFmtId="0" fontId="3" fillId="0" borderId="0"/>
    <xf numFmtId="0" fontId="3" fillId="0" borderId="0"/>
    <xf numFmtId="0" fontId="5" fillId="0" borderId="0"/>
    <xf numFmtId="0" fontId="3" fillId="0" borderId="0"/>
    <xf numFmtId="0" fontId="6" fillId="3" borderId="0" applyNumberFormat="0" applyBorder="0" applyAlignment="0" applyProtection="0"/>
    <xf numFmtId="44" fontId="13" fillId="0" borderId="0" applyFont="0" applyFill="0" applyBorder="0" applyAlignment="0" applyProtection="0"/>
  </cellStyleXfs>
  <cellXfs count="370">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horizontal="left"/>
    </xf>
    <xf numFmtId="3" fontId="0" fillId="0" borderId="1" xfId="0" applyNumberFormat="1" applyBorder="1" applyAlignment="1">
      <alignment horizontal="center" vertical="center" wrapText="1"/>
    </xf>
    <xf numFmtId="4" fontId="0" fillId="0" borderId="0" xfId="0" applyNumberFormat="1" applyAlignment="1">
      <alignment wrapText="1"/>
    </xf>
    <xf numFmtId="4" fontId="0" fillId="0" borderId="0" xfId="0" applyNumberFormat="1"/>
    <xf numFmtId="4" fontId="0" fillId="0" borderId="6" xfId="0" applyNumberFormat="1" applyBorder="1" applyAlignment="1">
      <alignment horizontal="center" vertical="center" wrapText="1"/>
    </xf>
    <xf numFmtId="3" fontId="0" fillId="0" borderId="8" xfId="0" applyNumberFormat="1" applyBorder="1" applyAlignment="1">
      <alignment horizontal="center" vertical="center" wrapText="1"/>
    </xf>
    <xf numFmtId="4" fontId="0" fillId="0" borderId="8" xfId="0" applyNumberFormat="1" applyBorder="1" applyAlignment="1">
      <alignment horizontal="center" vertical="center" wrapText="1"/>
    </xf>
    <xf numFmtId="4" fontId="0" fillId="0" borderId="9" xfId="0" applyNumberFormat="1" applyBorder="1" applyAlignment="1">
      <alignment horizontal="center" vertical="center" wrapText="1"/>
    </xf>
    <xf numFmtId="0" fontId="1" fillId="0" borderId="7" xfId="0" applyFont="1" applyBorder="1" applyAlignment="1">
      <alignment horizontal="center" vertical="center"/>
    </xf>
    <xf numFmtId="4" fontId="1" fillId="0" borderId="8" xfId="0" applyNumberFormat="1" applyFont="1" applyBorder="1" applyAlignment="1">
      <alignment horizontal="center" vertical="center"/>
    </xf>
    <xf numFmtId="4" fontId="1"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3" fontId="0" fillId="0" borderId="0" xfId="0" applyNumberFormat="1" applyAlignment="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1" fillId="0" borderId="1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4" fontId="1" fillId="0" borderId="21" xfId="0" applyNumberFormat="1" applyFont="1" applyBorder="1" applyAlignment="1">
      <alignment horizontal="center" vertical="center" wrapText="1"/>
    </xf>
    <xf numFmtId="4" fontId="1" fillId="0" borderId="22"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164" fontId="0" fillId="0" borderId="8" xfId="0" applyNumberFormat="1" applyBorder="1" applyAlignment="1">
      <alignment horizontal="center" vertical="center" wrapText="1"/>
    </xf>
    <xf numFmtId="164" fontId="1" fillId="0" borderId="8" xfId="0" applyNumberFormat="1" applyFont="1" applyBorder="1"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0" fillId="0" borderId="1" xfId="0" applyBorder="1" applyAlignment="1">
      <alignment horizontal="left" vertical="center" wrapText="1"/>
    </xf>
    <xf numFmtId="0" fontId="0" fillId="0" borderId="5" xfId="0" applyBorder="1" applyAlignment="1">
      <alignment horizontal="left" vertical="center"/>
    </xf>
    <xf numFmtId="3"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5" xfId="0" applyBorder="1" applyAlignment="1">
      <alignment horizontal="left"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6" borderId="1" xfId="0" applyFill="1" applyBorder="1"/>
    <xf numFmtId="0" fontId="1" fillId="6" borderId="1" xfId="0" applyFont="1" applyFill="1" applyBorder="1" applyAlignment="1">
      <alignment horizontal="center" vertical="center" wrapText="1"/>
    </xf>
    <xf numFmtId="0" fontId="0" fillId="0" borderId="23" xfId="0" applyBorder="1" applyAlignment="1">
      <alignment horizontal="left" vertical="center" wrapText="1"/>
    </xf>
    <xf numFmtId="3" fontId="0" fillId="0" borderId="16" xfId="0" applyNumberFormat="1" applyBorder="1" applyAlignment="1">
      <alignment horizontal="center" vertical="center"/>
    </xf>
    <xf numFmtId="4" fontId="1" fillId="0" borderId="28" xfId="0" applyNumberFormat="1" applyFont="1" applyBorder="1" applyAlignment="1">
      <alignment horizontal="center" vertical="center" wrapText="1"/>
    </xf>
    <xf numFmtId="4" fontId="1" fillId="0" borderId="25" xfId="0" applyNumberFormat="1" applyFont="1" applyBorder="1" applyAlignment="1">
      <alignment horizontal="center" vertical="center" wrapText="1"/>
    </xf>
    <xf numFmtId="0" fontId="1" fillId="0" borderId="30" xfId="0" applyFont="1" applyBorder="1" applyAlignment="1">
      <alignment horizontal="center" vertical="center" wrapText="1"/>
    </xf>
    <xf numFmtId="4" fontId="1" fillId="0" borderId="30"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0" fontId="0" fillId="0" borderId="33" xfId="0" applyBorder="1"/>
    <xf numFmtId="3" fontId="0" fillId="0" borderId="34" xfId="0" applyNumberFormat="1" applyBorder="1" applyAlignment="1">
      <alignment horizontal="center"/>
    </xf>
    <xf numFmtId="0" fontId="1" fillId="7" borderId="33" xfId="0" applyFont="1" applyFill="1" applyBorder="1"/>
    <xf numFmtId="3" fontId="1" fillId="7" borderId="34" xfId="0" applyNumberFormat="1" applyFont="1" applyFill="1" applyBorder="1" applyAlignment="1">
      <alignment horizontal="center"/>
    </xf>
    <xf numFmtId="0" fontId="1" fillId="0" borderId="35" xfId="0" applyFont="1" applyBorder="1"/>
    <xf numFmtId="3" fontId="1" fillId="0" borderId="36" xfId="0" applyNumberFormat="1" applyFont="1" applyBorder="1" applyAlignment="1">
      <alignment horizontal="center"/>
    </xf>
    <xf numFmtId="4" fontId="0" fillId="0" borderId="34" xfId="0" applyNumberFormat="1" applyBorder="1" applyAlignment="1">
      <alignment horizontal="center"/>
    </xf>
    <xf numFmtId="4" fontId="1" fillId="7" borderId="34" xfId="0" applyNumberFormat="1" applyFont="1" applyFill="1" applyBorder="1" applyAlignment="1">
      <alignment horizontal="center"/>
    </xf>
    <xf numFmtId="4" fontId="1" fillId="0" borderId="36" xfId="0" applyNumberFormat="1" applyFont="1" applyBorder="1" applyAlignment="1">
      <alignment horizontal="center"/>
    </xf>
    <xf numFmtId="3" fontId="0" fillId="0" borderId="0" xfId="0" applyNumberFormat="1" applyAlignment="1">
      <alignment wrapText="1"/>
    </xf>
    <xf numFmtId="3" fontId="1" fillId="0" borderId="21"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164" fontId="0" fillId="0" borderId="0" xfId="0" applyNumberFormat="1"/>
    <xf numFmtId="167" fontId="0" fillId="0" borderId="0" xfId="0" applyNumberFormat="1" applyAlignment="1">
      <alignment wrapText="1"/>
    </xf>
    <xf numFmtId="167" fontId="1" fillId="0" borderId="2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0" fontId="0" fillId="8" borderId="1" xfId="0" applyFill="1" applyBorder="1"/>
    <xf numFmtId="3" fontId="12" fillId="0" borderId="0" xfId="0" applyNumberFormat="1" applyFont="1"/>
    <xf numFmtId="0" fontId="1" fillId="0" borderId="37" xfId="0" applyFont="1" applyBorder="1" applyAlignment="1">
      <alignment horizontal="center" vertical="center"/>
    </xf>
    <xf numFmtId="0" fontId="1" fillId="0" borderId="38" xfId="0" applyFont="1" applyBorder="1" applyAlignment="1">
      <alignment horizontal="center" vertical="center" wrapText="1"/>
    </xf>
    <xf numFmtId="4" fontId="1" fillId="0" borderId="38" xfId="0" applyNumberFormat="1" applyFont="1" applyBorder="1" applyAlignment="1">
      <alignment horizontal="center" vertical="center" wrapText="1"/>
    </xf>
    <xf numFmtId="0" fontId="14" fillId="0" borderId="0" xfId="0" applyFont="1"/>
    <xf numFmtId="4" fontId="1" fillId="0" borderId="39" xfId="0" applyNumberFormat="1" applyFont="1" applyBorder="1" applyAlignment="1">
      <alignment horizontal="center" vertical="center" wrapText="1"/>
    </xf>
    <xf numFmtId="4" fontId="0" fillId="0" borderId="40" xfId="0" applyNumberFormat="1" applyBorder="1" applyAlignment="1">
      <alignment horizontal="center"/>
    </xf>
    <xf numFmtId="4" fontId="1" fillId="7" borderId="40" xfId="0" applyNumberFormat="1" applyFont="1" applyFill="1" applyBorder="1" applyAlignment="1">
      <alignment horizontal="center"/>
    </xf>
    <xf numFmtId="4" fontId="1" fillId="0" borderId="41" xfId="0" applyNumberFormat="1" applyFont="1" applyBorder="1" applyAlignment="1">
      <alignment horizontal="center"/>
    </xf>
    <xf numFmtId="0" fontId="14" fillId="0" borderId="14" xfId="0" applyFont="1" applyBorder="1"/>
    <xf numFmtId="0" fontId="14" fillId="0" borderId="45" xfId="0" applyFont="1" applyBorder="1"/>
    <xf numFmtId="168" fontId="16" fillId="0" borderId="1" xfId="0" applyNumberFormat="1" applyFont="1" applyBorder="1" applyAlignment="1">
      <alignment horizontal="center" vertical="center" wrapText="1"/>
    </xf>
    <xf numFmtId="44" fontId="15" fillId="0" borderId="14" xfId="7" applyFont="1" applyBorder="1"/>
    <xf numFmtId="44" fontId="15" fillId="0" borderId="45" xfId="0" applyNumberFormat="1" applyFont="1" applyBorder="1" applyAlignment="1">
      <alignment wrapText="1"/>
    </xf>
    <xf numFmtId="44" fontId="15" fillId="0" borderId="45" xfId="0" applyNumberFormat="1" applyFont="1" applyBorder="1"/>
    <xf numFmtId="44" fontId="15" fillId="0" borderId="46" xfId="0" applyNumberFormat="1" applyFont="1" applyBorder="1"/>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44" fontId="0" fillId="0" borderId="0" xfId="0" applyNumberFormat="1"/>
    <xf numFmtId="0" fontId="1" fillId="0" borderId="0" xfId="0" applyFont="1"/>
    <xf numFmtId="0" fontId="1" fillId="0" borderId="0" xfId="0" applyFont="1" applyAlignment="1">
      <alignment wrapText="1"/>
    </xf>
    <xf numFmtId="0" fontId="1" fillId="10" borderId="1" xfId="0" applyFont="1" applyFill="1" applyBorder="1" applyAlignment="1">
      <alignment horizontal="center" vertical="center" wrapText="1"/>
    </xf>
    <xf numFmtId="0" fontId="1" fillId="10" borderId="5" xfId="0" applyFont="1" applyFill="1" applyBorder="1" applyAlignment="1">
      <alignment horizontal="left" vertical="center" wrapText="1"/>
    </xf>
    <xf numFmtId="0" fontId="1" fillId="10" borderId="1" xfId="0" applyFont="1" applyFill="1" applyBorder="1" applyAlignment="1">
      <alignment vertical="center" wrapText="1"/>
    </xf>
    <xf numFmtId="3" fontId="1" fillId="10" borderId="1" xfId="0" applyNumberFormat="1" applyFont="1" applyFill="1" applyBorder="1" applyAlignment="1">
      <alignment horizontal="center" vertical="center" wrapText="1"/>
    </xf>
    <xf numFmtId="4" fontId="1" fillId="10" borderId="1" xfId="0" applyNumberFormat="1" applyFont="1" applyFill="1" applyBorder="1" applyAlignment="1">
      <alignment horizontal="center" vertical="center" wrapText="1"/>
    </xf>
    <xf numFmtId="167" fontId="1" fillId="10" borderId="1" xfId="0" applyNumberFormat="1" applyFont="1" applyFill="1" applyBorder="1" applyAlignment="1">
      <alignment horizontal="center" vertical="center" wrapText="1"/>
    </xf>
    <xf numFmtId="164" fontId="1" fillId="10" borderId="1" xfId="0" applyNumberFormat="1" applyFont="1" applyFill="1" applyBorder="1" applyAlignment="1">
      <alignment horizontal="center" vertical="center" wrapText="1"/>
    </xf>
    <xf numFmtId="4" fontId="1" fillId="10" borderId="6" xfId="0" applyNumberFormat="1" applyFont="1" applyFill="1" applyBorder="1" applyAlignment="1">
      <alignment horizontal="center" vertical="center" wrapText="1"/>
    </xf>
    <xf numFmtId="0" fontId="0" fillId="0" borderId="14" xfId="0" applyBorder="1" applyAlignment="1">
      <alignment horizontal="left" vertical="center" wrapText="1"/>
    </xf>
    <xf numFmtId="0" fontId="0" fillId="0" borderId="5" xfId="0" applyBorder="1" applyAlignment="1">
      <alignment vertical="center" wrapText="1"/>
    </xf>
    <xf numFmtId="0" fontId="0" fillId="0" borderId="16" xfId="0" applyBorder="1" applyAlignment="1">
      <alignment horizontal="left" vertical="center" wrapText="1"/>
    </xf>
    <xf numFmtId="0" fontId="0" fillId="10" borderId="1" xfId="0" applyFill="1" applyBorder="1" applyAlignment="1">
      <alignment horizontal="center" vertical="center"/>
    </xf>
    <xf numFmtId="0" fontId="1" fillId="10" borderId="1" xfId="0" applyFont="1" applyFill="1" applyBorder="1" applyAlignment="1">
      <alignment horizontal="center" vertical="center"/>
    </xf>
    <xf numFmtId="0" fontId="0" fillId="10" borderId="16" xfId="0" applyFill="1" applyBorder="1" applyAlignment="1">
      <alignment horizontal="left" vertical="center" wrapText="1"/>
    </xf>
    <xf numFmtId="0" fontId="1" fillId="10" borderId="16" xfId="0" applyFont="1" applyFill="1" applyBorder="1" applyAlignment="1">
      <alignment horizontal="left" vertical="center" wrapText="1"/>
    </xf>
    <xf numFmtId="0" fontId="0" fillId="10" borderId="0" xfId="0" applyFill="1" applyAlignment="1">
      <alignment vertical="center"/>
    </xf>
    <xf numFmtId="3" fontId="0" fillId="10" borderId="1" xfId="0" applyNumberFormat="1" applyFill="1" applyBorder="1" applyAlignment="1">
      <alignment horizontal="center" vertical="center"/>
    </xf>
    <xf numFmtId="0" fontId="0" fillId="10" borderId="1" xfId="0" applyFill="1" applyBorder="1" applyAlignment="1">
      <alignment horizontal="left" vertical="center" wrapText="1"/>
    </xf>
    <xf numFmtId="0" fontId="0" fillId="10" borderId="49" xfId="0" applyFill="1" applyBorder="1" applyAlignment="1">
      <alignment horizontal="left" vertical="center" wrapText="1"/>
    </xf>
    <xf numFmtId="0" fontId="0" fillId="10" borderId="50" xfId="0" applyFill="1" applyBorder="1" applyAlignment="1">
      <alignment horizontal="left" vertical="center" wrapText="1"/>
    </xf>
    <xf numFmtId="0" fontId="0" fillId="10" borderId="5" xfId="0" applyFill="1" applyBorder="1" applyAlignment="1">
      <alignment horizontal="left" vertical="center" wrapText="1"/>
    </xf>
    <xf numFmtId="0" fontId="0" fillId="10" borderId="14" xfId="0" applyFill="1" applyBorder="1" applyAlignment="1">
      <alignment horizontal="left" vertical="center" wrapText="1"/>
    </xf>
    <xf numFmtId="3" fontId="0" fillId="12" borderId="1" xfId="0" applyNumberFormat="1" applyFill="1" applyBorder="1" applyAlignment="1">
      <alignment horizontal="center" vertical="center"/>
    </xf>
    <xf numFmtId="3" fontId="0" fillId="10" borderId="1" xfId="0" applyNumberFormat="1" applyFill="1" applyBorder="1" applyAlignment="1">
      <alignment horizontal="center" vertical="center" wrapText="1"/>
    </xf>
    <xf numFmtId="0" fontId="1" fillId="13" borderId="18" xfId="0" applyFont="1" applyFill="1" applyBorder="1" applyAlignment="1">
      <alignment horizontal="center" vertical="center" wrapText="1"/>
    </xf>
    <xf numFmtId="0" fontId="0" fillId="0" borderId="1" xfId="0" applyBorder="1" applyAlignment="1">
      <alignment horizontal="left" vertical="top" wrapText="1"/>
    </xf>
    <xf numFmtId="0" fontId="0" fillId="5" borderId="1" xfId="0" applyFill="1" applyBorder="1" applyAlignment="1">
      <alignment horizontal="left" vertical="center" wrapText="1"/>
    </xf>
    <xf numFmtId="0" fontId="0" fillId="0" borderId="29" xfId="0" applyBorder="1"/>
    <xf numFmtId="0" fontId="0" fillId="0" borderId="23" xfId="0" applyBorder="1"/>
    <xf numFmtId="4" fontId="0" fillId="0" borderId="1" xfId="0" applyNumberFormat="1" applyBorder="1" applyAlignment="1">
      <alignment horizontal="center" vertical="center"/>
    </xf>
    <xf numFmtId="164" fontId="0" fillId="0" borderId="1" xfId="0" applyNumberFormat="1" applyBorder="1" applyAlignment="1">
      <alignment horizontal="center" vertical="center"/>
    </xf>
    <xf numFmtId="4" fontId="0" fillId="0" borderId="6" xfId="0" applyNumberFormat="1" applyBorder="1" applyAlignment="1">
      <alignment horizontal="center" vertical="center"/>
    </xf>
    <xf numFmtId="0" fontId="0" fillId="10" borderId="5" xfId="0" applyFill="1" applyBorder="1" applyAlignment="1">
      <alignment horizontal="left" wrapText="1"/>
    </xf>
    <xf numFmtId="3" fontId="0" fillId="5" borderId="1" xfId="0" applyNumberFormat="1" applyFill="1" applyBorder="1" applyAlignment="1">
      <alignment horizontal="center" vertical="center"/>
    </xf>
    <xf numFmtId="167" fontId="16" fillId="0" borderId="1" xfId="0" applyNumberFormat="1" applyFont="1" applyBorder="1" applyAlignment="1">
      <alignment horizontal="center" vertical="center" wrapText="1"/>
    </xf>
    <xf numFmtId="0" fontId="0" fillId="0" borderId="51" xfId="0" applyBorder="1"/>
    <xf numFmtId="0" fontId="1" fillId="0" borderId="0" xfId="0" applyFont="1" applyAlignment="1">
      <alignment horizontal="center" wrapText="1"/>
    </xf>
    <xf numFmtId="0" fontId="1" fillId="5" borderId="52" xfId="0" applyFont="1" applyFill="1" applyBorder="1" applyAlignment="1">
      <alignment horizontal="center" vertical="center" wrapText="1"/>
    </xf>
    <xf numFmtId="0" fontId="1" fillId="0" borderId="47" xfId="0" applyFont="1" applyBorder="1" applyAlignment="1">
      <alignment vertical="center"/>
    </xf>
    <xf numFmtId="0" fontId="1" fillId="0" borderId="56" xfId="0" applyFont="1" applyBorder="1" applyAlignment="1">
      <alignment horizontal="center" vertical="center" wrapText="1"/>
    </xf>
    <xf numFmtId="0" fontId="1" fillId="0" borderId="28" xfId="0" applyFont="1" applyBorder="1" applyAlignment="1">
      <alignment horizontal="center" vertical="center" wrapText="1"/>
    </xf>
    <xf numFmtId="3" fontId="1" fillId="0" borderId="28" xfId="0" applyNumberFormat="1" applyFont="1" applyBorder="1" applyAlignment="1">
      <alignment horizontal="center" vertical="center" wrapText="1"/>
    </xf>
    <xf numFmtId="167" fontId="4" fillId="0" borderId="28" xfId="0" applyNumberFormat="1" applyFont="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25" xfId="0" applyNumberFormat="1" applyFont="1" applyBorder="1" applyAlignment="1">
      <alignment horizontal="center" vertical="center" wrapText="1"/>
    </xf>
    <xf numFmtId="167" fontId="0" fillId="0" borderId="0" xfId="0" applyNumberFormat="1"/>
    <xf numFmtId="0" fontId="0" fillId="12" borderId="1" xfId="0" applyFill="1" applyBorder="1" applyAlignment="1">
      <alignment horizontal="left" vertical="center" wrapText="1"/>
    </xf>
    <xf numFmtId="4" fontId="0" fillId="12" borderId="1" xfId="0" applyNumberFormat="1" applyFill="1" applyBorder="1" applyAlignment="1">
      <alignment horizontal="center" vertical="center" wrapText="1"/>
    </xf>
    <xf numFmtId="4" fontId="0" fillId="12" borderId="6" xfId="0" applyNumberFormat="1" applyFill="1" applyBorder="1" applyAlignment="1">
      <alignment horizontal="center" vertical="center" wrapText="1"/>
    </xf>
    <xf numFmtId="4" fontId="1" fillId="0" borderId="0" xfId="0" applyNumberFormat="1" applyFont="1"/>
    <xf numFmtId="0" fontId="20" fillId="0" borderId="23" xfId="0" applyFont="1" applyBorder="1"/>
    <xf numFmtId="0" fontId="20" fillId="0" borderId="59" xfId="0" applyFont="1" applyBorder="1"/>
    <xf numFmtId="8" fontId="20" fillId="0" borderId="59" xfId="0" applyNumberFormat="1" applyFont="1" applyBorder="1"/>
    <xf numFmtId="8" fontId="20" fillId="0" borderId="60" xfId="0" applyNumberFormat="1" applyFont="1" applyBorder="1"/>
    <xf numFmtId="8" fontId="20" fillId="0" borderId="61" xfId="0" applyNumberFormat="1" applyFont="1" applyBorder="1"/>
    <xf numFmtId="8" fontId="20" fillId="0" borderId="63" xfId="0" applyNumberFormat="1" applyFont="1" applyBorder="1"/>
    <xf numFmtId="0" fontId="20" fillId="0" borderId="0" xfId="0" applyFont="1"/>
    <xf numFmtId="0" fontId="0" fillId="12" borderId="1" xfId="0" applyFill="1" applyBorder="1" applyAlignment="1">
      <alignment horizontal="center" vertical="center"/>
    </xf>
    <xf numFmtId="0" fontId="0" fillId="12" borderId="0" xfId="0" applyFill="1" applyAlignment="1">
      <alignment vertical="center"/>
    </xf>
    <xf numFmtId="0" fontId="0" fillId="12" borderId="34" xfId="0" applyFill="1" applyBorder="1" applyAlignment="1">
      <alignment horizontal="center" vertical="center"/>
    </xf>
    <xf numFmtId="0" fontId="0" fillId="12" borderId="34" xfId="0" applyFill="1" applyBorder="1" applyAlignment="1">
      <alignment horizontal="left" vertical="center" wrapText="1"/>
    </xf>
    <xf numFmtId="3" fontId="0" fillId="12" borderId="34" xfId="0" applyNumberFormat="1" applyFill="1" applyBorder="1" applyAlignment="1">
      <alignment horizontal="center" vertical="center"/>
    </xf>
    <xf numFmtId="0" fontId="0" fillId="10" borderId="21" xfId="0" applyFill="1" applyBorder="1" applyAlignment="1">
      <alignment horizontal="center" vertical="center"/>
    </xf>
    <xf numFmtId="0" fontId="0" fillId="10" borderId="64" xfId="0" applyFill="1" applyBorder="1" applyAlignment="1">
      <alignment horizontal="left" vertical="center" wrapText="1"/>
    </xf>
    <xf numFmtId="3" fontId="0" fillId="10" borderId="21" xfId="0" applyNumberFormat="1" applyFill="1" applyBorder="1" applyAlignment="1">
      <alignment horizontal="center" vertical="center"/>
    </xf>
    <xf numFmtId="3" fontId="0" fillId="10" borderId="21" xfId="0" applyNumberFormat="1" applyFill="1" applyBorder="1" applyAlignment="1">
      <alignment horizontal="center" vertical="center" wrapText="1"/>
    </xf>
    <xf numFmtId="0" fontId="0" fillId="10" borderId="21" xfId="0" applyFill="1" applyBorder="1" applyAlignment="1">
      <alignment horizontal="left" vertical="center" wrapText="1"/>
    </xf>
    <xf numFmtId="0" fontId="0" fillId="0" borderId="13" xfId="0" applyBorder="1" applyAlignment="1">
      <alignment horizontal="center" vertical="center"/>
    </xf>
    <xf numFmtId="0" fontId="0" fillId="0" borderId="13" xfId="0" applyBorder="1" applyAlignment="1">
      <alignment horizontal="left" vertical="center" wrapText="1"/>
    </xf>
    <xf numFmtId="3" fontId="0" fillId="0" borderId="13" xfId="0" applyNumberFormat="1" applyBorder="1" applyAlignment="1">
      <alignment horizontal="center" vertical="center"/>
    </xf>
    <xf numFmtId="0" fontId="21" fillId="0" borderId="66" xfId="0" applyFont="1" applyBorder="1" applyAlignment="1">
      <alignment horizontal="center" vertical="center"/>
    </xf>
    <xf numFmtId="0" fontId="21" fillId="0" borderId="48" xfId="0" applyFont="1" applyBorder="1" applyAlignment="1">
      <alignment vertical="center"/>
    </xf>
    <xf numFmtId="0" fontId="21" fillId="0" borderId="48" xfId="0" applyFont="1" applyBorder="1" applyAlignment="1">
      <alignment horizontal="center" vertical="center" wrapText="1"/>
    </xf>
    <xf numFmtId="0" fontId="21" fillId="0" borderId="48" xfId="0" applyFont="1" applyBorder="1" applyAlignment="1">
      <alignment horizontal="center" vertical="center"/>
    </xf>
    <xf numFmtId="0" fontId="22" fillId="0" borderId="34" xfId="0" applyFont="1" applyBorder="1" applyAlignment="1">
      <alignment vertical="center"/>
    </xf>
    <xf numFmtId="0" fontId="22" fillId="0" borderId="34" xfId="0" applyFont="1" applyBorder="1" applyAlignment="1">
      <alignment horizontal="left" vertical="center" wrapText="1"/>
    </xf>
    <xf numFmtId="164" fontId="22" fillId="0" borderId="34" xfId="0" applyNumberFormat="1" applyFont="1" applyBorder="1" applyAlignment="1">
      <alignment horizontal="center" vertical="center"/>
    </xf>
    <xf numFmtId="3" fontId="0" fillId="0" borderId="21" xfId="0" applyNumberFormat="1" applyBorder="1" applyAlignment="1">
      <alignment horizontal="center" vertical="center"/>
    </xf>
    <xf numFmtId="4" fontId="0" fillId="0" borderId="21" xfId="0" applyNumberFormat="1" applyBorder="1" applyAlignment="1">
      <alignment horizontal="center" vertical="center"/>
    </xf>
    <xf numFmtId="164" fontId="0" fillId="0" borderId="21" xfId="0" applyNumberFormat="1" applyBorder="1" applyAlignment="1">
      <alignment horizontal="center" vertical="center"/>
    </xf>
    <xf numFmtId="4" fontId="0" fillId="0" borderId="22" xfId="0" applyNumberFormat="1" applyBorder="1" applyAlignment="1">
      <alignment horizontal="center" vertical="center"/>
    </xf>
    <xf numFmtId="0" fontId="1" fillId="7" borderId="67" xfId="0" applyFont="1" applyFill="1" applyBorder="1"/>
    <xf numFmtId="3" fontId="1" fillId="7" borderId="48" xfId="0" applyNumberFormat="1" applyFont="1" applyFill="1" applyBorder="1" applyAlignment="1">
      <alignment horizontal="center"/>
    </xf>
    <xf numFmtId="4" fontId="1" fillId="7" borderId="48" xfId="0" applyNumberFormat="1" applyFont="1" applyFill="1" applyBorder="1" applyAlignment="1">
      <alignment horizontal="center"/>
    </xf>
    <xf numFmtId="4" fontId="1" fillId="7" borderId="65" xfId="0" applyNumberFormat="1" applyFont="1" applyFill="1" applyBorder="1" applyAlignment="1">
      <alignment horizontal="center"/>
    </xf>
    <xf numFmtId="44" fontId="15" fillId="12" borderId="17" xfId="7" applyFont="1" applyFill="1" applyBorder="1"/>
    <xf numFmtId="44" fontId="15" fillId="12" borderId="68" xfId="0" applyNumberFormat="1" applyFont="1" applyFill="1" applyBorder="1"/>
    <xf numFmtId="0" fontId="0" fillId="12" borderId="67" xfId="0" applyFill="1" applyBorder="1"/>
    <xf numFmtId="3" fontId="0" fillId="12" borderId="48" xfId="0" applyNumberFormat="1" applyFill="1" applyBorder="1" applyAlignment="1">
      <alignment horizontal="center"/>
    </xf>
    <xf numFmtId="4" fontId="0" fillId="12" borderId="48" xfId="0" applyNumberFormat="1" applyFill="1" applyBorder="1" applyAlignment="1">
      <alignment horizontal="center"/>
    </xf>
    <xf numFmtId="4" fontId="0" fillId="12" borderId="65" xfId="0" applyNumberFormat="1" applyFill="1" applyBorder="1" applyAlignment="1">
      <alignment horizontal="center"/>
    </xf>
    <xf numFmtId="0" fontId="0" fillId="12" borderId="5" xfId="0" applyFill="1" applyBorder="1" applyAlignment="1">
      <alignment horizontal="left" vertical="center" wrapText="1"/>
    </xf>
    <xf numFmtId="0" fontId="0" fillId="7" borderId="1" xfId="0" applyFill="1" applyBorder="1"/>
    <xf numFmtId="44" fontId="4" fillId="9" borderId="14" xfId="7" applyFont="1" applyFill="1" applyBorder="1"/>
    <xf numFmtId="44" fontId="4" fillId="9" borderId="45" xfId="0" applyNumberFormat="1" applyFont="1" applyFill="1" applyBorder="1"/>
    <xf numFmtId="44" fontId="4" fillId="9" borderId="17" xfId="7" applyFont="1" applyFill="1" applyBorder="1"/>
    <xf numFmtId="44" fontId="4" fillId="9" borderId="68" xfId="0" applyNumberFormat="1" applyFont="1" applyFill="1" applyBorder="1"/>
    <xf numFmtId="0" fontId="0" fillId="12" borderId="1" xfId="0" applyFill="1" applyBorder="1" applyAlignment="1">
      <alignment vertical="center" wrapText="1"/>
    </xf>
    <xf numFmtId="3" fontId="0" fillId="12" borderId="1" xfId="0" applyNumberFormat="1" applyFill="1" applyBorder="1" applyAlignment="1">
      <alignment horizontal="center" vertical="center" wrapText="1"/>
    </xf>
    <xf numFmtId="3" fontId="1" fillId="12" borderId="8" xfId="0" applyNumberFormat="1" applyFont="1" applyFill="1" applyBorder="1" applyAlignment="1">
      <alignment horizontal="center" vertical="center"/>
    </xf>
    <xf numFmtId="169" fontId="0" fillId="0" borderId="0" xfId="0" applyNumberFormat="1"/>
    <xf numFmtId="0" fontId="0" fillId="12" borderId="5" xfId="0" applyFill="1" applyBorder="1" applyAlignment="1">
      <alignment vertical="center" wrapText="1"/>
    </xf>
    <xf numFmtId="0" fontId="0" fillId="12" borderId="0" xfId="0" applyFill="1"/>
    <xf numFmtId="167" fontId="0" fillId="12" borderId="1" xfId="0" applyNumberFormat="1" applyFill="1" applyBorder="1" applyAlignment="1">
      <alignment horizontal="center" vertical="center" wrapText="1"/>
    </xf>
    <xf numFmtId="164"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43" fontId="0" fillId="0" borderId="0" xfId="0" applyNumberFormat="1" applyAlignment="1">
      <alignment vertical="center"/>
    </xf>
    <xf numFmtId="43" fontId="23" fillId="0" borderId="0" xfId="0" applyNumberFormat="1" applyFont="1" applyAlignment="1">
      <alignment horizontal="left" vertical="center"/>
    </xf>
    <xf numFmtId="3" fontId="0" fillId="0" borderId="0" xfId="0" applyNumberFormat="1" applyAlignment="1">
      <alignment vertical="center"/>
    </xf>
    <xf numFmtId="43" fontId="0" fillId="0" borderId="0" xfId="0" applyNumberFormat="1" applyAlignment="1">
      <alignment horizontal="left" vertical="center" wrapText="1"/>
    </xf>
    <xf numFmtId="164" fontId="1" fillId="0" borderId="0" xfId="0" applyNumberFormat="1" applyFont="1"/>
    <xf numFmtId="0" fontId="0" fillId="12" borderId="40" xfId="0" applyFill="1" applyBorder="1" applyAlignment="1">
      <alignment vertical="center"/>
    </xf>
    <xf numFmtId="0" fontId="0" fillId="12" borderId="72" xfId="0" applyFill="1" applyBorder="1" applyAlignment="1">
      <alignment horizontal="left" vertical="center" wrapText="1"/>
    </xf>
    <xf numFmtId="0" fontId="1" fillId="11" borderId="5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left" vertical="center" wrapText="1"/>
    </xf>
    <xf numFmtId="0" fontId="1" fillId="11" borderId="1" xfId="0" applyFont="1" applyFill="1" applyBorder="1" applyAlignment="1">
      <alignment vertical="center" wrapText="1"/>
    </xf>
    <xf numFmtId="3" fontId="1" fillId="4" borderId="1" xfId="0" applyNumberFormat="1" applyFont="1" applyFill="1" applyBorder="1" applyAlignment="1">
      <alignment horizontal="center" vertical="center" wrapText="1"/>
    </xf>
    <xf numFmtId="4" fontId="1" fillId="11" borderId="1" xfId="0" applyNumberFormat="1" applyFont="1" applyFill="1" applyBorder="1" applyAlignment="1">
      <alignment horizontal="center" vertical="center" wrapText="1"/>
    </xf>
    <xf numFmtId="3" fontId="1" fillId="11" borderId="1" xfId="0" applyNumberFormat="1" applyFont="1" applyFill="1" applyBorder="1" applyAlignment="1">
      <alignment horizontal="center" vertical="center" wrapText="1"/>
    </xf>
    <xf numFmtId="167" fontId="1" fillId="11"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164" fontId="1" fillId="11"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1" fillId="11" borderId="1" xfId="0" applyFont="1" applyFill="1" applyBorder="1" applyAlignment="1">
      <alignment horizontal="center" vertical="center"/>
    </xf>
    <xf numFmtId="0" fontId="1" fillId="4" borderId="1" xfId="0" applyFont="1" applyFill="1" applyBorder="1" applyAlignment="1">
      <alignment vertical="center" wrapText="1"/>
    </xf>
    <xf numFmtId="167" fontId="1" fillId="4" borderId="1" xfId="0" applyNumberFormat="1" applyFont="1" applyFill="1" applyBorder="1" applyAlignment="1">
      <alignment horizontal="center" vertical="center" wrapText="1"/>
    </xf>
    <xf numFmtId="0" fontId="24" fillId="0" borderId="0" xfId="0" applyFont="1"/>
    <xf numFmtId="0" fontId="9" fillId="0" borderId="0" xfId="0" applyFont="1"/>
    <xf numFmtId="0" fontId="24" fillId="14" borderId="1" xfId="0" applyFont="1" applyFill="1" applyBorder="1" applyAlignment="1">
      <alignment horizontal="center" wrapText="1"/>
    </xf>
    <xf numFmtId="0" fontId="24" fillId="15" borderId="13" xfId="0" applyFont="1" applyFill="1" applyBorder="1" applyAlignment="1">
      <alignment horizontal="center" wrapText="1"/>
    </xf>
    <xf numFmtId="0" fontId="24" fillId="16" borderId="13" xfId="0" applyFont="1" applyFill="1" applyBorder="1" applyAlignment="1">
      <alignment horizontal="center" wrapText="1"/>
    </xf>
    <xf numFmtId="3" fontId="0" fillId="17" borderId="1" xfId="0" applyNumberFormat="1" applyFill="1" applyBorder="1" applyAlignment="1">
      <alignment horizontal="center" vertical="center"/>
    </xf>
    <xf numFmtId="3" fontId="0" fillId="17" borderId="34" xfId="0" applyNumberFormat="1" applyFill="1" applyBorder="1" applyAlignment="1">
      <alignment horizontal="center" vertical="center" wrapText="1"/>
    </xf>
    <xf numFmtId="3" fontId="0" fillId="17" borderId="13" xfId="0" applyNumberFormat="1" applyFill="1" applyBorder="1" applyAlignment="1">
      <alignment horizontal="center" vertical="center"/>
    </xf>
    <xf numFmtId="3" fontId="0" fillId="11" borderId="1" xfId="0" applyNumberFormat="1" applyFill="1" applyBorder="1" applyAlignment="1">
      <alignment horizontal="center" vertical="center"/>
    </xf>
    <xf numFmtId="3" fontId="0" fillId="11" borderId="74" xfId="0" applyNumberFormat="1" applyFill="1" applyBorder="1" applyAlignment="1">
      <alignment horizontal="center" vertical="center"/>
    </xf>
    <xf numFmtId="3" fontId="0" fillId="11" borderId="13" xfId="0" applyNumberFormat="1" applyFill="1" applyBorder="1" applyAlignment="1">
      <alignment horizontal="center" vertical="center"/>
    </xf>
    <xf numFmtId="0" fontId="26" fillId="0" borderId="71" xfId="0" applyFont="1" applyBorder="1" applyAlignment="1">
      <alignment horizontal="left" vertical="center"/>
    </xf>
    <xf numFmtId="0" fontId="26" fillId="0" borderId="73" xfId="0" applyFont="1" applyBorder="1" applyAlignment="1">
      <alignment horizontal="center" vertical="center"/>
    </xf>
    <xf numFmtId="0" fontId="26" fillId="0" borderId="34" xfId="0" applyFont="1" applyBorder="1"/>
    <xf numFmtId="0" fontId="25" fillId="0" borderId="34" xfId="0" applyFont="1" applyBorder="1"/>
    <xf numFmtId="4" fontId="25" fillId="0" borderId="34" xfId="0" applyNumberFormat="1" applyFont="1" applyBorder="1"/>
    <xf numFmtId="164" fontId="25" fillId="0" borderId="71" xfId="0" applyNumberFormat="1" applyFont="1" applyBorder="1"/>
    <xf numFmtId="164" fontId="25" fillId="0" borderId="34" xfId="0" applyNumberFormat="1" applyFont="1" applyBorder="1"/>
    <xf numFmtId="164" fontId="25" fillId="0" borderId="48" xfId="0" applyNumberFormat="1" applyFont="1" applyBorder="1"/>
    <xf numFmtId="0" fontId="20" fillId="0" borderId="58" xfId="0" applyFont="1" applyBorder="1" applyAlignment="1">
      <alignment horizontal="center" vertical="center" wrapText="1"/>
    </xf>
    <xf numFmtId="0" fontId="20" fillId="0" borderId="57" xfId="0" applyFont="1" applyBorder="1" applyAlignment="1">
      <alignment horizontal="center" wrapText="1"/>
    </xf>
    <xf numFmtId="0" fontId="17" fillId="0" borderId="2" xfId="0" applyFont="1" applyBorder="1"/>
    <xf numFmtId="164" fontId="26" fillId="0" borderId="34" xfId="0" applyNumberFormat="1" applyFont="1" applyBorder="1"/>
    <xf numFmtId="43" fontId="1" fillId="0" borderId="0" xfId="0" applyNumberFormat="1" applyFont="1"/>
    <xf numFmtId="170" fontId="0" fillId="0" borderId="8" xfId="0" applyNumberFormat="1" applyBorder="1" applyAlignment="1">
      <alignment horizontal="center" vertical="center" wrapText="1"/>
    </xf>
    <xf numFmtId="3" fontId="1" fillId="0" borderId="8" xfId="0" applyNumberFormat="1" applyFont="1" applyBorder="1" applyAlignment="1">
      <alignment horizontal="center" vertical="center"/>
    </xf>
    <xf numFmtId="44" fontId="4" fillId="0" borderId="46" xfId="7" applyFont="1" applyBorder="1"/>
    <xf numFmtId="164" fontId="20" fillId="0" borderId="60" xfId="0" applyNumberFormat="1" applyFont="1" applyBorder="1"/>
    <xf numFmtId="43" fontId="0" fillId="0" borderId="0" xfId="0" applyNumberFormat="1"/>
    <xf numFmtId="4" fontId="1" fillId="10" borderId="76" xfId="0" applyNumberFormat="1" applyFont="1" applyFill="1" applyBorder="1" applyAlignment="1">
      <alignment horizontal="center" vertical="center" wrapText="1"/>
    </xf>
    <xf numFmtId="4" fontId="0" fillId="0" borderId="21" xfId="0" applyNumberFormat="1" applyBorder="1" applyAlignment="1">
      <alignment horizontal="center" vertical="center" wrapText="1"/>
    </xf>
    <xf numFmtId="0" fontId="17" fillId="10" borderId="1" xfId="0" applyFont="1" applyFill="1" applyBorder="1" applyAlignment="1">
      <alignment horizontal="center" vertical="center"/>
    </xf>
    <xf numFmtId="8" fontId="0" fillId="0" borderId="0" xfId="0" applyNumberFormat="1"/>
    <xf numFmtId="3" fontId="0" fillId="0" borderId="0" xfId="0" applyNumberFormat="1"/>
    <xf numFmtId="3" fontId="0" fillId="11" borderId="21" xfId="0" applyNumberFormat="1" applyFill="1" applyBorder="1" applyAlignment="1">
      <alignment horizontal="center" vertical="center"/>
    </xf>
    <xf numFmtId="0" fontId="0" fillId="0" borderId="20" xfId="0" applyBorder="1" applyAlignment="1">
      <alignment horizontal="left" vertical="center" wrapText="1"/>
    </xf>
    <xf numFmtId="0" fontId="0" fillId="12" borderId="21" xfId="0" applyFill="1" applyBorder="1" applyAlignment="1">
      <alignment horizontal="left" vertical="center" wrapText="1"/>
    </xf>
    <xf numFmtId="0" fontId="0" fillId="0" borderId="21" xfId="0" applyBorder="1" applyAlignment="1">
      <alignment horizontal="left" vertical="center" wrapText="1"/>
    </xf>
    <xf numFmtId="4" fontId="1" fillId="18" borderId="8" xfId="0" applyNumberFormat="1" applyFont="1" applyFill="1" applyBorder="1" applyAlignment="1">
      <alignment horizontal="center" vertical="center"/>
    </xf>
    <xf numFmtId="0" fontId="15" fillId="0" borderId="1" xfId="0" applyFont="1" applyBorder="1" applyAlignment="1">
      <alignment horizontal="left" vertical="center" wrapText="1"/>
    </xf>
    <xf numFmtId="3" fontId="28" fillId="17" borderId="1" xfId="0" applyNumberFormat="1" applyFont="1" applyFill="1" applyBorder="1" applyAlignment="1">
      <alignment horizontal="center" vertical="center"/>
    </xf>
    <xf numFmtId="3" fontId="15" fillId="18" borderId="1" xfId="0" applyNumberFormat="1" applyFont="1" applyFill="1" applyBorder="1" applyAlignment="1">
      <alignment horizontal="center" vertical="center"/>
    </xf>
    <xf numFmtId="3" fontId="15" fillId="17" borderId="1"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0" fontId="15" fillId="0" borderId="1" xfId="0" applyFont="1" applyBorder="1" applyAlignment="1">
      <alignment horizontal="left" vertical="top" wrapText="1"/>
    </xf>
    <xf numFmtId="0" fontId="0" fillId="0" borderId="6" xfId="0" applyBorder="1" applyAlignme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wrapText="1"/>
    </xf>
    <xf numFmtId="2" fontId="0" fillId="12" borderId="6" xfId="0" applyNumberFormat="1" applyFill="1" applyBorder="1" applyAlignment="1">
      <alignment horizontal="left" vertical="center" wrapText="1"/>
    </xf>
    <xf numFmtId="3" fontId="0" fillId="0" borderId="6" xfId="0" applyNumberFormat="1" applyBorder="1" applyAlignment="1">
      <alignment horizontal="left" vertical="center" wrapText="1"/>
    </xf>
    <xf numFmtId="0" fontId="27" fillId="0" borderId="6" xfId="0" applyFont="1" applyBorder="1" applyAlignment="1">
      <alignment vertical="center" wrapText="1"/>
    </xf>
    <xf numFmtId="0" fontId="15" fillId="0" borderId="6" xfId="0" applyFont="1" applyBorder="1" applyAlignment="1">
      <alignment vertical="center" wrapText="1"/>
    </xf>
    <xf numFmtId="0" fontId="0" fillId="10" borderId="6" xfId="0" applyFill="1" applyBorder="1" applyAlignment="1">
      <alignment vertical="center" wrapText="1"/>
    </xf>
    <xf numFmtId="0" fontId="27" fillId="0" borderId="6" xfId="0" applyFont="1" applyBorder="1" applyAlignment="1">
      <alignment horizontal="left" vertical="center" wrapText="1"/>
    </xf>
    <xf numFmtId="0" fontId="27" fillId="0" borderId="22" xfId="0" applyFont="1" applyBorder="1" applyAlignment="1">
      <alignment horizontal="left" vertical="center" wrapText="1"/>
    </xf>
    <xf numFmtId="10" fontId="0" fillId="0" borderId="6" xfId="0" applyNumberFormat="1" applyBorder="1" applyAlignment="1">
      <alignment horizontal="left" vertical="center" wrapText="1"/>
    </xf>
    <xf numFmtId="0" fontId="20" fillId="12" borderId="6" xfId="0" applyFont="1" applyFill="1" applyBorder="1" applyAlignment="1">
      <alignment horizontal="left" vertical="center" wrapText="1"/>
    </xf>
    <xf numFmtId="0" fontId="0" fillId="10" borderId="6" xfId="0" applyFill="1" applyBorder="1" applyAlignment="1">
      <alignment horizontal="left" vertical="center" wrapText="1"/>
    </xf>
    <xf numFmtId="0" fontId="0" fillId="10" borderId="33" xfId="0" applyFill="1" applyBorder="1" applyAlignment="1">
      <alignment horizontal="left" vertical="center" wrapText="1"/>
    </xf>
    <xf numFmtId="0" fontId="0" fillId="10" borderId="77" xfId="0" applyFill="1" applyBorder="1" applyAlignment="1">
      <alignment vertical="center" wrapText="1"/>
    </xf>
    <xf numFmtId="0" fontId="0" fillId="10" borderId="67" xfId="0" applyFill="1" applyBorder="1" applyAlignment="1">
      <alignment horizontal="left" vertical="center" wrapText="1"/>
    </xf>
    <xf numFmtId="0" fontId="0" fillId="10" borderId="22" xfId="0" applyFill="1" applyBorder="1" applyAlignment="1">
      <alignment horizontal="left" vertical="center" wrapText="1"/>
    </xf>
    <xf numFmtId="0" fontId="0" fillId="12" borderId="33" xfId="0" applyFill="1" applyBorder="1" applyAlignment="1">
      <alignment horizontal="left" vertical="center" wrapText="1"/>
    </xf>
    <xf numFmtId="0" fontId="0" fillId="12" borderId="78" xfId="0" applyFill="1"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vertical="center"/>
    </xf>
    <xf numFmtId="3" fontId="0" fillId="0" borderId="8" xfId="0" applyNumberFormat="1" applyBorder="1" applyAlignment="1">
      <alignment horizontal="center" vertical="center"/>
    </xf>
    <xf numFmtId="3" fontId="15" fillId="18" borderId="8" xfId="0" applyNumberFormat="1" applyFont="1" applyFill="1" applyBorder="1" applyAlignment="1">
      <alignment horizontal="center" vertical="center"/>
    </xf>
    <xf numFmtId="0" fontId="15" fillId="0" borderId="8" xfId="0" applyFont="1" applyBorder="1" applyAlignment="1">
      <alignment horizontal="left" vertical="center" wrapText="1"/>
    </xf>
    <xf numFmtId="0" fontId="0" fillId="0" borderId="9" xfId="0" applyBorder="1" applyAlignment="1">
      <alignment vertical="center" wrapText="1"/>
    </xf>
    <xf numFmtId="0" fontId="0" fillId="0" borderId="75" xfId="0" applyBorder="1" applyAlignment="1">
      <alignment horizontal="center" vertical="center"/>
    </xf>
    <xf numFmtId="0" fontId="9" fillId="0" borderId="27" xfId="0" applyFont="1" applyBorder="1" applyAlignment="1">
      <alignment vertical="center" wrapText="1"/>
    </xf>
    <xf numFmtId="3" fontId="0" fillId="4" borderId="1" xfId="0" applyNumberFormat="1" applyFill="1" applyBorder="1" applyAlignment="1">
      <alignment horizontal="center" vertical="center"/>
    </xf>
    <xf numFmtId="0" fontId="28" fillId="0" borderId="1" xfId="0" applyFont="1" applyBorder="1" applyAlignment="1">
      <alignment horizontal="center" vertical="center"/>
    </xf>
    <xf numFmtId="0" fontId="28" fillId="0" borderId="0" xfId="0" applyFont="1" applyAlignment="1">
      <alignment vertical="center"/>
    </xf>
    <xf numFmtId="0" fontId="28" fillId="0" borderId="5" xfId="0" applyFont="1" applyBorder="1" applyAlignment="1">
      <alignment horizontal="left" vertical="center" wrapText="1"/>
    </xf>
    <xf numFmtId="0" fontId="28" fillId="0" borderId="1" xfId="0" applyFont="1" applyBorder="1" applyAlignment="1">
      <alignment horizontal="left" vertical="center" wrapText="1"/>
    </xf>
    <xf numFmtId="3" fontId="28" fillId="0" borderId="1" xfId="0" applyNumberFormat="1" applyFont="1" applyBorder="1" applyAlignment="1">
      <alignment horizontal="center" vertical="center"/>
    </xf>
    <xf numFmtId="0" fontId="28" fillId="0" borderId="6" xfId="0" applyFont="1" applyBorder="1" applyAlignment="1">
      <alignment vertical="center" wrapText="1"/>
    </xf>
    <xf numFmtId="0" fontId="28" fillId="0" borderId="0" xfId="0" applyFont="1" applyAlignment="1">
      <alignment vertical="center" wrapText="1"/>
    </xf>
    <xf numFmtId="0" fontId="22" fillId="0" borderId="34" xfId="0" applyFont="1" applyBorder="1" applyAlignment="1">
      <alignment horizontal="left"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4" fontId="16" fillId="0" borderId="1" xfId="0" applyNumberFormat="1" applyFont="1" applyBorder="1" applyAlignment="1">
      <alignment horizontal="center" vertical="center" wrapText="1"/>
    </xf>
    <xf numFmtId="167" fontId="0" fillId="0" borderId="8" xfId="0" applyNumberFormat="1" applyBorder="1" applyAlignment="1">
      <alignment horizontal="center" vertical="center" wrapText="1"/>
    </xf>
    <xf numFmtId="167" fontId="0" fillId="0" borderId="1" xfId="0" applyNumberFormat="1" applyBorder="1" applyAlignment="1">
      <alignment horizontal="center" vertical="center"/>
    </xf>
    <xf numFmtId="167" fontId="0" fillId="0" borderId="21" xfId="0" applyNumberFormat="1" applyBorder="1" applyAlignment="1">
      <alignment horizontal="center" vertical="center"/>
    </xf>
    <xf numFmtId="167" fontId="1" fillId="0" borderId="8" xfId="0" applyNumberFormat="1" applyFont="1" applyBorder="1" applyAlignment="1">
      <alignment horizontal="center" vertical="center"/>
    </xf>
    <xf numFmtId="0" fontId="11" fillId="0" borderId="26" xfId="0" applyFont="1" applyBorder="1" applyAlignment="1">
      <alignment horizontal="right" vertical="center" wrapText="1"/>
    </xf>
    <xf numFmtId="0" fontId="11" fillId="0" borderId="27" xfId="0" applyFont="1" applyBorder="1" applyAlignment="1">
      <alignment horizontal="right"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8" fillId="2" borderId="52"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19" fillId="8" borderId="52" xfId="0" applyFont="1" applyFill="1" applyBorder="1" applyAlignment="1">
      <alignment horizontal="left" vertical="center" wrapText="1"/>
    </xf>
    <xf numFmtId="0" fontId="19" fillId="8" borderId="54"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0" fillId="0" borderId="14" xfId="0" applyFont="1" applyBorder="1" applyAlignment="1">
      <alignment horizontal="right" vertical="center" wrapText="1"/>
    </xf>
    <xf numFmtId="0" fontId="10" fillId="0" borderId="16" xfId="0" applyFont="1" applyBorder="1" applyAlignment="1">
      <alignment horizontal="righ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vertical="center"/>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21" fillId="0" borderId="40" xfId="0" applyFont="1" applyBorder="1" applyAlignment="1">
      <alignment horizontal="center" vertical="center"/>
    </xf>
    <xf numFmtId="0" fontId="21" fillId="0" borderId="32" xfId="0" applyFont="1" applyBorder="1" applyAlignment="1">
      <alignment horizontal="center" vertical="center"/>
    </xf>
    <xf numFmtId="0" fontId="21" fillId="0" borderId="34"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1" xfId="0" applyFont="1" applyBorder="1" applyAlignment="1">
      <alignment horizontal="left"/>
    </xf>
    <xf numFmtId="0" fontId="1" fillId="0" borderId="42" xfId="0" applyFont="1" applyBorder="1" applyAlignment="1">
      <alignment horizontal="center" vertical="center"/>
    </xf>
    <xf numFmtId="0" fontId="17" fillId="0" borderId="34" xfId="0" applyFont="1" applyBorder="1" applyAlignment="1">
      <alignment horizontal="center"/>
    </xf>
    <xf numFmtId="0" fontId="25" fillId="0" borderId="34" xfId="0" applyFont="1" applyBorder="1" applyAlignment="1">
      <alignment horizontal="center"/>
    </xf>
    <xf numFmtId="0" fontId="25" fillId="0" borderId="48" xfId="0" applyFont="1" applyBorder="1" applyAlignment="1">
      <alignment horizontal="center"/>
    </xf>
    <xf numFmtId="0" fontId="26" fillId="0" borderId="40" xfId="0" applyFont="1" applyBorder="1" applyAlignment="1">
      <alignment horizontal="left"/>
    </xf>
    <xf numFmtId="0" fontId="26" fillId="0" borderId="32" xfId="0" applyFont="1" applyBorder="1" applyAlignment="1">
      <alignment horizontal="left"/>
    </xf>
    <xf numFmtId="0" fontId="26" fillId="0" borderId="72" xfId="0" applyFont="1" applyBorder="1" applyAlignment="1">
      <alignment horizontal="left"/>
    </xf>
    <xf numFmtId="0" fontId="17" fillId="0" borderId="26" xfId="0" applyFont="1" applyBorder="1"/>
    <xf numFmtId="0" fontId="17" fillId="0" borderId="62" xfId="0" applyFont="1" applyBorder="1"/>
    <xf numFmtId="0" fontId="17" fillId="0" borderId="27" xfId="0" applyFont="1" applyBorder="1"/>
    <xf numFmtId="0" fontId="20" fillId="0" borderId="75" xfId="0" applyFont="1" applyBorder="1" applyAlignment="1">
      <alignment horizontal="center"/>
    </xf>
    <xf numFmtId="0" fontId="20" fillId="0" borderId="16" xfId="0" applyFont="1" applyBorder="1" applyAlignment="1">
      <alignment horizontal="center"/>
    </xf>
  </cellXfs>
  <cellStyles count="8">
    <cellStyle name="Currency" xfId="7" builtinId="4"/>
    <cellStyle name="Neutral 2" xfId="6" xr:uid="{00000000-0005-0000-0000-000001000000}"/>
    <cellStyle name="Normal" xfId="0" builtinId="0"/>
    <cellStyle name="Normal 2" xfId="1" xr:uid="{00000000-0005-0000-0000-000003000000}"/>
    <cellStyle name="Normal 2 2" xfId="2" xr:uid="{00000000-0005-0000-0000-000004000000}"/>
    <cellStyle name="Normal 2 2 2" xfId="3" xr:uid="{00000000-0005-0000-0000-000005000000}"/>
    <cellStyle name="Normal 3" xfId="4" xr:uid="{00000000-0005-0000-0000-000006000000}"/>
    <cellStyle name="Normal 3 2" xfId="5" xr:uid="{00000000-0005-0000-0000-000007000000}"/>
  </cellStyles>
  <dxfs count="1">
    <dxf>
      <fill>
        <patternFill>
          <bgColor rgb="FFFFFF00"/>
        </patternFill>
      </fill>
    </dxf>
  </dxfs>
  <tableStyles count="0" defaultTableStyle="TableStyleMedium2" defaultPivotStyle="PivotStyleLight16"/>
  <colors>
    <mruColors>
      <color rgb="FF5D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177765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Clark, Lisa Marie - FNS" id="{8960F7C1-E08D-45B7-A66F-0A3C5FBC7884}" userId="S::lisamarie.clark@usda.gov::26cbb1ae-d815-4797-9e51-846e4bb173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23-02-10T19:19:59.20" personId="{8960F7C1-E08D-45B7-A66F-0A3C5FBC7884}" id="{BD0E4617-5783-48A8-906A-A4AFF01764DA}">
    <text>F=G/E for State Agency Reporting</text>
  </threadedComment>
  <threadedComment ref="G4" dT="2023-02-10T19:21:07.75" personId="{8960F7C1-E08D-45B7-A66F-0A3C5FBC7884}" id="{5424E737-D042-464D-9D4D-91E3AAFD72E4}">
    <text>G= E x F for Individuals/Household Reporting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44"/>
  <sheetViews>
    <sheetView tabSelected="1" zoomScale="70" zoomScaleNormal="70" workbookViewId="0">
      <pane ySplit="4" topLeftCell="A136" activePane="bottomLeft" state="frozen"/>
      <selection pane="bottomLeft" activeCell="O144" sqref="O144"/>
    </sheetView>
  </sheetViews>
  <sheetFormatPr defaultRowHeight="14.5" x14ac:dyDescent="0.35"/>
  <cols>
    <col min="1" max="1" width="13.81640625" customWidth="1"/>
    <col min="2" max="2" width="3.54296875" customWidth="1"/>
    <col min="3" max="3" width="17.1796875" style="3" customWidth="1"/>
    <col min="4" max="4" width="30.54296875" customWidth="1"/>
    <col min="5" max="5" width="18.81640625" style="1" customWidth="1"/>
    <col min="6" max="6" width="21.7265625" style="5" customWidth="1"/>
    <col min="7" max="7" width="22.26953125" style="65" customWidth="1"/>
    <col min="8" max="8" width="18.81640625" style="69" customWidth="1"/>
    <col min="9" max="9" width="21.54296875" style="5" customWidth="1"/>
    <col min="10" max="10" width="18.81640625" style="5" customWidth="1"/>
    <col min="11" max="11" width="23.81640625" style="5" customWidth="1"/>
    <col min="12" max="12" width="18.81640625" style="5" customWidth="1"/>
    <col min="13" max="13" width="25.7265625" style="5" customWidth="1"/>
    <col min="14" max="14" width="18.81640625" style="5" customWidth="1"/>
    <col min="15" max="15" width="29.453125" style="5" customWidth="1"/>
    <col min="16" max="16" width="4.1796875" style="1" customWidth="1"/>
    <col min="17" max="17" width="11.26953125" bestFit="1" customWidth="1"/>
    <col min="18" max="18" width="19.81640625" customWidth="1"/>
    <col min="19" max="19" width="25" customWidth="1"/>
  </cols>
  <sheetData>
    <row r="1" spans="1:21" ht="15" thickBot="1" x14ac:dyDescent="0.4"/>
    <row r="2" spans="1:21" ht="30" customHeight="1" thickBot="1" x14ac:dyDescent="0.4">
      <c r="A2" s="322" t="s">
        <v>0</v>
      </c>
      <c r="C2" s="325" t="s">
        <v>1</v>
      </c>
      <c r="D2" s="326"/>
      <c r="E2" s="326"/>
      <c r="F2" s="326"/>
      <c r="G2" s="326"/>
      <c r="H2" s="326"/>
      <c r="I2" s="326"/>
      <c r="J2" s="326"/>
      <c r="K2" s="326"/>
      <c r="L2" s="326"/>
      <c r="M2" s="326"/>
      <c r="N2" s="326"/>
      <c r="O2" s="327"/>
    </row>
    <row r="3" spans="1:21" ht="70.900000000000006" customHeight="1" thickBot="1" x14ac:dyDescent="0.4">
      <c r="A3" s="322"/>
      <c r="C3" s="23" t="s">
        <v>2</v>
      </c>
      <c r="D3" s="24" t="s">
        <v>3</v>
      </c>
      <c r="E3" s="24" t="s">
        <v>4</v>
      </c>
      <c r="F3" s="25" t="s">
        <v>5</v>
      </c>
      <c r="G3" s="66" t="s">
        <v>6</v>
      </c>
      <c r="H3" s="70" t="s">
        <v>7</v>
      </c>
      <c r="I3" s="25" t="s">
        <v>8</v>
      </c>
      <c r="J3" s="25" t="s">
        <v>9</v>
      </c>
      <c r="K3" s="25" t="s">
        <v>10</v>
      </c>
      <c r="L3" s="25" t="s">
        <v>11</v>
      </c>
      <c r="M3" s="25" t="s">
        <v>12</v>
      </c>
      <c r="N3" s="25" t="s">
        <v>13</v>
      </c>
      <c r="O3" s="26" t="s">
        <v>14</v>
      </c>
      <c r="Q3" s="132" t="s">
        <v>15</v>
      </c>
      <c r="R3" s="131" t="s">
        <v>16</v>
      </c>
      <c r="S3" s="207" t="s">
        <v>17</v>
      </c>
    </row>
    <row r="4" spans="1:21" ht="15" thickBot="1" x14ac:dyDescent="0.4">
      <c r="A4" s="322"/>
      <c r="C4" s="133" t="s">
        <v>18</v>
      </c>
      <c r="D4" s="134" t="s">
        <v>19</v>
      </c>
      <c r="E4" s="134" t="s">
        <v>20</v>
      </c>
      <c r="F4" s="45" t="s">
        <v>21</v>
      </c>
      <c r="G4" s="135" t="s">
        <v>22</v>
      </c>
      <c r="H4" s="136" t="s">
        <v>23</v>
      </c>
      <c r="I4" s="137" t="s">
        <v>24</v>
      </c>
      <c r="J4" s="137" t="s">
        <v>25</v>
      </c>
      <c r="K4" s="137" t="s">
        <v>26</v>
      </c>
      <c r="L4" s="137" t="s">
        <v>27</v>
      </c>
      <c r="M4" s="137" t="s">
        <v>28</v>
      </c>
      <c r="N4" s="137" t="s">
        <v>29</v>
      </c>
      <c r="O4" s="138" t="s">
        <v>30</v>
      </c>
      <c r="Q4" s="129"/>
      <c r="R4" s="130"/>
      <c r="T4" s="129"/>
      <c r="U4" s="129"/>
    </row>
    <row r="5" spans="1:21" ht="29.65" customHeight="1" thickBot="1" x14ac:dyDescent="0.4">
      <c r="A5" s="72"/>
      <c r="C5" s="334" t="s">
        <v>31</v>
      </c>
      <c r="D5" s="335"/>
      <c r="E5" s="335"/>
      <c r="F5" s="335"/>
      <c r="G5" s="335"/>
      <c r="H5" s="335"/>
      <c r="I5" s="335"/>
      <c r="J5" s="335"/>
      <c r="K5" s="335"/>
      <c r="L5" s="335"/>
      <c r="M5" s="335"/>
      <c r="N5" s="335"/>
      <c r="O5" s="336"/>
    </row>
    <row r="6" spans="1:21" ht="24" customHeight="1" thickBot="1" x14ac:dyDescent="0.4">
      <c r="A6" s="41"/>
      <c r="C6" s="328"/>
      <c r="D6" s="329"/>
      <c r="E6" s="329"/>
      <c r="F6" s="329"/>
      <c r="G6" s="329"/>
      <c r="H6" s="329"/>
      <c r="I6" s="329"/>
      <c r="J6" s="329"/>
      <c r="K6" s="329"/>
      <c r="L6" s="329"/>
      <c r="M6" s="329"/>
      <c r="N6" s="329"/>
      <c r="O6" s="330"/>
    </row>
    <row r="7" spans="1:21" x14ac:dyDescent="0.35">
      <c r="A7" s="39"/>
      <c r="C7" s="331" t="s">
        <v>32</v>
      </c>
      <c r="D7" s="332"/>
      <c r="E7" s="332"/>
      <c r="F7" s="332"/>
      <c r="G7" s="332"/>
      <c r="H7" s="332"/>
      <c r="I7" s="332"/>
      <c r="J7" s="332"/>
      <c r="K7" s="332"/>
      <c r="L7" s="332"/>
      <c r="M7" s="332"/>
      <c r="N7" s="332"/>
      <c r="O7" s="333"/>
    </row>
    <row r="8" spans="1:21" ht="45" customHeight="1" x14ac:dyDescent="0.35">
      <c r="A8" s="38" t="s">
        <v>33</v>
      </c>
      <c r="C8" s="36">
        <v>273.2</v>
      </c>
      <c r="D8" s="2" t="s">
        <v>34</v>
      </c>
      <c r="E8" s="4">
        <f>Assumptions!F5</f>
        <v>53</v>
      </c>
      <c r="F8" s="37">
        <f>G8/E8</f>
        <v>398917.26415094337</v>
      </c>
      <c r="G8" s="4">
        <f>Assumptions!F14</f>
        <v>21142615</v>
      </c>
      <c r="H8" s="67">
        <v>0.31730000000000003</v>
      </c>
      <c r="I8" s="37">
        <f>G8*H8</f>
        <v>6708551.7395000001</v>
      </c>
      <c r="J8" s="27">
        <f>'Labor Rates'!E6</f>
        <v>29.39</v>
      </c>
      <c r="K8" s="27">
        <f>I8*J8</f>
        <v>197164335.623905</v>
      </c>
      <c r="L8" s="37">
        <v>5731136.3799999999</v>
      </c>
      <c r="M8" s="141">
        <f>I8-L8</f>
        <v>977415.35950000025</v>
      </c>
      <c r="N8" s="141">
        <v>0</v>
      </c>
      <c r="O8" s="142">
        <f>M8+N8</f>
        <v>977415.35950000025</v>
      </c>
      <c r="R8" s="6"/>
    </row>
    <row r="9" spans="1:21" x14ac:dyDescent="0.35">
      <c r="A9" s="39"/>
      <c r="C9" s="316" t="s">
        <v>35</v>
      </c>
      <c r="D9" s="317"/>
      <c r="E9" s="317"/>
      <c r="F9" s="317"/>
      <c r="G9" s="317"/>
      <c r="H9" s="317"/>
      <c r="I9" s="317"/>
      <c r="J9" s="317"/>
      <c r="K9" s="317"/>
      <c r="L9" s="317"/>
      <c r="M9" s="317"/>
      <c r="N9" s="317"/>
      <c r="O9" s="318"/>
    </row>
    <row r="10" spans="1:21" ht="45" customHeight="1" x14ac:dyDescent="0.35">
      <c r="A10" s="38" t="s">
        <v>33</v>
      </c>
      <c r="C10" s="36" t="s">
        <v>36</v>
      </c>
      <c r="D10" s="2" t="s">
        <v>37</v>
      </c>
      <c r="E10" s="4">
        <f>Assumptions!F6</f>
        <v>53</v>
      </c>
      <c r="F10" s="37">
        <f>G10/E10</f>
        <v>301069.64150943398</v>
      </c>
      <c r="G10" s="4">
        <f>Assumptions!F8</f>
        <v>15956691</v>
      </c>
      <c r="H10" s="67">
        <v>0.63460000000000005</v>
      </c>
      <c r="I10" s="37">
        <f>G10*H10</f>
        <v>10126116.1086</v>
      </c>
      <c r="J10" s="27">
        <f>'Labor Rates'!E6</f>
        <v>29.39</v>
      </c>
      <c r="K10" s="27">
        <f>I10*J10</f>
        <v>297606552.43175399</v>
      </c>
      <c r="L10" s="37">
        <v>8650772.0099999998</v>
      </c>
      <c r="M10" s="37">
        <f>I10-L10</f>
        <v>1475344.0986000001</v>
      </c>
      <c r="N10" s="37">
        <v>0</v>
      </c>
      <c r="O10" s="7">
        <f>M10+N10</f>
        <v>1475344.0986000001</v>
      </c>
      <c r="R10" s="6"/>
    </row>
    <row r="11" spans="1:21" ht="45" customHeight="1" x14ac:dyDescent="0.35">
      <c r="A11" s="38" t="s">
        <v>33</v>
      </c>
      <c r="C11" s="36" t="s">
        <v>36</v>
      </c>
      <c r="D11" s="2" t="s">
        <v>38</v>
      </c>
      <c r="E11" s="4">
        <f>Assumptions!F7</f>
        <v>53</v>
      </c>
      <c r="F11" s="37">
        <f>G11/E11</f>
        <v>97847.622641509428</v>
      </c>
      <c r="G11" s="4">
        <f>Assumptions!F9</f>
        <v>5185924</v>
      </c>
      <c r="H11" s="67">
        <v>0.63460000000000005</v>
      </c>
      <c r="I11" s="37">
        <f>G11*H11</f>
        <v>3290987.3704000004</v>
      </c>
      <c r="J11" s="27">
        <f>'Labor Rates'!E6</f>
        <v>29.39</v>
      </c>
      <c r="K11" s="27">
        <f>I11*J11</f>
        <v>96722118.816056013</v>
      </c>
      <c r="L11" s="37">
        <v>2811500.74</v>
      </c>
      <c r="M11" s="37">
        <f>I11-L11</f>
        <v>479486.63040000014</v>
      </c>
      <c r="N11" s="37">
        <v>0</v>
      </c>
      <c r="O11" s="7">
        <f>M11+N11</f>
        <v>479486.63040000014</v>
      </c>
      <c r="R11" s="6"/>
    </row>
    <row r="12" spans="1:21" x14ac:dyDescent="0.35">
      <c r="A12" s="39"/>
      <c r="C12" s="316" t="s">
        <v>39</v>
      </c>
      <c r="D12" s="317"/>
      <c r="E12" s="317"/>
      <c r="F12" s="317"/>
      <c r="G12" s="317"/>
      <c r="H12" s="317"/>
      <c r="I12" s="317"/>
      <c r="J12" s="317"/>
      <c r="K12" s="317"/>
      <c r="L12" s="317"/>
      <c r="M12" s="317"/>
      <c r="N12" s="317"/>
      <c r="O12" s="318"/>
    </row>
    <row r="13" spans="1:21" ht="45" customHeight="1" x14ac:dyDescent="0.35">
      <c r="A13" s="38" t="s">
        <v>33</v>
      </c>
      <c r="C13" s="36" t="s">
        <v>40</v>
      </c>
      <c r="D13" s="2" t="s">
        <v>41</v>
      </c>
      <c r="E13" s="4">
        <f>Assumptions!F5</f>
        <v>53</v>
      </c>
      <c r="F13" s="37">
        <f>G13/E13</f>
        <v>398917.26415094337</v>
      </c>
      <c r="G13" s="4">
        <f>Assumptions!F14</f>
        <v>21142615</v>
      </c>
      <c r="H13" s="67">
        <v>8.3500000000000005E-2</v>
      </c>
      <c r="I13" s="37">
        <f>G13*H13</f>
        <v>1765408.3525</v>
      </c>
      <c r="J13" s="27">
        <f>'Labor Rates'!E6</f>
        <v>29.39</v>
      </c>
      <c r="K13" s="27">
        <f t="shared" ref="K13:K27" si="0">I13*J13</f>
        <v>51885351.479975</v>
      </c>
      <c r="L13" s="37">
        <v>1508193.78</v>
      </c>
      <c r="M13" s="37">
        <f t="shared" ref="M13:M23" si="1">I13-L13</f>
        <v>257214.57250000001</v>
      </c>
      <c r="N13" s="37">
        <v>0</v>
      </c>
      <c r="O13" s="7">
        <f>M13+N13</f>
        <v>257214.57250000001</v>
      </c>
      <c r="R13" s="6"/>
    </row>
    <row r="14" spans="1:21" ht="45" customHeight="1" x14ac:dyDescent="0.35">
      <c r="A14" s="38" t="s">
        <v>33</v>
      </c>
      <c r="C14" s="36" t="s">
        <v>40</v>
      </c>
      <c r="D14" s="2" t="s">
        <v>42</v>
      </c>
      <c r="E14" s="4">
        <f>Assumptions!F5</f>
        <v>53</v>
      </c>
      <c r="F14" s="37">
        <f t="shared" ref="F14:F27" si="2">G14/E14</f>
        <v>398917.26415094337</v>
      </c>
      <c r="G14" s="4">
        <f>Assumptions!F14</f>
        <v>21142615</v>
      </c>
      <c r="H14" s="67">
        <v>8.3500000000000005E-2</v>
      </c>
      <c r="I14" s="37">
        <f t="shared" ref="I14:I62" si="3">G14*H14</f>
        <v>1765408.3525</v>
      </c>
      <c r="J14" s="27">
        <f>'Labor Rates'!E6</f>
        <v>29.39</v>
      </c>
      <c r="K14" s="27">
        <f t="shared" si="0"/>
        <v>51885351.479975</v>
      </c>
      <c r="L14" s="37">
        <v>1508193.78</v>
      </c>
      <c r="M14" s="37">
        <f t="shared" si="1"/>
        <v>257214.57250000001</v>
      </c>
      <c r="N14" s="37">
        <v>0</v>
      </c>
      <c r="O14" s="7">
        <f>M14+N14</f>
        <v>257214.57250000001</v>
      </c>
    </row>
    <row r="15" spans="1:21" ht="45" customHeight="1" x14ac:dyDescent="0.35">
      <c r="A15" s="38" t="s">
        <v>33</v>
      </c>
      <c r="C15" s="36" t="s">
        <v>40</v>
      </c>
      <c r="D15" s="2" t="s">
        <v>43</v>
      </c>
      <c r="E15" s="4">
        <f>Assumptions!F5</f>
        <v>53</v>
      </c>
      <c r="F15" s="37">
        <f t="shared" si="2"/>
        <v>398917.26415094337</v>
      </c>
      <c r="G15" s="4">
        <f>Assumptions!F14</f>
        <v>21142615</v>
      </c>
      <c r="H15" s="67">
        <v>8.3500000000000005E-2</v>
      </c>
      <c r="I15" s="37">
        <f t="shared" si="3"/>
        <v>1765408.3525</v>
      </c>
      <c r="J15" s="27">
        <f>'Labor Rates'!E6</f>
        <v>29.39</v>
      </c>
      <c r="K15" s="27">
        <f t="shared" si="0"/>
        <v>51885351.479975</v>
      </c>
      <c r="L15" s="37">
        <v>1508193.78</v>
      </c>
      <c r="M15" s="37">
        <f t="shared" si="1"/>
        <v>257214.57250000001</v>
      </c>
      <c r="N15" s="37">
        <v>0</v>
      </c>
      <c r="O15" s="7">
        <f t="shared" ref="O15:O29" si="4">M15+N15</f>
        <v>257214.57250000001</v>
      </c>
    </row>
    <row r="16" spans="1:21" ht="45" customHeight="1" x14ac:dyDescent="0.35">
      <c r="A16" s="38" t="s">
        <v>33</v>
      </c>
      <c r="C16" s="36" t="s">
        <v>40</v>
      </c>
      <c r="D16" s="2" t="s">
        <v>44</v>
      </c>
      <c r="E16" s="4">
        <f>Assumptions!F5</f>
        <v>53</v>
      </c>
      <c r="F16" s="37">
        <f t="shared" si="2"/>
        <v>398917.26415094337</v>
      </c>
      <c r="G16" s="4">
        <f>Assumptions!F14</f>
        <v>21142615</v>
      </c>
      <c r="H16" s="67">
        <v>8.3500000000000005E-2</v>
      </c>
      <c r="I16" s="37">
        <f t="shared" si="3"/>
        <v>1765408.3525</v>
      </c>
      <c r="J16" s="27">
        <f>'Labor Rates'!E6</f>
        <v>29.39</v>
      </c>
      <c r="K16" s="27">
        <f t="shared" si="0"/>
        <v>51885351.479975</v>
      </c>
      <c r="L16" s="37">
        <v>1508193.78</v>
      </c>
      <c r="M16" s="37">
        <f t="shared" si="1"/>
        <v>257214.57250000001</v>
      </c>
      <c r="N16" s="37">
        <v>0</v>
      </c>
      <c r="O16" s="7">
        <f t="shared" si="4"/>
        <v>257214.57250000001</v>
      </c>
    </row>
    <row r="17" spans="1:18" ht="45" customHeight="1" x14ac:dyDescent="0.35">
      <c r="A17" s="38" t="s">
        <v>33</v>
      </c>
      <c r="C17" s="36" t="s">
        <v>40</v>
      </c>
      <c r="D17" s="2" t="s">
        <v>45</v>
      </c>
      <c r="E17" s="4">
        <f>Assumptions!F5</f>
        <v>53</v>
      </c>
      <c r="F17" s="37">
        <f t="shared" si="2"/>
        <v>22436.594150943398</v>
      </c>
      <c r="G17" s="4">
        <f>Assumptions!F16</f>
        <v>1189139.49</v>
      </c>
      <c r="H17" s="67">
        <v>8.3500000000000005E-2</v>
      </c>
      <c r="I17" s="37">
        <f t="shared" si="3"/>
        <v>99293.147414999999</v>
      </c>
      <c r="J17" s="27">
        <f>'Labor Rates'!E6</f>
        <v>29.39</v>
      </c>
      <c r="K17" s="27">
        <f t="shared" si="0"/>
        <v>2918225.6025268501</v>
      </c>
      <c r="L17" s="37">
        <v>93269.5</v>
      </c>
      <c r="M17" s="37">
        <f t="shared" si="1"/>
        <v>6023.6474149999995</v>
      </c>
      <c r="N17" s="37">
        <v>0</v>
      </c>
      <c r="O17" s="7">
        <f t="shared" si="4"/>
        <v>6023.6474149999995</v>
      </c>
    </row>
    <row r="18" spans="1:18" ht="45" customHeight="1" x14ac:dyDescent="0.35">
      <c r="A18" s="38" t="s">
        <v>33</v>
      </c>
      <c r="C18" s="36" t="s">
        <v>40</v>
      </c>
      <c r="D18" s="2" t="s">
        <v>46</v>
      </c>
      <c r="E18" s="4">
        <f>Assumptions!F5</f>
        <v>53</v>
      </c>
      <c r="F18" s="37">
        <f t="shared" si="2"/>
        <v>398917.26415094337</v>
      </c>
      <c r="G18" s="4">
        <f>Assumptions!F14</f>
        <v>21142615</v>
      </c>
      <c r="H18" s="67">
        <v>8.3500000000000005E-2</v>
      </c>
      <c r="I18" s="37">
        <f t="shared" si="3"/>
        <v>1765408.3525</v>
      </c>
      <c r="J18" s="27">
        <f>'Labor Rates'!E6</f>
        <v>29.39</v>
      </c>
      <c r="K18" s="27">
        <f t="shared" si="0"/>
        <v>51885351.479975</v>
      </c>
      <c r="L18" s="37">
        <v>1508193.78</v>
      </c>
      <c r="M18" s="37">
        <f t="shared" si="1"/>
        <v>257214.57250000001</v>
      </c>
      <c r="N18" s="37">
        <v>0</v>
      </c>
      <c r="O18" s="7">
        <f t="shared" si="4"/>
        <v>257214.57250000001</v>
      </c>
    </row>
    <row r="19" spans="1:18" ht="87" x14ac:dyDescent="0.35">
      <c r="A19" s="38" t="s">
        <v>33</v>
      </c>
      <c r="C19" s="36" t="s">
        <v>40</v>
      </c>
      <c r="D19" s="2" t="s">
        <v>47</v>
      </c>
      <c r="E19" s="4">
        <f>Assumptions!F5</f>
        <v>53</v>
      </c>
      <c r="F19" s="37">
        <f>G19/E19</f>
        <v>283924.90052830183</v>
      </c>
      <c r="G19" s="4">
        <f>Assumptions!F17</f>
        <v>15048019.727999998</v>
      </c>
      <c r="H19" s="67">
        <v>8.3500000000000005E-2</v>
      </c>
      <c r="I19" s="37">
        <f t="shared" si="3"/>
        <v>1256509.647288</v>
      </c>
      <c r="J19" s="27">
        <f>'Labor Rates'!E6</f>
        <v>29.39</v>
      </c>
      <c r="K19" s="27">
        <f t="shared" si="0"/>
        <v>36928818.533794321</v>
      </c>
      <c r="L19" s="37">
        <v>1143365.5</v>
      </c>
      <c r="M19" s="37">
        <f t="shared" si="1"/>
        <v>113144.14728799998</v>
      </c>
      <c r="N19" s="37">
        <v>0</v>
      </c>
      <c r="O19" s="7">
        <f t="shared" si="4"/>
        <v>113144.14728799998</v>
      </c>
    </row>
    <row r="20" spans="1:18" ht="45" customHeight="1" x14ac:dyDescent="0.35">
      <c r="A20" s="38" t="s">
        <v>33</v>
      </c>
      <c r="C20" s="36" t="s">
        <v>40</v>
      </c>
      <c r="D20" s="2" t="s">
        <v>48</v>
      </c>
      <c r="E20" s="4">
        <f>Assumptions!F5</f>
        <v>53</v>
      </c>
      <c r="F20" s="37">
        <f t="shared" si="2"/>
        <v>56758.534396226416</v>
      </c>
      <c r="G20" s="4">
        <f>Assumptions!F18</f>
        <v>3008202.3229999999</v>
      </c>
      <c r="H20" s="67">
        <v>8.3500000000000005E-2</v>
      </c>
      <c r="I20" s="37">
        <f>G20*H20</f>
        <v>251184.89397050001</v>
      </c>
      <c r="J20" s="27">
        <f>'Labor Rates'!E6</f>
        <v>29.39</v>
      </c>
      <c r="K20" s="27">
        <f t="shared" si="0"/>
        <v>7382324.0337929958</v>
      </c>
      <c r="L20" s="37">
        <v>239144</v>
      </c>
      <c r="M20" s="37">
        <f t="shared" si="1"/>
        <v>12040.893970500008</v>
      </c>
      <c r="N20" s="37">
        <v>0</v>
      </c>
      <c r="O20" s="7">
        <f t="shared" si="4"/>
        <v>12040.893970500008</v>
      </c>
    </row>
    <row r="21" spans="1:18" ht="45" customHeight="1" x14ac:dyDescent="0.35">
      <c r="A21" s="38" t="s">
        <v>33</v>
      </c>
      <c r="C21" s="36" t="s">
        <v>40</v>
      </c>
      <c r="D21" s="2" t="s">
        <v>49</v>
      </c>
      <c r="E21" s="4">
        <f>Assumptions!F5</f>
        <v>53</v>
      </c>
      <c r="F21" s="37">
        <f t="shared" si="2"/>
        <v>6527.0092075471703</v>
      </c>
      <c r="G21" s="4">
        <f>Assumptions!F19</f>
        <v>345931.48800000001</v>
      </c>
      <c r="H21" s="67">
        <v>8.3500000000000005E-2</v>
      </c>
      <c r="I21" s="37">
        <f>G21*H21</f>
        <v>28885.279248000003</v>
      </c>
      <c r="J21" s="27">
        <f>'Labor Rates'!E6</f>
        <v>29.39</v>
      </c>
      <c r="K21" s="27">
        <f t="shared" si="0"/>
        <v>848938.35709872004</v>
      </c>
      <c r="L21" s="37">
        <v>26386</v>
      </c>
      <c r="M21" s="37">
        <f t="shared" si="1"/>
        <v>2499.2792480000026</v>
      </c>
      <c r="N21" s="37">
        <v>0</v>
      </c>
      <c r="O21" s="7">
        <f>M21+N21</f>
        <v>2499.2792480000026</v>
      </c>
    </row>
    <row r="22" spans="1:18" ht="45" customHeight="1" x14ac:dyDescent="0.35">
      <c r="A22" s="38" t="s">
        <v>33</v>
      </c>
      <c r="C22" s="36" t="s">
        <v>40</v>
      </c>
      <c r="D22" s="2" t="s">
        <v>50</v>
      </c>
      <c r="E22" s="4">
        <f>Assumptions!F5</f>
        <v>53</v>
      </c>
      <c r="F22" s="37">
        <f t="shared" si="2"/>
        <v>88930.500452830194</v>
      </c>
      <c r="G22" s="4">
        <f>Assumptions!F20</f>
        <v>4713316.5240000002</v>
      </c>
      <c r="H22" s="67">
        <v>8.3500000000000005E-2</v>
      </c>
      <c r="I22" s="37">
        <f t="shared" si="3"/>
        <v>393561.92975400004</v>
      </c>
      <c r="J22" s="27">
        <f>'Labor Rates'!E6</f>
        <v>29.39</v>
      </c>
      <c r="K22" s="27">
        <f t="shared" si="0"/>
        <v>11566785.115470061</v>
      </c>
      <c r="L22" s="37">
        <v>340095.5</v>
      </c>
      <c r="M22" s="37">
        <f t="shared" si="1"/>
        <v>53466.429754000041</v>
      </c>
      <c r="N22" s="37">
        <v>0</v>
      </c>
      <c r="O22" s="7">
        <f t="shared" si="4"/>
        <v>53466.429754000041</v>
      </c>
    </row>
    <row r="23" spans="1:18" ht="45" customHeight="1" x14ac:dyDescent="0.35">
      <c r="A23" s="38" t="s">
        <v>33</v>
      </c>
      <c r="C23" s="36" t="s">
        <v>40</v>
      </c>
      <c r="D23" s="2" t="s">
        <v>51</v>
      </c>
      <c r="E23" s="4">
        <f>Assumptions!F5</f>
        <v>53</v>
      </c>
      <c r="F23" s="37">
        <f t="shared" si="2"/>
        <v>398917.26415094337</v>
      </c>
      <c r="G23" s="4">
        <f>Assumptions!F14</f>
        <v>21142615</v>
      </c>
      <c r="H23" s="67">
        <v>8.3500000000000005E-2</v>
      </c>
      <c r="I23" s="37">
        <f t="shared" si="3"/>
        <v>1765408.3525</v>
      </c>
      <c r="J23" s="27">
        <f>'Labor Rates'!E6</f>
        <v>29.39</v>
      </c>
      <c r="K23" s="27">
        <f t="shared" si="0"/>
        <v>51885351.479975</v>
      </c>
      <c r="L23" s="37">
        <v>1508193.78</v>
      </c>
      <c r="M23" s="37">
        <f t="shared" si="1"/>
        <v>257214.57250000001</v>
      </c>
      <c r="N23" s="37">
        <v>0</v>
      </c>
      <c r="O23" s="7">
        <f>M23+N23</f>
        <v>257214.57250000001</v>
      </c>
    </row>
    <row r="24" spans="1:18" s="92" customFormat="1" ht="45" customHeight="1" x14ac:dyDescent="0.35">
      <c r="A24" s="219" t="s">
        <v>33</v>
      </c>
      <c r="C24" s="209" t="s">
        <v>40</v>
      </c>
      <c r="D24" s="210" t="s">
        <v>52</v>
      </c>
      <c r="E24" s="213">
        <f>Assumptions!F5</f>
        <v>53</v>
      </c>
      <c r="F24" s="212">
        <f>G24/E24</f>
        <v>15241.626603773584</v>
      </c>
      <c r="G24" s="211">
        <f>Assumptions!F23+Assumptions!F24</f>
        <v>807806.21</v>
      </c>
      <c r="H24" s="214">
        <v>0.1002</v>
      </c>
      <c r="I24" s="212">
        <f>G24*H24</f>
        <v>80942.182241999995</v>
      </c>
      <c r="J24" s="216">
        <f>'Labor Rates'!E6</f>
        <v>29.39</v>
      </c>
      <c r="K24" s="216">
        <f t="shared" si="0"/>
        <v>2378890.7360923798</v>
      </c>
      <c r="L24" s="212">
        <v>51434.36</v>
      </c>
      <c r="M24" s="215">
        <f>(Assumptions!F23*'Burden Calculations'!H24)-'Burden Calculations'!L24</f>
        <v>5017.6185999999943</v>
      </c>
      <c r="N24" s="215">
        <f>(Assumptions!F24*H24)</f>
        <v>24490.203641999997</v>
      </c>
      <c r="O24" s="218">
        <f>I24-L24</f>
        <v>29507.822241999995</v>
      </c>
      <c r="P24" s="93"/>
      <c r="R24" s="143"/>
    </row>
    <row r="25" spans="1:18" ht="45" customHeight="1" x14ac:dyDescent="0.35">
      <c r="A25" s="38" t="s">
        <v>33</v>
      </c>
      <c r="C25" s="36" t="s">
        <v>40</v>
      </c>
      <c r="D25" s="2" t="s">
        <v>53</v>
      </c>
      <c r="E25" s="4">
        <f>Assumptions!F5</f>
        <v>53</v>
      </c>
      <c r="F25" s="37">
        <f t="shared" si="2"/>
        <v>6981.1509433962265</v>
      </c>
      <c r="G25" s="4">
        <f>Assumptions!F26</f>
        <v>370001</v>
      </c>
      <c r="H25" s="67">
        <v>8.3500000000000005E-2</v>
      </c>
      <c r="I25" s="37">
        <f>G25*H25</f>
        <v>30895.083500000001</v>
      </c>
      <c r="J25" s="27">
        <f>'Labor Rates'!E6</f>
        <v>29.39</v>
      </c>
      <c r="K25" s="27">
        <f t="shared" si="0"/>
        <v>908006.50406499999</v>
      </c>
      <c r="L25" s="37">
        <v>30330.79</v>
      </c>
      <c r="M25" s="37">
        <f>I25-L25</f>
        <v>564.29349999999977</v>
      </c>
      <c r="N25" s="37">
        <v>0</v>
      </c>
      <c r="O25" s="7">
        <f>M25+N25</f>
        <v>564.29349999999977</v>
      </c>
    </row>
    <row r="26" spans="1:18" ht="45" customHeight="1" x14ac:dyDescent="0.35">
      <c r="A26" s="38" t="s">
        <v>33</v>
      </c>
      <c r="C26" s="36" t="s">
        <v>40</v>
      </c>
      <c r="D26" s="2" t="s">
        <v>54</v>
      </c>
      <c r="E26" s="4">
        <f>Assumptions!F5</f>
        <v>53</v>
      </c>
      <c r="F26" s="37">
        <f t="shared" si="2"/>
        <v>12646.080339622642</v>
      </c>
      <c r="G26" s="4">
        <f>Assumptions!F25</f>
        <v>670242.25800000003</v>
      </c>
      <c r="H26" s="67">
        <v>5.0099999999999999E-2</v>
      </c>
      <c r="I26" s="37">
        <f>G26*H26</f>
        <v>33579.1371258</v>
      </c>
      <c r="J26" s="27">
        <f>'Labor Rates'!E6</f>
        <v>29.39</v>
      </c>
      <c r="K26" s="27">
        <f t="shared" si="0"/>
        <v>986890.84012726205</v>
      </c>
      <c r="L26" s="37">
        <v>32965.800000000003</v>
      </c>
      <c r="M26" s="37">
        <f>I26-L26</f>
        <v>613.33712579999701</v>
      </c>
      <c r="N26" s="37">
        <v>0</v>
      </c>
      <c r="O26" s="7">
        <f t="shared" si="4"/>
        <v>613.33712579999701</v>
      </c>
    </row>
    <row r="27" spans="1:18" ht="45" customHeight="1" x14ac:dyDescent="0.35">
      <c r="A27" s="38" t="s">
        <v>33</v>
      </c>
      <c r="C27" s="36" t="s">
        <v>55</v>
      </c>
      <c r="D27" s="2" t="s">
        <v>56</v>
      </c>
      <c r="E27" s="4">
        <f>Assumptions!F5</f>
        <v>53</v>
      </c>
      <c r="F27" s="37">
        <f t="shared" si="2"/>
        <v>25682.641509433961</v>
      </c>
      <c r="G27" s="4">
        <f>Assumptions!F27</f>
        <v>1361180</v>
      </c>
      <c r="H27" s="67">
        <v>0.1002</v>
      </c>
      <c r="I27" s="37">
        <f t="shared" si="3"/>
        <v>136390.236</v>
      </c>
      <c r="J27" s="27">
        <f>'Labor Rates'!E6</f>
        <v>29.39</v>
      </c>
      <c r="K27" s="27">
        <f t="shared" si="0"/>
        <v>4008509.0360400002</v>
      </c>
      <c r="L27" s="37">
        <v>135698.15</v>
      </c>
      <c r="M27" s="37">
        <f>I27-L27</f>
        <v>692.08600000001024</v>
      </c>
      <c r="N27" s="37">
        <v>0</v>
      </c>
      <c r="O27" s="7">
        <f t="shared" si="4"/>
        <v>692.08600000001024</v>
      </c>
    </row>
    <row r="28" spans="1:18" ht="14.65" customHeight="1" x14ac:dyDescent="0.35">
      <c r="A28" s="39"/>
      <c r="C28" s="316" t="s">
        <v>57</v>
      </c>
      <c r="D28" s="317"/>
      <c r="E28" s="317"/>
      <c r="F28" s="317"/>
      <c r="G28" s="317"/>
      <c r="H28" s="317"/>
      <c r="I28" s="317"/>
      <c r="J28" s="317"/>
      <c r="K28" s="317"/>
      <c r="L28" s="317"/>
      <c r="M28" s="317"/>
      <c r="N28" s="317"/>
      <c r="O28" s="318"/>
    </row>
    <row r="29" spans="1:18" ht="45" customHeight="1" x14ac:dyDescent="0.35">
      <c r="A29" s="38" t="s">
        <v>33</v>
      </c>
      <c r="C29" s="36" t="s">
        <v>58</v>
      </c>
      <c r="D29" s="2" t="s">
        <v>59</v>
      </c>
      <c r="E29" s="4">
        <f>Assumptions!F5</f>
        <v>53</v>
      </c>
      <c r="F29" s="37">
        <f>G29/E29</f>
        <v>323705.34522684157</v>
      </c>
      <c r="G29" s="4">
        <f>Assumptions!F15</f>
        <v>17156383.297022603</v>
      </c>
      <c r="H29" s="37">
        <v>0.25</v>
      </c>
      <c r="I29" s="37">
        <f t="shared" si="3"/>
        <v>4289095.8242556509</v>
      </c>
      <c r="J29" s="27">
        <f>'Labor Rates'!E6</f>
        <v>29.39</v>
      </c>
      <c r="K29" s="27">
        <f>I29*J29</f>
        <v>126056526.27487358</v>
      </c>
      <c r="L29" s="37">
        <v>3664187.75</v>
      </c>
      <c r="M29" s="37">
        <f>I29-L29</f>
        <v>624908.07425565086</v>
      </c>
      <c r="N29" s="37">
        <v>0</v>
      </c>
      <c r="O29" s="7">
        <f t="shared" si="4"/>
        <v>624908.07425565086</v>
      </c>
    </row>
    <row r="30" spans="1:18" ht="14.65" customHeight="1" x14ac:dyDescent="0.35">
      <c r="A30" s="39"/>
      <c r="C30" s="316" t="s">
        <v>60</v>
      </c>
      <c r="D30" s="317"/>
      <c r="E30" s="317"/>
      <c r="F30" s="317"/>
      <c r="G30" s="317"/>
      <c r="H30" s="317"/>
      <c r="I30" s="317"/>
      <c r="J30" s="317"/>
      <c r="K30" s="317"/>
      <c r="L30" s="317"/>
      <c r="M30" s="317"/>
      <c r="N30" s="317"/>
      <c r="O30" s="318"/>
    </row>
    <row r="31" spans="1:18" ht="45" customHeight="1" x14ac:dyDescent="0.35">
      <c r="A31" s="38" t="s">
        <v>33</v>
      </c>
      <c r="C31" s="36" t="s">
        <v>61</v>
      </c>
      <c r="D31" s="2" t="s">
        <v>62</v>
      </c>
      <c r="E31" s="4">
        <f>Assumptions!F5</f>
        <v>53</v>
      </c>
      <c r="F31" s="37">
        <f>G31/E31</f>
        <v>323705.34522684157</v>
      </c>
      <c r="G31" s="4">
        <f>Assumptions!F15</f>
        <v>17156383.297022603</v>
      </c>
      <c r="H31" s="37">
        <v>0.5</v>
      </c>
      <c r="I31" s="37">
        <f t="shared" si="3"/>
        <v>8578191.6485113017</v>
      </c>
      <c r="J31" s="27">
        <f>'Labor Rates'!E6</f>
        <v>29.39</v>
      </c>
      <c r="K31" s="27">
        <f>I31*J31</f>
        <v>252113052.54974717</v>
      </c>
      <c r="L31" s="37">
        <v>7328375.5</v>
      </c>
      <c r="M31" s="37">
        <f>I31-L31</f>
        <v>1249816.1485113017</v>
      </c>
      <c r="N31" s="37">
        <v>0</v>
      </c>
      <c r="O31" s="7">
        <f t="shared" ref="O31:O55" si="5">M31+N31</f>
        <v>1249816.1485113017</v>
      </c>
    </row>
    <row r="32" spans="1:18" x14ac:dyDescent="0.35">
      <c r="A32" s="39"/>
      <c r="C32" s="316" t="s">
        <v>63</v>
      </c>
      <c r="D32" s="317"/>
      <c r="E32" s="317"/>
      <c r="F32" s="317"/>
      <c r="G32" s="317"/>
      <c r="H32" s="317"/>
      <c r="I32" s="317"/>
      <c r="J32" s="317"/>
      <c r="K32" s="317"/>
      <c r="L32" s="317"/>
      <c r="M32" s="317"/>
      <c r="N32" s="317"/>
      <c r="O32" s="318"/>
    </row>
    <row r="33" spans="1:19" ht="45" customHeight="1" x14ac:dyDescent="0.35">
      <c r="A33" s="38" t="s">
        <v>33</v>
      </c>
      <c r="C33" s="36" t="s">
        <v>64</v>
      </c>
      <c r="D33" s="2" t="s">
        <v>65</v>
      </c>
      <c r="E33" s="4">
        <f>Assumptions!F5</f>
        <v>53</v>
      </c>
      <c r="F33" s="37">
        <f>G33/E33</f>
        <v>161852.67924528301</v>
      </c>
      <c r="G33" s="4">
        <f>Assumptions!F29</f>
        <v>8578192</v>
      </c>
      <c r="H33" s="67">
        <v>0.1002</v>
      </c>
      <c r="I33" s="37">
        <f t="shared" si="3"/>
        <v>859534.83840000001</v>
      </c>
      <c r="J33" s="27">
        <f>'Labor Rates'!E6</f>
        <v>29.39</v>
      </c>
      <c r="K33" s="27">
        <f t="shared" ref="K33:K39" si="6">I33*J33</f>
        <v>25261728.900575999</v>
      </c>
      <c r="L33" s="37">
        <v>734303.28</v>
      </c>
      <c r="M33" s="37">
        <f t="shared" ref="M33:M39" si="7">I33-L33</f>
        <v>125231.55839999998</v>
      </c>
      <c r="N33" s="37">
        <v>0</v>
      </c>
      <c r="O33" s="7">
        <f t="shared" si="5"/>
        <v>125231.55839999998</v>
      </c>
    </row>
    <row r="34" spans="1:19" ht="45" customHeight="1" x14ac:dyDescent="0.35">
      <c r="A34" s="38" t="s">
        <v>33</v>
      </c>
      <c r="C34" s="36" t="s">
        <v>64</v>
      </c>
      <c r="D34" s="2" t="s">
        <v>66</v>
      </c>
      <c r="E34" s="4">
        <f>Assumptions!F5</f>
        <v>53</v>
      </c>
      <c r="F34" s="37">
        <f t="shared" ref="F34:F38" si="8">G34/E34</f>
        <v>3237.0566037735848</v>
      </c>
      <c r="G34" s="4">
        <f>Assumptions!F30</f>
        <v>171564</v>
      </c>
      <c r="H34" s="67">
        <v>0.1002</v>
      </c>
      <c r="I34" s="37">
        <f t="shared" si="3"/>
        <v>17190.712800000001</v>
      </c>
      <c r="J34" s="27">
        <f>'Labor Rates'!E6</f>
        <v>29.39</v>
      </c>
      <c r="K34" s="27">
        <f t="shared" si="6"/>
        <v>505235.04919200006</v>
      </c>
      <c r="L34" s="37">
        <v>14686.11</v>
      </c>
      <c r="M34" s="37">
        <f t="shared" si="7"/>
        <v>2504.6028000000006</v>
      </c>
      <c r="N34" s="37">
        <v>0</v>
      </c>
      <c r="O34" s="7">
        <f t="shared" si="5"/>
        <v>2504.6028000000006</v>
      </c>
    </row>
    <row r="35" spans="1:19" ht="62.65" customHeight="1" x14ac:dyDescent="0.35">
      <c r="A35" s="38" t="s">
        <v>33</v>
      </c>
      <c r="C35" s="36" t="s">
        <v>64</v>
      </c>
      <c r="D35" s="2" t="s">
        <v>67</v>
      </c>
      <c r="E35" s="4">
        <f>Assumptions!F5</f>
        <v>53</v>
      </c>
      <c r="F35" s="37">
        <f t="shared" si="8"/>
        <v>6474.1132075471696</v>
      </c>
      <c r="G35" s="4">
        <f>Assumptions!F31</f>
        <v>343128</v>
      </c>
      <c r="H35" s="67">
        <v>0.1002</v>
      </c>
      <c r="I35" s="37">
        <f>G35*H35</f>
        <v>34381.425600000002</v>
      </c>
      <c r="J35" s="27">
        <f>'Labor Rates'!E6</f>
        <v>29.39</v>
      </c>
      <c r="K35" s="27">
        <f t="shared" si="6"/>
        <v>1010470.0983840001</v>
      </c>
      <c r="L35" s="37">
        <v>29372.13</v>
      </c>
      <c r="M35" s="37">
        <f t="shared" si="7"/>
        <v>5009.2956000000013</v>
      </c>
      <c r="N35" s="37">
        <v>0</v>
      </c>
      <c r="O35" s="7">
        <f t="shared" si="5"/>
        <v>5009.2956000000013</v>
      </c>
    </row>
    <row r="36" spans="1:19" ht="59.25" customHeight="1" x14ac:dyDescent="0.35">
      <c r="A36" s="38" t="s">
        <v>33</v>
      </c>
      <c r="C36" s="36" t="s">
        <v>64</v>
      </c>
      <c r="D36" s="2" t="s">
        <v>68</v>
      </c>
      <c r="E36" s="4">
        <f>Assumptions!F5</f>
        <v>53</v>
      </c>
      <c r="F36" s="37">
        <f t="shared" si="8"/>
        <v>2923.8301886792451</v>
      </c>
      <c r="G36" s="4">
        <f>Assumptions!F32</f>
        <v>154963</v>
      </c>
      <c r="H36" s="67">
        <v>0.1002</v>
      </c>
      <c r="I36" s="37">
        <f t="shared" si="3"/>
        <v>15527.292599999999</v>
      </c>
      <c r="J36" s="27">
        <f>'Labor Rates'!E6</f>
        <v>29.39</v>
      </c>
      <c r="K36" s="27">
        <f t="shared" si="6"/>
        <v>456347.12951399997</v>
      </c>
      <c r="L36" s="37">
        <v>14183.81</v>
      </c>
      <c r="M36" s="37">
        <f t="shared" si="7"/>
        <v>1343.4825999999994</v>
      </c>
      <c r="N36" s="37">
        <v>0</v>
      </c>
      <c r="O36" s="7">
        <f t="shared" si="5"/>
        <v>1343.4825999999994</v>
      </c>
    </row>
    <row r="37" spans="1:19" ht="45" customHeight="1" x14ac:dyDescent="0.35">
      <c r="A37" s="38" t="s">
        <v>33</v>
      </c>
      <c r="C37" s="36" t="s">
        <v>64</v>
      </c>
      <c r="D37" s="2" t="s">
        <v>69</v>
      </c>
      <c r="E37" s="4">
        <f>Assumptions!F5</f>
        <v>53</v>
      </c>
      <c r="F37" s="37">
        <f t="shared" si="8"/>
        <v>127186.7358490566</v>
      </c>
      <c r="G37" s="4">
        <f>Assumptions!F33</f>
        <v>6740897</v>
      </c>
      <c r="H37" s="67">
        <v>0.1002</v>
      </c>
      <c r="I37" s="37">
        <f t="shared" si="3"/>
        <v>675437.87939999998</v>
      </c>
      <c r="J37" s="27">
        <f>'Labor Rates'!E6</f>
        <v>29.39</v>
      </c>
      <c r="K37" s="27">
        <f t="shared" si="6"/>
        <v>19851119.275566</v>
      </c>
      <c r="L37" s="37">
        <v>614617.07999999996</v>
      </c>
      <c r="M37" s="37">
        <f t="shared" si="7"/>
        <v>60820.799400000018</v>
      </c>
      <c r="N37" s="37">
        <v>0</v>
      </c>
      <c r="O37" s="7">
        <f t="shared" si="5"/>
        <v>60820.799400000018</v>
      </c>
    </row>
    <row r="38" spans="1:19" ht="45" customHeight="1" x14ac:dyDescent="0.35">
      <c r="A38" s="38" t="s">
        <v>33</v>
      </c>
      <c r="C38" s="36" t="s">
        <v>64</v>
      </c>
      <c r="D38" s="2" t="s">
        <v>70</v>
      </c>
      <c r="E38" s="4">
        <f>Assumptions!F5</f>
        <v>53</v>
      </c>
      <c r="F38" s="37">
        <f t="shared" si="8"/>
        <v>56758.534396226416</v>
      </c>
      <c r="G38" s="4">
        <f>Assumptions!F34</f>
        <v>3008202.3229999999</v>
      </c>
      <c r="H38" s="67">
        <v>0.1002</v>
      </c>
      <c r="I38" s="37">
        <f t="shared" si="3"/>
        <v>301421.87276459998</v>
      </c>
      <c r="J38" s="27">
        <f>'Labor Rates'!E6</f>
        <v>29.39</v>
      </c>
      <c r="K38" s="27">
        <f t="shared" si="6"/>
        <v>8858788.8405515943</v>
      </c>
      <c r="L38" s="37">
        <v>286972.79999999999</v>
      </c>
      <c r="M38" s="37">
        <f t="shared" si="7"/>
        <v>14449.072764599987</v>
      </c>
      <c r="N38" s="37">
        <v>0</v>
      </c>
      <c r="O38" s="7">
        <f t="shared" si="5"/>
        <v>14449.072764599987</v>
      </c>
    </row>
    <row r="39" spans="1:19" ht="45" customHeight="1" x14ac:dyDescent="0.35">
      <c r="A39" s="151" t="s">
        <v>33</v>
      </c>
      <c r="B39" s="196"/>
      <c r="C39" s="185" t="s">
        <v>64</v>
      </c>
      <c r="D39" s="191" t="s">
        <v>71</v>
      </c>
      <c r="E39" s="192">
        <f>Assumptions!F5</f>
        <v>53</v>
      </c>
      <c r="F39" s="141">
        <f>G39/E39</f>
        <v>266946.81083061517</v>
      </c>
      <c r="G39" s="192">
        <f>Assumptions!F35</f>
        <v>14148180.974022605</v>
      </c>
      <c r="H39" s="197">
        <v>0.1002</v>
      </c>
      <c r="I39" s="141">
        <f t="shared" si="3"/>
        <v>1417647.7335970649</v>
      </c>
      <c r="J39" s="198">
        <f>'Labor Rates'!E6</f>
        <v>29.39</v>
      </c>
      <c r="K39" s="198">
        <f t="shared" si="6"/>
        <v>41664666.89041774</v>
      </c>
      <c r="L39" s="37">
        <v>1181633.6499999999</v>
      </c>
      <c r="M39" s="141">
        <f t="shared" si="7"/>
        <v>236014.08359706495</v>
      </c>
      <c r="N39" s="141">
        <v>0</v>
      </c>
      <c r="O39" s="142">
        <f t="shared" si="5"/>
        <v>236014.08359706495</v>
      </c>
    </row>
    <row r="40" spans="1:19" x14ac:dyDescent="0.35">
      <c r="A40" s="39"/>
      <c r="C40" s="316" t="s">
        <v>72</v>
      </c>
      <c r="D40" s="317"/>
      <c r="E40" s="317"/>
      <c r="F40" s="317"/>
      <c r="G40" s="317"/>
      <c r="H40" s="317"/>
      <c r="I40" s="317"/>
      <c r="J40" s="317"/>
      <c r="K40" s="317"/>
      <c r="L40" s="317"/>
      <c r="M40" s="317"/>
      <c r="N40" s="317"/>
      <c r="O40" s="318"/>
    </row>
    <row r="41" spans="1:19" ht="45" customHeight="1" x14ac:dyDescent="0.35">
      <c r="A41" s="38" t="s">
        <v>33</v>
      </c>
      <c r="C41" s="36">
        <v>273.20999999999998</v>
      </c>
      <c r="D41" s="2" t="s">
        <v>73</v>
      </c>
      <c r="E41" s="4">
        <f>Assumptions!F10</f>
        <v>1</v>
      </c>
      <c r="F41" s="37">
        <f>G41/E41</f>
        <v>118910</v>
      </c>
      <c r="G41" s="4">
        <f>Assumptions!F41</f>
        <v>118910</v>
      </c>
      <c r="H41" s="67">
        <v>0.1169</v>
      </c>
      <c r="I41" s="37">
        <f>G41*H41</f>
        <v>13900.579</v>
      </c>
      <c r="J41" s="27">
        <f>'Labor Rates'!E6</f>
        <v>29.39</v>
      </c>
      <c r="K41" s="27">
        <f>I41*J41</f>
        <v>408538.01681</v>
      </c>
      <c r="L41" s="37">
        <v>10637.9</v>
      </c>
      <c r="M41" s="37">
        <f>I41-L41</f>
        <v>3262.6790000000001</v>
      </c>
      <c r="N41" s="37">
        <v>0</v>
      </c>
      <c r="O41" s="7">
        <f t="shared" si="5"/>
        <v>3262.6790000000001</v>
      </c>
      <c r="S41" s="6"/>
    </row>
    <row r="42" spans="1:19" ht="45" customHeight="1" x14ac:dyDescent="0.35">
      <c r="A42" s="38" t="s">
        <v>33</v>
      </c>
      <c r="C42" s="36" t="s">
        <v>74</v>
      </c>
      <c r="D42" s="2" t="s">
        <v>75</v>
      </c>
      <c r="E42" s="4">
        <f>Assumptions!F11</f>
        <v>1</v>
      </c>
      <c r="F42" s="37">
        <f>G42/E42</f>
        <v>19458</v>
      </c>
      <c r="G42" s="4">
        <f>Assumptions!F42</f>
        <v>19458</v>
      </c>
      <c r="H42" s="67">
        <v>0.1336</v>
      </c>
      <c r="I42" s="37">
        <f>G42*H42</f>
        <v>2599.5888</v>
      </c>
      <c r="J42" s="27">
        <f>'Labor Rates'!E6</f>
        <v>29.39</v>
      </c>
      <c r="K42" s="27">
        <f>I42*J42</f>
        <v>76401.914831999995</v>
      </c>
      <c r="L42" s="37">
        <v>2538.4</v>
      </c>
      <c r="M42" s="37">
        <f>I42-L42</f>
        <v>61.188799999999901</v>
      </c>
      <c r="N42" s="37">
        <v>0</v>
      </c>
      <c r="O42" s="7">
        <f t="shared" si="5"/>
        <v>61.188799999999901</v>
      </c>
    </row>
    <row r="43" spans="1:19" ht="45" customHeight="1" x14ac:dyDescent="0.35">
      <c r="A43" s="38" t="s">
        <v>33</v>
      </c>
      <c r="C43" s="36" t="s">
        <v>76</v>
      </c>
      <c r="D43" s="2" t="s">
        <v>77</v>
      </c>
      <c r="E43" s="4">
        <f>Assumptions!F12</f>
        <v>52</v>
      </c>
      <c r="F43" s="37">
        <f t="shared" ref="F43:F45" si="9">G43/E43</f>
        <v>246351.44711538462</v>
      </c>
      <c r="G43" s="4">
        <f>Assumptions!F43</f>
        <v>12810275.25</v>
      </c>
      <c r="H43" s="67">
        <v>0.1837</v>
      </c>
      <c r="I43" s="37">
        <f>G43*H43</f>
        <v>2353247.5634249998</v>
      </c>
      <c r="J43" s="27">
        <f>'Labor Rates'!E6</f>
        <v>29.39</v>
      </c>
      <c r="K43" s="27">
        <f>I43*J43</f>
        <v>69161945.889060751</v>
      </c>
      <c r="L43" s="37">
        <v>2135328.7999999998</v>
      </c>
      <c r="M43" s="37">
        <f>I43-L43</f>
        <v>217918.76342500001</v>
      </c>
      <c r="N43" s="37">
        <v>0</v>
      </c>
      <c r="O43" s="7">
        <f t="shared" si="5"/>
        <v>217918.76342500001</v>
      </c>
    </row>
    <row r="44" spans="1:19" ht="45" customHeight="1" x14ac:dyDescent="0.35">
      <c r="A44" s="38" t="s">
        <v>33</v>
      </c>
      <c r="C44" s="36" t="s">
        <v>78</v>
      </c>
      <c r="D44" s="2" t="s">
        <v>79</v>
      </c>
      <c r="E44" s="4">
        <f>Assumptions!F13</f>
        <v>22</v>
      </c>
      <c r="F44" s="37">
        <f t="shared" si="9"/>
        <v>415707.40909090912</v>
      </c>
      <c r="G44" s="4">
        <f>Assumptions!F44</f>
        <v>9145563</v>
      </c>
      <c r="H44" s="67">
        <v>0.1837</v>
      </c>
      <c r="I44" s="37">
        <f>G44*H44</f>
        <v>1680039.9231</v>
      </c>
      <c r="J44" s="27">
        <f>'Labor Rates'!E6</f>
        <v>29.39</v>
      </c>
      <c r="K44" s="27">
        <f>I44*J44</f>
        <v>49376373.339909002</v>
      </c>
      <c r="L44" s="37">
        <v>1720534.2</v>
      </c>
      <c r="M44" s="37">
        <f>I44-L44</f>
        <v>-40494.276899999939</v>
      </c>
      <c r="N44" s="37">
        <v>0</v>
      </c>
      <c r="O44" s="7">
        <f>M44+N44</f>
        <v>-40494.276899999939</v>
      </c>
    </row>
    <row r="45" spans="1:19" s="92" customFormat="1" ht="45" customHeight="1" x14ac:dyDescent="0.35">
      <c r="A45" s="40" t="s">
        <v>33</v>
      </c>
      <c r="B45"/>
      <c r="C45" s="36" t="s">
        <v>80</v>
      </c>
      <c r="D45" s="2" t="s">
        <v>81</v>
      </c>
      <c r="E45" s="4">
        <f>Assumptions!F5</f>
        <v>53</v>
      </c>
      <c r="F45" s="37">
        <f t="shared" si="9"/>
        <v>14416.66773664151</v>
      </c>
      <c r="G45" s="4">
        <f>Assumptions!F84</f>
        <v>764083.39004199998</v>
      </c>
      <c r="H45" s="67">
        <v>0.1837</v>
      </c>
      <c r="I45" s="37">
        <f>G45*H45</f>
        <v>140362.1187507154</v>
      </c>
      <c r="J45" s="27">
        <f>'Labor Rates'!E6</f>
        <v>29.39</v>
      </c>
      <c r="K45" s="27">
        <f>I45*J45</f>
        <v>4125242.6700835256</v>
      </c>
      <c r="L45" s="37">
        <v>136790.37</v>
      </c>
      <c r="M45" s="37">
        <f>I45-L45</f>
        <v>3571.7487507154001</v>
      </c>
      <c r="N45" s="37">
        <v>0</v>
      </c>
      <c r="O45" s="7">
        <f t="shared" si="5"/>
        <v>3571.7487507154001</v>
      </c>
      <c r="P45" s="93"/>
    </row>
    <row r="46" spans="1:19" x14ac:dyDescent="0.35">
      <c r="A46" s="39"/>
      <c r="C46" s="316" t="s">
        <v>82</v>
      </c>
      <c r="D46" s="317"/>
      <c r="E46" s="317"/>
      <c r="F46" s="317"/>
      <c r="G46" s="317"/>
      <c r="H46" s="317"/>
      <c r="I46" s="317"/>
      <c r="J46" s="317"/>
      <c r="K46" s="317"/>
      <c r="L46" s="317"/>
      <c r="M46" s="317"/>
      <c r="N46" s="317"/>
      <c r="O46" s="318"/>
    </row>
    <row r="47" spans="1:19" ht="45" customHeight="1" x14ac:dyDescent="0.35">
      <c r="A47" s="38" t="s">
        <v>33</v>
      </c>
      <c r="C47" s="36" t="s">
        <v>83</v>
      </c>
      <c r="D47" s="2" t="s">
        <v>84</v>
      </c>
      <c r="E47" s="4">
        <f>Assumptions!F5</f>
        <v>53</v>
      </c>
      <c r="F47" s="37">
        <f>G47/E47</f>
        <v>754706.01886792458</v>
      </c>
      <c r="G47" s="4">
        <f>Assumptions!F45</f>
        <v>39999419</v>
      </c>
      <c r="H47" s="67">
        <v>5.0099999999999999E-2</v>
      </c>
      <c r="I47" s="37">
        <f t="shared" si="3"/>
        <v>2003970.8918999999</v>
      </c>
      <c r="J47" s="27">
        <f>'Labor Rates'!E6</f>
        <v>29.39</v>
      </c>
      <c r="K47" s="27">
        <f t="shared" ref="K47:K62" si="10">I47*J47</f>
        <v>58896704.512940995</v>
      </c>
      <c r="L47" s="37">
        <v>1825851.61</v>
      </c>
      <c r="M47" s="37">
        <f>I47-L47</f>
        <v>178119.28189999983</v>
      </c>
      <c r="N47" s="37">
        <v>0</v>
      </c>
      <c r="O47" s="7">
        <f t="shared" si="5"/>
        <v>178119.28189999983</v>
      </c>
    </row>
    <row r="48" spans="1:19" ht="45" customHeight="1" x14ac:dyDescent="0.35">
      <c r="A48" s="38" t="s">
        <v>33</v>
      </c>
      <c r="C48" s="36" t="s">
        <v>85</v>
      </c>
      <c r="D48" s="2" t="s">
        <v>86</v>
      </c>
      <c r="E48" s="4">
        <f>Assumptions!F5</f>
        <v>53</v>
      </c>
      <c r="F48" s="37">
        <f t="shared" ref="F48:F55" si="11">G48/E48</f>
        <v>1107.6226415094341</v>
      </c>
      <c r="G48" s="4">
        <f>Assumptions!F46</f>
        <v>58704</v>
      </c>
      <c r="H48" s="67">
        <v>5.0099999999999999E-2</v>
      </c>
      <c r="I48" s="37">
        <f t="shared" si="3"/>
        <v>2941.0704000000001</v>
      </c>
      <c r="J48" s="27">
        <f>'Labor Rates'!E6</f>
        <v>29.39</v>
      </c>
      <c r="K48" s="27">
        <f t="shared" si="10"/>
        <v>86438.059055999998</v>
      </c>
      <c r="L48" s="37">
        <v>2679.65</v>
      </c>
      <c r="M48" s="37">
        <f>I48-L48</f>
        <v>261.42039999999997</v>
      </c>
      <c r="N48" s="37">
        <v>0</v>
      </c>
      <c r="O48" s="7">
        <f t="shared" si="5"/>
        <v>261.42039999999997</v>
      </c>
    </row>
    <row r="49" spans="1:19" s="92" customFormat="1" ht="45" customHeight="1" x14ac:dyDescent="0.35">
      <c r="A49" s="199" t="s">
        <v>33</v>
      </c>
      <c r="B49" s="196"/>
      <c r="C49" s="185" t="s">
        <v>87</v>
      </c>
      <c r="D49" s="191" t="s">
        <v>88</v>
      </c>
      <c r="E49" s="192">
        <f>Assumptions!F5</f>
        <v>53</v>
      </c>
      <c r="F49" s="141">
        <f>G49/E49</f>
        <v>28535.266886792455</v>
      </c>
      <c r="G49" s="192">
        <f>Assumptions!F81</f>
        <v>1512369.145</v>
      </c>
      <c r="H49" s="197">
        <v>3.3399999999999999E-2</v>
      </c>
      <c r="I49" s="141">
        <f>G49*H49</f>
        <v>50513.129442999998</v>
      </c>
      <c r="J49" s="198">
        <f>'Labor Rates'!E6</f>
        <v>29.39</v>
      </c>
      <c r="K49" s="198">
        <f t="shared" si="10"/>
        <v>1484580.87432977</v>
      </c>
      <c r="L49" s="37">
        <v>17133.73</v>
      </c>
      <c r="M49" s="141">
        <f>I49-L49</f>
        <v>33379.399443000002</v>
      </c>
      <c r="N49" s="141">
        <v>0</v>
      </c>
      <c r="O49" s="142">
        <f>M49+N49</f>
        <v>33379.399443000002</v>
      </c>
      <c r="P49" s="93"/>
      <c r="R49" s="143"/>
    </row>
    <row r="50" spans="1:19" ht="45" customHeight="1" x14ac:dyDescent="0.35">
      <c r="A50" s="38" t="s">
        <v>33</v>
      </c>
      <c r="C50" s="36" t="s">
        <v>89</v>
      </c>
      <c r="D50" s="2" t="s">
        <v>90</v>
      </c>
      <c r="E50" s="4">
        <f>Assumptions!F5</f>
        <v>53</v>
      </c>
      <c r="F50" s="37">
        <f t="shared" si="11"/>
        <v>42879.415094339623</v>
      </c>
      <c r="G50" s="4">
        <f>Assumptions!F47</f>
        <v>2272609</v>
      </c>
      <c r="H50" s="67">
        <v>5.0099999999999999E-2</v>
      </c>
      <c r="I50" s="37">
        <f t="shared" si="3"/>
        <v>113857.71089999999</v>
      </c>
      <c r="J50" s="27">
        <f>'Labor Rates'!E6</f>
        <v>29.39</v>
      </c>
      <c r="K50" s="27">
        <f t="shared" si="10"/>
        <v>3346278.1233509998</v>
      </c>
      <c r="L50" s="37">
        <v>103737.66</v>
      </c>
      <c r="M50" s="37">
        <f>I50-L50</f>
        <v>10120.050899999987</v>
      </c>
      <c r="N50" s="37">
        <v>0</v>
      </c>
      <c r="O50" s="7">
        <f t="shared" si="5"/>
        <v>10120.050899999987</v>
      </c>
      <c r="S50" s="6"/>
    </row>
    <row r="51" spans="1:19" ht="45" customHeight="1" x14ac:dyDescent="0.35">
      <c r="A51" s="38" t="s">
        <v>33</v>
      </c>
      <c r="C51" s="36" t="s">
        <v>91</v>
      </c>
      <c r="D51" s="2" t="s">
        <v>92</v>
      </c>
      <c r="E51" s="4">
        <f>Assumptions!F5</f>
        <v>53</v>
      </c>
      <c r="F51" s="37">
        <f>G51/E51</f>
        <v>401431.62264150946</v>
      </c>
      <c r="G51" s="4">
        <f>Assumptions!F48</f>
        <v>21275876</v>
      </c>
      <c r="H51" s="67">
        <v>5.0099999999999999E-2</v>
      </c>
      <c r="I51" s="37">
        <f>G51*H51</f>
        <v>1065921.3876</v>
      </c>
      <c r="J51" s="27">
        <f>'Labor Rates'!E6</f>
        <v>29.39</v>
      </c>
      <c r="K51" s="27">
        <f>I51*J51</f>
        <v>31327429.581564002</v>
      </c>
      <c r="L51" s="37">
        <v>971178.93</v>
      </c>
      <c r="M51" s="37">
        <f>I51-L51</f>
        <v>94742.457599999965</v>
      </c>
      <c r="N51" s="37">
        <v>0</v>
      </c>
      <c r="O51" s="7">
        <f>M51+N51</f>
        <v>94742.457599999965</v>
      </c>
      <c r="R51" s="6"/>
    </row>
    <row r="52" spans="1:19" ht="45" customHeight="1" x14ac:dyDescent="0.35">
      <c r="A52" s="253" t="s">
        <v>93</v>
      </c>
      <c r="B52" s="196"/>
      <c r="C52" s="95" t="s">
        <v>94</v>
      </c>
      <c r="D52" s="96" t="s">
        <v>95</v>
      </c>
      <c r="E52" s="97">
        <f>Assumptions!F5</f>
        <v>53</v>
      </c>
      <c r="F52" s="98">
        <f>G52/E52</f>
        <v>103698.11320754717</v>
      </c>
      <c r="G52" s="97">
        <f>Assumptions!F75</f>
        <v>5496000</v>
      </c>
      <c r="H52" s="99">
        <v>0.02</v>
      </c>
      <c r="I52" s="98">
        <f>G52*H52</f>
        <v>109920</v>
      </c>
      <c r="J52" s="100">
        <f>'Labor Rates'!E6</f>
        <v>29.39</v>
      </c>
      <c r="K52" s="100">
        <f>I52*J52</f>
        <v>3230548.8000000003</v>
      </c>
      <c r="L52" s="98">
        <v>0</v>
      </c>
      <c r="M52" s="98">
        <v>0</v>
      </c>
      <c r="N52" s="98">
        <f>I52</f>
        <v>109920</v>
      </c>
      <c r="O52" s="101">
        <f>M52+N52</f>
        <v>109920</v>
      </c>
      <c r="R52" s="6"/>
    </row>
    <row r="53" spans="1:19" s="92" customFormat="1" ht="45" customHeight="1" x14ac:dyDescent="0.35">
      <c r="A53" s="219" t="s">
        <v>33</v>
      </c>
      <c r="C53" s="209" t="s">
        <v>96</v>
      </c>
      <c r="D53" s="210" t="s">
        <v>97</v>
      </c>
      <c r="E53" s="213">
        <f>Assumptions!F5</f>
        <v>53</v>
      </c>
      <c r="F53" s="212">
        <f>G53/E53</f>
        <v>37810.785094339619</v>
      </c>
      <c r="G53" s="211">
        <f>Assumptions!F49+Assumptions!F50</f>
        <v>2003971.6099999999</v>
      </c>
      <c r="H53" s="214">
        <v>5.0099999999999999E-2</v>
      </c>
      <c r="I53" s="212">
        <f>G53*H53</f>
        <v>100398.977661</v>
      </c>
      <c r="J53" s="216">
        <f>'Labor Rates'!E6</f>
        <v>29.39</v>
      </c>
      <c r="K53" s="216">
        <f>I53*J53</f>
        <v>2950725.9534567902</v>
      </c>
      <c r="L53" s="212">
        <v>72773.210000000006</v>
      </c>
      <c r="M53" s="215">
        <f>(Assumptions!F49*'Burden Calculations'!H53)-'Burden Calculations'!L53</f>
        <v>7099.3161999999866</v>
      </c>
      <c r="N53" s="215">
        <f>(Assumptions!F50*H53)</f>
        <v>20526.451461000001</v>
      </c>
      <c r="O53" s="218">
        <f>I53-L53</f>
        <v>27625.767660999991</v>
      </c>
      <c r="P53" s="93"/>
      <c r="R53" s="143"/>
    </row>
    <row r="54" spans="1:19" ht="45" customHeight="1" x14ac:dyDescent="0.35">
      <c r="A54" s="38" t="s">
        <v>33</v>
      </c>
      <c r="C54" s="36" t="s">
        <v>98</v>
      </c>
      <c r="D54" s="2" t="s">
        <v>99</v>
      </c>
      <c r="E54" s="4">
        <f>Assumptions!F5</f>
        <v>53</v>
      </c>
      <c r="F54" s="37">
        <f t="shared" si="11"/>
        <v>6645.7735849056608</v>
      </c>
      <c r="G54" s="4">
        <f>Assumptions!F51</f>
        <v>352226</v>
      </c>
      <c r="H54" s="67">
        <v>5.0099999999999999E-2</v>
      </c>
      <c r="I54" s="37">
        <f t="shared" si="3"/>
        <v>17646.5226</v>
      </c>
      <c r="J54" s="27">
        <f>'Labor Rates'!E6</f>
        <v>29.39</v>
      </c>
      <c r="K54" s="27">
        <f t="shared" si="10"/>
        <v>518631.299214</v>
      </c>
      <c r="L54" s="37">
        <v>16078.04</v>
      </c>
      <c r="M54" s="37">
        <f>I54-L54</f>
        <v>1568.4825999999994</v>
      </c>
      <c r="N54" s="37">
        <v>0</v>
      </c>
      <c r="O54" s="7">
        <f>M54+N54</f>
        <v>1568.4825999999994</v>
      </c>
      <c r="R54" s="6"/>
    </row>
    <row r="55" spans="1:19" ht="45" customHeight="1" x14ac:dyDescent="0.35">
      <c r="A55" s="38" t="s">
        <v>33</v>
      </c>
      <c r="C55" s="36" t="s">
        <v>100</v>
      </c>
      <c r="D55" s="2" t="s">
        <v>101</v>
      </c>
      <c r="E55" s="4">
        <f>Assumptions!F5</f>
        <v>53</v>
      </c>
      <c r="F55" s="37">
        <f t="shared" si="11"/>
        <v>9926.5283018867922</v>
      </c>
      <c r="G55" s="4">
        <f>Assumptions!F52</f>
        <v>526106</v>
      </c>
      <c r="H55" s="67">
        <v>5.0099999999999999E-2</v>
      </c>
      <c r="I55" s="37">
        <f t="shared" si="3"/>
        <v>26357.910599999999</v>
      </c>
      <c r="J55" s="27">
        <f>'Labor Rates'!$E$6</f>
        <v>29.39</v>
      </c>
      <c r="K55" s="27">
        <f t="shared" si="10"/>
        <v>774658.99253399996</v>
      </c>
      <c r="L55" s="37">
        <v>24015.13</v>
      </c>
      <c r="M55" s="37">
        <f>I55-L55</f>
        <v>2342.7805999999982</v>
      </c>
      <c r="N55" s="37">
        <v>0</v>
      </c>
      <c r="O55" s="7">
        <f t="shared" si="5"/>
        <v>2342.7805999999982</v>
      </c>
      <c r="S55" s="6"/>
    </row>
    <row r="56" spans="1:19" s="92" customFormat="1" ht="45" customHeight="1" x14ac:dyDescent="0.35">
      <c r="A56" s="40" t="s">
        <v>33</v>
      </c>
      <c r="B56"/>
      <c r="C56" s="36" t="s">
        <v>102</v>
      </c>
      <c r="D56" s="2" t="s">
        <v>103</v>
      </c>
      <c r="E56" s="4">
        <f>Assumptions!F5</f>
        <v>53</v>
      </c>
      <c r="F56" s="37">
        <f>G56/E56</f>
        <v>7226.2264150943392</v>
      </c>
      <c r="G56" s="4">
        <f>Assumptions!F80</f>
        <v>382990</v>
      </c>
      <c r="H56" s="67">
        <v>5.0099999999999999E-2</v>
      </c>
      <c r="I56" s="37">
        <f t="shared" si="3"/>
        <v>19187.798999999999</v>
      </c>
      <c r="J56" s="27">
        <f>'Labor Rates'!E6</f>
        <v>29.39</v>
      </c>
      <c r="K56" s="27">
        <f t="shared" si="10"/>
        <v>563929.41261</v>
      </c>
      <c r="L56" s="37">
        <v>16392.22</v>
      </c>
      <c r="M56" s="37">
        <f>I56-L56</f>
        <v>2795.5789999999979</v>
      </c>
      <c r="N56" s="37">
        <v>0</v>
      </c>
      <c r="O56" s="7">
        <f>M56+N56</f>
        <v>2795.5789999999979</v>
      </c>
      <c r="P56" s="93"/>
    </row>
    <row r="57" spans="1:19" s="92" customFormat="1" ht="45" customHeight="1" x14ac:dyDescent="0.35">
      <c r="A57" s="208" t="s">
        <v>33</v>
      </c>
      <c r="C57" s="209" t="s">
        <v>104</v>
      </c>
      <c r="D57" s="210" t="s">
        <v>105</v>
      </c>
      <c r="E57" s="213">
        <f>Assumptions!F5</f>
        <v>53</v>
      </c>
      <c r="F57" s="212">
        <f t="shared" ref="F57:F62" si="12">G57/E57</f>
        <v>17656.898301886791</v>
      </c>
      <c r="G57" s="211">
        <f>Assumptions!F53+Assumptions!F54</f>
        <v>935815.61</v>
      </c>
      <c r="H57" s="214">
        <v>5.0099999999999999E-2</v>
      </c>
      <c r="I57" s="212">
        <f>G57*H57</f>
        <v>46884.362061</v>
      </c>
      <c r="J57" s="216">
        <f>'Labor Rates'!E6</f>
        <v>29.39</v>
      </c>
      <c r="K57" s="216">
        <f t="shared" si="10"/>
        <v>1377931.4009727901</v>
      </c>
      <c r="L57" s="212">
        <v>24015.13</v>
      </c>
      <c r="M57" s="215">
        <f>(Assumptions!F53*'Burden Calculations'!H57)-'Burden Calculations'!L57</f>
        <v>2342.7805999999982</v>
      </c>
      <c r="N57" s="215">
        <f>(Assumptions!F54*H57)</f>
        <v>20526.451461000001</v>
      </c>
      <c r="O57" s="218">
        <f>I57-L57</f>
        <v>22869.232060999999</v>
      </c>
      <c r="P57" s="93"/>
      <c r="R57" s="143"/>
    </row>
    <row r="58" spans="1:19" s="92" customFormat="1" ht="45" customHeight="1" x14ac:dyDescent="0.35">
      <c r="A58" s="40" t="s">
        <v>33</v>
      </c>
      <c r="B58"/>
      <c r="C58" s="36" t="s">
        <v>106</v>
      </c>
      <c r="D58" s="2" t="s">
        <v>107</v>
      </c>
      <c r="E58" s="4">
        <f>Assumptions!F5</f>
        <v>53</v>
      </c>
      <c r="F58" s="37">
        <f>G58/E58</f>
        <v>90191.643698113214</v>
      </c>
      <c r="G58" s="4">
        <f>Assumptions!F55</f>
        <v>4780157.1160000004</v>
      </c>
      <c r="H58" s="67">
        <v>5.0099999999999999E-2</v>
      </c>
      <c r="I58" s="37">
        <f>G58*H58</f>
        <v>239485.87151160001</v>
      </c>
      <c r="J58" s="27">
        <f>'Labor Rates'!E6</f>
        <v>29.39</v>
      </c>
      <c r="K58" s="27">
        <f t="shared" si="10"/>
        <v>7038489.7637259243</v>
      </c>
      <c r="L58" s="37">
        <v>261722.4</v>
      </c>
      <c r="M58" s="37">
        <f>I58-L58</f>
        <v>-22236.528488399985</v>
      </c>
      <c r="N58" s="37">
        <v>0</v>
      </c>
      <c r="O58" s="7">
        <f>M58+N58</f>
        <v>-22236.528488399985</v>
      </c>
      <c r="P58" s="93"/>
    </row>
    <row r="59" spans="1:19" s="92" customFormat="1" ht="45" customHeight="1" x14ac:dyDescent="0.35">
      <c r="A59" s="94" t="s">
        <v>93</v>
      </c>
      <c r="B59"/>
      <c r="C59" s="95" t="s">
        <v>108</v>
      </c>
      <c r="D59" s="96" t="s">
        <v>109</v>
      </c>
      <c r="E59" s="97">
        <f>Assumptions!F5</f>
        <v>53</v>
      </c>
      <c r="F59" s="98">
        <f>G59/E59</f>
        <v>50943.396226415098</v>
      </c>
      <c r="G59" s="97">
        <f>Assumptions!F60</f>
        <v>2700000</v>
      </c>
      <c r="H59" s="99">
        <v>8.3000000000000004E-2</v>
      </c>
      <c r="I59" s="98">
        <f>G59*H59</f>
        <v>224100</v>
      </c>
      <c r="J59" s="100">
        <f>'Labor Rates'!E6</f>
        <v>29.39</v>
      </c>
      <c r="K59" s="100">
        <f t="shared" si="10"/>
        <v>6586299</v>
      </c>
      <c r="L59" s="98">
        <f>Assumptions!E60</f>
        <v>0</v>
      </c>
      <c r="M59" s="98">
        <v>0</v>
      </c>
      <c r="N59" s="98">
        <f>I59</f>
        <v>224100</v>
      </c>
      <c r="O59" s="101">
        <f>M59+N59</f>
        <v>224100</v>
      </c>
      <c r="P59" s="93"/>
    </row>
    <row r="60" spans="1:19" s="92" customFormat="1" ht="45" customHeight="1" x14ac:dyDescent="0.35">
      <c r="A60" s="40" t="s">
        <v>33</v>
      </c>
      <c r="B60"/>
      <c r="C60" s="36" t="s">
        <v>110</v>
      </c>
      <c r="D60" s="2" t="s">
        <v>111</v>
      </c>
      <c r="E60" s="4">
        <f>Assumptions!F5</f>
        <v>53</v>
      </c>
      <c r="F60" s="37">
        <f>G60/E60</f>
        <v>20992.882584905659</v>
      </c>
      <c r="G60" s="4">
        <f>Assumptions!F56</f>
        <v>1112622.777</v>
      </c>
      <c r="H60" s="67">
        <v>5.0099999999999999E-2</v>
      </c>
      <c r="I60" s="37">
        <f>G60*H60</f>
        <v>55742.401127699995</v>
      </c>
      <c r="J60" s="27">
        <f>'Labor Rates'!E6</f>
        <v>29.39</v>
      </c>
      <c r="K60" s="27">
        <f t="shared" si="10"/>
        <v>1638269.1691431028</v>
      </c>
      <c r="L60" s="37">
        <v>6437.6</v>
      </c>
      <c r="M60" s="252">
        <f>I60-L60</f>
        <v>49304.801127699997</v>
      </c>
      <c r="N60" s="37">
        <v>0</v>
      </c>
      <c r="O60" s="7">
        <f>M60+N60</f>
        <v>49304.801127699997</v>
      </c>
      <c r="P60" s="93"/>
    </row>
    <row r="61" spans="1:19" s="92" customFormat="1" ht="45" customHeight="1" x14ac:dyDescent="0.35">
      <c r="A61" s="94" t="s">
        <v>93</v>
      </c>
      <c r="C61" s="95" t="s">
        <v>112</v>
      </c>
      <c r="D61" s="96" t="s">
        <v>113</v>
      </c>
      <c r="E61" s="97">
        <f>Assumptions!F5</f>
        <v>53</v>
      </c>
      <c r="F61" s="98">
        <f>G61/E61</f>
        <v>867.92452830188677</v>
      </c>
      <c r="G61" s="97">
        <f>Assumptions!F58</f>
        <v>46000</v>
      </c>
      <c r="H61" s="99">
        <v>8.3000000000000004E-2</v>
      </c>
      <c r="I61" s="98">
        <f>G61*H61</f>
        <v>3818</v>
      </c>
      <c r="J61" s="100">
        <f>'Labor Rates'!E6</f>
        <v>29.39</v>
      </c>
      <c r="K61" s="100">
        <f t="shared" si="10"/>
        <v>112211.02</v>
      </c>
      <c r="L61" s="98">
        <f>Assumptions!E58</f>
        <v>0</v>
      </c>
      <c r="M61" s="251">
        <v>0</v>
      </c>
      <c r="N61" s="98">
        <f>I61</f>
        <v>3818</v>
      </c>
      <c r="O61" s="101">
        <f>M61+N61</f>
        <v>3818</v>
      </c>
      <c r="P61" s="93"/>
    </row>
    <row r="62" spans="1:19" s="92" customFormat="1" ht="45" customHeight="1" x14ac:dyDescent="0.35">
      <c r="A62" s="40" t="s">
        <v>33</v>
      </c>
      <c r="B62"/>
      <c r="C62" s="36" t="s">
        <v>114</v>
      </c>
      <c r="D62" s="2" t="s">
        <v>115</v>
      </c>
      <c r="E62" s="4">
        <f>Assumptions!F5</f>
        <v>53</v>
      </c>
      <c r="F62" s="37">
        <f t="shared" si="12"/>
        <v>722622.609377785</v>
      </c>
      <c r="G62" s="4">
        <f>Assumptions!F61</f>
        <v>38298998.297022603</v>
      </c>
      <c r="H62" s="67">
        <v>5.0099999999999999E-2</v>
      </c>
      <c r="I62" s="37">
        <f t="shared" si="3"/>
        <v>1918779.8146808324</v>
      </c>
      <c r="J62" s="27">
        <f>'Labor Rates'!E6</f>
        <v>29.39</v>
      </c>
      <c r="K62" s="27">
        <f t="shared" si="10"/>
        <v>56392938.753469668</v>
      </c>
      <c r="L62" s="37">
        <v>1639219.5</v>
      </c>
      <c r="M62" s="37">
        <f>I62-L62</f>
        <v>279560.31468083244</v>
      </c>
      <c r="N62" s="37">
        <v>0</v>
      </c>
      <c r="O62" s="7">
        <f>M62+N62</f>
        <v>279560.31468083244</v>
      </c>
      <c r="P62" s="93"/>
      <c r="R62" s="143"/>
    </row>
    <row r="63" spans="1:19" x14ac:dyDescent="0.35">
      <c r="A63" s="39"/>
      <c r="C63" s="316" t="s">
        <v>116</v>
      </c>
      <c r="D63" s="317"/>
      <c r="E63" s="317"/>
      <c r="F63" s="317"/>
      <c r="G63" s="317"/>
      <c r="H63" s="317"/>
      <c r="I63" s="317"/>
      <c r="J63" s="317"/>
      <c r="K63" s="317"/>
      <c r="L63" s="317"/>
      <c r="M63" s="317"/>
      <c r="N63" s="317"/>
      <c r="O63" s="318"/>
    </row>
    <row r="64" spans="1:19" ht="45" customHeight="1" x14ac:dyDescent="0.35">
      <c r="A64" s="106" t="s">
        <v>93</v>
      </c>
      <c r="B64" s="92"/>
      <c r="C64" s="95" t="s">
        <v>117</v>
      </c>
      <c r="D64" s="96" t="s">
        <v>118</v>
      </c>
      <c r="E64" s="97">
        <f>Assumptions!F5</f>
        <v>53</v>
      </c>
      <c r="F64" s="98">
        <f>G64/E64</f>
        <v>1</v>
      </c>
      <c r="G64" s="97">
        <f>Assumptions!F57</f>
        <v>53</v>
      </c>
      <c r="H64" s="99">
        <v>24</v>
      </c>
      <c r="I64" s="98">
        <f>G64*H64</f>
        <v>1272</v>
      </c>
      <c r="J64" s="100">
        <f>'Labor Rates'!E6</f>
        <v>29.39</v>
      </c>
      <c r="K64" s="100">
        <f>I64*J64</f>
        <v>37384.080000000002</v>
      </c>
      <c r="L64" s="98">
        <f>Assumptions!E57</f>
        <v>0</v>
      </c>
      <c r="M64" s="98">
        <v>0</v>
      </c>
      <c r="N64" s="98">
        <f>I64</f>
        <v>1272</v>
      </c>
      <c r="O64" s="101">
        <f>M64+N64</f>
        <v>1272</v>
      </c>
    </row>
    <row r="65" spans="1:19" s="92" customFormat="1" ht="45" customHeight="1" x14ac:dyDescent="0.35">
      <c r="A65" s="40" t="s">
        <v>33</v>
      </c>
      <c r="B65"/>
      <c r="C65" s="36" t="s">
        <v>119</v>
      </c>
      <c r="D65" s="2" t="s">
        <v>120</v>
      </c>
      <c r="E65" s="4">
        <f>Assumptions!F5</f>
        <v>53</v>
      </c>
      <c r="F65" s="37">
        <f>G65/E65</f>
        <v>14452.452830188678</v>
      </c>
      <c r="G65" s="4">
        <f>Assumptions!F82</f>
        <v>765980</v>
      </c>
      <c r="H65" s="67">
        <v>5.0099999999999999E-2</v>
      </c>
      <c r="I65" s="37">
        <f>G65*H65</f>
        <v>38375.597999999998</v>
      </c>
      <c r="J65" s="27">
        <f>'Labor Rates'!E6</f>
        <v>29.39</v>
      </c>
      <c r="K65" s="27">
        <f>I65*J65</f>
        <v>1127858.82522</v>
      </c>
      <c r="L65" s="37">
        <v>32784.39</v>
      </c>
      <c r="M65" s="37">
        <f>I65-L65</f>
        <v>5591.2079999999987</v>
      </c>
      <c r="N65" s="37">
        <v>0</v>
      </c>
      <c r="O65" s="7">
        <f>M65+N65</f>
        <v>5591.2079999999987</v>
      </c>
      <c r="P65" s="93"/>
      <c r="R65" s="143"/>
      <c r="S65" s="143"/>
    </row>
    <row r="66" spans="1:19" s="92" customFormat="1" ht="45" customHeight="1" x14ac:dyDescent="0.35">
      <c r="A66" s="40" t="s">
        <v>33</v>
      </c>
      <c r="B66"/>
      <c r="C66" s="36" t="s">
        <v>121</v>
      </c>
      <c r="D66" s="2" t="s">
        <v>122</v>
      </c>
      <c r="E66" s="4">
        <f>Assumptions!F5</f>
        <v>53</v>
      </c>
      <c r="F66" s="37">
        <v>1</v>
      </c>
      <c r="G66" s="4">
        <f>E66*F66</f>
        <v>53</v>
      </c>
      <c r="H66" s="4">
        <v>62</v>
      </c>
      <c r="I66" s="37">
        <f>G66*H66</f>
        <v>3286</v>
      </c>
      <c r="J66" s="27">
        <f>'Labor Rates'!E6</f>
        <v>29.39</v>
      </c>
      <c r="K66" s="27">
        <f t="shared" ref="K66" si="13">I66*J66</f>
        <v>96575.540000000008</v>
      </c>
      <c r="L66" s="37">
        <v>3286</v>
      </c>
      <c r="M66" s="37">
        <f>I66-L66</f>
        <v>0</v>
      </c>
      <c r="N66" s="37">
        <v>0</v>
      </c>
      <c r="O66" s="7">
        <f>M66+N66</f>
        <v>0</v>
      </c>
      <c r="P66" s="93"/>
      <c r="R66" s="143"/>
      <c r="S66" s="204"/>
    </row>
    <row r="67" spans="1:19" s="92" customFormat="1" ht="45" customHeight="1" x14ac:dyDescent="0.35">
      <c r="A67" s="40" t="s">
        <v>33</v>
      </c>
      <c r="B67"/>
      <c r="C67" s="36" t="s">
        <v>123</v>
      </c>
      <c r="D67" s="2" t="s">
        <v>124</v>
      </c>
      <c r="E67" s="4">
        <f>Assumptions!F5</f>
        <v>53</v>
      </c>
      <c r="F67" s="37">
        <f>G67/E67</f>
        <v>895180.40183061513</v>
      </c>
      <c r="G67" s="4">
        <f>Assumptions!F83</f>
        <v>47444561.297022603</v>
      </c>
      <c r="H67" s="67">
        <v>1.67E-2</v>
      </c>
      <c r="I67" s="37">
        <f>G67*H67</f>
        <v>792324.17366027751</v>
      </c>
      <c r="J67" s="27">
        <f>'Labor Rates'!E6</f>
        <v>29.39</v>
      </c>
      <c r="K67" s="27">
        <f>I67*J67</f>
        <v>23286407.463875555</v>
      </c>
      <c r="L67" s="37">
        <v>702818.7</v>
      </c>
      <c r="M67" s="37">
        <f>I67-L67</f>
        <v>89505.473660277552</v>
      </c>
      <c r="N67" s="37">
        <v>0</v>
      </c>
      <c r="O67" s="7">
        <f>M67+N67</f>
        <v>89505.473660277552</v>
      </c>
      <c r="P67" s="93"/>
      <c r="R67" s="204"/>
      <c r="S67" s="245"/>
    </row>
    <row r="68" spans="1:19" ht="45" customHeight="1" x14ac:dyDescent="0.35">
      <c r="A68" s="41"/>
      <c r="C68" s="323" t="s">
        <v>125</v>
      </c>
      <c r="D68" s="324"/>
      <c r="E68" s="50">
        <f>Assumptions!F5</f>
        <v>53</v>
      </c>
      <c r="F68" s="51">
        <f>G68/E68</f>
        <v>8621423.668002924</v>
      </c>
      <c r="G68" s="50">
        <f>SUM(G8,G10:G11,G13:G27,G29,G31,G33:G39,G41:G45,G47:G62,G64:G67)</f>
        <v>456935454.40415502</v>
      </c>
      <c r="H68" s="84">
        <f>I68/G68</f>
        <v>0.13184074230079099</v>
      </c>
      <c r="I68" s="51">
        <f>SUM(I8,I10:I11,I13:I27,I29,I31,I33:I39,I41:I45,I47:I62,I64:I67)</f>
        <v>60242709.492193036</v>
      </c>
      <c r="J68" s="52">
        <f>K68/I68</f>
        <v>29.390000000000008</v>
      </c>
      <c r="K68" s="53">
        <f>SUM(K8,K10:K11,K13:K27,K29,K31,K33:K39,K41:K45,K47:K62,K64:K67)</f>
        <v>1770533231.9755538</v>
      </c>
      <c r="L68" s="51">
        <f>SUM(L8,L10:L11,L13:L27,L29,L31,L33:L39,L41:L45,L47:L62,L64:L67)</f>
        <v>51929547.090000004</v>
      </c>
      <c r="M68" s="51">
        <f>SUM(M8,M10:M11,M13:M27,M29,M31,M33:M39,M41:M45,M47:M62,M64:M67)</f>
        <v>7908509.2956290394</v>
      </c>
      <c r="N68" s="51">
        <f>SUM(N8,N10:N11,N13:N27,N29,N31,N33:N39,N41:N45,N47:N62,N64:N67)</f>
        <v>404653.10656400002</v>
      </c>
      <c r="O68" s="54">
        <f>M68+N68</f>
        <v>8313162.4021930397</v>
      </c>
      <c r="Q68" s="6"/>
      <c r="R68" s="68"/>
      <c r="S68" s="68"/>
    </row>
    <row r="69" spans="1:19" ht="29.25" customHeight="1" x14ac:dyDescent="0.35">
      <c r="A69" s="186"/>
      <c r="C69" s="340" t="s">
        <v>126</v>
      </c>
      <c r="D69" s="341"/>
      <c r="E69" s="341"/>
      <c r="F69" s="341"/>
      <c r="G69" s="341"/>
      <c r="H69" s="341"/>
      <c r="I69" s="341"/>
      <c r="J69" s="341"/>
      <c r="K69" s="341"/>
      <c r="L69" s="341"/>
      <c r="M69" s="341"/>
      <c r="N69" s="341"/>
      <c r="O69" s="342"/>
      <c r="R69" s="68"/>
    </row>
    <row r="70" spans="1:19" ht="45" customHeight="1" x14ac:dyDescent="0.35">
      <c r="A70" s="40" t="s">
        <v>33</v>
      </c>
      <c r="C70" s="36" t="s">
        <v>127</v>
      </c>
      <c r="D70" s="2" t="s">
        <v>128</v>
      </c>
      <c r="E70" s="4">
        <f>Assumptions!F5</f>
        <v>53</v>
      </c>
      <c r="F70" s="37">
        <f>G70/E70</f>
        <v>36</v>
      </c>
      <c r="G70" s="4">
        <f>Assumptions!F76</f>
        <v>1908</v>
      </c>
      <c r="H70" s="67">
        <f>0.5</f>
        <v>0.5</v>
      </c>
      <c r="I70" s="37">
        <f>G70*H70</f>
        <v>954</v>
      </c>
      <c r="J70" s="27">
        <f>'Labor Rates'!E6</f>
        <v>29.39</v>
      </c>
      <c r="K70" s="27">
        <f>I70*J70</f>
        <v>28038.06</v>
      </c>
      <c r="L70" s="37">
        <v>954</v>
      </c>
      <c r="M70" s="37">
        <f>I70-L70</f>
        <v>0</v>
      </c>
      <c r="N70" s="37">
        <v>0</v>
      </c>
      <c r="O70" s="7">
        <f>M70+N70</f>
        <v>0</v>
      </c>
      <c r="P70"/>
      <c r="R70" s="68"/>
    </row>
    <row r="71" spans="1:19" ht="45" customHeight="1" x14ac:dyDescent="0.35">
      <c r="A71" s="40"/>
      <c r="C71" s="323" t="s">
        <v>129</v>
      </c>
      <c r="D71" s="324"/>
      <c r="E71" s="50">
        <f>Assumptions!F5</f>
        <v>53</v>
      </c>
      <c r="F71" s="51">
        <f>G71/E71</f>
        <v>36</v>
      </c>
      <c r="G71" s="50">
        <f>G70</f>
        <v>1908</v>
      </c>
      <c r="H71" s="128">
        <f>I71/G71</f>
        <v>0.5</v>
      </c>
      <c r="I71" s="51">
        <f>I70</f>
        <v>954</v>
      </c>
      <c r="J71" s="52">
        <f>K71/I71</f>
        <v>29.39</v>
      </c>
      <c r="K71" s="52">
        <f>SUM(K70)</f>
        <v>28038.06</v>
      </c>
      <c r="L71" s="51">
        <f>L70</f>
        <v>954</v>
      </c>
      <c r="M71" s="51">
        <f>M70</f>
        <v>0</v>
      </c>
      <c r="N71" s="51">
        <f>N70</f>
        <v>0</v>
      </c>
      <c r="O71" s="55">
        <f>M71+N71</f>
        <v>0</v>
      </c>
      <c r="P71"/>
      <c r="R71" s="250"/>
    </row>
    <row r="72" spans="1:19" ht="24.65" customHeight="1" x14ac:dyDescent="0.35">
      <c r="A72" s="41"/>
      <c r="C72" s="340" t="s">
        <v>130</v>
      </c>
      <c r="D72" s="341"/>
      <c r="E72" s="341"/>
      <c r="F72" s="341"/>
      <c r="G72" s="341"/>
      <c r="H72" s="341"/>
      <c r="I72" s="341"/>
      <c r="J72" s="341"/>
      <c r="K72" s="341"/>
      <c r="L72" s="341"/>
      <c r="M72" s="341"/>
      <c r="N72" s="341"/>
      <c r="O72" s="342"/>
      <c r="P72"/>
      <c r="R72" s="68"/>
    </row>
    <row r="73" spans="1:19" ht="45.75" customHeight="1" x14ac:dyDescent="0.35">
      <c r="A73" s="40" t="s">
        <v>33</v>
      </c>
      <c r="C73" s="36" t="s">
        <v>131</v>
      </c>
      <c r="D73" s="32" t="s">
        <v>132</v>
      </c>
      <c r="E73" s="4">
        <f>Assumptions!F77</f>
        <v>2724</v>
      </c>
      <c r="F73" s="37">
        <f>G73/E73</f>
        <v>41513.950073421438</v>
      </c>
      <c r="G73" s="37">
        <f>Assumptions!F78</f>
        <v>113084000</v>
      </c>
      <c r="H73" s="67">
        <v>3.3399999999999999E-2</v>
      </c>
      <c r="I73" s="37">
        <f>G73*H73</f>
        <v>3777005.6</v>
      </c>
      <c r="J73" s="27">
        <f>'Labor Rates'!E7</f>
        <v>34.65</v>
      </c>
      <c r="K73" s="27">
        <f>I73*J73</f>
        <v>130873244.03999999</v>
      </c>
      <c r="L73" s="37">
        <v>4151653.4</v>
      </c>
      <c r="M73" s="37">
        <f>I73-L73</f>
        <v>-374647.79999999981</v>
      </c>
      <c r="N73" s="37">
        <v>0</v>
      </c>
      <c r="O73" s="7">
        <f>M73+N73</f>
        <v>-374647.79999999981</v>
      </c>
      <c r="P73"/>
      <c r="R73" s="6"/>
    </row>
    <row r="74" spans="1:19" ht="45.75" customHeight="1" x14ac:dyDescent="0.35">
      <c r="A74" s="40" t="s">
        <v>33</v>
      </c>
      <c r="C74" s="36" t="s">
        <v>133</v>
      </c>
      <c r="D74" s="32" t="s">
        <v>134</v>
      </c>
      <c r="E74" s="4">
        <f>Assumptions!F77</f>
        <v>2724</v>
      </c>
      <c r="F74" s="37">
        <f>G74/E74</f>
        <v>16470.481644640236</v>
      </c>
      <c r="G74" s="37">
        <f>Assumptions!F79</f>
        <v>44865592</v>
      </c>
      <c r="H74" s="67">
        <v>1.67E-2</v>
      </c>
      <c r="I74" s="37">
        <f>G74*H74</f>
        <v>749255.38639999996</v>
      </c>
      <c r="J74" s="27">
        <f>'Labor Rates'!E7</f>
        <v>34.65</v>
      </c>
      <c r="K74" s="27">
        <f>I74*J74</f>
        <v>25961699.138759997</v>
      </c>
      <c r="L74" s="37">
        <v>682659.19</v>
      </c>
      <c r="M74" s="37">
        <f>I74-L74</f>
        <v>66596.196400000015</v>
      </c>
      <c r="N74" s="37">
        <v>0</v>
      </c>
      <c r="O74" s="7">
        <f>M74+N74</f>
        <v>66596.196400000015</v>
      </c>
      <c r="P74"/>
      <c r="R74" s="139"/>
    </row>
    <row r="75" spans="1:19" x14ac:dyDescent="0.35">
      <c r="A75" s="39"/>
      <c r="C75" s="316"/>
      <c r="D75" s="317"/>
      <c r="E75" s="317"/>
      <c r="F75" s="317"/>
      <c r="G75" s="317"/>
      <c r="H75" s="317"/>
      <c r="I75" s="317"/>
      <c r="J75" s="317"/>
      <c r="K75" s="317"/>
      <c r="L75" s="317"/>
      <c r="M75" s="317"/>
      <c r="N75" s="317"/>
      <c r="O75" s="318"/>
    </row>
    <row r="76" spans="1:19" ht="45.75" customHeight="1" x14ac:dyDescent="0.35">
      <c r="A76" s="41"/>
      <c r="C76" s="343" t="s">
        <v>135</v>
      </c>
      <c r="D76" s="344"/>
      <c r="E76" s="50">
        <f>Assumptions!F77</f>
        <v>2724</v>
      </c>
      <c r="F76" s="306">
        <f>G76/E76</f>
        <v>57984.431718061671</v>
      </c>
      <c r="G76" s="51">
        <f>SUM(G73:G74)</f>
        <v>157949592</v>
      </c>
      <c r="H76" s="71">
        <f>I76/G76</f>
        <v>2.8656363901212227E-2</v>
      </c>
      <c r="I76" s="51">
        <f>SUM(I73:I74)</f>
        <v>4526260.9863999998</v>
      </c>
      <c r="J76" s="52">
        <f>K76/I76</f>
        <v>34.65</v>
      </c>
      <c r="K76" s="52">
        <f>SUM(K73:K74)</f>
        <v>156834943.17875999</v>
      </c>
      <c r="L76" s="51">
        <f>SUM(L73:L74)</f>
        <v>4834312.59</v>
      </c>
      <c r="M76" s="51">
        <f>SUM(M73:M74)</f>
        <v>-308051.6035999998</v>
      </c>
      <c r="N76" s="51">
        <f>SUM(N73:N74)</f>
        <v>0</v>
      </c>
      <c r="O76" s="55">
        <f>SUM(O73:O74)</f>
        <v>-308051.6035999998</v>
      </c>
      <c r="P76"/>
      <c r="R76" s="139"/>
    </row>
    <row r="77" spans="1:19" x14ac:dyDescent="0.35">
      <c r="A77" s="42"/>
      <c r="C77" s="18"/>
      <c r="D77" s="19"/>
      <c r="E77" s="19"/>
      <c r="F77" s="19"/>
      <c r="G77" s="19"/>
      <c r="H77" s="19"/>
      <c r="I77" s="19"/>
      <c r="J77" s="19"/>
      <c r="K77" s="19"/>
      <c r="L77" s="118"/>
      <c r="M77" s="118"/>
      <c r="N77" s="118"/>
      <c r="O77" s="20"/>
      <c r="P77"/>
    </row>
    <row r="78" spans="1:19" ht="45" customHeight="1" thickBot="1" x14ac:dyDescent="0.4">
      <c r="A78" s="41"/>
      <c r="C78" s="311" t="s">
        <v>136</v>
      </c>
      <c r="D78" s="312"/>
      <c r="E78" s="8">
        <f>E76+E68</f>
        <v>2777</v>
      </c>
      <c r="F78" s="9">
        <f>G78/E78</f>
        <v>221421.30154992978</v>
      </c>
      <c r="G78" s="9">
        <f>G68+G71+G76</f>
        <v>614886954.40415502</v>
      </c>
      <c r="H78" s="9">
        <f>I78/G78</f>
        <v>0.1053363126582465</v>
      </c>
      <c r="I78" s="9">
        <f>I68+I71+I76</f>
        <v>64769924.478593037</v>
      </c>
      <c r="J78" s="28">
        <f>K78/I78</f>
        <v>29.757580060963839</v>
      </c>
      <c r="K78" s="28">
        <f>K68+K76+K71</f>
        <v>1927396213.2143137</v>
      </c>
      <c r="L78" s="246">
        <f>L68+L71+L76</f>
        <v>56764813.680000007</v>
      </c>
      <c r="M78" s="9">
        <f>M68+M71+M76</f>
        <v>7600457.6920290394</v>
      </c>
      <c r="N78" s="9">
        <f>N68+N71+N76</f>
        <v>404653.10656400002</v>
      </c>
      <c r="O78" s="10">
        <f>O68+O71+O76</f>
        <v>8005110.7985930396</v>
      </c>
      <c r="P78"/>
      <c r="R78" s="68"/>
      <c r="S78" s="204"/>
    </row>
    <row r="79" spans="1:19" ht="29.65" customHeight="1" x14ac:dyDescent="0.35">
      <c r="A79" s="72"/>
      <c r="C79" s="337" t="s">
        <v>137</v>
      </c>
      <c r="D79" s="338"/>
      <c r="E79" s="338"/>
      <c r="F79" s="338"/>
      <c r="G79" s="338"/>
      <c r="H79" s="338"/>
      <c r="I79" s="338"/>
      <c r="J79" s="338"/>
      <c r="K79" s="338"/>
      <c r="L79" s="338"/>
      <c r="M79" s="338"/>
      <c r="N79" s="338"/>
      <c r="O79" s="339"/>
      <c r="R79" s="139"/>
    </row>
    <row r="80" spans="1:19" ht="24" customHeight="1" x14ac:dyDescent="0.35">
      <c r="A80" s="41"/>
      <c r="C80" s="340" t="s">
        <v>138</v>
      </c>
      <c r="D80" s="341"/>
      <c r="E80" s="341"/>
      <c r="F80" s="341"/>
      <c r="G80" s="341"/>
      <c r="H80" s="341"/>
      <c r="I80" s="341"/>
      <c r="J80" s="341"/>
      <c r="K80" s="341"/>
      <c r="L80" s="341"/>
      <c r="M80" s="341"/>
      <c r="N80" s="341"/>
      <c r="O80" s="342"/>
    </row>
    <row r="81" spans="1:15" x14ac:dyDescent="0.35">
      <c r="A81" s="39"/>
      <c r="C81" s="316" t="s">
        <v>32</v>
      </c>
      <c r="D81" s="317"/>
      <c r="E81" s="317"/>
      <c r="F81" s="317"/>
      <c r="G81" s="317"/>
      <c r="H81" s="317"/>
      <c r="I81" s="317"/>
      <c r="J81" s="317"/>
      <c r="K81" s="317"/>
      <c r="L81" s="317"/>
      <c r="M81" s="317"/>
      <c r="N81" s="317"/>
      <c r="O81" s="318"/>
    </row>
    <row r="82" spans="1:15" ht="45" customHeight="1" x14ac:dyDescent="0.35">
      <c r="A82" s="38" t="s">
        <v>33</v>
      </c>
      <c r="C82" s="36">
        <v>273.2</v>
      </c>
      <c r="D82" s="2" t="s">
        <v>34</v>
      </c>
      <c r="E82" s="4">
        <f>Assumptions!F14</f>
        <v>21142615</v>
      </c>
      <c r="F82" s="37">
        <v>1</v>
      </c>
      <c r="G82" s="4">
        <f>E82*F82</f>
        <v>21142615</v>
      </c>
      <c r="H82" s="67">
        <v>0.31730000000000003</v>
      </c>
      <c r="I82" s="37">
        <f>G82*H82</f>
        <v>6708551.7395000001</v>
      </c>
      <c r="J82" s="27">
        <f>'Labor Rates'!D8</f>
        <v>22.02</v>
      </c>
      <c r="K82" s="27">
        <f>I82*J82</f>
        <v>147722309.30379</v>
      </c>
      <c r="L82" s="37">
        <v>5731136.3799999999</v>
      </c>
      <c r="M82" s="37">
        <f>I82-L82</f>
        <v>977415.35950000025</v>
      </c>
      <c r="N82" s="37">
        <v>0</v>
      </c>
      <c r="O82" s="7">
        <f t="shared" ref="O82:O137" si="14">M82+N82</f>
        <v>977415.35950000025</v>
      </c>
    </row>
    <row r="83" spans="1:15" x14ac:dyDescent="0.35">
      <c r="A83" s="39"/>
      <c r="C83" s="316" t="s">
        <v>35</v>
      </c>
      <c r="D83" s="317"/>
      <c r="E83" s="317"/>
      <c r="F83" s="317"/>
      <c r="G83" s="317"/>
      <c r="H83" s="317"/>
      <c r="I83" s="317"/>
      <c r="J83" s="317"/>
      <c r="K83" s="317"/>
      <c r="L83" s="317"/>
      <c r="M83" s="317"/>
      <c r="N83" s="317"/>
      <c r="O83" s="318"/>
    </row>
    <row r="84" spans="1:15" ht="45" customHeight="1" x14ac:dyDescent="0.35">
      <c r="A84" s="38" t="s">
        <v>33</v>
      </c>
      <c r="C84" s="36" t="s">
        <v>36</v>
      </c>
      <c r="D84" s="2" t="s">
        <v>139</v>
      </c>
      <c r="E84" s="4">
        <f>Assumptions!F14</f>
        <v>21142615</v>
      </c>
      <c r="F84" s="37">
        <v>1</v>
      </c>
      <c r="G84" s="4">
        <f>E84*F84</f>
        <v>21142615</v>
      </c>
      <c r="H84" s="67">
        <v>0.63460000000000005</v>
      </c>
      <c r="I84" s="37">
        <f>G84*H84</f>
        <v>13417103.479</v>
      </c>
      <c r="J84" s="27">
        <f>'Labor Rates'!D8</f>
        <v>22.02</v>
      </c>
      <c r="K84" s="27">
        <f>I84*J84</f>
        <v>295444618.60758001</v>
      </c>
      <c r="L84" s="37">
        <v>11462272.75</v>
      </c>
      <c r="M84" s="37">
        <f>I84-L84</f>
        <v>1954830.7290000003</v>
      </c>
      <c r="N84" s="37">
        <v>0</v>
      </c>
      <c r="O84" s="7">
        <f t="shared" si="14"/>
        <v>1954830.7290000003</v>
      </c>
    </row>
    <row r="85" spans="1:15" ht="45" customHeight="1" x14ac:dyDescent="0.35">
      <c r="A85" s="38" t="s">
        <v>33</v>
      </c>
      <c r="C85" s="36" t="s">
        <v>36</v>
      </c>
      <c r="D85" s="2" t="s">
        <v>140</v>
      </c>
      <c r="E85" s="4">
        <f>Assumptions!F9</f>
        <v>5185924</v>
      </c>
      <c r="F85" s="37">
        <v>1</v>
      </c>
      <c r="G85" s="4">
        <f>E85*F85</f>
        <v>5185924</v>
      </c>
      <c r="H85" s="4">
        <v>2</v>
      </c>
      <c r="I85" s="37">
        <f>G85*H85</f>
        <v>10371848</v>
      </c>
      <c r="J85" s="27">
        <f>'Labor Rates'!D8</f>
        <v>22.02</v>
      </c>
      <c r="K85" s="27">
        <f>I85*J85</f>
        <v>228388092.96000001</v>
      </c>
      <c r="L85" s="37">
        <v>8860702</v>
      </c>
      <c r="M85" s="37">
        <f>I85-L85</f>
        <v>1511146</v>
      </c>
      <c r="N85" s="37">
        <v>0</v>
      </c>
      <c r="O85" s="7">
        <f t="shared" si="14"/>
        <v>1511146</v>
      </c>
    </row>
    <row r="86" spans="1:15" x14ac:dyDescent="0.35">
      <c r="A86" s="39"/>
      <c r="C86" s="316" t="s">
        <v>39</v>
      </c>
      <c r="D86" s="317"/>
      <c r="E86" s="317"/>
      <c r="F86" s="317"/>
      <c r="G86" s="317"/>
      <c r="H86" s="317"/>
      <c r="I86" s="317"/>
      <c r="J86" s="317"/>
      <c r="K86" s="317"/>
      <c r="L86" s="317"/>
      <c r="M86" s="317"/>
      <c r="N86" s="317"/>
      <c r="O86" s="318"/>
    </row>
    <row r="87" spans="1:15" ht="45" customHeight="1" x14ac:dyDescent="0.35">
      <c r="A87" s="38" t="s">
        <v>33</v>
      </c>
      <c r="C87" s="36" t="s">
        <v>40</v>
      </c>
      <c r="D87" s="2" t="s">
        <v>41</v>
      </c>
      <c r="E87" s="4">
        <f>Assumptions!F14</f>
        <v>21142615</v>
      </c>
      <c r="F87" s="37">
        <v>1</v>
      </c>
      <c r="G87" s="4">
        <f>E87*F87</f>
        <v>21142615</v>
      </c>
      <c r="H87" s="67">
        <v>6.6799999999999998E-2</v>
      </c>
      <c r="I87" s="37">
        <f>G87*H87</f>
        <v>1412326.682</v>
      </c>
      <c r="J87" s="27">
        <f>'Labor Rates'!D8</f>
        <v>22.02</v>
      </c>
      <c r="K87" s="27">
        <f>I87*J87</f>
        <v>31099433.537640002</v>
      </c>
      <c r="L87" s="37">
        <v>1206555.03</v>
      </c>
      <c r="M87" s="37">
        <f t="shared" ref="M87:M97" si="15">I87-L87</f>
        <v>205771.652</v>
      </c>
      <c r="N87" s="37">
        <v>0</v>
      </c>
      <c r="O87" s="7">
        <f t="shared" si="14"/>
        <v>205771.652</v>
      </c>
    </row>
    <row r="88" spans="1:15" ht="45" customHeight="1" x14ac:dyDescent="0.35">
      <c r="A88" s="38" t="s">
        <v>33</v>
      </c>
      <c r="C88" s="36" t="s">
        <v>40</v>
      </c>
      <c r="D88" s="2" t="s">
        <v>42</v>
      </c>
      <c r="E88" s="4">
        <f>Assumptions!F14</f>
        <v>21142615</v>
      </c>
      <c r="F88" s="37">
        <v>1</v>
      </c>
      <c r="G88" s="4">
        <f t="shared" ref="G88:G101" si="16">E88*F88</f>
        <v>21142615</v>
      </c>
      <c r="H88" s="67">
        <v>6.6799999999999998E-2</v>
      </c>
      <c r="I88" s="37">
        <f t="shared" ref="I88:I114" si="17">G88*H88</f>
        <v>1412326.682</v>
      </c>
      <c r="J88" s="27">
        <f>'Labor Rates'!D8</f>
        <v>22.02</v>
      </c>
      <c r="K88" s="27">
        <f>I88*J88</f>
        <v>31099433.537640002</v>
      </c>
      <c r="L88" s="37">
        <v>1206555.03</v>
      </c>
      <c r="M88" s="37">
        <f t="shared" si="15"/>
        <v>205771.652</v>
      </c>
      <c r="N88" s="37">
        <v>0</v>
      </c>
      <c r="O88" s="7">
        <f t="shared" si="14"/>
        <v>205771.652</v>
      </c>
    </row>
    <row r="89" spans="1:15" ht="45" customHeight="1" x14ac:dyDescent="0.35">
      <c r="A89" s="38" t="s">
        <v>33</v>
      </c>
      <c r="C89" s="36" t="s">
        <v>40</v>
      </c>
      <c r="D89" s="2" t="s">
        <v>43</v>
      </c>
      <c r="E89" s="4">
        <f>Assumptions!F14</f>
        <v>21142615</v>
      </c>
      <c r="F89" s="37">
        <v>1</v>
      </c>
      <c r="G89" s="4">
        <f t="shared" si="16"/>
        <v>21142615</v>
      </c>
      <c r="H89" s="67">
        <v>6.6799999999999998E-2</v>
      </c>
      <c r="I89" s="37">
        <f t="shared" si="17"/>
        <v>1412326.682</v>
      </c>
      <c r="J89" s="27">
        <f>'Labor Rates'!D8</f>
        <v>22.02</v>
      </c>
      <c r="K89" s="27">
        <f>I89*J89</f>
        <v>31099433.537640002</v>
      </c>
      <c r="L89" s="37">
        <v>1206555.03</v>
      </c>
      <c r="M89" s="37">
        <f t="shared" si="15"/>
        <v>205771.652</v>
      </c>
      <c r="N89" s="37">
        <v>0</v>
      </c>
      <c r="O89" s="7">
        <f t="shared" si="14"/>
        <v>205771.652</v>
      </c>
    </row>
    <row r="90" spans="1:15" ht="45" customHeight="1" x14ac:dyDescent="0.35">
      <c r="A90" s="38" t="s">
        <v>33</v>
      </c>
      <c r="C90" s="36" t="s">
        <v>40</v>
      </c>
      <c r="D90" s="2" t="s">
        <v>44</v>
      </c>
      <c r="E90" s="4">
        <f>Assumptions!F14</f>
        <v>21142615</v>
      </c>
      <c r="F90" s="37">
        <v>1</v>
      </c>
      <c r="G90" s="4">
        <f>E90*F90</f>
        <v>21142615</v>
      </c>
      <c r="H90" s="67">
        <v>6.6799999999999998E-2</v>
      </c>
      <c r="I90" s="37">
        <f t="shared" si="17"/>
        <v>1412326.682</v>
      </c>
      <c r="J90" s="27">
        <f>'Labor Rates'!D8</f>
        <v>22.02</v>
      </c>
      <c r="K90" s="27">
        <f>I90*J90</f>
        <v>31099433.537640002</v>
      </c>
      <c r="L90" s="37">
        <v>1206555.03</v>
      </c>
      <c r="M90" s="37">
        <f t="shared" si="15"/>
        <v>205771.652</v>
      </c>
      <c r="N90" s="37">
        <v>0</v>
      </c>
      <c r="O90" s="7">
        <f t="shared" si="14"/>
        <v>205771.652</v>
      </c>
    </row>
    <row r="91" spans="1:15" ht="45" customHeight="1" x14ac:dyDescent="0.35">
      <c r="A91" s="38" t="s">
        <v>33</v>
      </c>
      <c r="C91" s="36" t="s">
        <v>40</v>
      </c>
      <c r="D91" s="2" t="s">
        <v>45</v>
      </c>
      <c r="E91" s="4">
        <f>Assumptions!F16</f>
        <v>1189139.49</v>
      </c>
      <c r="F91" s="37">
        <v>1</v>
      </c>
      <c r="G91" s="4">
        <f t="shared" si="16"/>
        <v>1189139.49</v>
      </c>
      <c r="H91" s="67">
        <v>6.6799999999999998E-2</v>
      </c>
      <c r="I91" s="37">
        <f t="shared" si="17"/>
        <v>79434.517932000002</v>
      </c>
      <c r="J91" s="27">
        <f>'Labor Rates'!D8</f>
        <v>22.02</v>
      </c>
      <c r="K91" s="27">
        <f>I91*J91</f>
        <v>1749148.0848626401</v>
      </c>
      <c r="L91" s="37">
        <v>74615.600000000006</v>
      </c>
      <c r="M91" s="37">
        <f t="shared" si="15"/>
        <v>4818.9179319999967</v>
      </c>
      <c r="N91" s="37">
        <v>0</v>
      </c>
      <c r="O91" s="7">
        <f t="shared" si="14"/>
        <v>4818.9179319999967</v>
      </c>
    </row>
    <row r="92" spans="1:15" ht="45" customHeight="1" x14ac:dyDescent="0.35">
      <c r="A92" s="38" t="s">
        <v>33</v>
      </c>
      <c r="C92" s="36" t="s">
        <v>40</v>
      </c>
      <c r="D92" s="2" t="s">
        <v>46</v>
      </c>
      <c r="E92" s="4">
        <f>Assumptions!F14</f>
        <v>21142615</v>
      </c>
      <c r="F92" s="37">
        <v>1</v>
      </c>
      <c r="G92" s="4">
        <f t="shared" si="16"/>
        <v>21142615</v>
      </c>
      <c r="H92" s="67">
        <v>6.6799999999999998E-2</v>
      </c>
      <c r="I92" s="37">
        <f t="shared" si="17"/>
        <v>1412326.682</v>
      </c>
      <c r="J92" s="27">
        <f>'Labor Rates'!D8</f>
        <v>22.02</v>
      </c>
      <c r="K92" s="27">
        <f t="shared" ref="K92:K95" si="18">I92*J92</f>
        <v>31099433.537640002</v>
      </c>
      <c r="L92" s="37">
        <v>1206555.03</v>
      </c>
      <c r="M92" s="37">
        <f t="shared" si="15"/>
        <v>205771.652</v>
      </c>
      <c r="N92" s="37">
        <v>0</v>
      </c>
      <c r="O92" s="7">
        <f t="shared" si="14"/>
        <v>205771.652</v>
      </c>
    </row>
    <row r="93" spans="1:15" ht="71.25" customHeight="1" x14ac:dyDescent="0.35">
      <c r="A93" s="38" t="s">
        <v>33</v>
      </c>
      <c r="C93" s="36" t="s">
        <v>40</v>
      </c>
      <c r="D93" s="2" t="s">
        <v>141</v>
      </c>
      <c r="E93" s="4">
        <f>Assumptions!F17</f>
        <v>15048019.727999998</v>
      </c>
      <c r="F93" s="37">
        <v>1</v>
      </c>
      <c r="G93" s="4">
        <f t="shared" si="16"/>
        <v>15048019.727999998</v>
      </c>
      <c r="H93" s="67">
        <v>6.6799999999999998E-2</v>
      </c>
      <c r="I93" s="37">
        <f t="shared" si="17"/>
        <v>1005207.7178303999</v>
      </c>
      <c r="J93" s="27">
        <f>'Labor Rates'!D8</f>
        <v>22.02</v>
      </c>
      <c r="K93" s="27">
        <f>I93*J93</f>
        <v>22134673.946625404</v>
      </c>
      <c r="L93" s="37">
        <v>914692.4</v>
      </c>
      <c r="M93" s="37">
        <f t="shared" si="15"/>
        <v>90515.317830399843</v>
      </c>
      <c r="N93" s="37">
        <v>0</v>
      </c>
      <c r="O93" s="7">
        <f t="shared" si="14"/>
        <v>90515.317830399843</v>
      </c>
    </row>
    <row r="94" spans="1:15" ht="45" customHeight="1" x14ac:dyDescent="0.35">
      <c r="A94" s="38" t="s">
        <v>33</v>
      </c>
      <c r="C94" s="36" t="s">
        <v>40</v>
      </c>
      <c r="D94" s="2" t="s">
        <v>142</v>
      </c>
      <c r="E94" s="4">
        <f>Assumptions!F18</f>
        <v>3008202.3229999999</v>
      </c>
      <c r="F94" s="37">
        <v>1</v>
      </c>
      <c r="G94" s="4">
        <f t="shared" si="16"/>
        <v>3008202.3229999999</v>
      </c>
      <c r="H94" s="67">
        <v>0.1002</v>
      </c>
      <c r="I94" s="37">
        <f t="shared" si="17"/>
        <v>301421.87276459998</v>
      </c>
      <c r="J94" s="27">
        <f>'Labor Rates'!D8</f>
        <v>22.02</v>
      </c>
      <c r="K94" s="27">
        <f>I94*J94</f>
        <v>6637309.6382764913</v>
      </c>
      <c r="L94" s="141">
        <v>286972.79999999999</v>
      </c>
      <c r="M94" s="37">
        <f t="shared" si="15"/>
        <v>14449.072764599987</v>
      </c>
      <c r="N94" s="37">
        <v>0</v>
      </c>
      <c r="O94" s="7">
        <f t="shared" si="14"/>
        <v>14449.072764599987</v>
      </c>
    </row>
    <row r="95" spans="1:15" ht="45" customHeight="1" x14ac:dyDescent="0.35">
      <c r="A95" s="38" t="s">
        <v>33</v>
      </c>
      <c r="C95" s="36" t="s">
        <v>40</v>
      </c>
      <c r="D95" s="2" t="s">
        <v>49</v>
      </c>
      <c r="E95" s="4">
        <f>Assumptions!F19</f>
        <v>345931.48800000001</v>
      </c>
      <c r="F95" s="37">
        <v>1</v>
      </c>
      <c r="G95" s="4">
        <f t="shared" si="16"/>
        <v>345931.48800000001</v>
      </c>
      <c r="H95" s="67">
        <v>6.6799999999999998E-2</v>
      </c>
      <c r="I95" s="37">
        <f t="shared" si="17"/>
        <v>23108.223398400001</v>
      </c>
      <c r="J95" s="27">
        <f>'Labor Rates'!D8</f>
        <v>22.02</v>
      </c>
      <c r="K95" s="27">
        <f t="shared" si="18"/>
        <v>508843.07923276804</v>
      </c>
      <c r="L95" s="141">
        <v>21108.799999999999</v>
      </c>
      <c r="M95" s="37">
        <f t="shared" si="15"/>
        <v>1999.423398400002</v>
      </c>
      <c r="N95" s="37">
        <v>0</v>
      </c>
      <c r="O95" s="7">
        <f t="shared" si="14"/>
        <v>1999.423398400002</v>
      </c>
    </row>
    <row r="96" spans="1:15" ht="45" customHeight="1" x14ac:dyDescent="0.35">
      <c r="A96" s="38" t="s">
        <v>33</v>
      </c>
      <c r="C96" s="36" t="s">
        <v>40</v>
      </c>
      <c r="D96" s="2" t="s">
        <v>50</v>
      </c>
      <c r="E96" s="4">
        <f>Assumptions!F20</f>
        <v>4713316.5240000002</v>
      </c>
      <c r="F96" s="37">
        <v>1</v>
      </c>
      <c r="G96" s="4">
        <f t="shared" si="16"/>
        <v>4713316.5240000002</v>
      </c>
      <c r="H96" s="67">
        <v>6.6799999999999998E-2</v>
      </c>
      <c r="I96" s="37">
        <f t="shared" si="17"/>
        <v>314849.54380320001</v>
      </c>
      <c r="J96" s="27">
        <f>'Labor Rates'!D8</f>
        <v>22.02</v>
      </c>
      <c r="K96" s="27">
        <f t="shared" ref="K96:K101" si="19">I96*J96</f>
        <v>6932986.9545464637</v>
      </c>
      <c r="L96" s="141">
        <v>272076.40000000002</v>
      </c>
      <c r="M96" s="37">
        <f t="shared" si="15"/>
        <v>42773.143803199986</v>
      </c>
      <c r="N96" s="37">
        <v>0</v>
      </c>
      <c r="O96" s="7">
        <f>M96+N96</f>
        <v>42773.143803199986</v>
      </c>
    </row>
    <row r="97" spans="1:18" ht="45" customHeight="1" x14ac:dyDescent="0.35">
      <c r="A97" s="38" t="s">
        <v>33</v>
      </c>
      <c r="C97" s="36" t="s">
        <v>40</v>
      </c>
      <c r="D97" s="2" t="s">
        <v>51</v>
      </c>
      <c r="E97" s="4">
        <f>Assumptions!F14</f>
        <v>21142615</v>
      </c>
      <c r="F97" s="37">
        <v>1</v>
      </c>
      <c r="G97" s="4">
        <f>E97*F97</f>
        <v>21142615</v>
      </c>
      <c r="H97" s="67">
        <v>6.6799999999999998E-2</v>
      </c>
      <c r="I97" s="37">
        <f t="shared" si="17"/>
        <v>1412326.682</v>
      </c>
      <c r="J97" s="27">
        <f>'Labor Rates'!D8</f>
        <v>22.02</v>
      </c>
      <c r="K97" s="27">
        <f t="shared" si="19"/>
        <v>31099433.537640002</v>
      </c>
      <c r="L97" s="141">
        <v>1206555.03</v>
      </c>
      <c r="M97" s="37">
        <f t="shared" si="15"/>
        <v>205771.652</v>
      </c>
      <c r="N97" s="37">
        <v>0</v>
      </c>
      <c r="O97" s="7">
        <f>M97+N97</f>
        <v>205771.652</v>
      </c>
    </row>
    <row r="98" spans="1:18" s="92" customFormat="1" ht="45" customHeight="1" x14ac:dyDescent="0.35">
      <c r="A98" s="219" t="s">
        <v>33</v>
      </c>
      <c r="C98" s="209" t="s">
        <v>40</v>
      </c>
      <c r="D98" s="210" t="s">
        <v>52</v>
      </c>
      <c r="E98" s="211">
        <f>Assumptions!F23+Assumptions!F24</f>
        <v>807806.21</v>
      </c>
      <c r="F98" s="215">
        <v>1</v>
      </c>
      <c r="G98" s="211">
        <f>E98*F98</f>
        <v>807806.21</v>
      </c>
      <c r="H98" s="221">
        <v>6.6799999999999998E-2</v>
      </c>
      <c r="I98" s="215">
        <f t="shared" si="17"/>
        <v>53961.454827999994</v>
      </c>
      <c r="J98" s="217">
        <f>'Labor Rates'!D8</f>
        <v>22.02</v>
      </c>
      <c r="K98" s="217">
        <f t="shared" si="19"/>
        <v>1188231.2353125599</v>
      </c>
      <c r="L98" s="215">
        <v>34289.58</v>
      </c>
      <c r="M98" s="215">
        <f>(Assumptions!F23*'Burden Calculations'!H98)-'Burden Calculations'!L98</f>
        <v>3345.0723999999973</v>
      </c>
      <c r="N98" s="215">
        <f>(Assumptions!F24*H98)</f>
        <v>16326.802427999999</v>
      </c>
      <c r="O98" s="218">
        <f>I98-L98</f>
        <v>19671.874827999993</v>
      </c>
      <c r="P98" s="93"/>
      <c r="R98" s="143"/>
    </row>
    <row r="99" spans="1:18" ht="45" customHeight="1" x14ac:dyDescent="0.35">
      <c r="A99" s="38" t="s">
        <v>33</v>
      </c>
      <c r="C99" s="36" t="s">
        <v>40</v>
      </c>
      <c r="D99" s="2" t="s">
        <v>143</v>
      </c>
      <c r="E99" s="4">
        <f>Assumptions!F27</f>
        <v>1361180</v>
      </c>
      <c r="F99" s="37">
        <v>1</v>
      </c>
      <c r="G99" s="4">
        <f t="shared" si="16"/>
        <v>1361180</v>
      </c>
      <c r="H99" s="67">
        <v>6.6799999999999998E-2</v>
      </c>
      <c r="I99" s="37">
        <f t="shared" si="17"/>
        <v>90926.823999999993</v>
      </c>
      <c r="J99" s="27">
        <f>'Labor Rates'!D8</f>
        <v>22.02</v>
      </c>
      <c r="K99" s="27">
        <f t="shared" si="19"/>
        <v>2002208.6644799998</v>
      </c>
      <c r="L99" s="141">
        <v>90465.44</v>
      </c>
      <c r="M99" s="37">
        <f>I99-L99</f>
        <v>461.38399999999092</v>
      </c>
      <c r="N99" s="37">
        <v>0</v>
      </c>
      <c r="O99" s="7">
        <f t="shared" si="14"/>
        <v>461.38399999999092</v>
      </c>
    </row>
    <row r="100" spans="1:18" ht="45" customHeight="1" x14ac:dyDescent="0.35">
      <c r="A100" s="38" t="s">
        <v>33</v>
      </c>
      <c r="C100" s="36" t="s">
        <v>144</v>
      </c>
      <c r="D100" s="2" t="s">
        <v>145</v>
      </c>
      <c r="E100" s="4">
        <f>Assumptions!F26</f>
        <v>370001</v>
      </c>
      <c r="F100" s="37">
        <v>1</v>
      </c>
      <c r="G100" s="4">
        <f t="shared" si="16"/>
        <v>370001</v>
      </c>
      <c r="H100" s="67">
        <v>8.3500000000000005E-2</v>
      </c>
      <c r="I100" s="37">
        <f t="shared" si="17"/>
        <v>30895.083500000001</v>
      </c>
      <c r="J100" s="27">
        <f>'Labor Rates'!D8</f>
        <v>22.02</v>
      </c>
      <c r="K100" s="27">
        <f t="shared" si="19"/>
        <v>680309.73866999999</v>
      </c>
      <c r="L100" s="141">
        <v>30330.79</v>
      </c>
      <c r="M100" s="37">
        <f>I100-L100</f>
        <v>564.29349999999977</v>
      </c>
      <c r="N100" s="37">
        <v>0</v>
      </c>
      <c r="O100" s="7">
        <f t="shared" si="14"/>
        <v>564.29349999999977</v>
      </c>
    </row>
    <row r="101" spans="1:18" ht="45" customHeight="1" x14ac:dyDescent="0.35">
      <c r="A101" s="38" t="s">
        <v>33</v>
      </c>
      <c r="C101" s="36" t="s">
        <v>144</v>
      </c>
      <c r="D101" s="2" t="s">
        <v>146</v>
      </c>
      <c r="E101" s="4">
        <f>Assumptions!F25</f>
        <v>670242.25800000003</v>
      </c>
      <c r="F101" s="37">
        <v>1</v>
      </c>
      <c r="G101" s="4">
        <f t="shared" si="16"/>
        <v>670242.25800000003</v>
      </c>
      <c r="H101" s="67">
        <v>3.3399999999999999E-2</v>
      </c>
      <c r="I101" s="37">
        <f t="shared" si="17"/>
        <v>22386.091417200001</v>
      </c>
      <c r="J101" s="27">
        <f>'Labor Rates'!D8</f>
        <v>22.02</v>
      </c>
      <c r="K101" s="27">
        <f t="shared" si="19"/>
        <v>492941.73300674401</v>
      </c>
      <c r="L101" s="141">
        <v>21977.200000000001</v>
      </c>
      <c r="M101" s="37">
        <f>I101-L101</f>
        <v>408.89141720000043</v>
      </c>
      <c r="N101" s="37">
        <v>0</v>
      </c>
      <c r="O101" s="7">
        <f t="shared" si="14"/>
        <v>408.89141720000043</v>
      </c>
    </row>
    <row r="102" spans="1:18" ht="14.65" customHeight="1" x14ac:dyDescent="0.35">
      <c r="A102" s="39"/>
      <c r="C102" s="316" t="s">
        <v>57</v>
      </c>
      <c r="D102" s="317"/>
      <c r="E102" s="317"/>
      <c r="F102" s="317"/>
      <c r="G102" s="317"/>
      <c r="H102" s="317"/>
      <c r="I102" s="317"/>
      <c r="J102" s="317"/>
      <c r="K102" s="317"/>
      <c r="L102" s="317"/>
      <c r="M102" s="317"/>
      <c r="N102" s="317"/>
      <c r="O102" s="318"/>
    </row>
    <row r="103" spans="1:18" ht="45" customHeight="1" x14ac:dyDescent="0.35">
      <c r="A103" s="38" t="s">
        <v>33</v>
      </c>
      <c r="C103" s="36">
        <v>273.14</v>
      </c>
      <c r="D103" s="2" t="s">
        <v>59</v>
      </c>
      <c r="E103" s="4">
        <f>Assumptions!F15</f>
        <v>17156383.297022603</v>
      </c>
      <c r="F103" s="37">
        <v>1</v>
      </c>
      <c r="G103" s="4">
        <f>E103*F103</f>
        <v>17156383.297022603</v>
      </c>
      <c r="H103" s="37">
        <v>0.25</v>
      </c>
      <c r="I103" s="37">
        <f t="shared" si="17"/>
        <v>4289095.8242556509</v>
      </c>
      <c r="J103" s="27">
        <f>'Labor Rates'!D8</f>
        <v>22.02</v>
      </c>
      <c r="K103" s="27">
        <f>I103*J103</f>
        <v>94445890.050109431</v>
      </c>
      <c r="L103" s="141">
        <v>3664187.75</v>
      </c>
      <c r="M103" s="37">
        <f>I103-L103</f>
        <v>624908.07425565086</v>
      </c>
      <c r="N103" s="37">
        <v>0</v>
      </c>
      <c r="O103" s="7">
        <f t="shared" si="14"/>
        <v>624908.07425565086</v>
      </c>
    </row>
    <row r="104" spans="1:18" ht="14.65" customHeight="1" x14ac:dyDescent="0.35">
      <c r="A104" s="39"/>
      <c r="C104" s="316" t="s">
        <v>60</v>
      </c>
      <c r="D104" s="317"/>
      <c r="E104" s="317"/>
      <c r="F104" s="317"/>
      <c r="G104" s="317"/>
      <c r="H104" s="317"/>
      <c r="I104" s="317"/>
      <c r="J104" s="317"/>
      <c r="K104" s="317"/>
      <c r="L104" s="317"/>
      <c r="M104" s="317"/>
      <c r="N104" s="317"/>
      <c r="O104" s="318"/>
    </row>
    <row r="105" spans="1:18" ht="45" customHeight="1" x14ac:dyDescent="0.35">
      <c r="A105" s="38" t="s">
        <v>33</v>
      </c>
      <c r="C105" s="36" t="s">
        <v>61</v>
      </c>
      <c r="D105" s="2" t="s">
        <v>147</v>
      </c>
      <c r="E105" s="4">
        <f>Assumptions!F15</f>
        <v>17156383.297022603</v>
      </c>
      <c r="F105" s="37">
        <v>1</v>
      </c>
      <c r="G105" s="4">
        <f>E105*F105</f>
        <v>17156383.297022603</v>
      </c>
      <c r="H105" s="37">
        <v>0.5</v>
      </c>
      <c r="I105" s="37">
        <f t="shared" si="17"/>
        <v>8578191.6485113017</v>
      </c>
      <c r="J105" s="27">
        <f>'Labor Rates'!D8</f>
        <v>22.02</v>
      </c>
      <c r="K105" s="27">
        <f t="shared" ref="K105:K106" si="20">I105*J105</f>
        <v>188891780.10021886</v>
      </c>
      <c r="L105" s="141">
        <v>7328375.5</v>
      </c>
      <c r="M105" s="37">
        <f>I105-L105</f>
        <v>1249816.1485113017</v>
      </c>
      <c r="N105" s="37">
        <v>0</v>
      </c>
      <c r="O105" s="7">
        <f t="shared" si="14"/>
        <v>1249816.1485113017</v>
      </c>
    </row>
    <row r="106" spans="1:18" ht="45" customHeight="1" x14ac:dyDescent="0.35">
      <c r="A106" s="38" t="s">
        <v>33</v>
      </c>
      <c r="C106" s="36" t="s">
        <v>61</v>
      </c>
      <c r="D106" s="2" t="s">
        <v>148</v>
      </c>
      <c r="E106" s="4">
        <f>Assumptions!F28</f>
        <v>3431277</v>
      </c>
      <c r="F106" s="37">
        <v>1</v>
      </c>
      <c r="G106" s="4">
        <f>E106*F106</f>
        <v>3431277</v>
      </c>
      <c r="H106" s="37">
        <v>2</v>
      </c>
      <c r="I106" s="37">
        <f t="shared" si="17"/>
        <v>6862554</v>
      </c>
      <c r="J106" s="27">
        <f>'Labor Rates'!D8</f>
        <v>22.02</v>
      </c>
      <c r="K106" s="27">
        <f t="shared" si="20"/>
        <v>151113439.07999998</v>
      </c>
      <c r="L106" s="141">
        <v>5862700</v>
      </c>
      <c r="M106" s="37">
        <f>I106-L106</f>
        <v>999854</v>
      </c>
      <c r="N106" s="37">
        <v>0</v>
      </c>
      <c r="O106" s="7">
        <f t="shared" si="14"/>
        <v>999854</v>
      </c>
    </row>
    <row r="107" spans="1:18" x14ac:dyDescent="0.35">
      <c r="A107" s="39"/>
      <c r="C107" s="316" t="s">
        <v>63</v>
      </c>
      <c r="D107" s="317"/>
      <c r="E107" s="317"/>
      <c r="F107" s="317"/>
      <c r="G107" s="317"/>
      <c r="H107" s="317"/>
      <c r="I107" s="317"/>
      <c r="J107" s="317"/>
      <c r="K107" s="317"/>
      <c r="L107" s="317"/>
      <c r="M107" s="317"/>
      <c r="N107" s="317"/>
      <c r="O107" s="318"/>
    </row>
    <row r="108" spans="1:18" ht="59.15" customHeight="1" x14ac:dyDescent="0.35">
      <c r="A108" s="38" t="s">
        <v>33</v>
      </c>
      <c r="C108" s="36" t="s">
        <v>64</v>
      </c>
      <c r="D108" s="2" t="s">
        <v>65</v>
      </c>
      <c r="E108" s="4">
        <f>Assumptions!F29</f>
        <v>8578192</v>
      </c>
      <c r="F108" s="37">
        <v>1</v>
      </c>
      <c r="G108" s="4">
        <f>E108*F108</f>
        <v>8578192</v>
      </c>
      <c r="H108" s="67">
        <v>0.1002</v>
      </c>
      <c r="I108" s="37">
        <f t="shared" si="17"/>
        <v>859534.83840000001</v>
      </c>
      <c r="J108" s="27">
        <f>'Labor Rates'!D8</f>
        <v>22.02</v>
      </c>
      <c r="K108" s="27">
        <f>I108*J108</f>
        <v>18926957.141568001</v>
      </c>
      <c r="L108" s="141">
        <v>734303.28</v>
      </c>
      <c r="M108" s="37">
        <f t="shared" ref="M108:M114" si="21">I108-L108</f>
        <v>125231.55839999998</v>
      </c>
      <c r="N108" s="37">
        <v>0</v>
      </c>
      <c r="O108" s="7">
        <f t="shared" si="14"/>
        <v>125231.55839999998</v>
      </c>
    </row>
    <row r="109" spans="1:18" ht="50.5" customHeight="1" x14ac:dyDescent="0.35">
      <c r="A109" s="38" t="s">
        <v>33</v>
      </c>
      <c r="C109" s="36" t="s">
        <v>64</v>
      </c>
      <c r="D109" s="2" t="s">
        <v>66</v>
      </c>
      <c r="E109" s="4">
        <f>Assumptions!F30</f>
        <v>171564</v>
      </c>
      <c r="F109" s="37">
        <v>1</v>
      </c>
      <c r="G109" s="4">
        <f t="shared" ref="G109:G113" si="22">E109*F109</f>
        <v>171564</v>
      </c>
      <c r="H109" s="67">
        <v>0.1002</v>
      </c>
      <c r="I109" s="37">
        <f t="shared" si="17"/>
        <v>17190.712800000001</v>
      </c>
      <c r="J109" s="27">
        <f>'Labor Rates'!D8</f>
        <v>22.02</v>
      </c>
      <c r="K109" s="27">
        <f>I109*J109</f>
        <v>378539.49585599999</v>
      </c>
      <c r="L109" s="141">
        <v>14686.11</v>
      </c>
      <c r="M109" s="37">
        <f t="shared" si="21"/>
        <v>2504.6028000000006</v>
      </c>
      <c r="N109" s="37">
        <v>0</v>
      </c>
      <c r="O109" s="7">
        <f t="shared" si="14"/>
        <v>2504.6028000000006</v>
      </c>
    </row>
    <row r="110" spans="1:18" ht="68.5" customHeight="1" x14ac:dyDescent="0.35">
      <c r="A110" s="38" t="s">
        <v>33</v>
      </c>
      <c r="C110" s="36" t="s">
        <v>64</v>
      </c>
      <c r="D110" s="2" t="s">
        <v>67</v>
      </c>
      <c r="E110" s="4">
        <f>Assumptions!F31</f>
        <v>343128</v>
      </c>
      <c r="F110" s="37">
        <v>1</v>
      </c>
      <c r="G110" s="4">
        <f t="shared" si="22"/>
        <v>343128</v>
      </c>
      <c r="H110" s="67">
        <v>0.1002</v>
      </c>
      <c r="I110" s="37">
        <f t="shared" si="17"/>
        <v>34381.425600000002</v>
      </c>
      <c r="J110" s="27">
        <f>'Labor Rates'!D8</f>
        <v>22.02</v>
      </c>
      <c r="K110" s="27">
        <f>I110*J110</f>
        <v>757078.99171199999</v>
      </c>
      <c r="L110" s="141">
        <v>29372.13</v>
      </c>
      <c r="M110" s="37">
        <f t="shared" si="21"/>
        <v>5009.2956000000013</v>
      </c>
      <c r="N110" s="37">
        <v>0</v>
      </c>
      <c r="O110" s="7">
        <f t="shared" si="14"/>
        <v>5009.2956000000013</v>
      </c>
    </row>
    <row r="111" spans="1:18" ht="57" customHeight="1" x14ac:dyDescent="0.35">
      <c r="A111" s="38" t="s">
        <v>33</v>
      </c>
      <c r="C111" s="36" t="s">
        <v>64</v>
      </c>
      <c r="D111" s="2" t="s">
        <v>149</v>
      </c>
      <c r="E111" s="4">
        <f>Assumptions!F32</f>
        <v>154963</v>
      </c>
      <c r="F111" s="37">
        <v>1</v>
      </c>
      <c r="G111" s="4">
        <f t="shared" si="22"/>
        <v>154963</v>
      </c>
      <c r="H111" s="67">
        <v>0.1002</v>
      </c>
      <c r="I111" s="37">
        <f t="shared" si="17"/>
        <v>15527.292599999999</v>
      </c>
      <c r="J111" s="27">
        <f>'Labor Rates'!D8</f>
        <v>22.02</v>
      </c>
      <c r="K111" s="27">
        <f t="shared" ref="K111" si="23">I111*J111</f>
        <v>341910.983052</v>
      </c>
      <c r="L111" s="141">
        <v>14183.81</v>
      </c>
      <c r="M111" s="37">
        <f t="shared" si="21"/>
        <v>1343.4825999999994</v>
      </c>
      <c r="N111" s="37">
        <v>0</v>
      </c>
      <c r="O111" s="7">
        <f t="shared" si="14"/>
        <v>1343.4825999999994</v>
      </c>
    </row>
    <row r="112" spans="1:18" ht="47.5" customHeight="1" x14ac:dyDescent="0.35">
      <c r="A112" s="38" t="s">
        <v>33</v>
      </c>
      <c r="C112" s="36" t="s">
        <v>64</v>
      </c>
      <c r="D112" s="2" t="s">
        <v>69</v>
      </c>
      <c r="E112" s="4">
        <f>Assumptions!F33</f>
        <v>6740897</v>
      </c>
      <c r="F112" s="37">
        <v>1</v>
      </c>
      <c r="G112" s="4">
        <f t="shared" si="22"/>
        <v>6740897</v>
      </c>
      <c r="H112" s="67">
        <v>0.1002</v>
      </c>
      <c r="I112" s="37">
        <f t="shared" si="17"/>
        <v>675437.87939999998</v>
      </c>
      <c r="J112" s="27">
        <f>'Labor Rates'!D8</f>
        <v>22.02</v>
      </c>
      <c r="K112" s="27">
        <f>I112*J112</f>
        <v>14873142.104387999</v>
      </c>
      <c r="L112" s="141">
        <v>614617.07999999996</v>
      </c>
      <c r="M112" s="37">
        <f t="shared" si="21"/>
        <v>60820.799400000018</v>
      </c>
      <c r="N112" s="37">
        <v>0</v>
      </c>
      <c r="O112" s="7">
        <f t="shared" si="14"/>
        <v>60820.799400000018</v>
      </c>
    </row>
    <row r="113" spans="1:16" ht="47.5" customHeight="1" x14ac:dyDescent="0.35">
      <c r="A113" s="38" t="s">
        <v>33</v>
      </c>
      <c r="C113" s="36" t="s">
        <v>64</v>
      </c>
      <c r="D113" s="2" t="s">
        <v>70</v>
      </c>
      <c r="E113" s="4">
        <f>Assumptions!F34</f>
        <v>3008202.3229999999</v>
      </c>
      <c r="F113" s="37">
        <v>1</v>
      </c>
      <c r="G113" s="4">
        <f t="shared" si="22"/>
        <v>3008202.3229999999</v>
      </c>
      <c r="H113" s="67">
        <v>0.1002</v>
      </c>
      <c r="I113" s="37">
        <f t="shared" si="17"/>
        <v>301421.87276459998</v>
      </c>
      <c r="J113" s="27">
        <f>'Labor Rates'!D8</f>
        <v>22.02</v>
      </c>
      <c r="K113" s="27">
        <f>I113*J113</f>
        <v>6637309.6382764913</v>
      </c>
      <c r="L113" s="141">
        <v>286972.79999999999</v>
      </c>
      <c r="M113" s="37">
        <f t="shared" si="21"/>
        <v>14449.072764599987</v>
      </c>
      <c r="N113" s="37">
        <v>0</v>
      </c>
      <c r="O113" s="7">
        <f t="shared" si="14"/>
        <v>14449.072764599987</v>
      </c>
    </row>
    <row r="114" spans="1:16" ht="45" customHeight="1" x14ac:dyDescent="0.35">
      <c r="A114" s="38" t="s">
        <v>33</v>
      </c>
      <c r="C114" s="36" t="s">
        <v>64</v>
      </c>
      <c r="D114" s="2" t="s">
        <v>71</v>
      </c>
      <c r="E114" s="4">
        <f>Assumptions!F35</f>
        <v>14148180.974022605</v>
      </c>
      <c r="F114" s="37">
        <v>1</v>
      </c>
      <c r="G114" s="4">
        <f>E114*F114</f>
        <v>14148180.974022605</v>
      </c>
      <c r="H114" s="67">
        <v>0.1002</v>
      </c>
      <c r="I114" s="37">
        <f t="shared" si="17"/>
        <v>1417647.7335970649</v>
      </c>
      <c r="J114" s="27">
        <f>'Labor Rates'!D8</f>
        <v>22.02</v>
      </c>
      <c r="K114" s="27">
        <f>I114*J114</f>
        <v>31216603.093807366</v>
      </c>
      <c r="L114" s="141">
        <v>1181633.6499999999</v>
      </c>
      <c r="M114" s="37">
        <f t="shared" si="21"/>
        <v>236014.08359706495</v>
      </c>
      <c r="N114" s="37">
        <v>0</v>
      </c>
      <c r="O114" s="7">
        <f t="shared" si="14"/>
        <v>236014.08359706495</v>
      </c>
    </row>
    <row r="115" spans="1:16" x14ac:dyDescent="0.35">
      <c r="A115" s="39"/>
      <c r="C115" s="316" t="s">
        <v>72</v>
      </c>
      <c r="D115" s="317"/>
      <c r="E115" s="317"/>
      <c r="F115" s="317"/>
      <c r="G115" s="317"/>
      <c r="H115" s="317"/>
      <c r="I115" s="317"/>
      <c r="J115" s="317"/>
      <c r="K115" s="317"/>
      <c r="L115" s="317"/>
      <c r="M115" s="317"/>
      <c r="N115" s="317"/>
      <c r="O115" s="318"/>
    </row>
    <row r="116" spans="1:16" ht="45" customHeight="1" x14ac:dyDescent="0.35">
      <c r="A116" s="38" t="s">
        <v>33</v>
      </c>
      <c r="C116" s="36">
        <v>273.20999999999998</v>
      </c>
      <c r="D116" s="2" t="s">
        <v>150</v>
      </c>
      <c r="E116" s="192">
        <f>Assumptions!F36</f>
        <v>10810</v>
      </c>
      <c r="F116" s="37">
        <v>11</v>
      </c>
      <c r="G116" s="4">
        <f>E116*F116</f>
        <v>118910</v>
      </c>
      <c r="H116" s="67">
        <v>0.1169</v>
      </c>
      <c r="I116" s="37">
        <f>G116*H116</f>
        <v>13900.579</v>
      </c>
      <c r="J116" s="27">
        <f>'Labor Rates'!D8</f>
        <v>22.02</v>
      </c>
      <c r="K116" s="27">
        <f t="shared" ref="K116:K120" si="24">I116*J116</f>
        <v>306090.74958</v>
      </c>
      <c r="L116" s="141">
        <v>117016.9</v>
      </c>
      <c r="M116" s="37">
        <f>I116-L116</f>
        <v>-103116.321</v>
      </c>
      <c r="N116" s="37">
        <v>0</v>
      </c>
      <c r="O116" s="7">
        <f t="shared" si="14"/>
        <v>-103116.321</v>
      </c>
    </row>
    <row r="117" spans="1:16" ht="45" customHeight="1" x14ac:dyDescent="0.35">
      <c r="A117" s="38" t="s">
        <v>33</v>
      </c>
      <c r="C117" s="36" t="s">
        <v>74</v>
      </c>
      <c r="D117" s="2" t="s">
        <v>151</v>
      </c>
      <c r="E117" s="192">
        <f>Assumptions!F37</f>
        <v>6486</v>
      </c>
      <c r="F117" s="37">
        <f>3</f>
        <v>3</v>
      </c>
      <c r="G117" s="4">
        <f>E117*F117</f>
        <v>19458</v>
      </c>
      <c r="H117" s="67">
        <v>0.1336</v>
      </c>
      <c r="I117" s="37">
        <f t="shared" ref="I117:I120" si="25">G117*H117</f>
        <v>2599.5888</v>
      </c>
      <c r="J117" s="27">
        <f>'Labor Rates'!D8</f>
        <v>22.02</v>
      </c>
      <c r="K117" s="27">
        <f>I117*J117</f>
        <v>57242.945375999996</v>
      </c>
      <c r="L117" s="141">
        <v>7615.2</v>
      </c>
      <c r="M117" s="37">
        <f>I117-L117</f>
        <v>-5015.6111999999994</v>
      </c>
      <c r="N117" s="37">
        <v>0</v>
      </c>
      <c r="O117" s="7">
        <f t="shared" si="14"/>
        <v>-5015.6111999999994</v>
      </c>
    </row>
    <row r="118" spans="1:16" ht="45" customHeight="1" x14ac:dyDescent="0.35">
      <c r="A118" s="38" t="s">
        <v>33</v>
      </c>
      <c r="C118" s="36" t="s">
        <v>76</v>
      </c>
      <c r="D118" s="2" t="s">
        <v>152</v>
      </c>
      <c r="E118" s="192">
        <f>Assumptions!F39</f>
        <v>12810275.25</v>
      </c>
      <c r="F118" s="141">
        <f>1</f>
        <v>1</v>
      </c>
      <c r="G118" s="4">
        <f>E118*F118</f>
        <v>12810275.25</v>
      </c>
      <c r="H118" s="21">
        <v>0.16700000000000001</v>
      </c>
      <c r="I118" s="37">
        <f t="shared" si="25"/>
        <v>2139315.9667500001</v>
      </c>
      <c r="J118" s="27">
        <f>'Labor Rates'!$D$8</f>
        <v>22.02</v>
      </c>
      <c r="K118" s="27">
        <f>I118*J118</f>
        <v>47107737.587834999</v>
      </c>
      <c r="L118" s="141">
        <v>2069461.32</v>
      </c>
      <c r="M118" s="37">
        <f>I118-L118</f>
        <v>69854.646750000073</v>
      </c>
      <c r="N118" s="37">
        <v>0</v>
      </c>
      <c r="O118" s="7">
        <f t="shared" si="14"/>
        <v>69854.646750000073</v>
      </c>
    </row>
    <row r="119" spans="1:16" ht="45" customHeight="1" x14ac:dyDescent="0.35">
      <c r="A119" s="38" t="s">
        <v>33</v>
      </c>
      <c r="C119" s="36" t="s">
        <v>78</v>
      </c>
      <c r="D119" s="2" t="s">
        <v>153</v>
      </c>
      <c r="E119" s="192">
        <f>Assumptions!F40</f>
        <v>3048521</v>
      </c>
      <c r="F119" s="37">
        <v>3</v>
      </c>
      <c r="G119" s="4">
        <f>E119*F119</f>
        <v>9145563</v>
      </c>
      <c r="H119" s="21">
        <v>0.16700000000000001</v>
      </c>
      <c r="I119" s="37">
        <f t="shared" si="25"/>
        <v>1527309.0210000002</v>
      </c>
      <c r="J119" s="27">
        <f>'Labor Rates'!D8</f>
        <v>22.02</v>
      </c>
      <c r="K119" s="27">
        <f>I119*J119</f>
        <v>33631344.642420001</v>
      </c>
      <c r="L119" s="141">
        <v>1564122</v>
      </c>
      <c r="M119" s="37">
        <f>I119-L119</f>
        <v>-36812.978999999817</v>
      </c>
      <c r="N119" s="37">
        <v>0</v>
      </c>
      <c r="O119" s="7">
        <f t="shared" si="14"/>
        <v>-36812.978999999817</v>
      </c>
    </row>
    <row r="120" spans="1:16" s="92" customFormat="1" ht="45" customHeight="1" x14ac:dyDescent="0.35">
      <c r="A120" s="40" t="s">
        <v>33</v>
      </c>
      <c r="B120"/>
      <c r="C120" s="36" t="s">
        <v>80</v>
      </c>
      <c r="D120" s="2" t="s">
        <v>81</v>
      </c>
      <c r="E120" s="4">
        <f>Assumptions!F84</f>
        <v>764083.39004199998</v>
      </c>
      <c r="F120" s="37">
        <v>1</v>
      </c>
      <c r="G120" s="4">
        <f>E120*F120</f>
        <v>764083.39004199998</v>
      </c>
      <c r="H120" s="21">
        <f>H119</f>
        <v>0.16700000000000001</v>
      </c>
      <c r="I120" s="37">
        <f t="shared" si="25"/>
        <v>127601.926137014</v>
      </c>
      <c r="J120" s="27">
        <f>'Labor Rates'!$D$8</f>
        <v>22.02</v>
      </c>
      <c r="K120" s="27">
        <f t="shared" si="24"/>
        <v>2809794.4135370483</v>
      </c>
      <c r="L120" s="141">
        <v>124354.88</v>
      </c>
      <c r="M120" s="37">
        <f>I120-L120</f>
        <v>3247.0461370139965</v>
      </c>
      <c r="N120" s="37">
        <v>0</v>
      </c>
      <c r="O120" s="7">
        <f t="shared" si="14"/>
        <v>3247.0461370139965</v>
      </c>
      <c r="P120" s="93"/>
    </row>
    <row r="121" spans="1:16" ht="14.5" customHeight="1" x14ac:dyDescent="0.35">
      <c r="A121" s="39"/>
      <c r="C121" s="319" t="s">
        <v>82</v>
      </c>
      <c r="D121" s="320"/>
      <c r="E121" s="320"/>
      <c r="F121" s="320"/>
      <c r="G121" s="320"/>
      <c r="H121" s="320"/>
      <c r="I121" s="320"/>
      <c r="J121" s="320"/>
      <c r="K121" s="320"/>
      <c r="L121" s="320"/>
      <c r="M121" s="320"/>
      <c r="N121" s="320"/>
      <c r="O121" s="321"/>
    </row>
    <row r="122" spans="1:16" s="92" customFormat="1" ht="45" customHeight="1" x14ac:dyDescent="0.35">
      <c r="A122" s="94" t="s">
        <v>93</v>
      </c>
      <c r="C122" s="95" t="s">
        <v>112</v>
      </c>
      <c r="D122" s="108" t="s">
        <v>154</v>
      </c>
      <c r="E122" s="97">
        <f>Assumptions!F73</f>
        <v>46000</v>
      </c>
      <c r="F122" s="98">
        <v>1</v>
      </c>
      <c r="G122" s="97">
        <f>E122*F122</f>
        <v>46000</v>
      </c>
      <c r="H122" s="99">
        <v>8.3000000000000004E-2</v>
      </c>
      <c r="I122" s="98">
        <f>G122*H122</f>
        <v>3818</v>
      </c>
      <c r="J122" s="100">
        <f>'Labor Rates'!D8</f>
        <v>22.02</v>
      </c>
      <c r="K122" s="100">
        <f t="shared" ref="K122:K129" si="26">I122*J122</f>
        <v>84072.36</v>
      </c>
      <c r="L122" s="98">
        <f>Assumptions!E73</f>
        <v>0</v>
      </c>
      <c r="M122" s="98">
        <v>0</v>
      </c>
      <c r="N122" s="98">
        <f>I122</f>
        <v>3818</v>
      </c>
      <c r="O122" s="101">
        <f>M122+N122</f>
        <v>3818</v>
      </c>
      <c r="P122" s="93"/>
    </row>
    <row r="123" spans="1:16" s="92" customFormat="1" ht="45" customHeight="1" x14ac:dyDescent="0.35">
      <c r="A123" s="94" t="s">
        <v>93</v>
      </c>
      <c r="C123" s="95" t="s">
        <v>155</v>
      </c>
      <c r="D123" s="108" t="s">
        <v>156</v>
      </c>
      <c r="E123" s="97">
        <f>Assumptions!F74</f>
        <v>2700000</v>
      </c>
      <c r="F123" s="98">
        <v>1</v>
      </c>
      <c r="G123" s="97">
        <f t="shared" ref="G123:G130" si="27">E123*F123</f>
        <v>2700000</v>
      </c>
      <c r="H123" s="99">
        <v>8.3000000000000004E-2</v>
      </c>
      <c r="I123" s="98">
        <f>G123*H123</f>
        <v>224100</v>
      </c>
      <c r="J123" s="100">
        <f>'Labor Rates'!D8</f>
        <v>22.02</v>
      </c>
      <c r="K123" s="100">
        <f t="shared" si="26"/>
        <v>4934682</v>
      </c>
      <c r="L123" s="98">
        <f>Assumptions!E74</f>
        <v>0</v>
      </c>
      <c r="M123" s="98">
        <v>0</v>
      </c>
      <c r="N123" s="98">
        <f>I123</f>
        <v>224100</v>
      </c>
      <c r="O123" s="101">
        <f>M123+N123</f>
        <v>224100</v>
      </c>
      <c r="P123" s="93"/>
    </row>
    <row r="124" spans="1:16" s="92" customFormat="1" ht="45" customHeight="1" x14ac:dyDescent="0.35">
      <c r="A124" s="40" t="s">
        <v>33</v>
      </c>
      <c r="B124"/>
      <c r="C124" s="36" t="s">
        <v>83</v>
      </c>
      <c r="D124" s="104" t="s">
        <v>84</v>
      </c>
      <c r="E124" s="4">
        <f>Assumptions!F62</f>
        <v>31999535</v>
      </c>
      <c r="F124" s="37">
        <v>1</v>
      </c>
      <c r="G124" s="4">
        <f t="shared" si="27"/>
        <v>31999535</v>
      </c>
      <c r="H124" s="67">
        <v>8.3500000000000005E-2</v>
      </c>
      <c r="I124" s="37">
        <f>G124*H124</f>
        <v>2671961.1725000003</v>
      </c>
      <c r="J124" s="27">
        <f>'Labor Rates'!D8</f>
        <v>22.02</v>
      </c>
      <c r="K124" s="27">
        <f t="shared" si="26"/>
        <v>58836585.018450007</v>
      </c>
      <c r="L124" s="141">
        <v>2434468.7999999998</v>
      </c>
      <c r="M124" s="37">
        <f>I124-L124</f>
        <v>237492.37250000052</v>
      </c>
      <c r="N124" s="37">
        <v>0</v>
      </c>
      <c r="O124" s="7">
        <f>M124+N124</f>
        <v>237492.37250000052</v>
      </c>
      <c r="P124" s="93"/>
    </row>
    <row r="125" spans="1:16" s="92" customFormat="1" ht="29" x14ac:dyDescent="0.35">
      <c r="A125" s="40" t="s">
        <v>33</v>
      </c>
      <c r="B125"/>
      <c r="C125" s="36" t="s">
        <v>85</v>
      </c>
      <c r="D125" s="104" t="s">
        <v>86</v>
      </c>
      <c r="E125" s="4">
        <f>Assumptions!F63</f>
        <v>46963</v>
      </c>
      <c r="F125" s="37">
        <v>1</v>
      </c>
      <c r="G125" s="4">
        <f t="shared" si="27"/>
        <v>46963</v>
      </c>
      <c r="H125" s="67">
        <v>8.3500000000000005E-2</v>
      </c>
      <c r="I125" s="37">
        <f t="shared" ref="I125" si="28">G125*H125</f>
        <v>3921.4105000000004</v>
      </c>
      <c r="J125" s="27">
        <f>'Labor Rates'!D8</f>
        <v>22.02</v>
      </c>
      <c r="K125" s="27">
        <f t="shared" si="26"/>
        <v>86349.459210000001</v>
      </c>
      <c r="L125" s="141">
        <v>3572.88</v>
      </c>
      <c r="M125" s="37">
        <f t="shared" ref="M125:M133" si="29">I125-L125</f>
        <v>348.5305000000003</v>
      </c>
      <c r="N125" s="37">
        <v>0</v>
      </c>
      <c r="O125" s="7">
        <f t="shared" si="14"/>
        <v>348.5305000000003</v>
      </c>
      <c r="P125" s="93"/>
    </row>
    <row r="126" spans="1:16" s="92" customFormat="1" ht="45" customHeight="1" x14ac:dyDescent="0.35">
      <c r="A126" s="40" t="s">
        <v>33</v>
      </c>
      <c r="B126"/>
      <c r="C126" s="36" t="s">
        <v>87</v>
      </c>
      <c r="D126" s="2" t="s">
        <v>88</v>
      </c>
      <c r="E126" s="4">
        <f>Assumptions!F81</f>
        <v>1512369.145</v>
      </c>
      <c r="F126" s="37">
        <v>1</v>
      </c>
      <c r="G126" s="4">
        <f>E126*F126</f>
        <v>1512369.145</v>
      </c>
      <c r="H126" s="67">
        <v>1.67E-2</v>
      </c>
      <c r="I126" s="37">
        <f>G126*H126</f>
        <v>25256.564721499999</v>
      </c>
      <c r="J126" s="27">
        <f>'Labor Rates'!D8</f>
        <v>22.02</v>
      </c>
      <c r="K126" s="27">
        <f t="shared" si="26"/>
        <v>556149.55516742996</v>
      </c>
      <c r="L126" s="141">
        <v>8566.8700000000008</v>
      </c>
      <c r="M126" s="37">
        <f>I126-L126</f>
        <v>16689.694721499996</v>
      </c>
      <c r="N126" s="37">
        <v>0</v>
      </c>
      <c r="O126" s="7">
        <f>M126+N126</f>
        <v>16689.694721499996</v>
      </c>
      <c r="P126" s="93"/>
    </row>
    <row r="127" spans="1:16" ht="45" customHeight="1" x14ac:dyDescent="0.35">
      <c r="A127" s="38" t="s">
        <v>33</v>
      </c>
      <c r="C127" s="43" t="s">
        <v>89</v>
      </c>
      <c r="D127" s="2" t="s">
        <v>90</v>
      </c>
      <c r="E127" s="4">
        <f>Assumptions!F64</f>
        <v>1818087</v>
      </c>
      <c r="F127" s="37">
        <v>1</v>
      </c>
      <c r="G127" s="4">
        <f t="shared" si="27"/>
        <v>1818087</v>
      </c>
      <c r="H127" s="67">
        <v>8.3500000000000005E-2</v>
      </c>
      <c r="I127" s="37">
        <f>G127*H127</f>
        <v>151810.26450000002</v>
      </c>
      <c r="J127" s="27">
        <f>'Labor Rates'!D8</f>
        <v>22.02</v>
      </c>
      <c r="K127" s="27">
        <f t="shared" si="26"/>
        <v>3342862.0242900006</v>
      </c>
      <c r="L127" s="141">
        <v>138316.92000000001</v>
      </c>
      <c r="M127" s="37">
        <f t="shared" si="29"/>
        <v>13493.344500000007</v>
      </c>
      <c r="N127" s="37">
        <v>0</v>
      </c>
      <c r="O127" s="7">
        <f t="shared" si="14"/>
        <v>13493.344500000007</v>
      </c>
    </row>
    <row r="128" spans="1:16" s="92" customFormat="1" ht="45" customHeight="1" x14ac:dyDescent="0.35">
      <c r="A128" s="40" t="s">
        <v>33</v>
      </c>
      <c r="B128"/>
      <c r="C128" s="36" t="s">
        <v>91</v>
      </c>
      <c r="D128" s="2" t="s">
        <v>92</v>
      </c>
      <c r="E128" s="4">
        <f>Assumptions!F65</f>
        <v>17020701</v>
      </c>
      <c r="F128" s="37">
        <v>1</v>
      </c>
      <c r="G128" s="4">
        <f t="shared" si="27"/>
        <v>17020701</v>
      </c>
      <c r="H128" s="67">
        <v>8.3500000000000005E-2</v>
      </c>
      <c r="I128" s="37">
        <f>G128*H128</f>
        <v>1421228.5335000001</v>
      </c>
      <c r="J128" s="27">
        <f>'Labor Rates'!D8</f>
        <v>22.02</v>
      </c>
      <c r="K128" s="27">
        <f t="shared" si="26"/>
        <v>31295452.307670001</v>
      </c>
      <c r="L128" s="141">
        <v>1294905.22</v>
      </c>
      <c r="M128" s="37">
        <f t="shared" si="29"/>
        <v>126323.31350000016</v>
      </c>
      <c r="N128" s="37">
        <v>0</v>
      </c>
      <c r="O128" s="7">
        <f t="shared" si="14"/>
        <v>126323.31350000016</v>
      </c>
      <c r="P128" s="93"/>
    </row>
    <row r="129" spans="1:19" s="92" customFormat="1" ht="45" customHeight="1" x14ac:dyDescent="0.35">
      <c r="A129" s="94" t="s">
        <v>93</v>
      </c>
      <c r="C129" s="95" t="s">
        <v>94</v>
      </c>
      <c r="D129" s="96" t="s">
        <v>157</v>
      </c>
      <c r="E129" s="97">
        <f>Assumptions!F75</f>
        <v>5496000</v>
      </c>
      <c r="F129" s="98">
        <v>1</v>
      </c>
      <c r="G129" s="97">
        <f>E129*F129</f>
        <v>5496000</v>
      </c>
      <c r="H129" s="99">
        <v>0.02</v>
      </c>
      <c r="I129" s="98">
        <f>G129*H129</f>
        <v>109920</v>
      </c>
      <c r="J129" s="100">
        <f>'Labor Rates'!D8</f>
        <v>22.02</v>
      </c>
      <c r="K129" s="100">
        <f t="shared" si="26"/>
        <v>2420438.4</v>
      </c>
      <c r="L129" s="98">
        <f>Assumptions!E75</f>
        <v>0</v>
      </c>
      <c r="M129" s="98">
        <v>0</v>
      </c>
      <c r="N129" s="98">
        <f>I129</f>
        <v>109920</v>
      </c>
      <c r="O129" s="101">
        <f>M129+N129</f>
        <v>109920</v>
      </c>
      <c r="P129" s="93"/>
    </row>
    <row r="130" spans="1:19" s="92" customFormat="1" ht="45" customHeight="1" x14ac:dyDescent="0.35">
      <c r="A130" s="219" t="s">
        <v>33</v>
      </c>
      <c r="C130" s="209" t="s">
        <v>96</v>
      </c>
      <c r="D130" s="220" t="s">
        <v>158</v>
      </c>
      <c r="E130" s="211">
        <f>Assumptions!F66+Assumptions!F50</f>
        <v>1685119.6099999999</v>
      </c>
      <c r="F130" s="215">
        <v>1</v>
      </c>
      <c r="G130" s="211">
        <f t="shared" si="27"/>
        <v>1685119.6099999999</v>
      </c>
      <c r="H130" s="221">
        <v>8.3500000000000005E-2</v>
      </c>
      <c r="I130" s="215">
        <f>G130*H130</f>
        <v>140707.48743499999</v>
      </c>
      <c r="J130" s="217">
        <f>'Labor Rates'!D8</f>
        <v>22.02</v>
      </c>
      <c r="K130" s="217">
        <f t="shared" ref="K130" si="30">I130*J130</f>
        <v>3098378.8733186997</v>
      </c>
      <c r="L130" s="215">
        <v>97030.92</v>
      </c>
      <c r="M130" s="215">
        <f>(Assumptions!F66*'Burden Calculations'!H130)-'Burden Calculations'!L130</f>
        <v>9465.8150000000023</v>
      </c>
      <c r="N130" s="215">
        <f>(Assumptions!F50*H130)</f>
        <v>34210.752435000002</v>
      </c>
      <c r="O130" s="218">
        <f>I130-L130</f>
        <v>43676.56743499999</v>
      </c>
      <c r="P130" s="93"/>
      <c r="R130" s="143"/>
    </row>
    <row r="131" spans="1:19" ht="45" customHeight="1" x14ac:dyDescent="0.35">
      <c r="A131" s="38" t="s">
        <v>33</v>
      </c>
      <c r="C131" s="36" t="s">
        <v>98</v>
      </c>
      <c r="D131" s="2" t="s">
        <v>99</v>
      </c>
      <c r="E131" s="4">
        <f>Assumptions!F67</f>
        <v>281781</v>
      </c>
      <c r="F131" s="37">
        <v>1</v>
      </c>
      <c r="G131" s="4">
        <f t="shared" ref="G131:G137" si="31">E131*F131</f>
        <v>281781</v>
      </c>
      <c r="H131" s="67">
        <v>8.3500000000000005E-2</v>
      </c>
      <c r="I131" s="37">
        <f t="shared" ref="I131:I137" si="32">G131*H131</f>
        <v>23528.713500000002</v>
      </c>
      <c r="J131" s="27">
        <f>'Labor Rates'!D8</f>
        <v>22.02</v>
      </c>
      <c r="K131" s="27">
        <f t="shared" ref="K131:K136" si="33">I131*J131</f>
        <v>518102.27127000003</v>
      </c>
      <c r="L131" s="141">
        <v>21437.37</v>
      </c>
      <c r="M131" s="37">
        <f t="shared" si="29"/>
        <v>2091.3435000000027</v>
      </c>
      <c r="N131" s="37">
        <v>0</v>
      </c>
      <c r="O131" s="7">
        <f t="shared" si="14"/>
        <v>2091.3435000000027</v>
      </c>
    </row>
    <row r="132" spans="1:19" ht="45" customHeight="1" x14ac:dyDescent="0.35">
      <c r="A132" s="38" t="s">
        <v>33</v>
      </c>
      <c r="C132" s="36" t="s">
        <v>100</v>
      </c>
      <c r="D132" s="2" t="s">
        <v>101</v>
      </c>
      <c r="E132" s="4">
        <f>Assumptions!F68</f>
        <v>420885</v>
      </c>
      <c r="F132" s="37">
        <v>1</v>
      </c>
      <c r="G132" s="4">
        <f t="shared" si="31"/>
        <v>420885</v>
      </c>
      <c r="H132" s="67">
        <v>8.3500000000000005E-2</v>
      </c>
      <c r="I132" s="37">
        <f t="shared" si="32"/>
        <v>35143.897499999999</v>
      </c>
      <c r="J132" s="27">
        <f>'Labor Rates'!D8</f>
        <v>22.02</v>
      </c>
      <c r="K132" s="27">
        <f t="shared" si="33"/>
        <v>773868.62294999999</v>
      </c>
      <c r="L132" s="141">
        <v>32020.16</v>
      </c>
      <c r="M132" s="37">
        <f t="shared" si="29"/>
        <v>3123.7374999999993</v>
      </c>
      <c r="N132" s="37">
        <v>0</v>
      </c>
      <c r="O132" s="7">
        <f t="shared" si="14"/>
        <v>3123.7374999999993</v>
      </c>
    </row>
    <row r="133" spans="1:19" s="92" customFormat="1" ht="45" customHeight="1" x14ac:dyDescent="0.35">
      <c r="A133" s="40" t="s">
        <v>33</v>
      </c>
      <c r="B133"/>
      <c r="C133" s="36" t="s">
        <v>102</v>
      </c>
      <c r="D133" s="2" t="s">
        <v>103</v>
      </c>
      <c r="E133" s="4">
        <f>Assumptions!F80</f>
        <v>382990</v>
      </c>
      <c r="F133" s="37">
        <v>1</v>
      </c>
      <c r="G133" s="4">
        <f t="shared" si="31"/>
        <v>382990</v>
      </c>
      <c r="H133" s="67">
        <v>8.3500000000000005E-2</v>
      </c>
      <c r="I133" s="37">
        <f t="shared" si="32"/>
        <v>31979.665000000001</v>
      </c>
      <c r="J133" s="27">
        <f>'Labor Rates'!D8</f>
        <v>22.02</v>
      </c>
      <c r="K133" s="27">
        <f t="shared" si="33"/>
        <v>704192.22329999995</v>
      </c>
      <c r="L133" s="141">
        <v>27320.37</v>
      </c>
      <c r="M133" s="37">
        <f t="shared" si="29"/>
        <v>4659.2950000000019</v>
      </c>
      <c r="N133" s="37">
        <v>0</v>
      </c>
      <c r="O133" s="7">
        <f t="shared" si="14"/>
        <v>4659.2950000000019</v>
      </c>
      <c r="P133" s="93"/>
      <c r="S133" s="245"/>
    </row>
    <row r="134" spans="1:19" s="92" customFormat="1" ht="45" customHeight="1" x14ac:dyDescent="0.35">
      <c r="A134" s="208" t="s">
        <v>33</v>
      </c>
      <c r="C134" s="209" t="s">
        <v>104</v>
      </c>
      <c r="D134" s="210" t="s">
        <v>105</v>
      </c>
      <c r="E134" s="211">
        <f>Assumptions!F69+Assumptions!F54</f>
        <v>830594.61</v>
      </c>
      <c r="F134" s="212">
        <v>1</v>
      </c>
      <c r="G134" s="213">
        <f t="shared" si="31"/>
        <v>830594.61</v>
      </c>
      <c r="H134" s="214">
        <v>8.3500000000000005E-2</v>
      </c>
      <c r="I134" s="215">
        <f t="shared" si="32"/>
        <v>69354.649935000009</v>
      </c>
      <c r="J134" s="216">
        <f>'Labor Rates'!D8</f>
        <v>22.02</v>
      </c>
      <c r="K134" s="217">
        <f t="shared" si="33"/>
        <v>1527189.3915687001</v>
      </c>
      <c r="L134" s="215">
        <v>32020.16</v>
      </c>
      <c r="M134" s="215">
        <f>(Assumptions!F69*'Burden Calculations'!H134)-'Burden Calculations'!L134</f>
        <v>3123.7374999999993</v>
      </c>
      <c r="N134" s="215">
        <f>(Assumptions!F54*H134)</f>
        <v>34210.752435000002</v>
      </c>
      <c r="O134" s="218">
        <f>I134-L134</f>
        <v>37334.489935000005</v>
      </c>
      <c r="P134" s="93"/>
      <c r="R134" s="143"/>
    </row>
    <row r="135" spans="1:19" s="92" customFormat="1" ht="45" customHeight="1" x14ac:dyDescent="0.35">
      <c r="A135" s="40" t="s">
        <v>33</v>
      </c>
      <c r="B135"/>
      <c r="C135" s="36" t="s">
        <v>106</v>
      </c>
      <c r="D135" s="2" t="s">
        <v>107</v>
      </c>
      <c r="E135" s="4">
        <f>Assumptions!F70</f>
        <v>3824126</v>
      </c>
      <c r="F135" s="37">
        <v>1</v>
      </c>
      <c r="G135" s="4">
        <f t="shared" si="31"/>
        <v>3824126</v>
      </c>
      <c r="H135" s="67">
        <v>8.3500000000000005E-2</v>
      </c>
      <c r="I135" s="37">
        <f t="shared" si="32"/>
        <v>319314.52100000001</v>
      </c>
      <c r="J135" s="27">
        <f>'Labor Rates'!D8</f>
        <v>22.02</v>
      </c>
      <c r="K135" s="27">
        <f t="shared" si="33"/>
        <v>7031305.7524199998</v>
      </c>
      <c r="L135" s="141">
        <v>348963.2</v>
      </c>
      <c r="M135" s="37">
        <f>I135-L135</f>
        <v>-29648.679000000004</v>
      </c>
      <c r="N135" s="37">
        <v>0</v>
      </c>
      <c r="O135" s="7">
        <f>M135+N135</f>
        <v>-29648.679000000004</v>
      </c>
      <c r="P135" s="93"/>
      <c r="R135" s="143"/>
    </row>
    <row r="136" spans="1:19" s="92" customFormat="1" ht="45" customHeight="1" x14ac:dyDescent="0.35">
      <c r="A136" s="40" t="s">
        <v>33</v>
      </c>
      <c r="B136"/>
      <c r="C136" s="36" t="s">
        <v>110</v>
      </c>
      <c r="D136" s="2" t="s">
        <v>111</v>
      </c>
      <c r="E136" s="4">
        <f>Assumptions!F71</f>
        <v>890098</v>
      </c>
      <c r="F136" s="37">
        <v>1</v>
      </c>
      <c r="G136" s="4">
        <f>E136*F136</f>
        <v>890098</v>
      </c>
      <c r="H136" s="67">
        <v>8.3500000000000005E-2</v>
      </c>
      <c r="I136" s="37">
        <f>G136*H136</f>
        <v>74323.183000000005</v>
      </c>
      <c r="J136" s="27">
        <f>'Labor Rates'!D8</f>
        <v>22.02</v>
      </c>
      <c r="K136" s="27">
        <f t="shared" si="33"/>
        <v>1636596.48966</v>
      </c>
      <c r="L136" s="141">
        <v>8583.4699999999993</v>
      </c>
      <c r="M136" s="37">
        <f>I136-L136</f>
        <v>65739.713000000003</v>
      </c>
      <c r="N136" s="37">
        <v>0</v>
      </c>
      <c r="O136" s="7">
        <f>M136+N136</f>
        <v>65739.713000000003</v>
      </c>
      <c r="P136" s="93"/>
    </row>
    <row r="137" spans="1:19" s="92" customFormat="1" ht="45" customHeight="1" x14ac:dyDescent="0.35">
      <c r="A137" s="40" t="s">
        <v>33</v>
      </c>
      <c r="B137"/>
      <c r="C137" s="36" t="s">
        <v>159</v>
      </c>
      <c r="D137" s="2" t="s">
        <v>115</v>
      </c>
      <c r="E137" s="4">
        <f>Assumptions!F72</f>
        <v>30639199</v>
      </c>
      <c r="F137" s="37">
        <v>1</v>
      </c>
      <c r="G137" s="4">
        <f t="shared" si="31"/>
        <v>30639199</v>
      </c>
      <c r="H137" s="67">
        <v>8.3500000000000005E-2</v>
      </c>
      <c r="I137" s="37">
        <f t="shared" si="32"/>
        <v>2558373.1165</v>
      </c>
      <c r="J137" s="27">
        <f>'Labor Rates'!D8</f>
        <v>22.02</v>
      </c>
      <c r="K137" s="27">
        <f t="shared" ref="K137" si="34">I137*J137</f>
        <v>56335376.02533</v>
      </c>
      <c r="L137" s="141">
        <v>2185626.0299999998</v>
      </c>
      <c r="M137" s="37">
        <f>I137-L137</f>
        <v>372747.08650000021</v>
      </c>
      <c r="N137" s="37">
        <v>0</v>
      </c>
      <c r="O137" s="7">
        <f t="shared" si="14"/>
        <v>372747.08650000021</v>
      </c>
      <c r="P137" s="93"/>
      <c r="R137" s="245"/>
      <c r="S137" s="245"/>
    </row>
    <row r="138" spans="1:19" x14ac:dyDescent="0.35">
      <c r="A138" s="39"/>
      <c r="C138" s="316" t="s">
        <v>116</v>
      </c>
      <c r="D138" s="317"/>
      <c r="E138" s="317"/>
      <c r="F138" s="317"/>
      <c r="G138" s="317"/>
      <c r="H138" s="317"/>
      <c r="I138" s="317"/>
      <c r="J138" s="317"/>
      <c r="K138" s="317"/>
      <c r="L138" s="317"/>
      <c r="M138" s="317"/>
      <c r="N138" s="317"/>
      <c r="O138" s="318"/>
    </row>
    <row r="139" spans="1:19" s="92" customFormat="1" ht="45" customHeight="1" x14ac:dyDescent="0.35">
      <c r="A139" s="40" t="s">
        <v>33</v>
      </c>
      <c r="B139"/>
      <c r="C139" s="36" t="s">
        <v>119</v>
      </c>
      <c r="D139" s="2" t="s">
        <v>120</v>
      </c>
      <c r="E139" s="4">
        <f>Assumptions!F82</f>
        <v>765980</v>
      </c>
      <c r="F139" s="37">
        <v>1</v>
      </c>
      <c r="G139" s="4">
        <f>E139*F139</f>
        <v>765980</v>
      </c>
      <c r="H139" s="67">
        <v>5.0099999999999999E-2</v>
      </c>
      <c r="I139" s="37">
        <f>G139*H139</f>
        <v>38375.597999999998</v>
      </c>
      <c r="J139" s="27">
        <f>'Labor Rates'!D8</f>
        <v>22.02</v>
      </c>
      <c r="K139" s="27">
        <f>I139*J139</f>
        <v>845030.66795999999</v>
      </c>
      <c r="L139" s="141">
        <v>32784.39</v>
      </c>
      <c r="M139" s="37">
        <f>I139-L139</f>
        <v>5591.2079999999987</v>
      </c>
      <c r="N139" s="37">
        <v>0</v>
      </c>
      <c r="O139" s="7">
        <f>M139+N139</f>
        <v>5591.2079999999987</v>
      </c>
      <c r="P139" s="93"/>
    </row>
    <row r="140" spans="1:19" s="92" customFormat="1" ht="45" customHeight="1" x14ac:dyDescent="0.35">
      <c r="A140" s="40" t="s">
        <v>33</v>
      </c>
      <c r="B140"/>
      <c r="C140" s="36" t="s">
        <v>123</v>
      </c>
      <c r="D140" s="2" t="s">
        <v>160</v>
      </c>
      <c r="E140" s="4">
        <f>Assumptions!F83</f>
        <v>47444561.297022603</v>
      </c>
      <c r="F140" s="37">
        <v>1</v>
      </c>
      <c r="G140" s="4">
        <f>E140*F140</f>
        <v>47444561.297022603</v>
      </c>
      <c r="H140" s="37">
        <v>0.05</v>
      </c>
      <c r="I140" s="37">
        <f>G140*H140</f>
        <v>2372228.0648511304</v>
      </c>
      <c r="J140" s="27">
        <f>'Labor Rates'!D8</f>
        <v>22.02</v>
      </c>
      <c r="K140" s="27">
        <f>I140*J140</f>
        <v>52236461.988021888</v>
      </c>
      <c r="L140" s="141">
        <v>2104247.6</v>
      </c>
      <c r="M140" s="37">
        <f>I140-L140</f>
        <v>267980.46485113027</v>
      </c>
      <c r="N140" s="37">
        <v>0</v>
      </c>
      <c r="O140" s="7">
        <f>M140+N140</f>
        <v>267980.46485113027</v>
      </c>
      <c r="P140" s="93"/>
    </row>
    <row r="141" spans="1:19" x14ac:dyDescent="0.35">
      <c r="A141" s="39"/>
      <c r="C141" s="316"/>
      <c r="D141" s="317"/>
      <c r="E141" s="317"/>
      <c r="F141" s="317"/>
      <c r="G141" s="317"/>
      <c r="H141" s="317"/>
      <c r="I141" s="317"/>
      <c r="J141" s="317"/>
      <c r="K141" s="317"/>
      <c r="L141" s="317"/>
      <c r="M141" s="317"/>
      <c r="N141" s="317"/>
      <c r="O141" s="318"/>
    </row>
    <row r="142" spans="1:19" ht="45" customHeight="1" x14ac:dyDescent="0.35">
      <c r="A142" s="41"/>
      <c r="C142" s="311" t="s">
        <v>161</v>
      </c>
      <c r="D142" s="312"/>
      <c r="E142" s="50">
        <f>Assumptions!F22</f>
        <v>21620718</v>
      </c>
      <c r="F142" s="128">
        <f>G142/E142</f>
        <v>20.50778948294559</v>
      </c>
      <c r="G142" s="50">
        <f>SUM(G82,G84:G85,G87:G101,G103,G105:G106,G108:G114,G116:G120,G122:G137,G139:G140)</f>
        <v>443393133.21413243</v>
      </c>
      <c r="H142" s="71">
        <f>I142/G142</f>
        <v>0.17598538170041508</v>
      </c>
      <c r="I142" s="50">
        <f>SUM(I82,I84:I85,I87:I101,I103,I105:I106,I108:I114,I116:I120,I122:I137,I139:I140)</f>
        <v>78030709.792032093</v>
      </c>
      <c r="J142" s="52">
        <f>K142/I142</f>
        <v>22.019999999999989</v>
      </c>
      <c r="K142" s="52">
        <f>SUM(K82,K84:K85,K87:K101,K103,K105:K106,K108:K114,K116:K120,K122:K137,K139:K140)</f>
        <v>1718236229.6205459</v>
      </c>
      <c r="L142" s="51">
        <f>SUM(L82,L84:L85,L87:L101,L103,L105:L106,L108:L114,L116:L120,L122:L137,L139:L140)</f>
        <v>67423437.090000004</v>
      </c>
      <c r="M142" s="51">
        <f>SUM(M82,M84:M85,M87:M101,M103,M105:M106,M108:M114,M116:M120,M122:M137,M139:M140)</f>
        <v>10184686.394734059</v>
      </c>
      <c r="N142" s="51">
        <f>SUM(N82,N84:N85,N87:N101,N103,N105:N106,N108:N114,N116:N120,N122:N137,N139:N140)</f>
        <v>422586.30729800009</v>
      </c>
      <c r="O142" s="55">
        <f>M142+N142</f>
        <v>10607272.702032059</v>
      </c>
      <c r="R142" s="68"/>
      <c r="S142" s="6"/>
    </row>
    <row r="143" spans="1:19" x14ac:dyDescent="0.35">
      <c r="A143" s="41"/>
      <c r="C143" s="313"/>
      <c r="D143" s="314"/>
      <c r="E143" s="314"/>
      <c r="F143" s="314"/>
      <c r="G143" s="314"/>
      <c r="H143" s="314"/>
      <c r="I143" s="314"/>
      <c r="J143" s="314"/>
      <c r="K143" s="314"/>
      <c r="L143" s="314"/>
      <c r="M143" s="314"/>
      <c r="N143" s="314"/>
      <c r="O143" s="315"/>
    </row>
    <row r="144" spans="1:19" ht="45.75" customHeight="1" x14ac:dyDescent="0.35">
      <c r="A144" s="41"/>
      <c r="C144" s="311" t="s">
        <v>162</v>
      </c>
      <c r="D144" s="312"/>
      <c r="E144" s="8">
        <f>E78+E142</f>
        <v>21623495</v>
      </c>
      <c r="F144" s="9">
        <f>G144/E144</f>
        <v>48.941213602069759</v>
      </c>
      <c r="G144" s="9">
        <f>G78+G142</f>
        <v>1058280087.6182874</v>
      </c>
      <c r="H144" s="307">
        <f>I144/G144</f>
        <v>0.13493652194855629</v>
      </c>
      <c r="I144" s="9">
        <f>I78+I142</f>
        <v>142800634.27062511</v>
      </c>
      <c r="J144" s="28">
        <f>K144/I144</f>
        <v>25.529525561671729</v>
      </c>
      <c r="K144" s="28">
        <f>K78+K142</f>
        <v>3645632442.8348598</v>
      </c>
      <c r="L144" s="8">
        <f>L78+L142</f>
        <v>124188250.77000001</v>
      </c>
      <c r="M144" s="9">
        <f>M78+M142</f>
        <v>17785144.086763099</v>
      </c>
      <c r="N144" s="9">
        <f>N78+N142</f>
        <v>827239.4138620001</v>
      </c>
      <c r="O144" s="10">
        <f>O78+O142</f>
        <v>18612383.5006251</v>
      </c>
      <c r="P144"/>
      <c r="R144" s="6"/>
    </row>
  </sheetData>
  <mergeCells count="35">
    <mergeCell ref="C81:O81"/>
    <mergeCell ref="C83:O83"/>
    <mergeCell ref="C40:O40"/>
    <mergeCell ref="C46:O46"/>
    <mergeCell ref="C63:O63"/>
    <mergeCell ref="C79:O79"/>
    <mergeCell ref="C75:O75"/>
    <mergeCell ref="C80:O80"/>
    <mergeCell ref="C72:O72"/>
    <mergeCell ref="C76:D76"/>
    <mergeCell ref="C78:D78"/>
    <mergeCell ref="C69:O69"/>
    <mergeCell ref="C71:D71"/>
    <mergeCell ref="A2:A4"/>
    <mergeCell ref="C68:D68"/>
    <mergeCell ref="C2:O2"/>
    <mergeCell ref="C6:O6"/>
    <mergeCell ref="C7:O7"/>
    <mergeCell ref="C9:O9"/>
    <mergeCell ref="C12:O12"/>
    <mergeCell ref="C5:O5"/>
    <mergeCell ref="C28:O28"/>
    <mergeCell ref="C32:O32"/>
    <mergeCell ref="C30:O30"/>
    <mergeCell ref="C142:D142"/>
    <mergeCell ref="C144:D144"/>
    <mergeCell ref="C143:O143"/>
    <mergeCell ref="C86:O86"/>
    <mergeCell ref="C102:O102"/>
    <mergeCell ref="C104:O104"/>
    <mergeCell ref="C107:O107"/>
    <mergeCell ref="C115:O115"/>
    <mergeCell ref="C121:O121"/>
    <mergeCell ref="C138:O138"/>
    <mergeCell ref="C141:O141"/>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zoomScale="80" zoomScaleNormal="80" workbookViewId="0">
      <pane ySplit="4" topLeftCell="A10" activePane="bottomLeft" state="frozen"/>
      <selection pane="bottomLeft" activeCell="G6" sqref="G6"/>
    </sheetView>
  </sheetViews>
  <sheetFormatPr defaultColWidth="8.81640625" defaultRowHeight="15" customHeight="1" x14ac:dyDescent="0.35"/>
  <cols>
    <col min="1" max="1" width="14.81640625" style="14" customWidth="1"/>
    <col min="2" max="2" width="4.453125" style="14" customWidth="1"/>
    <col min="3" max="3" width="31.1796875" style="14" bestFit="1" customWidth="1"/>
    <col min="4" max="4" width="16.26953125" style="14" customWidth="1"/>
    <col min="5" max="6" width="14.54296875" style="15" customWidth="1"/>
    <col min="7" max="7" width="45.7265625" style="14" customWidth="1"/>
    <col min="8" max="8" width="14.54296875" style="15" customWidth="1"/>
    <col min="9" max="9" width="47.1796875" style="14" customWidth="1"/>
    <col min="10" max="10" width="11.54296875" style="30" customWidth="1"/>
    <col min="11" max="11" width="13" style="14" customWidth="1"/>
    <col min="12" max="12" width="33.26953125" style="14" customWidth="1"/>
    <col min="13" max="16384" width="8.81640625" style="14"/>
  </cols>
  <sheetData>
    <row r="1" spans="1:12" ht="14.5" x14ac:dyDescent="0.35"/>
    <row r="2" spans="1:12" ht="30" customHeight="1" x14ac:dyDescent="0.35">
      <c r="A2" s="322" t="s">
        <v>163</v>
      </c>
      <c r="C2" s="345" t="s">
        <v>164</v>
      </c>
      <c r="D2" s="346"/>
      <c r="E2" s="346"/>
      <c r="F2" s="346"/>
      <c r="G2" s="346"/>
      <c r="H2" s="346"/>
      <c r="I2" s="347"/>
      <c r="K2" s="222" t="s">
        <v>15</v>
      </c>
      <c r="L2" s="224" t="s">
        <v>165</v>
      </c>
    </row>
    <row r="3" spans="1:12" ht="25.15" customHeight="1" x14ac:dyDescent="0.35">
      <c r="A3" s="322"/>
      <c r="C3" s="349" t="s">
        <v>166</v>
      </c>
      <c r="D3" s="322" t="s">
        <v>167</v>
      </c>
      <c r="E3" s="322" t="s">
        <v>168</v>
      </c>
      <c r="F3" s="350" t="s">
        <v>169</v>
      </c>
      <c r="G3" s="350"/>
      <c r="H3" s="322" t="s">
        <v>170</v>
      </c>
      <c r="I3" s="348" t="s">
        <v>171</v>
      </c>
      <c r="J3" s="31"/>
      <c r="K3" s="223"/>
      <c r="L3" s="225" t="s">
        <v>172</v>
      </c>
    </row>
    <row r="4" spans="1:12" ht="33.75" customHeight="1" x14ac:dyDescent="0.35">
      <c r="A4" s="322"/>
      <c r="C4" s="349"/>
      <c r="D4" s="322"/>
      <c r="E4" s="322"/>
      <c r="F4" s="305" t="s">
        <v>173</v>
      </c>
      <c r="G4" s="305" t="s">
        <v>174</v>
      </c>
      <c r="H4" s="322"/>
      <c r="I4" s="348"/>
      <c r="K4" s="223"/>
      <c r="L4" s="226" t="s">
        <v>175</v>
      </c>
    </row>
    <row r="5" spans="1:12" ht="43.5" x14ac:dyDescent="0.35">
      <c r="A5" s="38" t="s">
        <v>33</v>
      </c>
      <c r="C5" s="33" t="s">
        <v>176</v>
      </c>
      <c r="D5" s="35" t="s">
        <v>177</v>
      </c>
      <c r="E5" s="34">
        <v>53</v>
      </c>
      <c r="F5" s="227">
        <v>53</v>
      </c>
      <c r="G5" s="32" t="s">
        <v>178</v>
      </c>
      <c r="H5" s="34">
        <f t="shared" ref="H5:H52" si="0">F5-E5</f>
        <v>0</v>
      </c>
      <c r="I5" s="267"/>
    </row>
    <row r="6" spans="1:12" ht="58" x14ac:dyDescent="0.35">
      <c r="A6" s="38" t="s">
        <v>33</v>
      </c>
      <c r="C6" s="36" t="s">
        <v>179</v>
      </c>
      <c r="D6" s="32" t="s">
        <v>36</v>
      </c>
      <c r="E6" s="34">
        <v>40</v>
      </c>
      <c r="F6" s="227">
        <v>53</v>
      </c>
      <c r="G6" s="32" t="s">
        <v>180</v>
      </c>
      <c r="H6" s="34">
        <f t="shared" si="0"/>
        <v>13</v>
      </c>
      <c r="I6" s="268" t="s">
        <v>181</v>
      </c>
    </row>
    <row r="7" spans="1:12" ht="58" x14ac:dyDescent="0.35">
      <c r="A7" s="38" t="s">
        <v>33</v>
      </c>
      <c r="C7" s="36" t="s">
        <v>182</v>
      </c>
      <c r="D7" s="32" t="s">
        <v>36</v>
      </c>
      <c r="E7" s="34">
        <v>13</v>
      </c>
      <c r="F7" s="227">
        <v>53</v>
      </c>
      <c r="G7" s="32" t="s">
        <v>180</v>
      </c>
      <c r="H7" s="34">
        <f t="shared" si="0"/>
        <v>40</v>
      </c>
      <c r="I7" s="268" t="s">
        <v>181</v>
      </c>
    </row>
    <row r="8" spans="1:12" ht="43.5" x14ac:dyDescent="0.35">
      <c r="A8" s="38" t="s">
        <v>33</v>
      </c>
      <c r="C8" s="36" t="s">
        <v>183</v>
      </c>
      <c r="D8" s="32" t="s">
        <v>36</v>
      </c>
      <c r="E8" s="34">
        <v>13631850</v>
      </c>
      <c r="F8" s="230">
        <f>ROUND(F14*(E8/E14),0)</f>
        <v>15956691</v>
      </c>
      <c r="G8" s="32" t="s">
        <v>184</v>
      </c>
      <c r="H8" s="34">
        <f t="shared" si="0"/>
        <v>2324841</v>
      </c>
      <c r="I8" s="268" t="s">
        <v>185</v>
      </c>
    </row>
    <row r="9" spans="1:12" ht="43.5" x14ac:dyDescent="0.35">
      <c r="A9" s="38" t="s">
        <v>33</v>
      </c>
      <c r="C9" s="36" t="s">
        <v>186</v>
      </c>
      <c r="D9" s="32" t="s">
        <v>36</v>
      </c>
      <c r="E9" s="34">
        <v>4430351</v>
      </c>
      <c r="F9" s="230">
        <f>ROUND(F14*(E9/E14),0)</f>
        <v>5185924</v>
      </c>
      <c r="G9" s="32" t="s">
        <v>184</v>
      </c>
      <c r="H9" s="34">
        <f t="shared" si="0"/>
        <v>755573</v>
      </c>
      <c r="I9" s="268" t="s">
        <v>187</v>
      </c>
    </row>
    <row r="10" spans="1:12" ht="29" x14ac:dyDescent="0.35">
      <c r="A10" s="38" t="s">
        <v>33</v>
      </c>
      <c r="C10" s="36" t="s">
        <v>188</v>
      </c>
      <c r="D10" s="32">
        <v>273.20999999999998</v>
      </c>
      <c r="E10" s="34">
        <v>1</v>
      </c>
      <c r="F10" s="227">
        <v>1</v>
      </c>
      <c r="G10" s="32" t="s">
        <v>189</v>
      </c>
      <c r="H10" s="34">
        <f t="shared" si="0"/>
        <v>0</v>
      </c>
      <c r="I10" s="269" t="s">
        <v>190</v>
      </c>
    </row>
    <row r="11" spans="1:12" ht="58" x14ac:dyDescent="0.35">
      <c r="A11" s="38" t="s">
        <v>33</v>
      </c>
      <c r="C11" s="36" t="s">
        <v>191</v>
      </c>
      <c r="D11" s="32" t="s">
        <v>74</v>
      </c>
      <c r="E11" s="34">
        <v>1</v>
      </c>
      <c r="F11" s="227">
        <v>1</v>
      </c>
      <c r="G11" s="32" t="s">
        <v>189</v>
      </c>
      <c r="H11" s="34">
        <f t="shared" si="0"/>
        <v>0</v>
      </c>
      <c r="I11" s="269" t="s">
        <v>192</v>
      </c>
    </row>
    <row r="12" spans="1:12" ht="73" customHeight="1" x14ac:dyDescent="0.35">
      <c r="A12" s="38" t="s">
        <v>33</v>
      </c>
      <c r="C12" s="36" t="s">
        <v>193</v>
      </c>
      <c r="D12" s="32" t="s">
        <v>76</v>
      </c>
      <c r="E12" s="34">
        <v>51</v>
      </c>
      <c r="F12" s="262">
        <v>52</v>
      </c>
      <c r="G12" s="261" t="s">
        <v>189</v>
      </c>
      <c r="H12" s="34">
        <f t="shared" si="0"/>
        <v>1</v>
      </c>
      <c r="I12" s="270" t="s">
        <v>194</v>
      </c>
    </row>
    <row r="13" spans="1:12" ht="29" x14ac:dyDescent="0.35">
      <c r="A13" s="38" t="s">
        <v>33</v>
      </c>
      <c r="C13" s="36" t="s">
        <v>195</v>
      </c>
      <c r="D13" s="32" t="s">
        <v>78</v>
      </c>
      <c r="E13" s="34">
        <v>26</v>
      </c>
      <c r="F13" s="262">
        <v>22</v>
      </c>
      <c r="G13" s="261" t="s">
        <v>189</v>
      </c>
      <c r="H13" s="34">
        <f t="shared" si="0"/>
        <v>-4</v>
      </c>
      <c r="I13" s="270" t="s">
        <v>194</v>
      </c>
    </row>
    <row r="14" spans="1:12" ht="14.5" x14ac:dyDescent="0.35">
      <c r="A14" s="38" t="s">
        <v>33</v>
      </c>
      <c r="C14" s="33" t="s">
        <v>196</v>
      </c>
      <c r="D14" s="32">
        <v>273.2</v>
      </c>
      <c r="E14" s="34">
        <v>18062201</v>
      </c>
      <c r="F14" s="227">
        <v>21142615</v>
      </c>
      <c r="G14" s="32" t="s">
        <v>197</v>
      </c>
      <c r="H14" s="34">
        <f t="shared" si="0"/>
        <v>3080414</v>
      </c>
      <c r="I14" s="268"/>
      <c r="J14" s="16"/>
    </row>
    <row r="15" spans="1:12" ht="203" x14ac:dyDescent="0.35">
      <c r="A15" s="151" t="s">
        <v>33</v>
      </c>
      <c r="B15" s="152"/>
      <c r="C15" s="185" t="s">
        <v>198</v>
      </c>
      <c r="D15" s="140" t="s">
        <v>58</v>
      </c>
      <c r="E15" s="116">
        <v>14656751</v>
      </c>
      <c r="F15" s="230">
        <f>((E15/E14)*F14)</f>
        <v>17156383.297022603</v>
      </c>
      <c r="G15" s="140" t="s">
        <v>199</v>
      </c>
      <c r="H15" s="116">
        <f t="shared" si="0"/>
        <v>2499632.2970226035</v>
      </c>
      <c r="I15" s="271" t="s">
        <v>200</v>
      </c>
      <c r="J15" s="16"/>
      <c r="L15" s="200"/>
    </row>
    <row r="16" spans="1:12" ht="72.5" x14ac:dyDescent="0.35">
      <c r="A16" s="38" t="s">
        <v>33</v>
      </c>
      <c r="C16" s="36" t="s">
        <v>201</v>
      </c>
      <c r="D16" s="32" t="s">
        <v>40</v>
      </c>
      <c r="E16" s="34">
        <v>1117000</v>
      </c>
      <c r="F16" s="263">
        <f>F22*0.055</f>
        <v>1189139.49</v>
      </c>
      <c r="G16" s="261" t="s">
        <v>202</v>
      </c>
      <c r="H16" s="34">
        <f t="shared" si="0"/>
        <v>72139.489999999991</v>
      </c>
      <c r="I16" s="268"/>
    </row>
    <row r="17" spans="1:12" ht="72.5" x14ac:dyDescent="0.35">
      <c r="A17" s="38" t="s">
        <v>33</v>
      </c>
      <c r="C17" s="36" t="s">
        <v>203</v>
      </c>
      <c r="D17" s="32" t="s">
        <v>40</v>
      </c>
      <c r="E17" s="34">
        <v>13693000</v>
      </c>
      <c r="F17" s="263">
        <f>F22*0.696</f>
        <v>15048019.727999998</v>
      </c>
      <c r="G17" s="261" t="s">
        <v>204</v>
      </c>
      <c r="H17" s="34">
        <f t="shared" si="0"/>
        <v>1355019.7279999983</v>
      </c>
      <c r="I17" s="268"/>
    </row>
    <row r="18" spans="1:12" ht="87" x14ac:dyDescent="0.35">
      <c r="A18" s="38" t="s">
        <v>33</v>
      </c>
      <c r="C18" s="36" t="s">
        <v>205</v>
      </c>
      <c r="D18" s="32" t="s">
        <v>40</v>
      </c>
      <c r="E18" s="34">
        <v>2864000</v>
      </c>
      <c r="F18" s="263">
        <f>F21*0.073</f>
        <v>3008202.3229999999</v>
      </c>
      <c r="G18" s="261" t="s">
        <v>206</v>
      </c>
      <c r="H18" s="34">
        <f t="shared" si="0"/>
        <v>144202.32299999986</v>
      </c>
      <c r="I18" s="272"/>
    </row>
    <row r="19" spans="1:12" ht="72.5" x14ac:dyDescent="0.35">
      <c r="A19" s="38" t="s">
        <v>33</v>
      </c>
      <c r="C19" s="36" t="s">
        <v>207</v>
      </c>
      <c r="D19" s="32" t="s">
        <v>40</v>
      </c>
      <c r="E19" s="34">
        <v>316000</v>
      </c>
      <c r="F19" s="263">
        <f>F22*0.016</f>
        <v>345931.48800000001</v>
      </c>
      <c r="G19" s="261" t="s">
        <v>208</v>
      </c>
      <c r="H19" s="34">
        <f t="shared" si="0"/>
        <v>29931.488000000012</v>
      </c>
      <c r="I19" s="268"/>
    </row>
    <row r="20" spans="1:12" ht="72.5" x14ac:dyDescent="0.35">
      <c r="A20" s="38" t="s">
        <v>33</v>
      </c>
      <c r="C20" s="36" t="s">
        <v>209</v>
      </c>
      <c r="D20" s="32" t="s">
        <v>40</v>
      </c>
      <c r="E20" s="34">
        <v>4073000</v>
      </c>
      <c r="F20" s="263">
        <f>F22*0.218</f>
        <v>4713316.5240000002</v>
      </c>
      <c r="G20" s="261" t="s">
        <v>210</v>
      </c>
      <c r="H20" s="34">
        <f t="shared" si="0"/>
        <v>640316.52400000021</v>
      </c>
      <c r="I20" s="267"/>
    </row>
    <row r="21" spans="1:12" s="297" customFormat="1" ht="58" x14ac:dyDescent="0.35">
      <c r="A21" s="296" t="s">
        <v>93</v>
      </c>
      <c r="C21" s="298" t="s">
        <v>211</v>
      </c>
      <c r="D21" s="299" t="s">
        <v>212</v>
      </c>
      <c r="E21" s="300" t="s">
        <v>213</v>
      </c>
      <c r="F21" s="262">
        <v>41208251</v>
      </c>
      <c r="G21" s="299" t="s">
        <v>214</v>
      </c>
      <c r="H21" s="300" t="s">
        <v>213</v>
      </c>
      <c r="I21" s="301" t="s">
        <v>215</v>
      </c>
      <c r="J21" s="302"/>
    </row>
    <row r="22" spans="1:12" ht="101.5" x14ac:dyDescent="0.35">
      <c r="A22" s="38" t="s">
        <v>33</v>
      </c>
      <c r="C22" s="36" t="s">
        <v>216</v>
      </c>
      <c r="D22" s="32" t="s">
        <v>212</v>
      </c>
      <c r="E22" s="34">
        <v>19699000</v>
      </c>
      <c r="F22" s="264">
        <v>21620718</v>
      </c>
      <c r="G22" s="261" t="s">
        <v>214</v>
      </c>
      <c r="H22" s="265">
        <f t="shared" si="0"/>
        <v>1921718</v>
      </c>
      <c r="I22" s="274" t="s">
        <v>217</v>
      </c>
    </row>
    <row r="23" spans="1:12" ht="43.5" x14ac:dyDescent="0.35">
      <c r="A23" s="38" t="s">
        <v>33</v>
      </c>
      <c r="C23" s="36" t="s">
        <v>218</v>
      </c>
      <c r="D23" s="32" t="s">
        <v>40</v>
      </c>
      <c r="E23" s="34">
        <v>513317</v>
      </c>
      <c r="F23" s="230">
        <f>ROUND(F22*(E23/E22),0)</f>
        <v>563393</v>
      </c>
      <c r="G23" s="32" t="s">
        <v>184</v>
      </c>
      <c r="H23" s="34">
        <f t="shared" si="0"/>
        <v>50076</v>
      </c>
      <c r="I23" s="273"/>
    </row>
    <row r="24" spans="1:12" ht="58" x14ac:dyDescent="0.35">
      <c r="A24" s="105" t="s">
        <v>93</v>
      </c>
      <c r="B24" s="109"/>
      <c r="C24" s="114" t="s">
        <v>219</v>
      </c>
      <c r="D24" s="111" t="s">
        <v>220</v>
      </c>
      <c r="E24" s="110">
        <v>0</v>
      </c>
      <c r="F24" s="110">
        <v>244413.21</v>
      </c>
      <c r="G24" s="111" t="s">
        <v>221</v>
      </c>
      <c r="H24" s="110" t="s">
        <v>212</v>
      </c>
      <c r="I24" s="275" t="s">
        <v>222</v>
      </c>
    </row>
    <row r="25" spans="1:12" ht="72.5" x14ac:dyDescent="0.35">
      <c r="A25" s="38" t="s">
        <v>33</v>
      </c>
      <c r="C25" s="36" t="s">
        <v>223</v>
      </c>
      <c r="D25" s="32" t="s">
        <v>40</v>
      </c>
      <c r="E25" s="34">
        <v>658000</v>
      </c>
      <c r="F25" s="263">
        <f>F22*0.031</f>
        <v>670242.25800000003</v>
      </c>
      <c r="G25" s="266" t="s">
        <v>224</v>
      </c>
      <c r="H25" s="34">
        <f t="shared" si="0"/>
        <v>12242.258000000031</v>
      </c>
      <c r="I25" s="268"/>
      <c r="J25" s="16"/>
    </row>
    <row r="26" spans="1:12" ht="43.5" x14ac:dyDescent="0.35">
      <c r="A26" s="38" t="s">
        <v>33</v>
      </c>
      <c r="C26" s="36" t="s">
        <v>225</v>
      </c>
      <c r="D26" s="32" t="s">
        <v>40</v>
      </c>
      <c r="E26" s="34">
        <v>363243</v>
      </c>
      <c r="F26" s="230">
        <f>ROUND(F25*(F14/(F14+F15)),0)</f>
        <v>370001</v>
      </c>
      <c r="G26" s="32" t="s">
        <v>184</v>
      </c>
      <c r="H26" s="34">
        <f t="shared" si="0"/>
        <v>6758</v>
      </c>
      <c r="I26" s="273"/>
      <c r="J26" s="16"/>
      <c r="L26" s="202"/>
    </row>
    <row r="27" spans="1:12" ht="246.5" x14ac:dyDescent="0.35">
      <c r="A27" s="38" t="s">
        <v>33</v>
      </c>
      <c r="C27" s="36" t="s">
        <v>226</v>
      </c>
      <c r="D27" s="32" t="s">
        <v>40</v>
      </c>
      <c r="E27" s="34">
        <v>1354273</v>
      </c>
      <c r="F27" s="230">
        <f>ROUND((2257121/21511000)*F22*0.6,0)</f>
        <v>1361180</v>
      </c>
      <c r="G27" s="32" t="s">
        <v>227</v>
      </c>
      <c r="H27" s="34">
        <f t="shared" si="0"/>
        <v>6907</v>
      </c>
      <c r="I27" s="268" t="s">
        <v>228</v>
      </c>
      <c r="J27" s="203"/>
      <c r="K27" s="201"/>
      <c r="L27" s="201"/>
    </row>
    <row r="28" spans="1:12" ht="29" x14ac:dyDescent="0.35">
      <c r="A28" s="38" t="s">
        <v>33</v>
      </c>
      <c r="C28" s="36" t="s">
        <v>229</v>
      </c>
      <c r="D28" s="140" t="s">
        <v>61</v>
      </c>
      <c r="E28" s="34">
        <f>E15*0.2</f>
        <v>2931350.2</v>
      </c>
      <c r="F28" s="230">
        <f>ROUND(F15*0.2,0)</f>
        <v>3431277</v>
      </c>
      <c r="G28" s="32" t="s">
        <v>230</v>
      </c>
      <c r="H28" s="34">
        <f t="shared" si="0"/>
        <v>499926.79999999981</v>
      </c>
      <c r="I28" s="268"/>
      <c r="J28" s="16"/>
    </row>
    <row r="29" spans="1:12" ht="43.5" x14ac:dyDescent="0.35">
      <c r="A29" s="38" t="s">
        <v>33</v>
      </c>
      <c r="C29" s="36" t="s">
        <v>231</v>
      </c>
      <c r="D29" s="32" t="s">
        <v>64</v>
      </c>
      <c r="E29" s="34">
        <v>7328376</v>
      </c>
      <c r="F29" s="230">
        <f>ROUND((E29/E15)*F15,0)</f>
        <v>8578192</v>
      </c>
      <c r="G29" s="32" t="s">
        <v>184</v>
      </c>
      <c r="H29" s="34">
        <f t="shared" si="0"/>
        <v>1249816</v>
      </c>
      <c r="I29" s="268"/>
      <c r="J29" s="16"/>
    </row>
    <row r="30" spans="1:12" ht="43.5" x14ac:dyDescent="0.35">
      <c r="A30" s="38" t="s">
        <v>33</v>
      </c>
      <c r="C30" s="36" t="s">
        <v>232</v>
      </c>
      <c r="D30" s="140" t="s">
        <v>64</v>
      </c>
      <c r="E30" s="34">
        <v>146568</v>
      </c>
      <c r="F30" s="230">
        <f>ROUND((E30/E15)*F15,0)</f>
        <v>171564</v>
      </c>
      <c r="G30" s="32" t="s">
        <v>184</v>
      </c>
      <c r="H30" s="34">
        <f t="shared" si="0"/>
        <v>24996</v>
      </c>
      <c r="I30" s="268"/>
      <c r="J30" s="16"/>
    </row>
    <row r="31" spans="1:12" ht="43.5" x14ac:dyDescent="0.35">
      <c r="A31" s="38" t="s">
        <v>33</v>
      </c>
      <c r="C31" s="36" t="s">
        <v>233</v>
      </c>
      <c r="D31" s="140" t="s">
        <v>64</v>
      </c>
      <c r="E31" s="34">
        <v>293135</v>
      </c>
      <c r="F31" s="230">
        <f>ROUND((E31/E15)*F15,0)</f>
        <v>343128</v>
      </c>
      <c r="G31" s="32" t="s">
        <v>184</v>
      </c>
      <c r="H31" s="34">
        <f t="shared" si="0"/>
        <v>49993</v>
      </c>
      <c r="I31" s="268"/>
      <c r="J31" s="16"/>
    </row>
    <row r="32" spans="1:12" ht="29" x14ac:dyDescent="0.35">
      <c r="A32" s="38" t="s">
        <v>33</v>
      </c>
      <c r="C32" s="36" t="s">
        <v>234</v>
      </c>
      <c r="D32" s="140" t="s">
        <v>64</v>
      </c>
      <c r="E32" s="34">
        <v>141555</v>
      </c>
      <c r="F32" s="230">
        <f>ROUND((F19)*((F15)/(F15+F14)),0)</f>
        <v>154963</v>
      </c>
      <c r="G32" s="259" t="s">
        <v>235</v>
      </c>
      <c r="H32" s="34">
        <f t="shared" si="0"/>
        <v>13408</v>
      </c>
      <c r="I32" s="276"/>
      <c r="J32" s="16"/>
    </row>
    <row r="33" spans="1:10" ht="29" x14ac:dyDescent="0.35">
      <c r="A33" s="38" t="s">
        <v>33</v>
      </c>
      <c r="C33" s="257" t="s">
        <v>236</v>
      </c>
      <c r="D33" s="258" t="s">
        <v>64</v>
      </c>
      <c r="E33" s="171">
        <v>6133903</v>
      </c>
      <c r="F33" s="256">
        <f>ROUND((F17)*(F15/(F15+F14)),0)</f>
        <v>6740897</v>
      </c>
      <c r="G33" s="259" t="s">
        <v>237</v>
      </c>
      <c r="H33" s="171">
        <f t="shared" si="0"/>
        <v>606994</v>
      </c>
      <c r="I33" s="277"/>
      <c r="J33" s="16"/>
    </row>
    <row r="34" spans="1:10" ht="29" x14ac:dyDescent="0.35">
      <c r="A34" s="38" t="s">
        <v>33</v>
      </c>
      <c r="C34" s="36" t="s">
        <v>238</v>
      </c>
      <c r="D34" s="140" t="s">
        <v>64</v>
      </c>
      <c r="E34" s="34">
        <v>2864000</v>
      </c>
      <c r="F34" s="230">
        <f>F18</f>
        <v>3008202.3229999999</v>
      </c>
      <c r="G34" s="32" t="s">
        <v>239</v>
      </c>
      <c r="H34" s="34">
        <f t="shared" si="0"/>
        <v>144202.32299999986</v>
      </c>
      <c r="I34" s="276"/>
      <c r="J34" s="16"/>
    </row>
    <row r="35" spans="1:10" ht="29" x14ac:dyDescent="0.35">
      <c r="A35" s="38" t="s">
        <v>33</v>
      </c>
      <c r="C35" s="36" t="s">
        <v>240</v>
      </c>
      <c r="D35" s="140" t="s">
        <v>64</v>
      </c>
      <c r="E35" s="34">
        <v>11792751</v>
      </c>
      <c r="F35" s="230">
        <f>F15-F34</f>
        <v>14148180.974022605</v>
      </c>
      <c r="G35" s="32" t="s">
        <v>241</v>
      </c>
      <c r="H35" s="34">
        <f t="shared" si="0"/>
        <v>2355429.9740226045</v>
      </c>
      <c r="I35" s="276"/>
      <c r="J35" s="16"/>
    </row>
    <row r="36" spans="1:10" ht="29" x14ac:dyDescent="0.35">
      <c r="A36" s="38" t="s">
        <v>213</v>
      </c>
      <c r="C36" s="36" t="s">
        <v>242</v>
      </c>
      <c r="D36" s="32">
        <v>273.20999999999998</v>
      </c>
      <c r="E36" s="34" t="s">
        <v>213</v>
      </c>
      <c r="F36" s="230">
        <f>ROUND((F22*0.0005),0)</f>
        <v>10810</v>
      </c>
      <c r="G36" s="32" t="s">
        <v>243</v>
      </c>
      <c r="H36" s="34" t="s">
        <v>244</v>
      </c>
      <c r="I36" s="276"/>
      <c r="J36" s="16"/>
    </row>
    <row r="37" spans="1:10" ht="29" x14ac:dyDescent="0.35">
      <c r="A37" s="38" t="s">
        <v>213</v>
      </c>
      <c r="C37" s="36" t="s">
        <v>245</v>
      </c>
      <c r="D37" s="32" t="s">
        <v>74</v>
      </c>
      <c r="E37" s="34" t="s">
        <v>213</v>
      </c>
      <c r="F37" s="230">
        <f>ROUND((F22*0.0003),0)</f>
        <v>6486</v>
      </c>
      <c r="G37" s="32" t="s">
        <v>246</v>
      </c>
      <c r="H37" s="34" t="s">
        <v>213</v>
      </c>
      <c r="I37" s="276"/>
      <c r="J37" s="16"/>
    </row>
    <row r="38" spans="1:10" ht="29" x14ac:dyDescent="0.35">
      <c r="A38" s="38" t="s">
        <v>213</v>
      </c>
      <c r="C38" s="36" t="s">
        <v>247</v>
      </c>
      <c r="D38" s="32" t="s">
        <v>76</v>
      </c>
      <c r="E38" s="34" t="s">
        <v>213</v>
      </c>
      <c r="F38" s="230">
        <f>ROUND((F22*0.79),0)</f>
        <v>17080367</v>
      </c>
      <c r="G38" s="32" t="s">
        <v>248</v>
      </c>
      <c r="H38" s="34" t="s">
        <v>213</v>
      </c>
      <c r="I38" s="276"/>
      <c r="J38" s="16"/>
    </row>
    <row r="39" spans="1:10" ht="58" x14ac:dyDescent="0.35">
      <c r="A39" s="38" t="s">
        <v>213</v>
      </c>
      <c r="C39" s="36" t="s">
        <v>249</v>
      </c>
      <c r="D39" s="32" t="s">
        <v>76</v>
      </c>
      <c r="E39" s="34" t="s">
        <v>213</v>
      </c>
      <c r="F39" s="230">
        <f>F38*0.75</f>
        <v>12810275.25</v>
      </c>
      <c r="G39" s="191" t="s">
        <v>250</v>
      </c>
      <c r="H39" s="34" t="s">
        <v>244</v>
      </c>
      <c r="I39" s="268" t="s">
        <v>251</v>
      </c>
      <c r="J39" s="16"/>
    </row>
    <row r="40" spans="1:10" ht="29" x14ac:dyDescent="0.35">
      <c r="A40" s="38" t="s">
        <v>213</v>
      </c>
      <c r="C40" s="36" t="s">
        <v>252</v>
      </c>
      <c r="D40" s="32" t="s">
        <v>78</v>
      </c>
      <c r="E40" s="34" t="s">
        <v>213</v>
      </c>
      <c r="F40" s="230">
        <f>ROUND((F22*0.141),0)</f>
        <v>3048521</v>
      </c>
      <c r="G40" s="32" t="s">
        <v>253</v>
      </c>
      <c r="H40" s="34" t="s">
        <v>213</v>
      </c>
      <c r="I40" s="276"/>
      <c r="J40" s="16"/>
    </row>
    <row r="41" spans="1:10" ht="29" x14ac:dyDescent="0.35">
      <c r="A41" s="38" t="s">
        <v>33</v>
      </c>
      <c r="C41" s="36" t="s">
        <v>254</v>
      </c>
      <c r="D41" s="32">
        <v>273.20999999999998</v>
      </c>
      <c r="E41" s="34">
        <v>91000</v>
      </c>
      <c r="F41" s="295">
        <f>F36*11</f>
        <v>118910</v>
      </c>
      <c r="G41" s="2" t="s">
        <v>255</v>
      </c>
      <c r="H41" s="44">
        <f t="shared" si="0"/>
        <v>27910</v>
      </c>
      <c r="I41" s="278" t="s">
        <v>256</v>
      </c>
    </row>
    <row r="42" spans="1:10" ht="29" x14ac:dyDescent="0.35">
      <c r="A42" s="38" t="s">
        <v>33</v>
      </c>
      <c r="C42" s="36" t="s">
        <v>257</v>
      </c>
      <c r="D42" s="32" t="s">
        <v>74</v>
      </c>
      <c r="E42" s="34">
        <v>19000</v>
      </c>
      <c r="F42" s="295">
        <f>F37*3</f>
        <v>19458</v>
      </c>
      <c r="G42" s="2" t="s">
        <v>258</v>
      </c>
      <c r="H42" s="44">
        <f t="shared" si="0"/>
        <v>458</v>
      </c>
      <c r="I42" s="278" t="s">
        <v>259</v>
      </c>
    </row>
    <row r="43" spans="1:10" ht="29" x14ac:dyDescent="0.35">
      <c r="A43" s="38" t="s">
        <v>33</v>
      </c>
      <c r="C43" s="36" t="s">
        <v>260</v>
      </c>
      <c r="D43" s="32" t="s">
        <v>76</v>
      </c>
      <c r="E43" s="34">
        <v>11624000</v>
      </c>
      <c r="F43" s="295">
        <f>F39</f>
        <v>12810275.25</v>
      </c>
      <c r="G43" s="191" t="s">
        <v>261</v>
      </c>
      <c r="H43" s="44">
        <f t="shared" si="0"/>
        <v>1186275.25</v>
      </c>
      <c r="I43" s="278" t="s">
        <v>262</v>
      </c>
    </row>
    <row r="44" spans="1:10" ht="43.5" x14ac:dyDescent="0.35">
      <c r="A44" s="38" t="s">
        <v>33</v>
      </c>
      <c r="C44" s="36" t="s">
        <v>263</v>
      </c>
      <c r="D44" s="32" t="s">
        <v>78</v>
      </c>
      <c r="E44" s="34">
        <v>9366000</v>
      </c>
      <c r="F44" s="295">
        <f>F40*3</f>
        <v>9145563</v>
      </c>
      <c r="G44" s="2" t="s">
        <v>264</v>
      </c>
      <c r="H44" s="44">
        <f t="shared" si="0"/>
        <v>-220437</v>
      </c>
      <c r="I44" s="278" t="s">
        <v>262</v>
      </c>
    </row>
    <row r="45" spans="1:10" ht="43.5" x14ac:dyDescent="0.35">
      <c r="A45" s="38" t="s">
        <v>33</v>
      </c>
      <c r="C45" s="36" t="s">
        <v>265</v>
      </c>
      <c r="D45" s="32" t="s">
        <v>83</v>
      </c>
      <c r="E45" s="34">
        <v>36444144</v>
      </c>
      <c r="F45" s="230">
        <f>(ROUND((E45/E22)*F22,0))</f>
        <v>39999419</v>
      </c>
      <c r="G45" s="261" t="s">
        <v>266</v>
      </c>
      <c r="H45" s="34">
        <f t="shared" si="0"/>
        <v>3555275</v>
      </c>
      <c r="I45" s="268" t="s">
        <v>267</v>
      </c>
      <c r="J45" s="16"/>
    </row>
    <row r="46" spans="1:10" ht="29" x14ac:dyDescent="0.35">
      <c r="A46" s="38" t="s">
        <v>33</v>
      </c>
      <c r="C46" s="36" t="s">
        <v>268</v>
      </c>
      <c r="D46" s="32" t="s">
        <v>85</v>
      </c>
      <c r="E46" s="34">
        <v>53486</v>
      </c>
      <c r="F46" s="230">
        <f>ROUND((E46/$E$22)*$F$22,0)</f>
        <v>58704</v>
      </c>
      <c r="G46" s="261" t="s">
        <v>266</v>
      </c>
      <c r="H46" s="34">
        <f t="shared" si="0"/>
        <v>5218</v>
      </c>
      <c r="I46" s="276"/>
      <c r="J46" s="16"/>
    </row>
    <row r="47" spans="1:10" ht="29" x14ac:dyDescent="0.35">
      <c r="A47" s="38" t="s">
        <v>33</v>
      </c>
      <c r="C47" s="36" t="s">
        <v>269</v>
      </c>
      <c r="D47" s="32" t="s">
        <v>89</v>
      </c>
      <c r="E47" s="34">
        <v>2070612</v>
      </c>
      <c r="F47" s="230">
        <f>ROUND((E47/$E$22)*$F$22,0)</f>
        <v>2272609</v>
      </c>
      <c r="G47" s="261" t="s">
        <v>270</v>
      </c>
      <c r="H47" s="34">
        <f t="shared" si="0"/>
        <v>201997</v>
      </c>
      <c r="I47" s="276"/>
      <c r="J47" s="16"/>
    </row>
    <row r="48" spans="1:10" ht="29" x14ac:dyDescent="0.35">
      <c r="A48" s="38" t="s">
        <v>33</v>
      </c>
      <c r="C48" s="36" t="s">
        <v>271</v>
      </c>
      <c r="D48" s="32" t="s">
        <v>91</v>
      </c>
      <c r="E48" s="34">
        <v>19384809</v>
      </c>
      <c r="F48" s="230">
        <f>ROUND((E48/$E$22)*$F$22,0)</f>
        <v>21275876</v>
      </c>
      <c r="G48" s="261" t="s">
        <v>266</v>
      </c>
      <c r="H48" s="34">
        <f t="shared" si="0"/>
        <v>1891067</v>
      </c>
      <c r="I48" s="276"/>
      <c r="J48" s="16"/>
    </row>
    <row r="49" spans="1:10" ht="29" x14ac:dyDescent="0.35">
      <c r="A49" s="38" t="s">
        <v>33</v>
      </c>
      <c r="C49" s="36" t="s">
        <v>272</v>
      </c>
      <c r="D49" s="32" t="s">
        <v>96</v>
      </c>
      <c r="E49" s="34">
        <v>1452559</v>
      </c>
      <c r="F49" s="230">
        <f>ROUND((E49/$E$22)*$F$22,0)</f>
        <v>1594262</v>
      </c>
      <c r="G49" s="261" t="s">
        <v>266</v>
      </c>
      <c r="H49" s="34">
        <f>F49-E49</f>
        <v>141703</v>
      </c>
      <c r="I49" s="276"/>
      <c r="J49" s="16"/>
    </row>
    <row r="50" spans="1:10" ht="58" x14ac:dyDescent="0.35">
      <c r="A50" s="105" t="s">
        <v>93</v>
      </c>
      <c r="B50" s="109"/>
      <c r="C50" s="126" t="s">
        <v>273</v>
      </c>
      <c r="D50" s="111" t="s">
        <v>274</v>
      </c>
      <c r="E50" s="110">
        <v>0</v>
      </c>
      <c r="F50" s="110">
        <v>409709.61</v>
      </c>
      <c r="G50" s="111" t="s">
        <v>221</v>
      </c>
      <c r="H50" s="110" t="s">
        <v>212</v>
      </c>
      <c r="I50" s="275" t="s">
        <v>275</v>
      </c>
      <c r="J50" s="16"/>
    </row>
    <row r="51" spans="1:10" ht="29" x14ac:dyDescent="0.35">
      <c r="A51" s="38" t="s">
        <v>33</v>
      </c>
      <c r="C51" s="36" t="s">
        <v>276</v>
      </c>
      <c r="D51" s="32" t="s">
        <v>98</v>
      </c>
      <c r="E51" s="34">
        <v>320919</v>
      </c>
      <c r="F51" s="230">
        <f>ROUND((E51/$E$22)*$F$22,0)</f>
        <v>352226</v>
      </c>
      <c r="G51" s="261" t="s">
        <v>266</v>
      </c>
      <c r="H51" s="34">
        <f t="shared" si="0"/>
        <v>31307</v>
      </c>
      <c r="I51" s="276"/>
      <c r="J51" s="16"/>
    </row>
    <row r="52" spans="1:10" ht="29" x14ac:dyDescent="0.35">
      <c r="A52" s="38" t="s">
        <v>33</v>
      </c>
      <c r="C52" s="36" t="s">
        <v>277</v>
      </c>
      <c r="D52" s="32" t="s">
        <v>100</v>
      </c>
      <c r="E52" s="34">
        <v>479344</v>
      </c>
      <c r="F52" s="230">
        <f>ROUND(F49*0.33,0)</f>
        <v>526106</v>
      </c>
      <c r="G52" s="32" t="s">
        <v>278</v>
      </c>
      <c r="H52" s="34">
        <f t="shared" si="0"/>
        <v>46762</v>
      </c>
      <c r="I52" s="276"/>
      <c r="J52" s="16"/>
    </row>
    <row r="53" spans="1:10" ht="29" x14ac:dyDescent="0.35">
      <c r="A53" s="38" t="s">
        <v>33</v>
      </c>
      <c r="C53" s="102" t="s">
        <v>279</v>
      </c>
      <c r="D53" s="32" t="s">
        <v>104</v>
      </c>
      <c r="E53" s="34">
        <v>479344</v>
      </c>
      <c r="F53" s="230">
        <f>F52</f>
        <v>526106</v>
      </c>
      <c r="G53" s="32" t="s">
        <v>280</v>
      </c>
      <c r="H53" s="34">
        <f>F53-E53</f>
        <v>46762</v>
      </c>
      <c r="I53" s="276"/>
      <c r="J53" s="16"/>
    </row>
    <row r="54" spans="1:10" ht="58" x14ac:dyDescent="0.35">
      <c r="A54" s="105" t="s">
        <v>93</v>
      </c>
      <c r="B54" s="109"/>
      <c r="C54" s="115" t="s">
        <v>281</v>
      </c>
      <c r="D54" s="120" t="s">
        <v>282</v>
      </c>
      <c r="E54" s="110">
        <v>0</v>
      </c>
      <c r="F54" s="110">
        <v>409709.61</v>
      </c>
      <c r="G54" s="111" t="s">
        <v>221</v>
      </c>
      <c r="H54" s="110" t="s">
        <v>212</v>
      </c>
      <c r="I54" s="275" t="s">
        <v>283</v>
      </c>
      <c r="J54" s="16"/>
    </row>
    <row r="55" spans="1:10" ht="87" x14ac:dyDescent="0.35">
      <c r="A55" s="38" t="s">
        <v>33</v>
      </c>
      <c r="C55" s="102" t="s">
        <v>284</v>
      </c>
      <c r="D55" s="32" t="s">
        <v>106</v>
      </c>
      <c r="E55" s="34">
        <v>5224000</v>
      </c>
      <c r="F55" s="263">
        <f>F21*0.116</f>
        <v>4780157.1160000004</v>
      </c>
      <c r="G55" s="261" t="s">
        <v>285</v>
      </c>
      <c r="H55" s="34">
        <f>F55-E55</f>
        <v>-443842.88399999961</v>
      </c>
      <c r="I55" s="268" t="s">
        <v>286</v>
      </c>
      <c r="J55" s="16"/>
    </row>
    <row r="56" spans="1:10" ht="130.5" x14ac:dyDescent="0.35">
      <c r="A56" s="38" t="s">
        <v>33</v>
      </c>
      <c r="C56" s="36" t="s">
        <v>287</v>
      </c>
      <c r="D56" s="32" t="s">
        <v>110</v>
      </c>
      <c r="E56" s="34">
        <v>128495</v>
      </c>
      <c r="F56" s="263">
        <f>F21*0.027</f>
        <v>1112622.777</v>
      </c>
      <c r="G56" s="261" t="s">
        <v>288</v>
      </c>
      <c r="H56" s="34">
        <f>F56-E56</f>
        <v>984127.777</v>
      </c>
      <c r="I56" s="279" t="s">
        <v>289</v>
      </c>
      <c r="J56" s="16"/>
    </row>
    <row r="57" spans="1:10" ht="58" x14ac:dyDescent="0.35">
      <c r="A57" s="105" t="s">
        <v>93</v>
      </c>
      <c r="B57" s="109"/>
      <c r="C57" s="112" t="s">
        <v>290</v>
      </c>
      <c r="D57" s="107" t="s">
        <v>117</v>
      </c>
      <c r="E57" s="110">
        <v>0</v>
      </c>
      <c r="F57" s="110">
        <v>53</v>
      </c>
      <c r="G57" s="111" t="s">
        <v>291</v>
      </c>
      <c r="H57" s="110" t="s">
        <v>212</v>
      </c>
      <c r="I57" s="280"/>
      <c r="J57" s="16"/>
    </row>
    <row r="58" spans="1:10" ht="58" x14ac:dyDescent="0.35">
      <c r="A58" s="105" t="s">
        <v>93</v>
      </c>
      <c r="B58" s="109"/>
      <c r="C58" s="281" t="s">
        <v>292</v>
      </c>
      <c r="D58" s="107" t="s">
        <v>112</v>
      </c>
      <c r="E58" s="110">
        <v>0</v>
      </c>
      <c r="F58" s="110">
        <v>46000</v>
      </c>
      <c r="G58" s="111" t="s">
        <v>291</v>
      </c>
      <c r="H58" s="110" t="s">
        <v>212</v>
      </c>
      <c r="I58" s="280"/>
      <c r="J58" s="16"/>
    </row>
    <row r="59" spans="1:10" ht="58" x14ac:dyDescent="0.35">
      <c r="A59" s="105" t="s">
        <v>93</v>
      </c>
      <c r="B59" s="109"/>
      <c r="C59" s="282" t="s">
        <v>293</v>
      </c>
      <c r="D59" s="107" t="s">
        <v>294</v>
      </c>
      <c r="E59" s="110">
        <v>0</v>
      </c>
      <c r="F59" s="110">
        <v>53</v>
      </c>
      <c r="G59" s="111" t="s">
        <v>291</v>
      </c>
      <c r="H59" s="110" t="s">
        <v>212</v>
      </c>
      <c r="I59" s="280"/>
      <c r="J59" s="16"/>
    </row>
    <row r="60" spans="1:10" ht="87" x14ac:dyDescent="0.35">
      <c r="A60" s="105" t="s">
        <v>93</v>
      </c>
      <c r="B60" s="109"/>
      <c r="C60" s="113" t="s">
        <v>295</v>
      </c>
      <c r="D60" s="107" t="s">
        <v>108</v>
      </c>
      <c r="E60" s="110">
        <v>0</v>
      </c>
      <c r="F60" s="127">
        <v>2700000</v>
      </c>
      <c r="G60" s="111" t="s">
        <v>291</v>
      </c>
      <c r="H60" s="110" t="s">
        <v>212</v>
      </c>
      <c r="I60" s="280" t="s">
        <v>286</v>
      </c>
      <c r="J60" s="16"/>
    </row>
    <row r="61" spans="1:10" ht="124.15" customHeight="1" x14ac:dyDescent="0.35">
      <c r="A61" s="38" t="s">
        <v>33</v>
      </c>
      <c r="C61" s="102" t="s">
        <v>296</v>
      </c>
      <c r="D61" s="32" t="s">
        <v>114</v>
      </c>
      <c r="E61" s="34">
        <v>32718952</v>
      </c>
      <c r="F61" s="231">
        <f>F14+F15</f>
        <v>38298998.297022603</v>
      </c>
      <c r="G61" s="32" t="s">
        <v>297</v>
      </c>
      <c r="H61" s="34">
        <f t="shared" ref="H61:H72" si="1">F61-E61</f>
        <v>5580046.2970226035</v>
      </c>
      <c r="I61" s="268"/>
      <c r="J61" s="16"/>
    </row>
    <row r="62" spans="1:10" ht="115.5" customHeight="1" x14ac:dyDescent="0.35">
      <c r="A62" s="38" t="s">
        <v>33</v>
      </c>
      <c r="C62" s="36" t="s">
        <v>298</v>
      </c>
      <c r="D62" s="32" t="s">
        <v>83</v>
      </c>
      <c r="E62" s="34">
        <v>29155315</v>
      </c>
      <c r="F62" s="232">
        <f>ROUND(F45*0.8,0)</f>
        <v>31999535</v>
      </c>
      <c r="G62" s="32" t="s">
        <v>299</v>
      </c>
      <c r="H62" s="34">
        <f t="shared" si="1"/>
        <v>2844220</v>
      </c>
      <c r="I62" s="276"/>
      <c r="J62" s="16"/>
    </row>
    <row r="63" spans="1:10" ht="46" customHeight="1" x14ac:dyDescent="0.35">
      <c r="A63" s="38" t="s">
        <v>33</v>
      </c>
      <c r="C63" s="36" t="s">
        <v>300</v>
      </c>
      <c r="D63" s="119" t="s">
        <v>85</v>
      </c>
      <c r="E63" s="34">
        <v>42789</v>
      </c>
      <c r="F63" s="230">
        <f>ROUND(F46*0.8,0)</f>
        <v>46963</v>
      </c>
      <c r="G63" s="32" t="s">
        <v>301</v>
      </c>
      <c r="H63" s="34">
        <f t="shared" si="1"/>
        <v>4174</v>
      </c>
      <c r="I63" s="276"/>
      <c r="J63" s="16"/>
    </row>
    <row r="64" spans="1:10" ht="120" customHeight="1" x14ac:dyDescent="0.35">
      <c r="A64" s="38" t="s">
        <v>33</v>
      </c>
      <c r="C64" s="36" t="s">
        <v>302</v>
      </c>
      <c r="D64" s="32" t="s">
        <v>89</v>
      </c>
      <c r="E64" s="34">
        <v>1656490</v>
      </c>
      <c r="F64" s="230">
        <f>ROUND(F47*0.8,0)</f>
        <v>1818087</v>
      </c>
      <c r="G64" s="32" t="s">
        <v>299</v>
      </c>
      <c r="H64" s="34">
        <f t="shared" si="1"/>
        <v>161597</v>
      </c>
      <c r="I64" s="276"/>
      <c r="J64" s="16"/>
    </row>
    <row r="65" spans="1:10" ht="29" x14ac:dyDescent="0.35">
      <c r="A65" s="38" t="s">
        <v>33</v>
      </c>
      <c r="C65" s="36" t="s">
        <v>303</v>
      </c>
      <c r="D65" s="32" t="s">
        <v>91</v>
      </c>
      <c r="E65" s="34">
        <v>15507847</v>
      </c>
      <c r="F65" s="230">
        <f>ROUND(F48*0.8,0)</f>
        <v>17020701</v>
      </c>
      <c r="G65" s="32" t="s">
        <v>301</v>
      </c>
      <c r="H65" s="34">
        <f t="shared" si="1"/>
        <v>1512854</v>
      </c>
      <c r="I65" s="276"/>
      <c r="J65" s="16"/>
    </row>
    <row r="66" spans="1:10" ht="29" x14ac:dyDescent="0.35">
      <c r="A66" s="38" t="s">
        <v>33</v>
      </c>
      <c r="C66" s="36" t="s">
        <v>304</v>
      </c>
      <c r="D66" s="32" t="s">
        <v>96</v>
      </c>
      <c r="E66" s="34">
        <v>1162047</v>
      </c>
      <c r="F66" s="230">
        <f>ROUND(F49*0.8,0)</f>
        <v>1275410</v>
      </c>
      <c r="G66" s="32" t="s">
        <v>301</v>
      </c>
      <c r="H66" s="34">
        <f t="shared" si="1"/>
        <v>113363</v>
      </c>
      <c r="I66" s="276"/>
      <c r="J66" s="16"/>
    </row>
    <row r="67" spans="1:10" ht="29" x14ac:dyDescent="0.35">
      <c r="A67" s="38" t="s">
        <v>33</v>
      </c>
      <c r="C67" s="36" t="s">
        <v>305</v>
      </c>
      <c r="D67" s="32" t="s">
        <v>98</v>
      </c>
      <c r="E67" s="34">
        <v>256735</v>
      </c>
      <c r="F67" s="230">
        <f>ROUND(F51*0.8,0)</f>
        <v>281781</v>
      </c>
      <c r="G67" s="32" t="s">
        <v>306</v>
      </c>
      <c r="H67" s="34">
        <f t="shared" si="1"/>
        <v>25046</v>
      </c>
      <c r="I67" s="276"/>
      <c r="J67" s="16"/>
    </row>
    <row r="68" spans="1:10" ht="29" x14ac:dyDescent="0.35">
      <c r="A68" s="38" t="s">
        <v>33</v>
      </c>
      <c r="C68" s="36" t="s">
        <v>307</v>
      </c>
      <c r="D68" s="32" t="s">
        <v>100</v>
      </c>
      <c r="E68" s="34">
        <v>383475</v>
      </c>
      <c r="F68" s="230">
        <f>ROUND(F52*0.8,0)</f>
        <v>420885</v>
      </c>
      <c r="G68" s="32" t="s">
        <v>308</v>
      </c>
      <c r="H68" s="34">
        <f t="shared" si="1"/>
        <v>37410</v>
      </c>
      <c r="I68" s="276"/>
      <c r="J68" s="16"/>
    </row>
    <row r="69" spans="1:10" ht="29" x14ac:dyDescent="0.35">
      <c r="A69" s="38" t="s">
        <v>33</v>
      </c>
      <c r="C69" s="102" t="s">
        <v>309</v>
      </c>
      <c r="D69" s="32" t="s">
        <v>104</v>
      </c>
      <c r="E69" s="34">
        <v>383475</v>
      </c>
      <c r="F69" s="230">
        <f>ROUND((F53)*0.8,0)</f>
        <v>420885</v>
      </c>
      <c r="G69" s="32" t="s">
        <v>310</v>
      </c>
      <c r="H69" s="34">
        <f t="shared" si="1"/>
        <v>37410</v>
      </c>
      <c r="I69" s="276"/>
      <c r="J69" s="16"/>
    </row>
    <row r="70" spans="1:10" ht="101.5" x14ac:dyDescent="0.35">
      <c r="A70" s="38" t="s">
        <v>33</v>
      </c>
      <c r="C70" s="102" t="s">
        <v>311</v>
      </c>
      <c r="D70" s="32" t="s">
        <v>106</v>
      </c>
      <c r="E70" s="34">
        <v>4179200</v>
      </c>
      <c r="F70" s="230">
        <f>ROUND(F55*0.8,0)</f>
        <v>3824126</v>
      </c>
      <c r="G70" s="32" t="s">
        <v>312</v>
      </c>
      <c r="H70" s="34">
        <f t="shared" si="1"/>
        <v>-355074</v>
      </c>
      <c r="I70" s="268" t="s">
        <v>313</v>
      </c>
      <c r="J70" s="16"/>
    </row>
    <row r="71" spans="1:10" ht="101.5" x14ac:dyDescent="0.35">
      <c r="A71" s="38" t="s">
        <v>33</v>
      </c>
      <c r="C71" s="102" t="s">
        <v>314</v>
      </c>
      <c r="D71" s="32" t="s">
        <v>110</v>
      </c>
      <c r="E71" s="34">
        <v>102796</v>
      </c>
      <c r="F71" s="230">
        <f>ROUND(F56*0.8,0)</f>
        <v>890098</v>
      </c>
      <c r="G71" s="32" t="s">
        <v>315</v>
      </c>
      <c r="H71" s="34">
        <f t="shared" si="1"/>
        <v>787302</v>
      </c>
      <c r="I71" s="268" t="s">
        <v>313</v>
      </c>
      <c r="J71" s="16"/>
    </row>
    <row r="72" spans="1:10" ht="51" customHeight="1" x14ac:dyDescent="0.35">
      <c r="A72" s="38" t="s">
        <v>33</v>
      </c>
      <c r="C72" s="102" t="s">
        <v>316</v>
      </c>
      <c r="D72" s="32" t="s">
        <v>114</v>
      </c>
      <c r="E72" s="34">
        <v>26175162</v>
      </c>
      <c r="F72" s="230">
        <f>ROUND(F61*0.8,0)</f>
        <v>30639199</v>
      </c>
      <c r="G72" s="32" t="s">
        <v>317</v>
      </c>
      <c r="H72" s="34">
        <f t="shared" si="1"/>
        <v>4464037</v>
      </c>
      <c r="I72" s="268"/>
      <c r="J72" s="16"/>
    </row>
    <row r="73" spans="1:10" ht="72.5" x14ac:dyDescent="0.35">
      <c r="A73" s="105" t="s">
        <v>93</v>
      </c>
      <c r="B73" s="109"/>
      <c r="C73" s="281" t="s">
        <v>318</v>
      </c>
      <c r="D73" s="107" t="s">
        <v>112</v>
      </c>
      <c r="E73" s="110">
        <v>0</v>
      </c>
      <c r="F73" s="117">
        <v>46000</v>
      </c>
      <c r="G73" s="111" t="s">
        <v>319</v>
      </c>
      <c r="H73" s="110" t="s">
        <v>212</v>
      </c>
      <c r="I73" s="280" t="s">
        <v>320</v>
      </c>
      <c r="J73" s="16"/>
    </row>
    <row r="74" spans="1:10" ht="72.5" x14ac:dyDescent="0.35">
      <c r="A74" s="105" t="s">
        <v>93</v>
      </c>
      <c r="B74" s="109"/>
      <c r="C74" s="283" t="s">
        <v>321</v>
      </c>
      <c r="D74" s="107" t="s">
        <v>155</v>
      </c>
      <c r="E74" s="110">
        <v>0</v>
      </c>
      <c r="F74" s="117">
        <v>2700000</v>
      </c>
      <c r="G74" s="111" t="s">
        <v>319</v>
      </c>
      <c r="H74" s="110" t="s">
        <v>212</v>
      </c>
      <c r="I74" s="280" t="s">
        <v>320</v>
      </c>
      <c r="J74" s="16"/>
    </row>
    <row r="75" spans="1:10" ht="130.5" x14ac:dyDescent="0.35">
      <c r="A75" s="156" t="s">
        <v>93</v>
      </c>
      <c r="B75" s="109"/>
      <c r="C75" s="283" t="s">
        <v>322</v>
      </c>
      <c r="D75" s="157" t="s">
        <v>94</v>
      </c>
      <c r="E75" s="158">
        <v>0</v>
      </c>
      <c r="F75" s="159">
        <v>5496000</v>
      </c>
      <c r="G75" s="160" t="s">
        <v>323</v>
      </c>
      <c r="H75" s="158" t="s">
        <v>212</v>
      </c>
      <c r="I75" s="284" t="s">
        <v>324</v>
      </c>
      <c r="J75" s="16"/>
    </row>
    <row r="76" spans="1:10" ht="29" x14ac:dyDescent="0.35">
      <c r="A76" s="153" t="s">
        <v>33</v>
      </c>
      <c r="B76" s="205"/>
      <c r="C76" s="285" t="s">
        <v>128</v>
      </c>
      <c r="D76" s="206" t="s">
        <v>127</v>
      </c>
      <c r="E76" s="155">
        <v>1908</v>
      </c>
      <c r="F76" s="228">
        <v>1908</v>
      </c>
      <c r="G76" s="154" t="s">
        <v>325</v>
      </c>
      <c r="H76" s="155">
        <f t="shared" ref="H76:H84" si="2">F76-E76</f>
        <v>0</v>
      </c>
      <c r="I76" s="286"/>
      <c r="J76" s="16"/>
    </row>
    <row r="77" spans="1:10" ht="191.65" customHeight="1" x14ac:dyDescent="0.35">
      <c r="A77" s="161" t="s">
        <v>33</v>
      </c>
      <c r="C77" s="43" t="s">
        <v>326</v>
      </c>
      <c r="D77" s="162" t="s">
        <v>327</v>
      </c>
      <c r="E77" s="163">
        <v>2724</v>
      </c>
      <c r="F77" s="229">
        <v>2724</v>
      </c>
      <c r="G77" s="162" t="s">
        <v>325</v>
      </c>
      <c r="H77" s="163">
        <f t="shared" si="2"/>
        <v>0</v>
      </c>
      <c r="I77" s="287"/>
    </row>
    <row r="78" spans="1:10" ht="58" x14ac:dyDescent="0.35">
      <c r="A78" s="38" t="s">
        <v>33</v>
      </c>
      <c r="C78" s="36" t="s">
        <v>328</v>
      </c>
      <c r="D78" s="32" t="s">
        <v>131</v>
      </c>
      <c r="E78" s="34">
        <v>124301000</v>
      </c>
      <c r="F78" s="263">
        <f>39519000+37202000+36363000</f>
        <v>113084000</v>
      </c>
      <c r="G78" s="261" t="s">
        <v>329</v>
      </c>
      <c r="H78" s="34">
        <f t="shared" si="2"/>
        <v>-11217000</v>
      </c>
      <c r="I78" s="268" t="s">
        <v>330</v>
      </c>
      <c r="J78" s="16"/>
    </row>
    <row r="79" spans="1:10" ht="29" x14ac:dyDescent="0.35">
      <c r="A79" s="38" t="s">
        <v>33</v>
      </c>
      <c r="C79" s="36" t="s">
        <v>331</v>
      </c>
      <c r="D79" s="32" t="s">
        <v>133</v>
      </c>
      <c r="E79" s="34">
        <v>40877796</v>
      </c>
      <c r="F79" s="230">
        <f>ROUND((E79/$E$22)*$F$22,0)</f>
        <v>44865592</v>
      </c>
      <c r="G79" s="261" t="s">
        <v>266</v>
      </c>
      <c r="H79" s="34">
        <f t="shared" si="2"/>
        <v>3987796</v>
      </c>
      <c r="I79" s="276"/>
      <c r="J79" s="16"/>
    </row>
    <row r="80" spans="1:10" ht="43.5" x14ac:dyDescent="0.35">
      <c r="A80" s="38" t="s">
        <v>33</v>
      </c>
      <c r="C80" s="103" t="s">
        <v>332</v>
      </c>
      <c r="D80" s="32" t="s">
        <v>102</v>
      </c>
      <c r="E80" s="34">
        <v>327190</v>
      </c>
      <c r="F80" s="230">
        <f>ROUND((F14+F15)*0.01,0)</f>
        <v>382990</v>
      </c>
      <c r="G80" s="32" t="s">
        <v>333</v>
      </c>
      <c r="H80" s="34">
        <f t="shared" si="2"/>
        <v>55800</v>
      </c>
      <c r="I80" s="268"/>
    </row>
    <row r="81" spans="1:10" ht="145" x14ac:dyDescent="0.35">
      <c r="A81" s="38" t="s">
        <v>33</v>
      </c>
      <c r="C81" s="195" t="s">
        <v>334</v>
      </c>
      <c r="D81" s="32" t="s">
        <v>87</v>
      </c>
      <c r="E81" s="34">
        <v>512986</v>
      </c>
      <c r="F81" s="230">
        <f>(F38*0.035)+(F44*0.1)</f>
        <v>1512369.145</v>
      </c>
      <c r="G81" s="32" t="s">
        <v>335</v>
      </c>
      <c r="H81" s="34">
        <f t="shared" si="2"/>
        <v>999383.14500000002</v>
      </c>
      <c r="I81" s="268" t="s">
        <v>336</v>
      </c>
    </row>
    <row r="82" spans="1:10" ht="43.5" x14ac:dyDescent="0.35">
      <c r="A82" s="38" t="s">
        <v>33</v>
      </c>
      <c r="C82" s="103" t="s">
        <v>337</v>
      </c>
      <c r="D82" s="32" t="s">
        <v>119</v>
      </c>
      <c r="E82" s="34">
        <v>654379</v>
      </c>
      <c r="F82" s="230">
        <f>ROUND((F14+F15)*0.02,0)</f>
        <v>765980</v>
      </c>
      <c r="G82" s="32" t="s">
        <v>338</v>
      </c>
      <c r="H82" s="34">
        <f t="shared" si="2"/>
        <v>111601</v>
      </c>
      <c r="I82" s="268"/>
    </row>
    <row r="83" spans="1:10" ht="43.5" x14ac:dyDescent="0.35">
      <c r="A83" s="38" t="s">
        <v>33</v>
      </c>
      <c r="C83" s="103" t="s">
        <v>339</v>
      </c>
      <c r="D83" s="32" t="s">
        <v>123</v>
      </c>
      <c r="E83" s="34">
        <v>42084952</v>
      </c>
      <c r="F83" s="230">
        <f>F14+F15+F44</f>
        <v>47444561.297022603</v>
      </c>
      <c r="G83" s="32" t="s">
        <v>340</v>
      </c>
      <c r="H83" s="34">
        <f t="shared" si="2"/>
        <v>5359609.2970226035</v>
      </c>
      <c r="I83" s="276"/>
    </row>
    <row r="84" spans="1:10" ht="145" x14ac:dyDescent="0.35">
      <c r="A84" s="293" t="s">
        <v>33</v>
      </c>
      <c r="B84" s="267"/>
      <c r="C84" s="294" t="s">
        <v>341</v>
      </c>
      <c r="D84" s="288" t="s">
        <v>80</v>
      </c>
      <c r="E84" s="289">
        <v>744640</v>
      </c>
      <c r="F84" s="290">
        <f>(F21*0.073)*0.254</f>
        <v>764083.39004199998</v>
      </c>
      <c r="G84" s="291" t="s">
        <v>342</v>
      </c>
      <c r="H84" s="289">
        <f t="shared" si="2"/>
        <v>19443.390041999985</v>
      </c>
      <c r="I84" s="292"/>
      <c r="J84"/>
    </row>
  </sheetData>
  <mergeCells count="8">
    <mergeCell ref="A2:A4"/>
    <mergeCell ref="D3:D4"/>
    <mergeCell ref="C2:I2"/>
    <mergeCell ref="I3:I4"/>
    <mergeCell ref="H3:H4"/>
    <mergeCell ref="C3:C4"/>
    <mergeCell ref="E3:E4"/>
    <mergeCell ref="F3:G3"/>
  </mergeCells>
  <phoneticPr fontId="7" type="noConversion"/>
  <conditionalFormatting sqref="D80:D83">
    <cfRule type="expression" dxfId="0" priority="3">
      <formula>$C80="No"</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9"/>
  <sheetViews>
    <sheetView topLeftCell="A5" zoomScale="70" zoomScaleNormal="70" workbookViewId="0">
      <selection activeCell="E9" sqref="E9"/>
    </sheetView>
  </sheetViews>
  <sheetFormatPr defaultColWidth="8.81640625" defaultRowHeight="15" customHeight="1" x14ac:dyDescent="0.35"/>
  <cols>
    <col min="1" max="1" width="3.54296875" style="14" customWidth="1"/>
    <col min="2" max="2" width="36.453125" style="14" bestFit="1" customWidth="1"/>
    <col min="3" max="4" width="14.54296875" style="15" customWidth="1"/>
    <col min="5" max="5" width="61.26953125" style="14" customWidth="1"/>
    <col min="6" max="6" width="35.1796875" style="14" customWidth="1"/>
    <col min="7" max="7" width="76" style="14" customWidth="1"/>
    <col min="8" max="8" width="29.54296875" style="14" customWidth="1"/>
    <col min="9" max="16384" width="8.81640625" style="14"/>
  </cols>
  <sheetData>
    <row r="1" spans="2:8" ht="14.5" x14ac:dyDescent="0.35">
      <c r="B1" s="16"/>
      <c r="C1" s="17"/>
      <c r="D1" s="17"/>
      <c r="E1"/>
      <c r="F1"/>
      <c r="G1"/>
      <c r="H1"/>
    </row>
    <row r="2" spans="2:8" ht="14.5" x14ac:dyDescent="0.35">
      <c r="E2"/>
      <c r="F2"/>
      <c r="G2"/>
      <c r="H2"/>
    </row>
    <row r="3" spans="2:8" ht="14.5" x14ac:dyDescent="0.35">
      <c r="B3" s="353" t="s">
        <v>343</v>
      </c>
      <c r="C3" s="353"/>
      <c r="D3" s="353"/>
      <c r="E3" s="353"/>
      <c r="F3" s="353"/>
      <c r="G3" s="353"/>
      <c r="H3"/>
    </row>
    <row r="4" spans="2:8" ht="14.5" x14ac:dyDescent="0.35">
      <c r="B4" s="164"/>
      <c r="C4" s="351" t="s">
        <v>344</v>
      </c>
      <c r="D4" s="352"/>
      <c r="E4" s="352"/>
      <c r="F4" s="352"/>
      <c r="G4" s="352"/>
      <c r="H4"/>
    </row>
    <row r="5" spans="2:8" ht="42" x14ac:dyDescent="0.35">
      <c r="B5" s="165" t="s">
        <v>345</v>
      </c>
      <c r="C5" s="166" t="s">
        <v>346</v>
      </c>
      <c r="D5" s="166" t="s">
        <v>347</v>
      </c>
      <c r="E5" s="166" t="s">
        <v>348</v>
      </c>
      <c r="F5" s="167" t="s">
        <v>349</v>
      </c>
      <c r="G5" s="167" t="s">
        <v>350</v>
      </c>
      <c r="H5"/>
    </row>
    <row r="6" spans="2:8" ht="98" x14ac:dyDescent="0.35">
      <c r="B6" s="168" t="s">
        <v>351</v>
      </c>
      <c r="C6" s="170">
        <v>20.75</v>
      </c>
      <c r="D6" s="170">
        <v>22.1</v>
      </c>
      <c r="E6" s="170">
        <f>ROUND(D6*1.33, 2)</f>
        <v>29.39</v>
      </c>
      <c r="F6" s="170">
        <f>E6*0.5</f>
        <v>14.695</v>
      </c>
      <c r="G6" s="169" t="s">
        <v>352</v>
      </c>
      <c r="H6"/>
    </row>
    <row r="7" spans="2:8" ht="98" x14ac:dyDescent="0.35">
      <c r="B7" s="168" t="s">
        <v>353</v>
      </c>
      <c r="C7" s="170">
        <v>22.56</v>
      </c>
      <c r="D7" s="170">
        <v>26.05</v>
      </c>
      <c r="E7" s="170">
        <f>ROUND(D7*1.33, 2)</f>
        <v>34.65</v>
      </c>
      <c r="F7" s="170">
        <f>E7*0.5</f>
        <v>17.324999999999999</v>
      </c>
      <c r="G7" s="169" t="s">
        <v>354</v>
      </c>
      <c r="H7"/>
    </row>
    <row r="8" spans="2:8" ht="42.5" x14ac:dyDescent="0.35">
      <c r="B8" s="168" t="s">
        <v>355</v>
      </c>
      <c r="C8" s="170">
        <v>7.25</v>
      </c>
      <c r="D8" s="170">
        <v>22.02</v>
      </c>
      <c r="E8" s="170" t="s">
        <v>213</v>
      </c>
      <c r="F8" s="170">
        <f>D8</f>
        <v>22.02</v>
      </c>
      <c r="G8" s="303" t="s">
        <v>356</v>
      </c>
      <c r="H8"/>
    </row>
    <row r="9" spans="2:8" ht="70.5" x14ac:dyDescent="0.35">
      <c r="B9" s="168" t="s">
        <v>357</v>
      </c>
      <c r="C9" s="170">
        <v>41.37</v>
      </c>
      <c r="D9" s="170">
        <v>45.14</v>
      </c>
      <c r="E9" s="170">
        <f t="shared" ref="E9:E10" si="0">ROUND(D9*1.33, 2)</f>
        <v>60.04</v>
      </c>
      <c r="F9" s="170" t="s">
        <v>213</v>
      </c>
      <c r="G9" s="303" t="s">
        <v>358</v>
      </c>
      <c r="H9"/>
    </row>
    <row r="10" spans="2:8" ht="70.5" x14ac:dyDescent="0.35">
      <c r="B10" s="168" t="s">
        <v>359</v>
      </c>
      <c r="C10" s="170">
        <v>58.13</v>
      </c>
      <c r="D10" s="170">
        <v>63.43</v>
      </c>
      <c r="E10" s="170">
        <f t="shared" si="0"/>
        <v>84.36</v>
      </c>
      <c r="F10" s="170" t="s">
        <v>213</v>
      </c>
      <c r="G10" s="303" t="s">
        <v>358</v>
      </c>
      <c r="H10"/>
    </row>
    <row r="11" spans="2:8" ht="14.5" x14ac:dyDescent="0.35">
      <c r="E11"/>
      <c r="F11"/>
      <c r="G11"/>
      <c r="H11"/>
    </row>
    <row r="12" spans="2:8" ht="14.5" x14ac:dyDescent="0.35">
      <c r="E12"/>
      <c r="F12"/>
      <c r="G12"/>
      <c r="H12"/>
    </row>
    <row r="13" spans="2:8" ht="14.5" x14ac:dyDescent="0.35">
      <c r="E13"/>
      <c r="F13"/>
      <c r="G13"/>
      <c r="H13"/>
    </row>
    <row r="14" spans="2:8" ht="14.5" x14ac:dyDescent="0.35">
      <c r="E14"/>
      <c r="F14"/>
      <c r="G14"/>
      <c r="H14"/>
    </row>
    <row r="15" spans="2:8" ht="14.5" x14ac:dyDescent="0.35">
      <c r="E15"/>
      <c r="F15"/>
      <c r="G15"/>
      <c r="H15"/>
    </row>
    <row r="16" spans="2:8" ht="14.5" x14ac:dyDescent="0.35">
      <c r="E16"/>
      <c r="F16"/>
      <c r="G16"/>
      <c r="H16"/>
    </row>
    <row r="17" spans="5:8" ht="14.5" x14ac:dyDescent="0.35">
      <c r="E17"/>
      <c r="F17"/>
      <c r="G17"/>
      <c r="H17"/>
    </row>
    <row r="18" spans="5:8" ht="14.5" x14ac:dyDescent="0.35">
      <c r="E18"/>
      <c r="F18"/>
      <c r="G18"/>
      <c r="H18"/>
    </row>
    <row r="19" spans="5:8" ht="14.5" x14ac:dyDescent="0.35">
      <c r="E19"/>
      <c r="F19"/>
      <c r="G19"/>
      <c r="H19"/>
    </row>
    <row r="20" spans="5:8" ht="14.5" x14ac:dyDescent="0.35">
      <c r="E20"/>
      <c r="F20"/>
      <c r="G20"/>
      <c r="H20"/>
    </row>
    <row r="21" spans="5:8" ht="14.5" x14ac:dyDescent="0.35">
      <c r="E21"/>
      <c r="F21"/>
      <c r="G21"/>
      <c r="H21"/>
    </row>
    <row r="22" spans="5:8" ht="14.5" x14ac:dyDescent="0.35">
      <c r="E22"/>
      <c r="F22"/>
      <c r="G22"/>
      <c r="H22"/>
    </row>
    <row r="23" spans="5:8" ht="14.5" x14ac:dyDescent="0.35">
      <c r="E23"/>
      <c r="F23"/>
      <c r="G23"/>
      <c r="H23"/>
    </row>
    <row r="24" spans="5:8" ht="14.5" x14ac:dyDescent="0.35">
      <c r="E24"/>
      <c r="F24"/>
      <c r="G24"/>
      <c r="H24"/>
    </row>
    <row r="25" spans="5:8" ht="14.5" x14ac:dyDescent="0.35">
      <c r="E25"/>
      <c r="F25"/>
      <c r="G25"/>
      <c r="H25"/>
    </row>
    <row r="26" spans="5:8" ht="14.5" x14ac:dyDescent="0.35">
      <c r="E26"/>
      <c r="F26"/>
      <c r="G26"/>
      <c r="H26"/>
    </row>
    <row r="27" spans="5:8" ht="14.5" x14ac:dyDescent="0.35">
      <c r="E27"/>
      <c r="F27"/>
      <c r="G27"/>
      <c r="H27"/>
    </row>
    <row r="28" spans="5:8" ht="14.5" x14ac:dyDescent="0.35">
      <c r="E28"/>
      <c r="F28"/>
      <c r="G28"/>
      <c r="H28"/>
    </row>
    <row r="29" spans="5:8" ht="14.5" x14ac:dyDescent="0.35">
      <c r="E29"/>
      <c r="F29"/>
      <c r="G29"/>
      <c r="H29"/>
    </row>
    <row r="30" spans="5:8" ht="14.5" x14ac:dyDescent="0.35">
      <c r="E30"/>
      <c r="F30"/>
      <c r="G30"/>
      <c r="H30"/>
    </row>
    <row r="31" spans="5:8" ht="14.5" x14ac:dyDescent="0.35">
      <c r="E31"/>
      <c r="F31"/>
      <c r="G31"/>
      <c r="H31"/>
    </row>
    <row r="32" spans="5:8" ht="14.5" x14ac:dyDescent="0.35">
      <c r="E32"/>
      <c r="F32"/>
      <c r="G32"/>
      <c r="H32"/>
    </row>
    <row r="33" spans="5:8" ht="14.5" x14ac:dyDescent="0.35">
      <c r="E33"/>
      <c r="F33"/>
      <c r="G33"/>
      <c r="H33"/>
    </row>
    <row r="34" spans="5:8" ht="14.5" x14ac:dyDescent="0.35">
      <c r="E34"/>
      <c r="F34"/>
      <c r="G34"/>
      <c r="H34"/>
    </row>
    <row r="35" spans="5:8" ht="14.5" x14ac:dyDescent="0.35">
      <c r="E35"/>
      <c r="F35"/>
      <c r="G35"/>
      <c r="H35"/>
    </row>
    <row r="36" spans="5:8" ht="14.5" x14ac:dyDescent="0.35">
      <c r="E36"/>
      <c r="F36"/>
      <c r="G36"/>
      <c r="H36"/>
    </row>
    <row r="37" spans="5:8" ht="14.5" x14ac:dyDescent="0.35">
      <c r="E37"/>
      <c r="F37"/>
      <c r="G37"/>
      <c r="H37"/>
    </row>
    <row r="38" spans="5:8" ht="14.5" x14ac:dyDescent="0.35">
      <c r="E38"/>
      <c r="F38"/>
      <c r="G38"/>
      <c r="H38"/>
    </row>
    <row r="39" spans="5:8" ht="14.5" x14ac:dyDescent="0.35">
      <c r="E39"/>
      <c r="F39"/>
      <c r="G39"/>
      <c r="H39"/>
    </row>
    <row r="40" spans="5:8" ht="14.5" x14ac:dyDescent="0.35">
      <c r="E40"/>
      <c r="F40"/>
      <c r="G40"/>
      <c r="H40"/>
    </row>
    <row r="41" spans="5:8" ht="14.5" x14ac:dyDescent="0.35">
      <c r="E41"/>
      <c r="F41"/>
      <c r="G41"/>
      <c r="H41"/>
    </row>
    <row r="42" spans="5:8" ht="14.5" x14ac:dyDescent="0.35">
      <c r="E42"/>
      <c r="F42"/>
      <c r="G42"/>
      <c r="H42"/>
    </row>
    <row r="43" spans="5:8" ht="14.5" x14ac:dyDescent="0.35">
      <c r="E43"/>
      <c r="F43"/>
      <c r="G43"/>
      <c r="H43"/>
    </row>
    <row r="44" spans="5:8" ht="14.5" x14ac:dyDescent="0.35">
      <c r="E44"/>
      <c r="F44"/>
      <c r="G44"/>
      <c r="H44"/>
    </row>
    <row r="45" spans="5:8" ht="14.5" x14ac:dyDescent="0.35">
      <c r="E45"/>
      <c r="F45"/>
      <c r="G45"/>
      <c r="H45"/>
    </row>
    <row r="46" spans="5:8" ht="14.5" x14ac:dyDescent="0.35">
      <c r="E46"/>
      <c r="F46"/>
      <c r="G46"/>
      <c r="H46"/>
    </row>
    <row r="47" spans="5:8" ht="14.5" x14ac:dyDescent="0.35">
      <c r="E47"/>
      <c r="F47"/>
      <c r="G47"/>
      <c r="H47"/>
    </row>
    <row r="48" spans="5:8" ht="14.5" x14ac:dyDescent="0.35">
      <c r="E48"/>
      <c r="F48"/>
      <c r="G48"/>
      <c r="H48"/>
    </row>
    <row r="49" spans="5:8" ht="14.5" x14ac:dyDescent="0.35">
      <c r="E49"/>
      <c r="F49"/>
      <c r="G49"/>
      <c r="H49"/>
    </row>
  </sheetData>
  <mergeCells count="2">
    <mergeCell ref="C4:G4"/>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6"/>
  <sheetViews>
    <sheetView topLeftCell="A2" zoomScale="90" zoomScaleNormal="90" workbookViewId="0">
      <selection activeCell="B10" sqref="B10"/>
    </sheetView>
  </sheetViews>
  <sheetFormatPr defaultRowHeight="14.5" x14ac:dyDescent="0.35"/>
  <cols>
    <col min="1" max="1" width="3.54296875" customWidth="1"/>
    <col min="2" max="2" width="26.54296875" bestFit="1" customWidth="1"/>
    <col min="3" max="3" width="14.54296875" customWidth="1"/>
    <col min="4" max="4" width="13.54296875" customWidth="1"/>
    <col min="5" max="5" width="23.54296875" customWidth="1"/>
    <col min="6" max="6" width="13.54296875" customWidth="1"/>
    <col min="7" max="7" width="23.1796875" customWidth="1"/>
    <col min="8" max="8" width="13.54296875" customWidth="1"/>
    <col min="9" max="9" width="25.7265625" customWidth="1"/>
    <col min="10" max="10" width="16.1796875" customWidth="1"/>
    <col min="11" max="11" width="22.81640625" customWidth="1"/>
    <col min="12" max="12" width="13.54296875" customWidth="1"/>
    <col min="13" max="13" width="25.1796875" customWidth="1"/>
  </cols>
  <sheetData>
    <row r="2" spans="2:13" ht="30" customHeight="1" x14ac:dyDescent="0.35">
      <c r="B2" s="354" t="s">
        <v>360</v>
      </c>
      <c r="C2" s="355"/>
      <c r="D2" s="355"/>
      <c r="E2" s="355"/>
      <c r="F2" s="355"/>
      <c r="G2" s="355"/>
      <c r="H2" s="355"/>
      <c r="I2" s="355"/>
      <c r="J2" s="355"/>
      <c r="K2" s="355"/>
      <c r="L2" s="355"/>
      <c r="M2" s="356"/>
    </row>
    <row r="3" spans="2:13" ht="72.5" x14ac:dyDescent="0.35">
      <c r="B3" s="121"/>
      <c r="C3" s="47" t="s">
        <v>4</v>
      </c>
      <c r="D3" s="47" t="s">
        <v>361</v>
      </c>
      <c r="E3" s="47" t="s">
        <v>6</v>
      </c>
      <c r="F3" s="47" t="s">
        <v>362</v>
      </c>
      <c r="G3" s="47" t="s">
        <v>8</v>
      </c>
      <c r="H3" s="48" t="s">
        <v>9</v>
      </c>
      <c r="I3" s="48" t="s">
        <v>10</v>
      </c>
      <c r="J3" s="48" t="s">
        <v>11</v>
      </c>
      <c r="K3" s="48" t="s">
        <v>12</v>
      </c>
      <c r="L3" s="48" t="s">
        <v>13</v>
      </c>
      <c r="M3" s="49" t="s">
        <v>14</v>
      </c>
    </row>
    <row r="4" spans="2:13" x14ac:dyDescent="0.35">
      <c r="B4" s="122"/>
      <c r="C4" s="22" t="s">
        <v>363</v>
      </c>
      <c r="D4" s="22" t="s">
        <v>364</v>
      </c>
      <c r="E4" s="22" t="s">
        <v>365</v>
      </c>
      <c r="F4" s="22" t="s">
        <v>19</v>
      </c>
      <c r="G4" s="22" t="s">
        <v>366</v>
      </c>
      <c r="H4" s="45" t="s">
        <v>21</v>
      </c>
      <c r="I4" s="45" t="s">
        <v>367</v>
      </c>
      <c r="J4" s="45" t="s">
        <v>23</v>
      </c>
      <c r="K4" s="45" t="s">
        <v>368</v>
      </c>
      <c r="L4" s="45" t="s">
        <v>25</v>
      </c>
      <c r="M4" s="46" t="s">
        <v>369</v>
      </c>
    </row>
    <row r="5" spans="2:13" ht="45" customHeight="1" x14ac:dyDescent="0.35">
      <c r="B5" s="304" t="s">
        <v>370</v>
      </c>
      <c r="C5" s="34">
        <f>'Burden Calculations'!E142+'Burden Calculations'!E68</f>
        <v>21620771</v>
      </c>
      <c r="D5" s="123">
        <f>E5/C5</f>
        <v>41.641835419203481</v>
      </c>
      <c r="E5" s="123">
        <f>'Burden Calculations'!G68+'Burden Calculations'!G142</f>
        <v>900328587.61828744</v>
      </c>
      <c r="F5" s="308">
        <f>G5/E5</f>
        <v>0.15358106049926848</v>
      </c>
      <c r="G5" s="123">
        <f>'Burden Calculations'!I68+'Burden Calculations'!I142</f>
        <v>138273419.28422514</v>
      </c>
      <c r="H5" s="124">
        <f>I5/G5</f>
        <v>25.230948071261839</v>
      </c>
      <c r="I5" s="124">
        <f>'Burden Calculations'!K68+'Burden Calculations'!K142</f>
        <v>3488769461.5960999</v>
      </c>
      <c r="J5" s="123">
        <f>'Burden Calculations'!L68+'Burden Calculations'!L142</f>
        <v>119352984.18000001</v>
      </c>
      <c r="K5" s="123">
        <f>'Burden Calculations'!M68+'Burden Calculations'!M142</f>
        <v>18093195.690363098</v>
      </c>
      <c r="L5" s="123">
        <f>'Burden Calculations'!N142+'Burden Calculations'!N68</f>
        <v>827239.4138620001</v>
      </c>
      <c r="M5" s="125">
        <f>K5+L5</f>
        <v>18920435.104225099</v>
      </c>
    </row>
    <row r="6" spans="2:13" ht="45" customHeight="1" x14ac:dyDescent="0.35">
      <c r="B6" s="304" t="s">
        <v>371</v>
      </c>
      <c r="C6" s="34">
        <f>'Burden Calculations'!E76</f>
        <v>2724</v>
      </c>
      <c r="D6" s="123">
        <f>E6/C6</f>
        <v>57984.431718061671</v>
      </c>
      <c r="E6" s="123">
        <f>'Burden Calculations'!G76</f>
        <v>157949592</v>
      </c>
      <c r="F6" s="308">
        <f>G6/E6</f>
        <v>2.8656363901212227E-2</v>
      </c>
      <c r="G6" s="123">
        <f>'Burden Calculations'!I76</f>
        <v>4526260.9863999998</v>
      </c>
      <c r="H6" s="124">
        <f>I6/G6</f>
        <v>34.65</v>
      </c>
      <c r="I6" s="124">
        <f>'Burden Calculations'!K76</f>
        <v>156834943.17875999</v>
      </c>
      <c r="J6" s="123">
        <f>'Burden Calculations'!L76</f>
        <v>4834312.59</v>
      </c>
      <c r="K6" s="123">
        <f>'Burden Calculations'!M76</f>
        <v>-308051.6035999998</v>
      </c>
      <c r="L6" s="123">
        <f>'Burden Calculations'!N76</f>
        <v>0</v>
      </c>
      <c r="M6" s="125">
        <f>K6+L6</f>
        <v>-308051.6035999998</v>
      </c>
    </row>
    <row r="7" spans="2:13" ht="45" customHeight="1" x14ac:dyDescent="0.35">
      <c r="B7" s="23" t="s">
        <v>372</v>
      </c>
      <c r="C7" s="171">
        <f>'Burden Calculations'!E71</f>
        <v>53</v>
      </c>
      <c r="D7" s="172">
        <f>E7/C7</f>
        <v>36</v>
      </c>
      <c r="E7" s="172">
        <f>'Burden Calculations'!G71</f>
        <v>1908</v>
      </c>
      <c r="F7" s="309">
        <f>G7/E7</f>
        <v>0.5</v>
      </c>
      <c r="G7" s="172">
        <f>'Burden Calculations'!I71</f>
        <v>954</v>
      </c>
      <c r="H7" s="173">
        <f>I7/G7</f>
        <v>29.39</v>
      </c>
      <c r="I7" s="173">
        <f>'Burden Calculations'!K71</f>
        <v>28038.06</v>
      </c>
      <c r="J7" s="172">
        <f>'Burden Calculations'!L71</f>
        <v>954</v>
      </c>
      <c r="K7" s="172">
        <f>G7-J7</f>
        <v>0</v>
      </c>
      <c r="L7" s="172">
        <f>'Burden Calculations'!N71</f>
        <v>0</v>
      </c>
      <c r="M7" s="174">
        <f>K7+L7</f>
        <v>0</v>
      </c>
    </row>
    <row r="8" spans="2:13" ht="45" customHeight="1" x14ac:dyDescent="0.35">
      <c r="B8" s="11" t="s">
        <v>373</v>
      </c>
      <c r="C8" s="193">
        <f>C5+C6</f>
        <v>21623495</v>
      </c>
      <c r="D8" s="12">
        <f>E8/C8</f>
        <v>48.941213602069759</v>
      </c>
      <c r="E8" s="12">
        <f>E5+E6+E7</f>
        <v>1058280087.6182874</v>
      </c>
      <c r="F8" s="310">
        <f>G8/E8</f>
        <v>0.13493652194855632</v>
      </c>
      <c r="G8" s="260">
        <f>G5+G6+G7</f>
        <v>142800634.27062514</v>
      </c>
      <c r="H8" s="29">
        <f>I8/G8</f>
        <v>25.529525561671726</v>
      </c>
      <c r="I8" s="29">
        <f>I5+I6+I7</f>
        <v>3645632442.8348598</v>
      </c>
      <c r="J8" s="247">
        <f>J5+J6+J7</f>
        <v>124188250.77000001</v>
      </c>
      <c r="K8" s="12">
        <f>K5+K6+K7</f>
        <v>17785144.086763099</v>
      </c>
      <c r="L8" s="12">
        <f>L5+L6+L7</f>
        <v>827239.4138620001</v>
      </c>
      <c r="M8" s="13">
        <f>M5+M6+M7</f>
        <v>18612383.5006251</v>
      </c>
    </row>
    <row r="10" spans="2:13" x14ac:dyDescent="0.35">
      <c r="E10" s="6"/>
      <c r="I10" s="68"/>
    </row>
    <row r="11" spans="2:13" ht="15.5" x14ac:dyDescent="0.35">
      <c r="E11" s="73"/>
      <c r="G11" s="73"/>
      <c r="I11" s="68"/>
      <c r="J11" s="68"/>
      <c r="K11" s="6"/>
    </row>
    <row r="12" spans="2:13" x14ac:dyDescent="0.35">
      <c r="G12" s="6"/>
      <c r="I12" s="68"/>
      <c r="K12" s="6"/>
    </row>
    <row r="13" spans="2:13" x14ac:dyDescent="0.35">
      <c r="I13" s="68"/>
      <c r="L13" s="6"/>
    </row>
    <row r="14" spans="2:13" x14ac:dyDescent="0.35">
      <c r="E14" s="6"/>
      <c r="G14" s="6"/>
      <c r="J14" s="6"/>
    </row>
    <row r="15" spans="2:13" x14ac:dyDescent="0.35">
      <c r="J15" s="6"/>
    </row>
    <row r="16" spans="2:13" x14ac:dyDescent="0.35">
      <c r="J16" s="255"/>
    </row>
  </sheetData>
  <mergeCells count="1">
    <mergeCell ref="B2:M2"/>
  </mergeCell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3"/>
  <sheetViews>
    <sheetView topLeftCell="A2" workbookViewId="0">
      <selection activeCell="C6" sqref="C6"/>
    </sheetView>
  </sheetViews>
  <sheetFormatPr defaultRowHeight="14.5" x14ac:dyDescent="0.35"/>
  <cols>
    <col min="1" max="1" width="8.7265625" customWidth="1"/>
    <col min="2" max="2" width="60.81640625" customWidth="1"/>
    <col min="3" max="3" width="14.453125" customWidth="1"/>
    <col min="4" max="4" width="17.1796875" style="6" customWidth="1"/>
    <col min="5" max="5" width="22.81640625" style="6" bestFit="1" customWidth="1"/>
    <col min="6" max="6" width="16.54296875" style="6" customWidth="1"/>
    <col min="7" max="7" width="21.7265625" style="6" bestFit="1" customWidth="1"/>
    <col min="9" max="9" width="24.81640625" bestFit="1" customWidth="1"/>
    <col min="10" max="10" width="18.7265625" bestFit="1" customWidth="1"/>
  </cols>
  <sheetData>
    <row r="1" spans="2:10" x14ac:dyDescent="0.35">
      <c r="H1" s="77"/>
      <c r="I1" s="77"/>
    </row>
    <row r="2" spans="2:10" ht="29.65" customHeight="1" thickBot="1" x14ac:dyDescent="0.4">
      <c r="B2" s="358" t="s">
        <v>360</v>
      </c>
      <c r="C2" s="358"/>
      <c r="D2" s="358"/>
      <c r="E2" s="358"/>
      <c r="F2" s="358"/>
      <c r="G2" s="358"/>
      <c r="H2" s="358"/>
      <c r="I2" s="358"/>
    </row>
    <row r="3" spans="2:10" ht="43.5" x14ac:dyDescent="0.35">
      <c r="B3" s="74" t="s">
        <v>374</v>
      </c>
      <c r="C3" s="75" t="s">
        <v>375</v>
      </c>
      <c r="D3" s="76" t="s">
        <v>376</v>
      </c>
      <c r="E3" s="76" t="s">
        <v>377</v>
      </c>
      <c r="F3" s="76" t="s">
        <v>378</v>
      </c>
      <c r="G3" s="78" t="s">
        <v>379</v>
      </c>
      <c r="H3" s="89" t="s">
        <v>380</v>
      </c>
      <c r="I3" s="90" t="s">
        <v>381</v>
      </c>
    </row>
    <row r="4" spans="2:10" x14ac:dyDescent="0.35">
      <c r="B4" s="357" t="s">
        <v>382</v>
      </c>
      <c r="C4" s="357"/>
      <c r="D4" s="357"/>
      <c r="E4" s="357"/>
      <c r="F4" s="357"/>
      <c r="G4" s="357"/>
      <c r="H4" s="82"/>
      <c r="I4" s="83"/>
    </row>
    <row r="5" spans="2:10" x14ac:dyDescent="0.35">
      <c r="B5" s="56" t="s">
        <v>383</v>
      </c>
      <c r="C5" s="57">
        <f>'Burden Calculations'!E68</f>
        <v>53</v>
      </c>
      <c r="D5" s="62">
        <f>'Burden Calculations'!F68</f>
        <v>8621423.668002924</v>
      </c>
      <c r="E5" s="62">
        <f>'Burden Calculations'!G68</f>
        <v>456935454.40415502</v>
      </c>
      <c r="F5" s="62">
        <f>'Burden Calculations'!H68</f>
        <v>0.13184074230079099</v>
      </c>
      <c r="G5" s="79">
        <f>'Burden Calculations'!I68</f>
        <v>60242709.492193036</v>
      </c>
      <c r="H5" s="85">
        <f>'Burden Calculations'!J68</f>
        <v>29.390000000000008</v>
      </c>
      <c r="I5" s="86">
        <f>SUM(G5*H5)</f>
        <v>1770533231.9755538</v>
      </c>
      <c r="J5" s="91"/>
    </row>
    <row r="6" spans="2:10" x14ac:dyDescent="0.35">
      <c r="B6" s="56" t="s">
        <v>408</v>
      </c>
      <c r="C6" s="57">
        <f>'Burden Calculations'!E142</f>
        <v>21620718</v>
      </c>
      <c r="D6" s="62">
        <f>'Burden Calculations'!F142</f>
        <v>20.50778948294559</v>
      </c>
      <c r="E6" s="62">
        <f>'Burden Calculations'!G142</f>
        <v>443393133.21413243</v>
      </c>
      <c r="F6" s="62">
        <f>'Burden Calculations'!H142</f>
        <v>0.17598538170041508</v>
      </c>
      <c r="G6" s="79">
        <f>'Burden Calculations'!I142</f>
        <v>78030709.792032093</v>
      </c>
      <c r="H6" s="85">
        <f>'Labor Rates'!D8</f>
        <v>22.02</v>
      </c>
      <c r="I6" s="87">
        <f>SUM(G6*H6)</f>
        <v>1718236229.6205466</v>
      </c>
      <c r="J6" s="91"/>
    </row>
    <row r="7" spans="2:10" x14ac:dyDescent="0.35">
      <c r="B7" s="58" t="s">
        <v>384</v>
      </c>
      <c r="C7" s="59">
        <f>SUM(C5:C6)</f>
        <v>21620771</v>
      </c>
      <c r="D7" s="63">
        <f>E7/C7</f>
        <v>41.641835419203481</v>
      </c>
      <c r="E7" s="63">
        <f>SUM(E5:E6)</f>
        <v>900328587.61828744</v>
      </c>
      <c r="F7" s="63">
        <f>G7/E7</f>
        <v>0.15358106049926848</v>
      </c>
      <c r="G7" s="80">
        <f>SUM(G5:G6)</f>
        <v>138273419.28422514</v>
      </c>
      <c r="H7" s="187">
        <f>I7/G7</f>
        <v>25.230948071261842</v>
      </c>
      <c r="I7" s="188">
        <f>SUM(I5+I6)</f>
        <v>3488769461.5961003</v>
      </c>
      <c r="J7" s="91"/>
    </row>
    <row r="8" spans="2:10" x14ac:dyDescent="0.35">
      <c r="B8" s="357" t="s">
        <v>385</v>
      </c>
      <c r="C8" s="357"/>
      <c r="D8" s="357"/>
      <c r="E8" s="357"/>
      <c r="F8" s="357"/>
      <c r="G8" s="357"/>
      <c r="H8" s="85"/>
      <c r="I8" s="87"/>
      <c r="J8" s="91"/>
    </row>
    <row r="9" spans="2:10" x14ac:dyDescent="0.35">
      <c r="B9" s="56" t="s">
        <v>383</v>
      </c>
      <c r="C9" s="57">
        <f>'Burden Calculations'!E76</f>
        <v>2724</v>
      </c>
      <c r="D9" s="62">
        <f>'Burden Calculations'!F76</f>
        <v>57984.431718061671</v>
      </c>
      <c r="E9" s="62">
        <f>'Burden Calculations'!G76</f>
        <v>157949592</v>
      </c>
      <c r="F9" s="62">
        <f>'Burden Calculations'!H76</f>
        <v>2.8656363901212227E-2</v>
      </c>
      <c r="G9" s="79">
        <f>'Burden Calculations'!I76</f>
        <v>4526260.9863999998</v>
      </c>
      <c r="H9" s="85">
        <f>'Labor Rates'!E7</f>
        <v>34.65</v>
      </c>
      <c r="I9" s="87">
        <f>G9*H9</f>
        <v>156834943.17875999</v>
      </c>
      <c r="J9" s="91"/>
    </row>
    <row r="10" spans="2:10" x14ac:dyDescent="0.35">
      <c r="B10" s="58" t="s">
        <v>386</v>
      </c>
      <c r="C10" s="59">
        <f>C9</f>
        <v>2724</v>
      </c>
      <c r="D10" s="63">
        <f>D9</f>
        <v>57984.431718061671</v>
      </c>
      <c r="E10" s="63">
        <f>E9</f>
        <v>157949592</v>
      </c>
      <c r="F10" s="63">
        <f>F9</f>
        <v>2.8656363901212227E-2</v>
      </c>
      <c r="G10" s="80">
        <f>G9</f>
        <v>4526260.9863999998</v>
      </c>
      <c r="H10" s="187">
        <f>'Burden Calculations'!J76</f>
        <v>34.65</v>
      </c>
      <c r="I10" s="188">
        <f>G10*H10</f>
        <v>156834943.17875999</v>
      </c>
      <c r="J10" s="91"/>
    </row>
    <row r="11" spans="2:10" x14ac:dyDescent="0.35">
      <c r="B11" s="181" t="s">
        <v>128</v>
      </c>
      <c r="C11" s="182">
        <f>'Burden Calculations'!E71</f>
        <v>53</v>
      </c>
      <c r="D11" s="183">
        <f>'Burden Calculations'!F71</f>
        <v>36</v>
      </c>
      <c r="E11" s="183">
        <f>'Burden Calculations'!G71</f>
        <v>1908</v>
      </c>
      <c r="F11" s="183">
        <f>'Burden Calculations'!H71</f>
        <v>0.5</v>
      </c>
      <c r="G11" s="184">
        <f>'Burden Calculations'!I71</f>
        <v>954</v>
      </c>
      <c r="H11" s="179">
        <f>'Labor Rates'!E6</f>
        <v>29.39</v>
      </c>
      <c r="I11" s="180">
        <f>G11*H11</f>
        <v>28038.06</v>
      </c>
      <c r="J11" s="91"/>
    </row>
    <row r="12" spans="2:10" x14ac:dyDescent="0.35">
      <c r="B12" s="175" t="s">
        <v>372</v>
      </c>
      <c r="C12" s="176">
        <f>C11</f>
        <v>53</v>
      </c>
      <c r="D12" s="177">
        <f>D11</f>
        <v>36</v>
      </c>
      <c r="E12" s="177">
        <f>E11</f>
        <v>1908</v>
      </c>
      <c r="F12" s="177">
        <f>F11</f>
        <v>0.5</v>
      </c>
      <c r="G12" s="178">
        <f>G11</f>
        <v>954</v>
      </c>
      <c r="H12" s="189">
        <f>'Burden Calculations'!J71</f>
        <v>29.39</v>
      </c>
      <c r="I12" s="190">
        <f>G12*H12</f>
        <v>28038.06</v>
      </c>
      <c r="J12" s="91"/>
    </row>
    <row r="13" spans="2:10" x14ac:dyDescent="0.35">
      <c r="B13" s="60" t="s">
        <v>387</v>
      </c>
      <c r="C13" s="61">
        <f>C7+C10</f>
        <v>21623495</v>
      </c>
      <c r="D13" s="64">
        <f>E13/C13</f>
        <v>48.941213602069759</v>
      </c>
      <c r="E13" s="64">
        <f>E7+E10+E12</f>
        <v>1058280087.6182874</v>
      </c>
      <c r="F13" s="64">
        <f>G13/E13</f>
        <v>0.13493652194855632</v>
      </c>
      <c r="G13" s="81">
        <f>G7+G10+G12</f>
        <v>142800634.27062514</v>
      </c>
      <c r="H13" s="248">
        <f>I13/G13</f>
        <v>25.529525561671729</v>
      </c>
      <c r="I13" s="88">
        <f>SUM(I7+I10+I12)</f>
        <v>3645632442.8348603</v>
      </c>
      <c r="J13" s="91"/>
    </row>
    <row r="14" spans="2:10" x14ac:dyDescent="0.35">
      <c r="I14" s="91"/>
      <c r="J14" s="91"/>
    </row>
    <row r="15" spans="2:10" x14ac:dyDescent="0.35">
      <c r="E15"/>
      <c r="I15" s="194"/>
    </row>
    <row r="16" spans="2:10" x14ac:dyDescent="0.35">
      <c r="E16"/>
      <c r="F16"/>
      <c r="G16" s="91"/>
    </row>
    <row r="17" spans="5:7" x14ac:dyDescent="0.35">
      <c r="E17"/>
      <c r="F17"/>
      <c r="G17" s="91"/>
    </row>
    <row r="18" spans="5:7" x14ac:dyDescent="0.35">
      <c r="E18"/>
      <c r="F18"/>
      <c r="G18"/>
    </row>
    <row r="19" spans="5:7" x14ac:dyDescent="0.35">
      <c r="E19"/>
      <c r="F19"/>
      <c r="G19"/>
    </row>
    <row r="20" spans="5:7" x14ac:dyDescent="0.35">
      <c r="E20"/>
      <c r="F20"/>
      <c r="G20"/>
    </row>
    <row r="21" spans="5:7" x14ac:dyDescent="0.35">
      <c r="E21"/>
      <c r="F21"/>
      <c r="G21"/>
    </row>
    <row r="22" spans="5:7" x14ac:dyDescent="0.35">
      <c r="E22"/>
      <c r="F22"/>
      <c r="G22"/>
    </row>
    <row r="23" spans="5:7" x14ac:dyDescent="0.35">
      <c r="E23"/>
      <c r="F23"/>
      <c r="G23"/>
    </row>
  </sheetData>
  <mergeCells count="3">
    <mergeCell ref="B4:G4"/>
    <mergeCell ref="B8:G8"/>
    <mergeCell ref="B2:I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8965-B2B2-46E2-8411-0B952D1E268F}">
  <dimension ref="D4:G11"/>
  <sheetViews>
    <sheetView topLeftCell="C1" workbookViewId="0">
      <selection activeCell="G11" sqref="G11"/>
    </sheetView>
  </sheetViews>
  <sheetFormatPr defaultRowHeight="14.5" x14ac:dyDescent="0.35"/>
  <cols>
    <col min="4" max="4" width="81.54296875" bestFit="1" customWidth="1"/>
    <col min="5" max="5" width="17.7265625" bestFit="1" customWidth="1"/>
    <col min="6" max="6" width="18.81640625" bestFit="1" customWidth="1"/>
    <col min="7" max="7" width="19.81640625" bestFit="1" customWidth="1"/>
    <col min="9" max="9" width="13.26953125" bestFit="1" customWidth="1"/>
  </cols>
  <sheetData>
    <row r="4" spans="4:7" x14ac:dyDescent="0.35">
      <c r="D4" s="359" t="s">
        <v>388</v>
      </c>
      <c r="E4" s="360"/>
      <c r="F4" s="360"/>
      <c r="G4" s="361"/>
    </row>
    <row r="5" spans="4:7" x14ac:dyDescent="0.35">
      <c r="D5" s="233" t="s">
        <v>389</v>
      </c>
      <c r="E5" s="233" t="s">
        <v>390</v>
      </c>
      <c r="F5" s="234" t="s">
        <v>391</v>
      </c>
      <c r="G5" s="235" t="s">
        <v>392</v>
      </c>
    </row>
    <row r="6" spans="4:7" x14ac:dyDescent="0.35">
      <c r="D6" s="236" t="s">
        <v>393</v>
      </c>
      <c r="E6" s="236">
        <f>'Labor Rates'!E6</f>
        <v>29.39</v>
      </c>
      <c r="F6" s="237">
        <f>'Burden Calculations'!I68+'Burden Calculations'!I71</f>
        <v>60243663.492193036</v>
      </c>
      <c r="G6" s="238">
        <f>E6*F6</f>
        <v>1770561270.0355535</v>
      </c>
    </row>
    <row r="7" spans="4:7" x14ac:dyDescent="0.35">
      <c r="D7" s="236" t="s">
        <v>394</v>
      </c>
      <c r="E7" s="236">
        <f>'Labor Rates'!E7</f>
        <v>34.65</v>
      </c>
      <c r="F7" s="237">
        <f>'Burden Calculations'!I76</f>
        <v>4526260.9863999998</v>
      </c>
      <c r="G7" s="239">
        <f>F7*E7</f>
        <v>156834943.17875999</v>
      </c>
    </row>
    <row r="8" spans="4:7" x14ac:dyDescent="0.35">
      <c r="D8" s="236" t="s">
        <v>395</v>
      </c>
      <c r="E8" s="236">
        <f>'Labor Rates'!D8</f>
        <v>22.02</v>
      </c>
      <c r="F8" s="237">
        <f>'Burden Calculations'!I142</f>
        <v>78030709.792032093</v>
      </c>
      <c r="G8" s="239">
        <f>F8*E8</f>
        <v>1718236229.6205466</v>
      </c>
    </row>
    <row r="9" spans="4:7" x14ac:dyDescent="0.35">
      <c r="D9" s="362" t="s">
        <v>396</v>
      </c>
      <c r="E9" s="363"/>
      <c r="F9" s="364"/>
      <c r="G9" s="239">
        <f>SUM(G6:G8)</f>
        <v>3645632442.8348598</v>
      </c>
    </row>
    <row r="10" spans="4:7" x14ac:dyDescent="0.35">
      <c r="D10" s="362" t="s">
        <v>397</v>
      </c>
      <c r="E10" s="363"/>
      <c r="F10" s="364"/>
      <c r="G10" s="240">
        <f>(G6+G7)/2</f>
        <v>963698106.60715675</v>
      </c>
    </row>
    <row r="11" spans="4:7" x14ac:dyDescent="0.35">
      <c r="D11" s="362" t="s">
        <v>398</v>
      </c>
      <c r="E11" s="363"/>
      <c r="F11" s="364"/>
      <c r="G11" s="244">
        <f>G9-G10</f>
        <v>2681934336.2277031</v>
      </c>
    </row>
  </sheetData>
  <mergeCells count="4">
    <mergeCell ref="D4:G4"/>
    <mergeCell ref="D9:F9"/>
    <mergeCell ref="D10:F10"/>
    <mergeCell ref="D11: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9F597-4F2C-4E7D-BDF9-B9BEC7824ADA}">
  <dimension ref="B7:E14"/>
  <sheetViews>
    <sheetView topLeftCell="A4" zoomScaleNormal="100" workbookViewId="0">
      <selection activeCell="E14" sqref="E14"/>
    </sheetView>
  </sheetViews>
  <sheetFormatPr defaultRowHeight="14.5" x14ac:dyDescent="0.35"/>
  <cols>
    <col min="2" max="2" width="88" customWidth="1"/>
    <col min="3" max="3" width="12" customWidth="1"/>
    <col min="4" max="4" width="13.1796875" customWidth="1"/>
    <col min="5" max="5" width="17" customWidth="1"/>
  </cols>
  <sheetData>
    <row r="7" spans="2:5" ht="58" x14ac:dyDescent="0.35">
      <c r="B7" s="243" t="s">
        <v>399</v>
      </c>
      <c r="C7" s="242" t="s">
        <v>400</v>
      </c>
      <c r="D7" s="242" t="s">
        <v>401</v>
      </c>
      <c r="E7" s="241" t="s">
        <v>402</v>
      </c>
    </row>
    <row r="8" spans="2:5" x14ac:dyDescent="0.35">
      <c r="B8" s="144" t="s">
        <v>403</v>
      </c>
      <c r="C8" s="368" t="s">
        <v>404</v>
      </c>
      <c r="D8" s="369"/>
      <c r="E8" s="249">
        <f>'Respon. Cost'!G10</f>
        <v>963698106.60715675</v>
      </c>
    </row>
    <row r="9" spans="2:5" x14ac:dyDescent="0.35">
      <c r="B9" s="144" t="s">
        <v>407</v>
      </c>
      <c r="C9" s="145">
        <v>500</v>
      </c>
      <c r="D9" s="146">
        <f>'Labor Rates'!E9</f>
        <v>60.04</v>
      </c>
      <c r="E9" s="147">
        <f>D9*C9</f>
        <v>30020</v>
      </c>
    </row>
    <row r="10" spans="2:5" x14ac:dyDescent="0.35">
      <c r="B10" s="144" t="s">
        <v>405</v>
      </c>
      <c r="C10" s="145">
        <v>20</v>
      </c>
      <c r="D10" s="148">
        <f>'Labor Rates'!E10</f>
        <v>84.36</v>
      </c>
      <c r="E10" s="147">
        <f>D10*C10</f>
        <v>1687.2</v>
      </c>
    </row>
    <row r="11" spans="2:5" x14ac:dyDescent="0.35">
      <c r="B11" s="365" t="s">
        <v>406</v>
      </c>
      <c r="C11" s="366"/>
      <c r="D11" s="367"/>
      <c r="E11" s="149">
        <f>SUM(E8:E10)</f>
        <v>963729813.8071568</v>
      </c>
    </row>
    <row r="12" spans="2:5" x14ac:dyDescent="0.35">
      <c r="B12" s="150"/>
      <c r="C12" s="150"/>
      <c r="D12" s="150"/>
      <c r="E12" s="150"/>
    </row>
    <row r="13" spans="2:5" x14ac:dyDescent="0.35">
      <c r="E13" s="254"/>
    </row>
    <row r="14" spans="2:5" x14ac:dyDescent="0.35">
      <c r="E14" s="254"/>
    </row>
  </sheetData>
  <mergeCells count="2">
    <mergeCell ref="B11:D11"/>
    <mergeCell ref="C8:D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f38bbad-0bb0-41a7-b78f-084b382b3af7">
      <Terms xmlns="http://schemas.microsoft.com/office/infopath/2007/PartnerControls"/>
    </lcf76f155ced4ddcb4097134ff3c332f>
    <Test123 xmlns="df38bbad-0bb0-41a7-b78f-084b382b3af7" xsi:nil="true"/>
    <TaxCatchAll xmlns="73fb875a-8af9-4255-b008-0995492d31cd" xsi:nil="true"/>
    <SharedWithUsers xmlns="e9322675-4e6c-4dcb-b08b-f40420b09916">
      <UserInfo>
        <DisplayName>Lisa Marie Clark</DisplayName>
        <AccountId>214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17" ma:contentTypeDescription="Create a new document." ma:contentTypeScope="" ma:versionID="3d2209c13f4593fc72d8f023ac1a1a67">
  <xsd:schema xmlns:xsd="http://www.w3.org/2001/XMLSchema" xmlns:xs="http://www.w3.org/2001/XMLSchema" xmlns:p="http://schemas.microsoft.com/office/2006/metadata/properties" xmlns:ns1="http://schemas.microsoft.com/sharepoint/v3" xmlns:ns2="df38bbad-0bb0-41a7-b78f-084b382b3af7" xmlns:ns3="e9322675-4e6c-4dcb-b08b-f40420b09916" xmlns:ns4="73fb875a-8af9-4255-b008-0995492d31cd" targetNamespace="http://schemas.microsoft.com/office/2006/metadata/properties" ma:root="true" ma:fieldsID="de51bde2f9446824d9ea4ae16d72afa6" ns1:_="" ns2:_="" ns3:_="" ns4:_="">
    <xsd:import namespace="http://schemas.microsoft.com/sharepoint/v3"/>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Test123"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st123" ma:index="12" nillable="true" ma:displayName="Test 123" ma:format="Dropdown" ma:internalName="Test123">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289b2e6-ffe1-4fe5-b5f8-8ebdee5ffe04}"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047FA-B695-4899-BCE9-413ACE9AD1D5}">
  <ds:schemaRefs>
    <ds:schemaRef ds:uri="http://schemas.microsoft.com/sharepoint/v3/contenttype/forms"/>
  </ds:schemaRefs>
</ds:datastoreItem>
</file>

<file path=customXml/itemProps2.xml><?xml version="1.0" encoding="utf-8"?>
<ds:datastoreItem xmlns:ds="http://schemas.openxmlformats.org/officeDocument/2006/customXml" ds:itemID="{D30462AF-E1A6-4B60-8F13-01AC5EFA3A87}">
  <ds:schemaRefs>
    <ds:schemaRef ds:uri="73fb875a-8af9-4255-b008-0995492d31cd"/>
    <ds:schemaRef ds:uri="http://purl.org/dc/elements/1.1/"/>
    <ds:schemaRef ds:uri="df38bbad-0bb0-41a7-b78f-084b382b3af7"/>
    <ds:schemaRef ds:uri="http://schemas.openxmlformats.org/package/2006/metadata/core-properties"/>
    <ds:schemaRef ds:uri="http://schemas.microsoft.com/office/2006/documentManagement/types"/>
    <ds:schemaRef ds:uri="e9322675-4e6c-4dcb-b08b-f40420b09916"/>
    <ds:schemaRef ds:uri="http://schemas.microsoft.com/sharepoint/v3"/>
    <ds:schemaRef ds:uri="http://www.w3.org/XML/1998/namespace"/>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170C8FE-043E-4BD7-B7B9-122650F4F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38bbad-0bb0-41a7-b78f-084b382b3af7"/>
    <ds:schemaRef ds:uri="e9322675-4e6c-4dcb-b08b-f40420b09916"/>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Burden Calculations</vt:lpstr>
      <vt:lpstr>Assumptions</vt:lpstr>
      <vt:lpstr>Labor Rates</vt:lpstr>
      <vt:lpstr>Total Burden by Burden Type</vt:lpstr>
      <vt:lpstr>Total Burden by Type and Respon</vt:lpstr>
      <vt:lpstr>Respon. Cost</vt:lpstr>
      <vt:lpstr>Federal Burden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McGlinn, William</dc:creator>
  <cp:keywords/>
  <dc:description/>
  <cp:lastModifiedBy>Adiaba, Lisa Marie - FNS</cp:lastModifiedBy>
  <cp:revision/>
  <dcterms:created xsi:type="dcterms:W3CDTF">2019-08-09T14:45:58Z</dcterms:created>
  <dcterms:modified xsi:type="dcterms:W3CDTF">2023-12-22T19:36:19Z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0x010100B45F41949DA2A940B8D082ECAF8F142D</vt:lpwstr>
  </property>
  <property fmtid="{D5CDD505-2E9C-101B-9397-08002B2CF9AE}" pid="3" name="_dlc_DocIdItemGuid">
    <vt:lpwstr>e7388e48-2de8-4354-8cfc-e9484d407572</vt:lpwstr>
  </property>
  <property fmtid="{D5CDD505-2E9C-101B-9397-08002B2CF9AE}" pid="4" name="_dlc_DocId">
    <vt:lpwstr>VER3ZRMQVMMH-1271368775-21</vt:lpwstr>
  </property>
  <property fmtid="{D5CDD505-2E9C-101B-9397-08002B2CF9AE}" pid="5" name="_dlc_DocIdUrl">
    <vt:lpwstr>https://fncspro.usda.net/programs/snap/pdd/cpb/_layouts/15/DocIdRedir.aspx?ID=VER3ZRMQVMMH-1271368775-21, VER3ZRMQVMMH-1271368775-21</vt:lpwstr>
  </property>
  <property fmtid="{D5CDD505-2E9C-101B-9397-08002B2CF9AE}" pid="6" name="ESRI_WORKBOOK_ID">
    <vt:lpwstr>9210f3b56bcb498b829fa7849712bed0</vt:lpwstr>
  </property>
  <property fmtid="{D5CDD505-2E9C-101B-9397-08002B2CF9AE}" pid="7" name="MediaServiceImageTags">
    <vt:lpwstr/>
  </property>
</Properties>
</file>