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sharepoint.com/sites/GasolineDistributionandStorageTanks/Shared Documents/Proposal/ICR &amp; Supporting Statements/"/>
    </mc:Choice>
  </mc:AlternateContent>
  <xr:revisionPtr revIDLastSave="765" documentId="13_ncr:1_{A33FBFE4-615D-4A03-A4D2-EBEB8282FFD6}" xr6:coauthVersionLast="47" xr6:coauthVersionMax="47" xr10:uidLastSave="{336EED5F-56A9-4C8A-8F74-1F87B5B06852}"/>
  <bookViews>
    <workbookView xWindow="-28920" yWindow="-120" windowWidth="29040" windowHeight="15840" activeTab="1" xr2:uid="{A99FC7F8-7F0D-4864-99D1-861419E4DD3B}"/>
  </bookViews>
  <sheets>
    <sheet name="Burden_MajorSource" sheetId="8" r:id="rId1"/>
    <sheet name="Burden_AreaSource" sheetId="11" r:id="rId2"/>
    <sheet name="Burden_NSPS"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8" l="1"/>
  <c r="E65" i="8"/>
  <c r="B81" i="8"/>
  <c r="E81" i="8" s="1"/>
  <c r="E17" i="8"/>
  <c r="E16" i="8"/>
  <c r="D17" i="8"/>
  <c r="E14" i="12"/>
  <c r="D16" i="11"/>
  <c r="F14" i="12"/>
  <c r="D13" i="12"/>
  <c r="D21" i="12"/>
  <c r="E17" i="12"/>
  <c r="E73" i="12"/>
  <c r="E75" i="12"/>
  <c r="B72" i="12"/>
  <c r="E72" i="12" s="1"/>
  <c r="E54" i="12"/>
  <c r="P12" i="12"/>
  <c r="O12" i="12"/>
  <c r="N12" i="12"/>
  <c r="M12" i="12"/>
  <c r="L12" i="12"/>
  <c r="D17" i="12"/>
  <c r="O28" i="11"/>
  <c r="P28" i="11"/>
  <c r="O29" i="11"/>
  <c r="P29" i="11"/>
  <c r="O30" i="11"/>
  <c r="P30" i="11"/>
  <c r="O31" i="11"/>
  <c r="P31" i="11"/>
  <c r="O32" i="11"/>
  <c r="P32" i="11"/>
  <c r="O33" i="11"/>
  <c r="P33" i="11"/>
  <c r="O34" i="11"/>
  <c r="P34" i="11"/>
  <c r="O35" i="11"/>
  <c r="P35" i="11"/>
  <c r="Q35" i="11"/>
  <c r="O36" i="11"/>
  <c r="P36" i="11"/>
  <c r="O37" i="11"/>
  <c r="P37" i="11"/>
  <c r="O38" i="11"/>
  <c r="P38" i="11"/>
  <c r="D25" i="11"/>
  <c r="D19" i="8"/>
  <c r="F19" i="8" s="1"/>
  <c r="G19" i="8" s="1"/>
  <c r="E64" i="8"/>
  <c r="F17" i="8" l="1"/>
  <c r="H17" i="8" s="1"/>
  <c r="H19" i="8"/>
  <c r="Q36" i="11"/>
  <c r="Q32" i="11"/>
  <c r="Q31" i="11"/>
  <c r="Q28" i="11"/>
  <c r="B74" i="12"/>
  <c r="E74" i="12" s="1"/>
  <c r="E13" i="12"/>
  <c r="F13" i="12"/>
  <c r="G13" i="12"/>
  <c r="H13" i="12"/>
  <c r="E21" i="12"/>
  <c r="F21" i="12" s="1"/>
  <c r="B71" i="12"/>
  <c r="B76" i="12"/>
  <c r="E76" i="12" s="1"/>
  <c r="Q37" i="11"/>
  <c r="Q34" i="11"/>
  <c r="Q29" i="11"/>
  <c r="Q38" i="11"/>
  <c r="Q33" i="11"/>
  <c r="Q30" i="11"/>
  <c r="G17" i="8" l="1"/>
  <c r="H21" i="12"/>
  <c r="G21" i="12"/>
  <c r="E26" i="8" l="1"/>
  <c r="O6" i="8" l="1"/>
  <c r="O7" i="8"/>
  <c r="O8" i="8"/>
  <c r="H2" i="8" s="1"/>
  <c r="O5" i="8"/>
  <c r="G2" i="8" s="1"/>
  <c r="O6" i="12"/>
  <c r="O7" i="12"/>
  <c r="O8" i="12"/>
  <c r="I2" i="12" s="1"/>
  <c r="O5" i="12"/>
  <c r="H2" i="12" s="1"/>
  <c r="O6" i="11"/>
  <c r="O7" i="11"/>
  <c r="O8" i="11"/>
  <c r="H2" i="11" s="1"/>
  <c r="O5" i="11"/>
  <c r="G2" i="11" s="1"/>
  <c r="O35" i="8"/>
  <c r="P35" i="8"/>
  <c r="O36" i="8"/>
  <c r="P36" i="8"/>
  <c r="O37" i="8"/>
  <c r="P37" i="8"/>
  <c r="O29" i="8"/>
  <c r="P29" i="8"/>
  <c r="O30" i="8"/>
  <c r="P30" i="8"/>
  <c r="O31" i="8"/>
  <c r="P31" i="8"/>
  <c r="Q31" i="8" s="1"/>
  <c r="O32" i="8"/>
  <c r="P32" i="8"/>
  <c r="O33" i="8"/>
  <c r="P33" i="8"/>
  <c r="Q29" i="8" l="1"/>
  <c r="Q36" i="8"/>
  <c r="Q35" i="8"/>
  <c r="Q32" i="8"/>
  <c r="O9" i="11"/>
  <c r="Q30" i="8"/>
  <c r="Q33" i="8"/>
  <c r="Q37" i="8"/>
  <c r="D59" i="12" l="1"/>
  <c r="D58" i="12"/>
  <c r="D57" i="12"/>
  <c r="F57" i="12" s="1"/>
  <c r="G57" i="12" s="1"/>
  <c r="D55" i="12"/>
  <c r="F55" i="12" s="1"/>
  <c r="G55" i="12" s="1"/>
  <c r="D20" i="12"/>
  <c r="D19" i="12"/>
  <c r="F19" i="12" s="1"/>
  <c r="D18" i="12"/>
  <c r="F18" i="12" s="1"/>
  <c r="D14" i="12"/>
  <c r="D12" i="12"/>
  <c r="F12" i="12" s="1"/>
  <c r="M9" i="12"/>
  <c r="N8" i="12"/>
  <c r="N7" i="12"/>
  <c r="N6" i="12"/>
  <c r="N5" i="12"/>
  <c r="C32" i="11"/>
  <c r="D32" i="11" s="1"/>
  <c r="C70" i="11"/>
  <c r="E70" i="11"/>
  <c r="E32" i="11"/>
  <c r="C26" i="8"/>
  <c r="D26" i="8" s="1"/>
  <c r="E25" i="8"/>
  <c r="L20" i="11"/>
  <c r="N20" i="11" s="1"/>
  <c r="L19" i="11"/>
  <c r="D73" i="11"/>
  <c r="E67" i="8"/>
  <c r="D67" i="8"/>
  <c r="M9" i="11"/>
  <c r="N8" i="11"/>
  <c r="N7" i="11"/>
  <c r="N6" i="11"/>
  <c r="N5" i="11"/>
  <c r="D31" i="11"/>
  <c r="D30" i="11"/>
  <c r="D29" i="11"/>
  <c r="D28" i="11"/>
  <c r="D16" i="8"/>
  <c r="D15" i="8"/>
  <c r="F15" i="8" s="1"/>
  <c r="G15" i="8" s="1"/>
  <c r="C22" i="8"/>
  <c r="D22" i="8" s="1"/>
  <c r="F22" i="8" s="1"/>
  <c r="H22" i="8" s="1"/>
  <c r="E24" i="8"/>
  <c r="D23" i="8"/>
  <c r="F23" i="8" s="1"/>
  <c r="H23" i="8" s="1"/>
  <c r="D24" i="8"/>
  <c r="D25" i="8"/>
  <c r="B86" i="8"/>
  <c r="B84" i="8"/>
  <c r="E63" i="8"/>
  <c r="D63" i="8"/>
  <c r="E85" i="8"/>
  <c r="E83" i="8"/>
  <c r="M57" i="12"/>
  <c r="N57" i="12" s="1"/>
  <c r="M56" i="12"/>
  <c r="N56" i="12" s="1"/>
  <c r="M55" i="12"/>
  <c r="N55" i="12" s="1"/>
  <c r="M66" i="11"/>
  <c r="N66" i="11" s="1"/>
  <c r="M65" i="11"/>
  <c r="N65" i="11" s="1"/>
  <c r="M64" i="11"/>
  <c r="N64" i="11" s="1"/>
  <c r="M9" i="8"/>
  <c r="N7" i="8"/>
  <c r="F67" i="8" l="1"/>
  <c r="H67" i="8" s="1"/>
  <c r="G12" i="12"/>
  <c r="H12" i="12"/>
  <c r="H57" i="12"/>
  <c r="H55" i="12"/>
  <c r="H18" i="12"/>
  <c r="G18" i="12"/>
  <c r="G19" i="12"/>
  <c r="H19" i="12"/>
  <c r="N9" i="12"/>
  <c r="O9" i="12"/>
  <c r="F2" i="11"/>
  <c r="O20" i="11"/>
  <c r="P20" i="11" s="1"/>
  <c r="N9" i="11"/>
  <c r="F32" i="11"/>
  <c r="H32" i="11" s="1"/>
  <c r="F26" i="8"/>
  <c r="G67" i="8"/>
  <c r="F63" i="8"/>
  <c r="G63" i="8" s="1"/>
  <c r="F16" i="8"/>
  <c r="G16" i="8" s="1"/>
  <c r="H15" i="8"/>
  <c r="F25" i="8"/>
  <c r="G25" i="8" s="1"/>
  <c r="F24" i="8"/>
  <c r="G24" i="8" s="1"/>
  <c r="G23" i="8"/>
  <c r="G22" i="8"/>
  <c r="E86" i="8"/>
  <c r="E84" i="8"/>
  <c r="H51" i="12"/>
  <c r="F51" i="12"/>
  <c r="F54" i="12"/>
  <c r="G51" i="12"/>
  <c r="G47" i="12"/>
  <c r="D47" i="12"/>
  <c r="D30" i="12"/>
  <c r="D29" i="12"/>
  <c r="D28" i="12"/>
  <c r="D27" i="12"/>
  <c r="D26" i="12"/>
  <c r="D25" i="12"/>
  <c r="D16" i="12"/>
  <c r="D11" i="12"/>
  <c r="D9" i="12"/>
  <c r="O24" i="11"/>
  <c r="N24" i="11"/>
  <c r="O23" i="11"/>
  <c r="N23" i="11"/>
  <c r="O22" i="11"/>
  <c r="N22" i="11"/>
  <c r="O21" i="11"/>
  <c r="N21" i="11"/>
  <c r="O19" i="11"/>
  <c r="O18" i="11"/>
  <c r="N18" i="11"/>
  <c r="D14" i="11"/>
  <c r="D22" i="11"/>
  <c r="D21" i="11"/>
  <c r="D19" i="11"/>
  <c r="D18" i="11"/>
  <c r="D15" i="11"/>
  <c r="D74" i="11"/>
  <c r="D72" i="11"/>
  <c r="D70" i="11"/>
  <c r="F70" i="11" s="1"/>
  <c r="H64" i="11"/>
  <c r="D68" i="11"/>
  <c r="F64" i="11"/>
  <c r="D67" i="11"/>
  <c r="F67" i="11" s="1"/>
  <c r="G64" i="11"/>
  <c r="G60" i="11"/>
  <c r="D60" i="11"/>
  <c r="D59" i="11"/>
  <c r="D42" i="11"/>
  <c r="D41" i="11"/>
  <c r="P27" i="11"/>
  <c r="O27" i="11"/>
  <c r="D40" i="11"/>
  <c r="D39" i="11"/>
  <c r="D38" i="11"/>
  <c r="D37" i="11"/>
  <c r="D36" i="11"/>
  <c r="D27" i="11"/>
  <c r="D26" i="11"/>
  <c r="D23" i="11"/>
  <c r="O15" i="11"/>
  <c r="N15" i="11"/>
  <c r="O14" i="11"/>
  <c r="N14" i="11"/>
  <c r="D13" i="11"/>
  <c r="O13" i="11"/>
  <c r="N13" i="11"/>
  <c r="O12" i="11"/>
  <c r="N12" i="11"/>
  <c r="D11" i="11"/>
  <c r="D10" i="11"/>
  <c r="D62" i="8"/>
  <c r="D64" i="8"/>
  <c r="F64" i="8" s="1"/>
  <c r="D65" i="8"/>
  <c r="F65" i="8" s="1"/>
  <c r="D66" i="8"/>
  <c r="D68" i="8"/>
  <c r="D61" i="8"/>
  <c r="F61" i="8" s="1"/>
  <c r="D54" i="8"/>
  <c r="D53" i="8"/>
  <c r="G54" i="8"/>
  <c r="H16" i="8" l="1"/>
  <c r="H26" i="8"/>
  <c r="G26" i="8"/>
  <c r="P15" i="11"/>
  <c r="P12" i="11"/>
  <c r="P13" i="11"/>
  <c r="E11" i="11" s="1"/>
  <c r="G2" i="12"/>
  <c r="I13" i="12" s="1"/>
  <c r="I55" i="12"/>
  <c r="I57" i="12"/>
  <c r="P24" i="11"/>
  <c r="P14" i="11"/>
  <c r="P22" i="11"/>
  <c r="E19" i="11" s="1"/>
  <c r="F19" i="11" s="1"/>
  <c r="H19" i="11" s="1"/>
  <c r="G32" i="11"/>
  <c r="P21" i="11"/>
  <c r="H24" i="8"/>
  <c r="H25" i="8"/>
  <c r="P23" i="11"/>
  <c r="P18" i="11"/>
  <c r="H63" i="8"/>
  <c r="G54" i="12"/>
  <c r="H54" i="12"/>
  <c r="F17" i="12"/>
  <c r="D48" i="12"/>
  <c r="N19" i="11"/>
  <c r="P19" i="11" s="1"/>
  <c r="D61" i="11"/>
  <c r="Q27" i="11"/>
  <c r="E23" i="11" s="1"/>
  <c r="H67" i="11"/>
  <c r="G67" i="11"/>
  <c r="G70" i="11"/>
  <c r="H70" i="11"/>
  <c r="H61" i="8"/>
  <c r="G61" i="8"/>
  <c r="G64" i="8"/>
  <c r="H64" i="8"/>
  <c r="D55" i="8"/>
  <c r="D11" i="8"/>
  <c r="D14" i="8"/>
  <c r="E10" i="11" l="1"/>
  <c r="F10" i="11" s="1"/>
  <c r="B87" i="11"/>
  <c r="E87" i="11" s="1"/>
  <c r="E25" i="11"/>
  <c r="E16" i="11"/>
  <c r="F16" i="11" s="1"/>
  <c r="E15" i="11"/>
  <c r="F15" i="11" s="1"/>
  <c r="E88" i="11"/>
  <c r="E93" i="11" s="1"/>
  <c r="E71" i="11"/>
  <c r="F71" i="11" s="1"/>
  <c r="F25" i="11"/>
  <c r="I12" i="12"/>
  <c r="I21" i="12"/>
  <c r="H17" i="12"/>
  <c r="G17" i="12"/>
  <c r="I19" i="12"/>
  <c r="I18" i="12"/>
  <c r="E13" i="11"/>
  <c r="F13" i="11" s="1"/>
  <c r="G13" i="11" s="1"/>
  <c r="F23" i="11"/>
  <c r="F11" i="11"/>
  <c r="E59" i="12"/>
  <c r="E58" i="12"/>
  <c r="E56" i="12"/>
  <c r="F56" i="12" s="1"/>
  <c r="E30" i="12"/>
  <c r="F30" i="12" s="1"/>
  <c r="G30" i="12" s="1"/>
  <c r="E26" i="12"/>
  <c r="F26" i="12" s="1"/>
  <c r="H26" i="12" s="1"/>
  <c r="E20" i="12"/>
  <c r="F20" i="12" s="1"/>
  <c r="E11" i="12"/>
  <c r="F11" i="12" s="1"/>
  <c r="H11" i="12" s="1"/>
  <c r="E29" i="12"/>
  <c r="F29" i="12" s="1"/>
  <c r="H29" i="12" s="1"/>
  <c r="E25" i="12"/>
  <c r="F25" i="12" s="1"/>
  <c r="G25" i="12" s="1"/>
  <c r="E16" i="12"/>
  <c r="F16" i="12" s="1"/>
  <c r="H16" i="12" s="1"/>
  <c r="E9" i="12"/>
  <c r="F9" i="12" s="1"/>
  <c r="E28" i="12"/>
  <c r="F28" i="12" s="1"/>
  <c r="H28" i="12" s="1"/>
  <c r="E27" i="12"/>
  <c r="E71" i="12"/>
  <c r="F58" i="12"/>
  <c r="I54" i="12"/>
  <c r="G48" i="12"/>
  <c r="I33" i="12" s="1"/>
  <c r="I70" i="11"/>
  <c r="B92" i="11"/>
  <c r="E92" i="11" s="1"/>
  <c r="B90" i="11"/>
  <c r="E90" i="11" s="1"/>
  <c r="B91" i="11"/>
  <c r="E91" i="11" s="1"/>
  <c r="B89" i="11"/>
  <c r="E89" i="11" s="1"/>
  <c r="E18" i="11"/>
  <c r="F18" i="11" s="1"/>
  <c r="G18" i="11" s="1"/>
  <c r="E29" i="11"/>
  <c r="F29" i="11" s="1"/>
  <c r="E28" i="11"/>
  <c r="F28" i="11" s="1"/>
  <c r="E72" i="11"/>
  <c r="F72" i="11" s="1"/>
  <c r="H72" i="11" s="1"/>
  <c r="E68" i="11"/>
  <c r="F68" i="11" s="1"/>
  <c r="H68" i="11" s="1"/>
  <c r="E14" i="11"/>
  <c r="F14" i="11" s="1"/>
  <c r="G14" i="11" s="1"/>
  <c r="F27" i="11"/>
  <c r="E31" i="11"/>
  <c r="F31" i="11" s="1"/>
  <c r="E30" i="11"/>
  <c r="F30" i="11" s="1"/>
  <c r="E22" i="11"/>
  <c r="F22" i="11" s="1"/>
  <c r="H22" i="11" s="1"/>
  <c r="E21" i="11"/>
  <c r="F21" i="11" s="1"/>
  <c r="I32" i="11"/>
  <c r="E73" i="11"/>
  <c r="F73" i="11" s="1"/>
  <c r="E69" i="11"/>
  <c r="F69" i="11" s="1"/>
  <c r="G19" i="11"/>
  <c r="I19" i="11" s="1"/>
  <c r="F74" i="11"/>
  <c r="G59" i="11"/>
  <c r="G61" i="11" s="1"/>
  <c r="I45" i="11" s="1"/>
  <c r="E36" i="11"/>
  <c r="F36" i="11" s="1"/>
  <c r="F59" i="12"/>
  <c r="F27" i="12"/>
  <c r="H27" i="12" s="1"/>
  <c r="E37" i="11"/>
  <c r="F37" i="11" s="1"/>
  <c r="H37" i="11" s="1"/>
  <c r="F26" i="11"/>
  <c r="E40" i="11"/>
  <c r="F40" i="11" s="1"/>
  <c r="H40" i="11" s="1"/>
  <c r="E39" i="11"/>
  <c r="F39" i="11" s="1"/>
  <c r="H39" i="11" s="1"/>
  <c r="E42" i="11"/>
  <c r="F42" i="11" s="1"/>
  <c r="G42" i="11" s="1"/>
  <c r="E41" i="11"/>
  <c r="F41" i="11" s="1"/>
  <c r="H41" i="11" s="1"/>
  <c r="E38" i="11"/>
  <c r="F38" i="11" s="1"/>
  <c r="I67" i="11"/>
  <c r="M58" i="8"/>
  <c r="N58" i="8" s="1"/>
  <c r="G74" i="11" l="1"/>
  <c r="H16" i="11"/>
  <c r="G16" i="11"/>
  <c r="G71" i="11"/>
  <c r="H71" i="11"/>
  <c r="I17" i="12"/>
  <c r="H18" i="11"/>
  <c r="I18" i="11" s="1"/>
  <c r="H25" i="11"/>
  <c r="G25" i="11"/>
  <c r="H23" i="11"/>
  <c r="F33" i="11"/>
  <c r="E77" i="12"/>
  <c r="H14" i="12"/>
  <c r="G14" i="12"/>
  <c r="G59" i="12"/>
  <c r="H59" i="12"/>
  <c r="G56" i="12"/>
  <c r="H56" i="12"/>
  <c r="G58" i="12"/>
  <c r="H58" i="12"/>
  <c r="H9" i="12"/>
  <c r="F22" i="12"/>
  <c r="G20" i="12"/>
  <c r="H20" i="12"/>
  <c r="H30" i="12"/>
  <c r="I30" i="12" s="1"/>
  <c r="G28" i="12"/>
  <c r="I28" i="12" s="1"/>
  <c r="G16" i="12"/>
  <c r="I16" i="12" s="1"/>
  <c r="G9" i="12"/>
  <c r="G29" i="12"/>
  <c r="I29" i="12" s="1"/>
  <c r="H25" i="12"/>
  <c r="I25" i="12" s="1"/>
  <c r="G26" i="12"/>
  <c r="I26" i="12" s="1"/>
  <c r="G73" i="11"/>
  <c r="H73" i="11"/>
  <c r="H15" i="11"/>
  <c r="G15" i="11"/>
  <c r="G69" i="11"/>
  <c r="H69" i="11"/>
  <c r="H14" i="11"/>
  <c r="I14" i="11" s="1"/>
  <c r="H30" i="11"/>
  <c r="G30" i="11"/>
  <c r="G29" i="11"/>
  <c r="H29" i="11"/>
  <c r="H31" i="11"/>
  <c r="G31" i="11"/>
  <c r="G28" i="11"/>
  <c r="H28" i="11"/>
  <c r="G36" i="11"/>
  <c r="F43" i="11"/>
  <c r="G22" i="11"/>
  <c r="I22" i="11" s="1"/>
  <c r="H10" i="11"/>
  <c r="G21" i="11"/>
  <c r="H21" i="11"/>
  <c r="G27" i="11"/>
  <c r="H27" i="11"/>
  <c r="G11" i="12"/>
  <c r="I11" i="12" s="1"/>
  <c r="G27" i="12"/>
  <c r="I27" i="12" s="1"/>
  <c r="F31" i="12"/>
  <c r="H74" i="11"/>
  <c r="H26" i="11"/>
  <c r="G37" i="11"/>
  <c r="I37" i="11" s="1"/>
  <c r="G68" i="11"/>
  <c r="I68" i="11" s="1"/>
  <c r="G10" i="11"/>
  <c r="H36" i="11"/>
  <c r="G40" i="11"/>
  <c r="I40" i="11" s="1"/>
  <c r="G26" i="11"/>
  <c r="G23" i="11"/>
  <c r="G39" i="11"/>
  <c r="I39" i="11" s="1"/>
  <c r="H13" i="11"/>
  <c r="I13" i="11" s="1"/>
  <c r="G41" i="11"/>
  <c r="I41" i="11" s="1"/>
  <c r="G72" i="11"/>
  <c r="I72" i="11" s="1"/>
  <c r="H11" i="11"/>
  <c r="H42" i="11"/>
  <c r="I42" i="11" s="1"/>
  <c r="G11" i="11"/>
  <c r="H38" i="11"/>
  <c r="G38" i="11"/>
  <c r="M56" i="8"/>
  <c r="M57" i="8"/>
  <c r="N57" i="8" s="1"/>
  <c r="F58" i="8" s="1"/>
  <c r="H58" i="8"/>
  <c r="D31" i="8"/>
  <c r="D32" i="8"/>
  <c r="D33" i="8"/>
  <c r="D34" i="8"/>
  <c r="D35" i="8"/>
  <c r="D36" i="8"/>
  <c r="D30" i="8"/>
  <c r="D13" i="8"/>
  <c r="N5" i="8"/>
  <c r="I74" i="11" l="1"/>
  <c r="I75" i="11" s="1"/>
  <c r="F75" i="11"/>
  <c r="I16" i="11"/>
  <c r="I25" i="11"/>
  <c r="I36" i="11"/>
  <c r="I23" i="11"/>
  <c r="I15" i="11"/>
  <c r="I71" i="11"/>
  <c r="I29" i="11"/>
  <c r="I73" i="11"/>
  <c r="I9" i="12"/>
  <c r="I14" i="12"/>
  <c r="I58" i="12"/>
  <c r="I56" i="12"/>
  <c r="I59" i="12"/>
  <c r="I20" i="12"/>
  <c r="H22" i="12"/>
  <c r="G22" i="12"/>
  <c r="H31" i="12"/>
  <c r="F60" i="12"/>
  <c r="G31" i="12"/>
  <c r="I28" i="11"/>
  <c r="H33" i="11"/>
  <c r="G33" i="11"/>
  <c r="I30" i="11"/>
  <c r="I69" i="11"/>
  <c r="I31" i="11"/>
  <c r="I11" i="11"/>
  <c r="I26" i="11"/>
  <c r="I27" i="11"/>
  <c r="I21" i="11"/>
  <c r="I10" i="11"/>
  <c r="I31" i="12"/>
  <c r="G43" i="11"/>
  <c r="H43" i="11"/>
  <c r="I38" i="11"/>
  <c r="H65" i="8"/>
  <c r="G65" i="8"/>
  <c r="N56" i="8"/>
  <c r="G58" i="8" s="1"/>
  <c r="I61" i="8" s="1"/>
  <c r="P28" i="8"/>
  <c r="D20" i="8"/>
  <c r="D21" i="8"/>
  <c r="P34" i="8"/>
  <c r="O34" i="8"/>
  <c r="O28" i="8"/>
  <c r="P27" i="8"/>
  <c r="O27" i="8"/>
  <c r="O15" i="8"/>
  <c r="N15" i="8"/>
  <c r="O14" i="8"/>
  <c r="N14" i="8"/>
  <c r="O13" i="8"/>
  <c r="N13" i="8"/>
  <c r="O12" i="8"/>
  <c r="N12" i="8"/>
  <c r="D10" i="8"/>
  <c r="N8" i="8"/>
  <c r="O9" i="8"/>
  <c r="F2" i="8" s="1"/>
  <c r="I19" i="8" s="1"/>
  <c r="N6" i="8"/>
  <c r="N9" i="8" s="1"/>
  <c r="F44" i="11" l="1"/>
  <c r="E96" i="11" s="1"/>
  <c r="I17" i="8"/>
  <c r="I26" i="8"/>
  <c r="I33" i="11"/>
  <c r="I22" i="12"/>
  <c r="I60" i="12"/>
  <c r="I32" i="12"/>
  <c r="I34" i="12" s="1"/>
  <c r="F32" i="12"/>
  <c r="E80" i="12" s="1"/>
  <c r="I43" i="11"/>
  <c r="I67" i="8"/>
  <c r="I16" i="8"/>
  <c r="I15" i="8"/>
  <c r="I25" i="8"/>
  <c r="I22" i="8"/>
  <c r="I23" i="8"/>
  <c r="I24" i="8"/>
  <c r="I63" i="8"/>
  <c r="I65" i="8"/>
  <c r="I64" i="8"/>
  <c r="Q28" i="8"/>
  <c r="P14" i="8"/>
  <c r="P13" i="8"/>
  <c r="Q27" i="8"/>
  <c r="E14" i="8" s="1"/>
  <c r="Q34" i="8"/>
  <c r="F14" i="8" l="1"/>
  <c r="I44" i="11"/>
  <c r="I46" i="11" s="1"/>
  <c r="F68" i="8"/>
  <c r="F62" i="8"/>
  <c r="F66" i="8"/>
  <c r="H66" i="8" s="1"/>
  <c r="G53" i="8"/>
  <c r="F21" i="8"/>
  <c r="G21" i="8" s="1"/>
  <c r="E11" i="8"/>
  <c r="F11" i="8" s="1"/>
  <c r="H11" i="8" s="1"/>
  <c r="F20" i="8"/>
  <c r="H20" i="8" s="1"/>
  <c r="E10" i="8"/>
  <c r="F10" i="8" s="1"/>
  <c r="E13" i="8"/>
  <c r="F13" i="8" s="1"/>
  <c r="G13" i="8" s="1"/>
  <c r="E32" i="8"/>
  <c r="F32" i="8" s="1"/>
  <c r="H32" i="8" s="1"/>
  <c r="E33" i="8"/>
  <c r="F33" i="8" s="1"/>
  <c r="G33" i="8" s="1"/>
  <c r="E31" i="8"/>
  <c r="F31" i="8" s="1"/>
  <c r="H31" i="8" s="1"/>
  <c r="E34" i="8"/>
  <c r="F34" i="8" s="1"/>
  <c r="G34" i="8" s="1"/>
  <c r="E35" i="8"/>
  <c r="F35" i="8" s="1"/>
  <c r="G35" i="8" s="1"/>
  <c r="E36" i="8"/>
  <c r="F36" i="8" s="1"/>
  <c r="H36" i="8" s="1"/>
  <c r="E30" i="8"/>
  <c r="F30" i="8" s="1"/>
  <c r="F27" i="8" l="1"/>
  <c r="G14" i="8"/>
  <c r="G10" i="8"/>
  <c r="H10" i="8"/>
  <c r="E82" i="8"/>
  <c r="E87" i="8" s="1"/>
  <c r="G66" i="8"/>
  <c r="I66" i="8" s="1"/>
  <c r="F37" i="8"/>
  <c r="H62" i="8"/>
  <c r="G62" i="8"/>
  <c r="H68" i="8"/>
  <c r="G68" i="8"/>
  <c r="G55" i="8"/>
  <c r="I39" i="8" s="1"/>
  <c r="H21" i="8"/>
  <c r="I21" i="8" s="1"/>
  <c r="G11" i="8"/>
  <c r="I11" i="8" s="1"/>
  <c r="G20" i="8"/>
  <c r="I20" i="8" s="1"/>
  <c r="G31" i="8"/>
  <c r="I31" i="8" s="1"/>
  <c r="G30" i="8"/>
  <c r="H33" i="8"/>
  <c r="I33" i="8" s="1"/>
  <c r="H30" i="8"/>
  <c r="H13" i="8"/>
  <c r="I13" i="8" s="1"/>
  <c r="H34" i="8"/>
  <c r="I34" i="8" s="1"/>
  <c r="H35" i="8"/>
  <c r="I35" i="8" s="1"/>
  <c r="G36" i="8"/>
  <c r="I36" i="8" s="1"/>
  <c r="G32" i="8"/>
  <c r="I32" i="8" s="1"/>
  <c r="H14" i="8"/>
  <c r="G27" i="8" l="1"/>
  <c r="I14" i="8"/>
  <c r="H27" i="8"/>
  <c r="I10" i="8"/>
  <c r="I68" i="8"/>
  <c r="I62" i="8"/>
  <c r="F69" i="8"/>
  <c r="G37" i="8"/>
  <c r="I30" i="8"/>
  <c r="I37" i="8" s="1"/>
  <c r="H37" i="8"/>
  <c r="I69" i="8" l="1"/>
  <c r="I27" i="8"/>
  <c r="I38" i="8" s="1"/>
  <c r="I40" i="8" s="1"/>
  <c r="F38" i="8"/>
  <c r="E90" i="8" s="1"/>
</calcChain>
</file>

<file path=xl/sharedStrings.xml><?xml version="1.0" encoding="utf-8"?>
<sst xmlns="http://schemas.openxmlformats.org/spreadsheetml/2006/main" count="539" uniqueCount="226">
  <si>
    <r>
      <t>Table 1: Annual Respondent Bur</t>
    </r>
    <r>
      <rPr>
        <b/>
        <sz val="12"/>
        <color theme="1"/>
        <rFont val="Times New Roman"/>
        <family val="1"/>
      </rPr>
      <t>den and Cost – major source NESHAP for Gasoline Distribution (40 CFR Part 63, Subpart R) (Proposed Amendments)</t>
    </r>
  </si>
  <si>
    <t>Salaries taken for NAICS 324000 - Petroleum and Coal Products Manufacturing</t>
  </si>
  <si>
    <t>https://www.bls.gov/oes/current/naics3_324000.htm</t>
  </si>
  <si>
    <t>Burden item</t>
  </si>
  <si>
    <t>(A)</t>
  </si>
  <si>
    <t>(B)</t>
  </si>
  <si>
    <t>(C)</t>
  </si>
  <si>
    <t>(D)</t>
  </si>
  <si>
    <t>(E)</t>
  </si>
  <si>
    <t>(F)</t>
  </si>
  <si>
    <t>(G)</t>
  </si>
  <si>
    <t>(H)</t>
  </si>
  <si>
    <t>Person hours per occurrence</t>
  </si>
  <si>
    <t>No. of occurrences per respondent per year</t>
  </si>
  <si>
    <t>Person hours per respondent per year</t>
  </si>
  <si>
    <r>
      <t xml:space="preserve">Respondents per year </t>
    </r>
    <r>
      <rPr>
        <b/>
        <vertAlign val="superscript"/>
        <sz val="10"/>
        <color rgb="FF000000"/>
        <rFont val="Times New Roman"/>
        <family val="1"/>
      </rPr>
      <t>a</t>
    </r>
  </si>
  <si>
    <t>Technical person- hours per year</t>
  </si>
  <si>
    <t>Management person hours per year</t>
  </si>
  <si>
    <t>Clerical person hours per year</t>
  </si>
  <si>
    <r>
      <t>Total Cost per year,</t>
    </r>
    <r>
      <rPr>
        <b/>
        <vertAlign val="superscript"/>
        <sz val="10"/>
        <color rgb="FF000000"/>
        <rFont val="Times New Roman"/>
        <family val="1"/>
      </rPr>
      <t xml:space="preserve"> </t>
    </r>
    <r>
      <rPr>
        <b/>
        <sz val="10"/>
        <color rgb="FF000000"/>
        <rFont val="Times New Roman"/>
        <family val="1"/>
      </rPr>
      <t>($)</t>
    </r>
    <r>
      <rPr>
        <b/>
        <vertAlign val="superscript"/>
        <sz val="10"/>
        <color rgb="FF000000"/>
        <rFont val="Times New Roman"/>
        <family val="1"/>
      </rPr>
      <t xml:space="preserve"> b</t>
    </r>
  </si>
  <si>
    <t>Occupation Code</t>
  </si>
  <si>
    <t>Title</t>
  </si>
  <si>
    <t>Mean Hourly Rate</t>
  </si>
  <si>
    <t>110% OH and benefits</t>
  </si>
  <si>
    <t>Estimated Total Pay with Benefits</t>
  </si>
  <si>
    <t>(C=AxB)</t>
  </si>
  <si>
    <t>(E=CxD)</t>
  </si>
  <si>
    <t>(F=Ex0.05)</t>
  </si>
  <si>
    <t>(G=Ex0.1)</t>
  </si>
  <si>
    <t>11-0000</t>
  </si>
  <si>
    <t>Mgmt Occup</t>
  </si>
  <si>
    <t>1.  Applications</t>
  </si>
  <si>
    <t>N/A</t>
  </si>
  <si>
    <t>17-2081</t>
  </si>
  <si>
    <t>Envir Engr</t>
  </si>
  <si>
    <t>2.  Surveys and studies</t>
  </si>
  <si>
    <t>49-9000</t>
  </si>
  <si>
    <t>Maintenance/Inspections</t>
  </si>
  <si>
    <t>3.  Reporting requirements</t>
  </si>
  <si>
    <t>43-0000</t>
  </si>
  <si>
    <t>Office and Admin Support</t>
  </si>
  <si>
    <t>Technical</t>
  </si>
  <si>
    <r>
      <t xml:space="preserve">b.  Required activities </t>
    </r>
    <r>
      <rPr>
        <vertAlign val="superscript"/>
        <sz val="10"/>
        <color rgb="FF000000"/>
        <rFont val="Times New Roman"/>
        <family val="1"/>
      </rPr>
      <t>d</t>
    </r>
  </si>
  <si>
    <t>Total Facilities</t>
  </si>
  <si>
    <t>Year 1</t>
  </si>
  <si>
    <t>Year 2</t>
  </si>
  <si>
    <t>Year 3</t>
  </si>
  <si>
    <t>Average</t>
  </si>
  <si>
    <r>
      <t xml:space="preserve">                     i.  Equipment leaks monitoring</t>
    </r>
    <r>
      <rPr>
        <vertAlign val="superscript"/>
        <sz val="10"/>
        <color rgb="FF000000"/>
        <rFont val="Times New Roman"/>
        <family val="1"/>
      </rPr>
      <t>e</t>
    </r>
  </si>
  <si>
    <t>Bulk gasoline terminal</t>
  </si>
  <si>
    <t xml:space="preserve">                     ii.  LEL monitoring</t>
  </si>
  <si>
    <t>Bulk gasoline plant</t>
  </si>
  <si>
    <t>Pipeline pumping station</t>
  </si>
  <si>
    <t>Pipeline breakout station</t>
  </si>
  <si>
    <t>c.  Write report</t>
  </si>
  <si>
    <t xml:space="preserve">                      i.  Notification of compliance status</t>
  </si>
  <si>
    <t xml:space="preserve">                      iv. Notification of performance test</t>
  </si>
  <si>
    <t xml:space="preserve">                      v. Report of performance test</t>
  </si>
  <si>
    <t xml:space="preserve">                      vi. Notification of performance evaluation</t>
  </si>
  <si>
    <t xml:space="preserve">                      vii. Report of performance evaluation</t>
  </si>
  <si>
    <t>Subtotal for Reporting Requirements</t>
  </si>
  <si>
    <t>4. Recordkeeping Requirements</t>
  </si>
  <si>
    <t>Model Plant</t>
  </si>
  <si>
    <t>Number of IFR Tanks</t>
  </si>
  <si>
    <t>Total</t>
  </si>
  <si>
    <t xml:space="preserve">     a.  Familiarize with regulatory requirements</t>
  </si>
  <si>
    <t>See 3A</t>
  </si>
  <si>
    <t>MP2</t>
  </si>
  <si>
    <t xml:space="preserve">     b. Plan activities</t>
  </si>
  <si>
    <t>MP3</t>
  </si>
  <si>
    <t xml:space="preserve">     c. Implement activities</t>
  </si>
  <si>
    <t xml:space="preserve">     d. Develop record system</t>
  </si>
  <si>
    <t>MP4</t>
  </si>
  <si>
    <t xml:space="preserve">     e. Time to enter information</t>
  </si>
  <si>
    <t xml:space="preserve">     f. Time to train personnel</t>
  </si>
  <si>
    <t>MP5</t>
  </si>
  <si>
    <t xml:space="preserve">     g. Time to adjust existing ways to comply with previously applicable requirements</t>
  </si>
  <si>
    <t xml:space="preserve">     h. Time to transmit information</t>
  </si>
  <si>
    <t>MP4a</t>
  </si>
  <si>
    <t>Subtotal for Recordkeeping Requirements</t>
  </si>
  <si>
    <t>TOTAL LABOR BURDEN AND COST</t>
  </si>
  <si>
    <t>MP4b</t>
  </si>
  <si>
    <t>Capital O&amp;M Cost</t>
  </si>
  <si>
    <t>GRAND TOTAL</t>
  </si>
  <si>
    <t>Assumptions:</t>
  </si>
  <si>
    <r>
      <t>a</t>
    </r>
    <r>
      <rPr>
        <sz val="10"/>
        <color theme="1"/>
        <rFont val="Times New Roman"/>
        <family val="1"/>
      </rPr>
      <t xml:space="preserve">  The average number of respondents per year over the first three years of this ICR. We assumed no facilities would report the first year, half the facilities would report the second year, and all facilities report the third year. </t>
    </r>
  </si>
  <si>
    <r>
      <t>b</t>
    </r>
    <r>
      <rPr>
        <sz val="10"/>
        <color theme="1"/>
        <rFont val="Times New Roman"/>
        <family val="1"/>
      </rPr>
      <t xml:space="preserve">  This ICR uses the following labor rates from the United States Department of Labor, Bureau of Labor Statistics, May 2020, mean labor rates for Petroleum and Coal Products Manufacturing (NAICS 324000) for Management Occupations (11-0000), Environmental Engineer (17-2081) and Office and Administrative Support (43-0000) . The rates have been increased by 110 percent to account for the benefit packages available to those employed by private industry. Fully burdened hourly rates are: $146.20 for management; $76.78 for technical; and $50.48 for clerical.</t>
    </r>
  </si>
  <si>
    <r>
      <t>c</t>
    </r>
    <r>
      <rPr>
        <sz val="10"/>
        <color theme="1"/>
        <rFont val="Times New Roman"/>
        <family val="1"/>
      </rPr>
      <t xml:space="preserve">  We have assumed that all respondents will have to familiarize with regulatory requirements each year.</t>
    </r>
  </si>
  <si>
    <r>
      <t>d</t>
    </r>
    <r>
      <rPr>
        <sz val="10"/>
        <color theme="1"/>
        <rFont val="Times New Roman"/>
        <family val="1"/>
      </rPr>
      <t xml:space="preserve">  We have assumed that existing respondents are in compliance with the initial rule requirements.</t>
    </r>
  </si>
  <si>
    <r>
      <t>e</t>
    </r>
    <r>
      <rPr>
        <sz val="10"/>
        <color theme="1"/>
        <rFont val="Times New Roman"/>
        <family val="1"/>
      </rPr>
      <t xml:space="preserve">  Equipment leaks monitoring was assumed to be performed by an external contractor and these costs were included in the costs of equipment leak monitoring programs. </t>
    </r>
  </si>
  <si>
    <t>Monitoring Device</t>
  </si>
  <si>
    <t>Capital/Startup Cost for One Respondent</t>
  </si>
  <si>
    <t xml:space="preserve">Number of New Respondents </t>
  </si>
  <si>
    <t>Total Capital/Startup Cost, (B x C)</t>
  </si>
  <si>
    <t>Annual O&amp;M Costs for One Respondent</t>
  </si>
  <si>
    <t>Number of Respondents with O&amp;M</t>
  </si>
  <si>
    <t>Total O&amp;M, 
(E x F)</t>
  </si>
  <si>
    <t>LEL monitor</t>
  </si>
  <si>
    <t>VOC CEM</t>
  </si>
  <si>
    <t>Table 2: Average Annual EPA Burden and Cost – NESHAP for Gasoline Distribution (40 CFR Part 63, Subpart R) (Proposed Amendments)</t>
  </si>
  <si>
    <t>Agency Worker Rates</t>
  </si>
  <si>
    <r>
      <t xml:space="preserve">Labor Rates, $/hr </t>
    </r>
    <r>
      <rPr>
        <b/>
        <vertAlign val="superscript"/>
        <sz val="12"/>
        <color rgb="FF000000"/>
        <rFont val="Times New Roman"/>
        <family val="1"/>
      </rPr>
      <t>a</t>
    </r>
  </si>
  <si>
    <t>60% Overhead</t>
  </si>
  <si>
    <t>Total, $/hr</t>
  </si>
  <si>
    <t>2019:</t>
  </si>
  <si>
    <t>Managerial (GS-13, step 5)</t>
  </si>
  <si>
    <t>Activity</t>
  </si>
  <si>
    <t>(A) EPA person-hours per occurrence</t>
  </si>
  <si>
    <t>(B) No. of occurrences per plant per year</t>
  </si>
  <si>
    <t>(C) EPA person hours per plant per year (AxB)</t>
  </si>
  <si>
    <r>
      <t xml:space="preserve">(D) Plants per year </t>
    </r>
    <r>
      <rPr>
        <b/>
        <vertAlign val="superscript"/>
        <sz val="9"/>
        <rFont val="Times New Roman"/>
        <family val="1"/>
      </rPr>
      <t>a</t>
    </r>
    <r>
      <rPr>
        <b/>
        <sz val="9"/>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</si>
  <si>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</si>
  <si>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</si>
  <si>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</si>
  <si>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9"/>
        <rFont val="Times New Roman"/>
        <family val="1"/>
      </rPr>
      <t>b</t>
    </r>
  </si>
  <si>
    <t xml:space="preserve">Technical (GS-12, step 1) </t>
  </si>
  <si>
    <t xml:space="preserve">Report review </t>
  </si>
  <si>
    <t>Clerical (GS-6, step 3)</t>
  </si>
  <si>
    <r>
      <t xml:space="preserve">Notification of applicability </t>
    </r>
    <r>
      <rPr>
        <vertAlign val="superscript"/>
        <sz val="10"/>
        <color rgb="FF000000"/>
        <rFont val="Times New Roman"/>
        <family val="1"/>
      </rPr>
      <t>c</t>
    </r>
  </si>
  <si>
    <t>a https://www.opm.gov/policy-data-oversight/pay-leave/salaries-wages/salary-tables/pdf/2020/GS_h.pdf</t>
  </si>
  <si>
    <t>Notification of performance test</t>
  </si>
  <si>
    <t>Effective January 2020</t>
  </si>
  <si>
    <r>
      <t xml:space="preserve">CEMS QA plan </t>
    </r>
    <r>
      <rPr>
        <vertAlign val="superscript"/>
        <sz val="10"/>
        <color rgb="FF000000"/>
        <rFont val="Times New Roman"/>
        <family val="1"/>
      </rPr>
      <t>c</t>
    </r>
  </si>
  <si>
    <r>
      <t xml:space="preserve">Notification of compliance status </t>
    </r>
    <r>
      <rPr>
        <vertAlign val="superscript"/>
        <sz val="10"/>
        <color rgb="FF000000"/>
        <rFont val="Times New Roman"/>
        <family val="1"/>
      </rPr>
      <t>c</t>
    </r>
  </si>
  <si>
    <t>TOTAL BURDEN AND COST</t>
  </si>
  <si>
    <r>
      <t>a</t>
    </r>
    <r>
      <rPr>
        <sz val="10"/>
        <color rgb="FF000000"/>
        <rFont val="Times New Roman"/>
        <family val="1"/>
      </rPr>
      <t xml:space="preserve">  We have assumed that the average number of respondents that will be subject to this rule will be 105.  There will be no new facilities projected during the next three years of this ICR.</t>
    </r>
  </si>
  <si>
    <r>
      <t>b</t>
    </r>
    <r>
      <rPr>
        <sz val="10"/>
        <color rgb="FF000000"/>
        <rFont val="Times New Roman"/>
        <family val="1"/>
      </rPr>
      <t xml:space="preserve">  This cost is based on the following 2020 labor rates which incorporates a 1.6 benefits multiplication factor to account for government overhead expenses: $68.37 Managerial rate (GS-13, Step 5), $50.72 Technical rate (GS-12, Step 1), and $27.46 Clerical rate (GS-6, Step 3).  These rates are calculated from the hourly rates included in the Office of Personnel Management (OPM) 2020 General Schedule which excludes locality rates of pay; the rates have been increased by 60 percent to account for benefit packages available to government employees.</t>
    </r>
  </si>
  <si>
    <r>
      <t>c</t>
    </r>
    <r>
      <rPr>
        <sz val="10"/>
        <color rgb="FF000000"/>
        <rFont val="Times New Roman"/>
        <family val="1"/>
      </rPr>
      <t xml:space="preserve">  We have assumed that existing respondents are in compliance with the initial rule requirements.  New respondents would have to comply with the initial rule requirements including notification and performance test for add-on control devices.</t>
    </r>
  </si>
  <si>
    <t>Information Collection Activity</t>
  </si>
  <si>
    <t>Number of Respondents</t>
  </si>
  <si>
    <t>Number of Responses</t>
  </si>
  <si>
    <t>Number of Existing Respondents That Keep Records But Do Not Submit Reports</t>
  </si>
  <si>
    <t>Total Annual  Responses</t>
  </si>
  <si>
    <t>E=(BxC)+D</t>
  </si>
  <si>
    <t xml:space="preserve">Semiannual compliance reports </t>
  </si>
  <si>
    <t>Notification of performance evaluation</t>
  </si>
  <si>
    <t>Performance test</t>
  </si>
  <si>
    <t>Performance evaluation</t>
  </si>
  <si>
    <t>Averge response burden</t>
  </si>
  <si>
    <r>
      <t>Table 1: Annual Respondent Bur</t>
    </r>
    <r>
      <rPr>
        <b/>
        <sz val="12"/>
        <color theme="1"/>
        <rFont val="Times New Roman"/>
        <family val="1"/>
      </rPr>
      <t>den and Cost – area source NESHAP for Gasoline Distribution (40 CFR Part 63, Subpart BBBBBB) (Proposed Amendments)</t>
    </r>
  </si>
  <si>
    <r>
      <t xml:space="preserve">      a.  Familiarize with regulatory requirements </t>
    </r>
    <r>
      <rPr>
        <vertAlign val="superscript"/>
        <sz val="10"/>
        <color rgb="FF000000"/>
        <rFont val="Times New Roman"/>
        <family val="1"/>
      </rPr>
      <t>c</t>
    </r>
  </si>
  <si>
    <t xml:space="preserve">      Sample collection</t>
  </si>
  <si>
    <t xml:space="preserve">     Analysis and reporting</t>
  </si>
  <si>
    <t>Bulk gasoline terminal - Large - VCU</t>
  </si>
  <si>
    <t>Bulk gasoline terminal - Large - VCU - flare sampling</t>
  </si>
  <si>
    <t>Bulk gasoline terminal - Large - VCU - temperature</t>
  </si>
  <si>
    <t>Bulk gasoline terminal - Large - VRU</t>
  </si>
  <si>
    <t>Bulk gasoline terminal - Large - flare</t>
  </si>
  <si>
    <t>Bulk gasoline terminal - Large</t>
  </si>
  <si>
    <t xml:space="preserve">          i.  Notification of compliance status</t>
  </si>
  <si>
    <t>Bulk gasoline terminal - Small</t>
  </si>
  <si>
    <t xml:space="preserve">         iv.  Notification of performance test</t>
  </si>
  <si>
    <t xml:space="preserve">         v.  Report of performance test</t>
  </si>
  <si>
    <t xml:space="preserve">         vi.  Notification of performance evaluation</t>
  </si>
  <si>
    <t xml:space="preserve">         vii.  Report of performance evaluation</t>
  </si>
  <si>
    <t xml:space="preserve">         viii.  Continuous Emissions Monitoring System (CEMS) QA plan</t>
  </si>
  <si>
    <t>Semiannual compliance reports</t>
  </si>
  <si>
    <r>
      <t>a</t>
    </r>
    <r>
      <rPr>
        <sz val="10"/>
        <color rgb="FF000000"/>
        <rFont val="Times New Roman"/>
        <family val="1"/>
      </rPr>
      <t xml:space="preserve">  We have assumed that the average number of respondents that will be subject to this rule will be 4,632.  There will be no new facilities projected during the next three years of this ICR.</t>
    </r>
  </si>
  <si>
    <t>Year</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</si>
  <si>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</si>
  <si>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</si>
  <si>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</si>
  <si>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</si>
  <si>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r>
      <t>Number of Respondents</t>
    </r>
    <r>
      <rPr>
        <vertAlign val="superscript"/>
        <sz val="10"/>
        <color rgb="FF000000"/>
        <rFont val="Times New Roman"/>
        <family val="1"/>
      </rPr>
      <t>b</t>
    </r>
  </si>
  <si>
    <t>(E=A+B+C-D)</t>
  </si>
  <si>
    <t>b.  Required activities</t>
  </si>
  <si>
    <r>
      <t xml:space="preserve">               i.  Equipment leaks monitoring</t>
    </r>
    <r>
      <rPr>
        <vertAlign val="superscript"/>
        <sz val="10"/>
        <color rgb="FF000000"/>
        <rFont val="Times New Roman"/>
        <family val="1"/>
      </rPr>
      <t>d</t>
    </r>
  </si>
  <si>
    <t>Total Facilities (3rd year)</t>
  </si>
  <si>
    <r>
      <t xml:space="preserve">              ii.  Performance tests</t>
    </r>
    <r>
      <rPr>
        <vertAlign val="superscript"/>
        <sz val="10"/>
        <color rgb="FF000000"/>
        <rFont val="Times New Roman"/>
        <family val="1"/>
      </rPr>
      <t xml:space="preserve"> e</t>
    </r>
  </si>
  <si>
    <r>
      <t xml:space="preserve">             iii.  Performance evaluations</t>
    </r>
    <r>
      <rPr>
        <vertAlign val="superscript"/>
        <sz val="10"/>
        <color rgb="FF000000"/>
        <rFont val="Times New Roman"/>
        <family val="1"/>
      </rPr>
      <t xml:space="preserve"> f</t>
    </r>
  </si>
  <si>
    <r>
      <t xml:space="preserve">             iv.  CEMS daily calibration checks</t>
    </r>
    <r>
      <rPr>
        <vertAlign val="superscript"/>
        <sz val="10"/>
        <color rgb="FF000000"/>
        <rFont val="Times New Roman"/>
        <family val="1"/>
      </rPr>
      <t xml:space="preserve"> f</t>
    </r>
  </si>
  <si>
    <t xml:space="preserve">              i.  Semiannual compliance reports</t>
  </si>
  <si>
    <r>
      <t xml:space="preserve">             ii.  Notification of startup</t>
    </r>
    <r>
      <rPr>
        <vertAlign val="superscript"/>
        <sz val="10"/>
        <color rgb="FF000000"/>
        <rFont val="Times New Roman"/>
        <family val="1"/>
      </rPr>
      <t xml:space="preserve"> g</t>
    </r>
  </si>
  <si>
    <r>
      <t xml:space="preserve">            iii.  Notification of performance test</t>
    </r>
    <r>
      <rPr>
        <vertAlign val="superscript"/>
        <sz val="10"/>
        <color rgb="FF000000"/>
        <rFont val="Times New Roman"/>
        <family val="1"/>
      </rPr>
      <t xml:space="preserve"> e</t>
    </r>
  </si>
  <si>
    <r>
      <t xml:space="preserve">            iv.  Report of performance test</t>
    </r>
    <r>
      <rPr>
        <vertAlign val="superscript"/>
        <sz val="10"/>
        <color rgb="FF000000"/>
        <rFont val="Times New Roman"/>
        <family val="1"/>
      </rPr>
      <t xml:space="preserve"> e</t>
    </r>
  </si>
  <si>
    <r>
      <t xml:space="preserve">             v.  Notification of CEMS performance evaluation</t>
    </r>
    <r>
      <rPr>
        <vertAlign val="superscript"/>
        <sz val="10"/>
        <color rgb="FF000000"/>
        <rFont val="Times New Roman"/>
        <family val="1"/>
      </rPr>
      <t xml:space="preserve"> f</t>
    </r>
  </si>
  <si>
    <r>
      <t xml:space="preserve">            vi.  Report of CEMS performance evaluation</t>
    </r>
    <r>
      <rPr>
        <vertAlign val="superscript"/>
        <sz val="10"/>
        <color rgb="FF000000"/>
        <rFont val="Times New Roman"/>
        <family val="1"/>
      </rPr>
      <t xml:space="preserve"> f</t>
    </r>
  </si>
  <si>
    <t xml:space="preserve">     b.  Plan activities</t>
  </si>
  <si>
    <t xml:space="preserve">     c.  Implement activities</t>
  </si>
  <si>
    <t xml:space="preserve">     d.  Develop record system</t>
  </si>
  <si>
    <t xml:space="preserve">     f.  Time to train personnel</t>
  </si>
  <si>
    <t xml:space="preserve">     g. Time to transmit information</t>
  </si>
  <si>
    <r>
      <t>a</t>
    </r>
    <r>
      <rPr>
        <sz val="10"/>
        <color theme="1"/>
        <rFont val="Times New Roman"/>
        <family val="1"/>
      </rPr>
      <t xml:space="preserve">  The average number of respondents per year over the first three years of this ICR. We assumed 4 facilities would report the first year, 8 facilities would report the second year, and 12 facilities report the third year (4 new, modified, or reconstructed facilities per year). </t>
    </r>
  </si>
  <si>
    <r>
      <t>d</t>
    </r>
    <r>
      <rPr>
        <sz val="10"/>
        <color theme="1"/>
        <rFont val="Times New Roman"/>
        <family val="1"/>
      </rPr>
      <t xml:space="preserve">  Equipment leaks monitoring was assumed to be performed by an external contractor and these costs were included in the costs of equipment leak monitoring programs. </t>
    </r>
  </si>
  <si>
    <r>
      <t>e</t>
    </r>
    <r>
      <rPr>
        <sz val="10"/>
        <color theme="1"/>
        <rFont val="Times New Roman"/>
        <family val="1"/>
      </rPr>
      <t xml:space="preserve">  Performance tests only required for vapor combustors; assumed all new sources use vapor recovery systems.</t>
    </r>
  </si>
  <si>
    <r>
      <t xml:space="preserve">Notification of startup </t>
    </r>
    <r>
      <rPr>
        <vertAlign val="superscript"/>
        <sz val="10"/>
        <color rgb="FF000000"/>
        <rFont val="Times New Roman"/>
        <family val="1"/>
      </rPr>
      <t>c</t>
    </r>
  </si>
  <si>
    <r>
      <t>Notification of performance test</t>
    </r>
    <r>
      <rPr>
        <vertAlign val="superscript"/>
        <sz val="10"/>
        <color rgb="FF000000"/>
        <rFont val="Times New Roman"/>
        <family val="1"/>
      </rPr>
      <t xml:space="preserve"> d</t>
    </r>
  </si>
  <si>
    <r>
      <t>Performance test report</t>
    </r>
    <r>
      <rPr>
        <vertAlign val="superscript"/>
        <sz val="10"/>
        <color rgb="FF000000"/>
        <rFont val="Times New Roman"/>
        <family val="1"/>
      </rPr>
      <t xml:space="preserve"> d</t>
    </r>
  </si>
  <si>
    <r>
      <t>Performance evaluation report</t>
    </r>
    <r>
      <rPr>
        <vertAlign val="superscript"/>
        <sz val="10"/>
        <color rgb="FF000000"/>
        <rFont val="Times New Roman"/>
        <family val="1"/>
      </rPr>
      <t xml:space="preserve"> e</t>
    </r>
  </si>
  <si>
    <r>
      <t>a</t>
    </r>
    <r>
      <rPr>
        <sz val="10"/>
        <color rgb="FF000000"/>
        <rFont val="Times New Roman"/>
        <family val="1"/>
      </rPr>
      <t xml:space="preserve">  We have assumed that the average number of respondents that will be subject to this rule will be 8, with four new, modified or reconstructed facilities added each year for the next three years of this ICR.</t>
    </r>
  </si>
  <si>
    <r>
      <t>c</t>
    </r>
    <r>
      <rPr>
        <sz val="10"/>
        <color rgb="FF000000"/>
        <rFont val="Times New Roman"/>
        <family val="1"/>
      </rPr>
      <t xml:space="preserve">  Only new respondents would have to comply with the initial rule requirements including notifications.</t>
    </r>
  </si>
  <si>
    <r>
      <t>d</t>
    </r>
    <r>
      <rPr>
        <sz val="10"/>
        <color theme="1"/>
        <rFont val="Times New Roman"/>
        <family val="1"/>
      </rPr>
      <t xml:space="preserve">  Performance tests only required for vapor combustors; assumed all new sources use vapor recovery systems.</t>
    </r>
  </si>
  <si>
    <r>
      <t>e</t>
    </r>
    <r>
      <rPr>
        <sz val="10"/>
        <color theme="1"/>
        <rFont val="Times New Roman"/>
        <family val="1"/>
      </rPr>
      <t xml:space="preserve">  Performance evaluations only required for vapor recovery systems; assumed all new sources use vapor recovery systems.</t>
    </r>
  </si>
  <si>
    <t>Notification of startup</t>
  </si>
  <si>
    <r>
      <t>f</t>
    </r>
    <r>
      <rPr>
        <sz val="10"/>
        <color theme="1"/>
        <rFont val="Times New Roman"/>
        <family val="1"/>
      </rPr>
      <t xml:space="preserve">  Performance evaluations and CEMS calibrations only required for vapor recovery systems; assumed all new sources use vapor recovery systems.</t>
    </r>
  </si>
  <si>
    <t>Table 1: Annual Respondent Burden and Cost – NSPS for Gasoline Distribution (40 CFR Part 60, Subpart XXa) (Proposed Rule)</t>
  </si>
  <si>
    <t>Table 2: Average Annual EPA Burden and Cost – NSPS for Gasoline Distribution (40 CFR Part 60, Subpart XXa) (Proposed Rule)</t>
  </si>
  <si>
    <r>
      <t xml:space="preserve">       i.  Equipment leaks monitoring</t>
    </r>
    <r>
      <rPr>
        <vertAlign val="superscript"/>
        <sz val="10"/>
        <color rgb="FF000000"/>
        <rFont val="Times New Roman"/>
        <family val="1"/>
      </rPr>
      <t>e</t>
    </r>
  </si>
  <si>
    <r>
      <t xml:space="preserve">       ii.  Performance tests</t>
    </r>
    <r>
      <rPr>
        <vertAlign val="superscript"/>
        <sz val="10"/>
        <color rgb="FF000000"/>
        <rFont val="Times New Roman"/>
        <family val="1"/>
      </rPr>
      <t xml:space="preserve"> f</t>
    </r>
  </si>
  <si>
    <r>
      <t xml:space="preserve">       iii.  Performance evaluations</t>
    </r>
    <r>
      <rPr>
        <vertAlign val="superscript"/>
        <sz val="10"/>
        <color rgb="FF000000"/>
        <rFont val="Times New Roman"/>
        <family val="1"/>
      </rPr>
      <t xml:space="preserve"> g</t>
    </r>
  </si>
  <si>
    <r>
      <t xml:space="preserve">       iv.  CEMS daily calibration checks</t>
    </r>
    <r>
      <rPr>
        <vertAlign val="superscript"/>
        <sz val="10"/>
        <color rgb="FF000000"/>
        <rFont val="Times New Roman"/>
        <family val="1"/>
      </rPr>
      <t xml:space="preserve"> g</t>
    </r>
  </si>
  <si>
    <r>
      <t>f</t>
    </r>
    <r>
      <rPr>
        <sz val="10"/>
        <color theme="1"/>
        <rFont val="Times New Roman"/>
        <family val="1"/>
      </rPr>
      <t xml:space="preserve">  Performance tests only required for vapor combustors.</t>
    </r>
  </si>
  <si>
    <r>
      <t>g</t>
    </r>
    <r>
      <rPr>
        <sz val="10"/>
        <color theme="1"/>
        <rFont val="Times New Roman"/>
        <family val="1"/>
      </rPr>
      <t xml:space="preserve">  Performance evaluations and CEMS calibrations only required for vapor recovery systems.</t>
    </r>
  </si>
  <si>
    <t>Notification of compliance status</t>
  </si>
  <si>
    <r>
      <t>Notification of performance evaluation</t>
    </r>
    <r>
      <rPr>
        <vertAlign val="superscript"/>
        <sz val="10"/>
        <color rgb="FF000000"/>
        <rFont val="Times New Roman"/>
        <family val="1"/>
      </rPr>
      <t xml:space="preserve"> e</t>
    </r>
  </si>
  <si>
    <r>
      <t>d</t>
    </r>
    <r>
      <rPr>
        <sz val="10"/>
        <color theme="1"/>
        <rFont val="Times New Roman"/>
        <family val="1"/>
      </rPr>
      <t xml:space="preserve">  Performance tests only required for vapor combustors.</t>
    </r>
  </si>
  <si>
    <r>
      <t>e</t>
    </r>
    <r>
      <rPr>
        <sz val="10"/>
        <color theme="1"/>
        <rFont val="Times New Roman"/>
        <family val="1"/>
      </rPr>
      <t xml:space="preserve">  Performance evaluations only required for vapor recovery systems.</t>
    </r>
  </si>
  <si>
    <r>
      <t xml:space="preserve">                     v.  CEMS daily calibration checks</t>
    </r>
    <r>
      <rPr>
        <vertAlign val="superscript"/>
        <sz val="10"/>
        <color rgb="FF000000"/>
        <rFont val="Times New Roman"/>
        <family val="1"/>
      </rPr>
      <t xml:space="preserve"> g</t>
    </r>
  </si>
  <si>
    <t xml:space="preserve">                   i.  Bulk gasoline terminals</t>
  </si>
  <si>
    <t xml:space="preserve">                   ii.  Pipeline breakout stations</t>
  </si>
  <si>
    <r>
      <t xml:space="preserve">     a.  Familiarize with regulatory requirements </t>
    </r>
    <r>
      <rPr>
        <vertAlign val="superscript"/>
        <sz val="10"/>
        <color rgb="FF000000"/>
        <rFont val="Times New Roman"/>
        <family val="1"/>
      </rPr>
      <t>c</t>
    </r>
  </si>
  <si>
    <r>
      <t xml:space="preserve">                     iii.  Performance tests</t>
    </r>
    <r>
      <rPr>
        <vertAlign val="superscript"/>
        <sz val="10"/>
        <color rgb="FF000000"/>
        <rFont val="Times New Roman"/>
        <family val="1"/>
      </rPr>
      <t xml:space="preserve"> f</t>
    </r>
  </si>
  <si>
    <r>
      <t xml:space="preserve">                     iv.  Performance evaluations</t>
    </r>
    <r>
      <rPr>
        <vertAlign val="superscript"/>
        <sz val="10"/>
        <color rgb="FF000000"/>
        <rFont val="Times New Roman"/>
        <family val="1"/>
      </rPr>
      <t xml:space="preserve"> g</t>
    </r>
  </si>
  <si>
    <t xml:space="preserve">                      viii. Continuous Emissions Monitoring System (CEMS) QA plan</t>
  </si>
  <si>
    <t>v.  Flare sampling</t>
  </si>
  <si>
    <t xml:space="preserve">        vi.  VCU sampling</t>
  </si>
  <si>
    <t xml:space="preserve">       vii.  LEL monitoring</t>
  </si>
  <si>
    <t xml:space="preserve">      i.  Large bulk gasoline terminals</t>
  </si>
  <si>
    <t xml:space="preserve">      ii.  Small bulk gasoline terminals, bulk gasoline plants, pipeline pumping stations, and pipeline breakout stations</t>
  </si>
  <si>
    <r>
      <t xml:space="preserve">          ii. Semiannual compliance reports - large bulk gasoline terminals</t>
    </r>
    <r>
      <rPr>
        <vertAlign val="superscript"/>
        <sz val="10"/>
        <color rgb="FF000000"/>
        <rFont val="Times New Roman"/>
        <family val="1"/>
      </rPr>
      <t xml:space="preserve"> h</t>
    </r>
  </si>
  <si>
    <r>
      <t xml:space="preserve">          iii. Semiannual compliance reports - small bulk gasoline terminals, bulk gasoline plants, pipeline pumping stations, and pipeline breakout stations</t>
    </r>
    <r>
      <rPr>
        <vertAlign val="superscript"/>
        <sz val="10"/>
        <color rgb="FF000000"/>
        <rFont val="Times New Roman"/>
        <family val="1"/>
      </rPr>
      <t xml:space="preserve"> h</t>
    </r>
  </si>
  <si>
    <r>
      <t>h</t>
    </r>
    <r>
      <rPr>
        <sz val="10"/>
        <color theme="1"/>
        <rFont val="Times New Roman"/>
        <family val="1"/>
      </rPr>
      <t xml:space="preserve">  Respondents are already subject to semiannual compliance reporting</t>
    </r>
    <r>
      <rPr>
        <vertAlign val="superscript"/>
        <sz val="10"/>
        <color theme="1"/>
        <rFont val="Times New Roman"/>
        <family val="1"/>
      </rPr>
      <t>.</t>
    </r>
  </si>
  <si>
    <r>
      <t>f</t>
    </r>
    <r>
      <rPr>
        <sz val="10"/>
        <color theme="1"/>
        <rFont val="Times New Roman"/>
        <family val="1"/>
      </rPr>
      <t xml:space="preserve">  Respondents are already subject to semiannual compliance reporting.</t>
    </r>
  </si>
  <si>
    <r>
      <t>Semiannual compliance reports</t>
    </r>
    <r>
      <rPr>
        <vertAlign val="superscript"/>
        <sz val="10"/>
        <color rgb="FF000000"/>
        <rFont val="Times New Roman"/>
        <family val="1"/>
      </rPr>
      <t xml:space="preserve"> f</t>
    </r>
  </si>
  <si>
    <r>
      <t xml:space="preserve">                      ii. Semiannual compliance reports for bulk gasoline terminals</t>
    </r>
    <r>
      <rPr>
        <vertAlign val="superscript"/>
        <sz val="10"/>
        <color rgb="FF000000"/>
        <rFont val="Times New Roman"/>
        <family val="1"/>
      </rPr>
      <t xml:space="preserve"> h</t>
    </r>
  </si>
  <si>
    <r>
      <t xml:space="preserve">                      iii. Semiannual compliance reports for pipeline breakout stations</t>
    </r>
    <r>
      <rPr>
        <vertAlign val="superscript"/>
        <sz val="10"/>
        <color rgb="FF000000"/>
        <rFont val="Times New Roman"/>
        <family val="1"/>
      </rPr>
      <t xml:space="preserve"> 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</si>
</sst>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73" formatCode="_(* #,##0.0_);_(* \(#,##0.0\);_(* &quot;-&quot;??_);_(@_)"/>
  </numFmts>
  <fonts count="27"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vertAlign val="superscript"/>
      <sz val="10"/>
      <color theme="1"/>
      <name val="Times New Roman"/>
      <family val="1"/>
    </font>
    <font>
      <u/>
      <sz val="11"/>
      <color theme="10"/>
      <name val="Calibri"/>
      <family val="2"/>
      <scheme val="minor"/>
    </font>
    <font>
      <sz val="12"/>
      <color rgb="FF000000"/>
      <name val="Times New Roman"/>
      <family val="1"/>
    </font>
    <font>
      <b/>
      <vertAlign val="superscript"/>
      <sz val="12"/>
      <color rgb="FF000000"/>
      <name val="Times New Roman"/>
      <family val="1"/>
    </font>
    <font>
      <sz val="9"/>
      <name val="Calibri"/>
      <family val="2"/>
      <scheme val="minor"/>
    </font>
    <font>
      <b/>
      <sz val="9"/>
      <name val="Times New Roman"/>
      <family val="1"/>
    </font>
    <font>
      <b/>
      <vertAlign val="superscript"/>
      <sz val="9"/>
      <name val="Times New Roman"/>
      <family val="1"/>
    </font>
    <font>
      <sz val="9"/>
      <name val="Times New Roman"/>
      <family val="1"/>
    </font>
    <font>
      <b/>
      <sz val="9"/>
      <color theme="1"/>
      <name val="Times New Roman"/>
      <family val="1"/>
    </font>
    <font>
      <sz val="9"/>
      <color theme="1"/>
      <name val="Times New Roman"/>
      <family val="1"/>
    </font>
    <font>
      <sz val="11"/>
      <color rgb="FF000000"/>
      <name val="Calibri"/>
      <family val="2"/>
      <scheme val="minor"/>
    </font>
    <font>
      <sz val="11"/>
      <color theme="1"/>
      <name val="Calibri"/>
      <family val="2"/>
      <scheme val="minor"/>
    </font>
    <font>
      <b/>
      <sz val="12"/>
      <name val="Times New Roman"/>
      <family val="1"/>
    </font>
    <font>
      <sz val="11"/>
      <color rgb="FF000000"/>
      <name val="Times New Roman"/>
      <family val="1"/>
    </font>
    <font>
      <strike/>
      <vertAlign val="superscript"/>
      <sz val="10"/>
      <color theme="1"/>
      <name val="Times New Roman"/>
      <family val="1"/>
    </font>
    <font>
      <strike/>
      <sz val="11"/>
      <color rgb="FFFF0000"/>
      <name val="Calibri"/>
      <family val="2"/>
      <scheme val="minor"/>
    </font>
    <font>
      <sz val="9"/>
      <color rgb="FF000000"/>
      <name val="Times New Roman"/>
      <family val="1"/>
    </font>
  </fonts>
  <fills count="3">
    <fill>
      <patternFill patternType="none"/>
    </fill>
    <fill>
      <patternFill patternType="gray125"/>
    </fill>
    <fill>
      <patternFill patternType="solid">
        <fgColor theme="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FFFFFF"/>
      </right>
      <top style="medium">
        <color rgb="FF000000"/>
      </top>
      <bottom/>
      <diagonal/>
    </border>
    <border>
      <left/>
      <right style="medium">
        <color rgb="FFFFFFFF"/>
      </right>
      <top style="medium">
        <color rgb="FF000000"/>
      </top>
      <bottom/>
      <diagonal/>
    </border>
    <border>
      <left/>
      <right style="medium">
        <color rgb="FF000000"/>
      </right>
      <top style="medium">
        <color rgb="FF000000"/>
      </top>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right style="medium">
        <color indexed="64"/>
      </right>
      <top style="medium">
        <color rgb="FF000000"/>
      </top>
      <bottom/>
      <diagonal/>
    </border>
  </borders>
  <cellStyleXfs count="4">
    <xf numFmtId="0" fontId="0" fillId="0" borderId="0"/>
    <xf numFmtId="0" fontId="11" fillId="0" borderId="0" applyNumberFormat="0" applyFill="0" applyBorder="0" applyAlignment="0" applyProtection="0"/>
    <xf numFmtId="43" fontId="21" fillId="0" borderId="0" applyFont="0" applyFill="0" applyBorder="0" applyAlignment="0" applyProtection="0"/>
    <xf numFmtId="44" fontId="21" fillId="0" borderId="0" applyFont="0" applyFill="0" applyBorder="0" applyAlignment="0" applyProtection="0"/>
  </cellStyleXfs>
  <cellXfs count="184">
    <xf numFmtId="0" fontId="0" fillId="0" borderId="0" xfId="0"/>
    <xf numFmtId="0" fontId="3" fillId="0" borderId="0" xfId="0" applyFont="1" applyAlignment="1">
      <alignment vertical="center"/>
    </xf>
    <xf numFmtId="0" fontId="7" fillId="0" borderId="3"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7" xfId="0" applyFont="1" applyBorder="1" applyAlignment="1">
      <alignment horizontal="right" vertical="center" wrapText="1"/>
    </xf>
    <xf numFmtId="0" fontId="7" fillId="0" borderId="3" xfId="0" applyFont="1" applyBorder="1" applyAlignment="1">
      <alignment horizontal="left" vertical="center" wrapText="1" indent="2"/>
    </xf>
    <xf numFmtId="0" fontId="7" fillId="0" borderId="3" xfId="0" applyFont="1" applyBorder="1" applyAlignment="1">
      <alignment horizontal="left" vertical="center" wrapText="1" indent="3"/>
    </xf>
    <xf numFmtId="6" fontId="7" fillId="0" borderId="7" xfId="0" applyNumberFormat="1" applyFont="1" applyBorder="1" applyAlignment="1">
      <alignment horizontal="right" vertical="center" wrapText="1"/>
    </xf>
    <xf numFmtId="0" fontId="9" fillId="0" borderId="0" xfId="0" applyFont="1" applyAlignment="1">
      <alignment vertical="center"/>
    </xf>
    <xf numFmtId="0" fontId="10" fillId="0" borderId="0" xfId="0" applyFont="1" applyAlignment="1">
      <alignment vertical="center"/>
    </xf>
    <xf numFmtId="0" fontId="11" fillId="0" borderId="0" xfId="1"/>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4" fillId="0" borderId="10" xfId="0" applyFont="1" applyBorder="1" applyAlignment="1">
      <alignment vertical="center" wrapText="1"/>
    </xf>
    <xf numFmtId="6"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2" fillId="0" borderId="3" xfId="0" applyFont="1" applyBorder="1" applyAlignment="1">
      <alignment vertical="center"/>
    </xf>
    <xf numFmtId="8" fontId="12" fillId="0" borderId="7"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1" fillId="0" borderId="0" xfId="1" applyAlignment="1">
      <alignment vertical="center"/>
    </xf>
    <xf numFmtId="0" fontId="12" fillId="0" borderId="0" xfId="0" applyFont="1" applyFill="1" applyBorder="1" applyAlignment="1">
      <alignment vertical="center"/>
    </xf>
    <xf numFmtId="0" fontId="14" fillId="0" borderId="0" xfId="0" applyFont="1"/>
    <xf numFmtId="46" fontId="14" fillId="0" borderId="0" xfId="0" quotePrefix="1" applyNumberFormat="1" applyFont="1"/>
    <xf numFmtId="8" fontId="14" fillId="0" borderId="0" xfId="0" applyNumberFormat="1" applyFont="1"/>
    <xf numFmtId="0" fontId="15"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0" fillId="0" borderId="10" xfId="0" applyBorder="1"/>
    <xf numFmtId="0" fontId="0" fillId="0" borderId="10" xfId="0" applyBorder="1" applyAlignment="1">
      <alignment vertical="top"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18" fillId="0" borderId="10" xfId="0" applyFont="1" applyBorder="1" applyAlignment="1">
      <alignment vertical="center" wrapText="1"/>
    </xf>
    <xf numFmtId="1" fontId="18" fillId="0" borderId="10" xfId="0" applyNumberFormat="1" applyFont="1" applyBorder="1" applyAlignment="1">
      <alignment horizontal="center" vertical="center" wrapText="1"/>
    </xf>
    <xf numFmtId="2" fontId="0" fillId="0" borderId="0" xfId="0" applyNumberFormat="1"/>
    <xf numFmtId="0" fontId="0" fillId="0" borderId="0" xfId="0" applyAlignment="1">
      <alignment horizontal="right"/>
    </xf>
    <xf numFmtId="3" fontId="17" fillId="0" borderId="10" xfId="0" applyNumberFormat="1" applyFont="1" applyBorder="1" applyAlignment="1">
      <alignment horizontal="center" vertical="center"/>
    </xf>
    <xf numFmtId="6" fontId="17" fillId="0" borderId="10" xfId="0" applyNumberFormat="1" applyFont="1" applyBorder="1" applyAlignment="1">
      <alignment horizontal="right" vertical="center"/>
    </xf>
    <xf numFmtId="0" fontId="14" fillId="0" borderId="15" xfId="0" applyFont="1" applyBorder="1" applyAlignment="1">
      <alignment vertical="center"/>
    </xf>
    <xf numFmtId="6" fontId="15" fillId="0" borderId="15"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7" fillId="0" borderId="10" xfId="0" applyFont="1" applyBorder="1" applyAlignment="1">
      <alignment horizontal="left" vertical="center" wrapText="1" indent="1"/>
    </xf>
    <xf numFmtId="0" fontId="7" fillId="0" borderId="7" xfId="0" applyFont="1" applyFill="1" applyBorder="1" applyAlignment="1">
      <alignment horizontal="center" vertical="center" wrapText="1"/>
    </xf>
    <xf numFmtId="0" fontId="20" fillId="0" borderId="0" xfId="0" applyFont="1"/>
    <xf numFmtId="16" fontId="20" fillId="0" borderId="0" xfId="0" applyNumberFormat="1" applyFont="1"/>
    <xf numFmtId="3" fontId="0" fillId="0" borderId="0" xfId="0" applyNumberFormat="1"/>
    <xf numFmtId="0" fontId="20" fillId="0" borderId="0" xfId="0" applyFont="1" applyBorder="1"/>
    <xf numFmtId="3" fontId="20" fillId="0" borderId="0" xfId="0" applyNumberFormat="1" applyFont="1" applyFill="1" applyBorder="1"/>
    <xf numFmtId="2" fontId="0" fillId="0" borderId="10" xfId="0" applyNumberFormat="1" applyBorder="1"/>
    <xf numFmtId="3" fontId="20" fillId="0" borderId="10" xfId="0" applyNumberFormat="1" applyFont="1" applyBorder="1"/>
    <xf numFmtId="3" fontId="0" fillId="0" borderId="10" xfId="0" applyNumberFormat="1" applyBorder="1"/>
    <xf numFmtId="0" fontId="20" fillId="0" borderId="10" xfId="0" applyFont="1" applyBorder="1"/>
    <xf numFmtId="0" fontId="5" fillId="2" borderId="10" xfId="0" applyFont="1" applyFill="1" applyBorder="1" applyAlignment="1">
      <alignment horizontal="center" vertical="center" wrapText="1"/>
    </xf>
    <xf numFmtId="0" fontId="0" fillId="2" borderId="10" xfId="0" applyFill="1" applyBorder="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2" borderId="7" xfId="0" applyFill="1" applyBorder="1" applyAlignment="1">
      <alignment vertical="center" wrapText="1"/>
    </xf>
    <xf numFmtId="0" fontId="5" fillId="2" borderId="7"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6" fontId="7" fillId="0" borderId="4" xfId="0" applyNumberFormat="1" applyFont="1" applyBorder="1" applyAlignment="1">
      <alignment horizontal="right" vertical="center" wrapText="1"/>
    </xf>
    <xf numFmtId="0" fontId="0" fillId="0" borderId="14" xfId="0" applyBorder="1"/>
    <xf numFmtId="0" fontId="7" fillId="0" borderId="14" xfId="0" applyFont="1" applyBorder="1" applyAlignment="1">
      <alignment horizontal="center" vertical="center" wrapText="1"/>
    </xf>
    <xf numFmtId="0" fontId="4" fillId="0" borderId="14" xfId="0" applyFont="1" applyBorder="1" applyAlignment="1">
      <alignment horizontal="center"/>
    </xf>
    <xf numFmtId="0" fontId="4" fillId="0" borderId="4" xfId="0" applyFont="1" applyBorder="1" applyAlignment="1">
      <alignment horizontal="center"/>
    </xf>
    <xf numFmtId="6" fontId="7" fillId="0" borderId="14" xfId="0" applyNumberFormat="1" applyFont="1" applyBorder="1" applyAlignment="1">
      <alignment horizontal="right" vertical="center" wrapText="1"/>
    </xf>
    <xf numFmtId="165" fontId="5" fillId="0" borderId="7" xfId="0" applyNumberFormat="1" applyFont="1" applyBorder="1" applyAlignment="1">
      <alignment vertical="center" wrapText="1"/>
    </xf>
    <xf numFmtId="0" fontId="22" fillId="0" borderId="0" xfId="0" applyFont="1"/>
    <xf numFmtId="0" fontId="3"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4" xfId="0" applyFont="1" applyBorder="1" applyAlignment="1">
      <alignment vertical="center" wrapText="1"/>
    </xf>
    <xf numFmtId="0" fontId="0" fillId="0" borderId="0" xfId="0" applyBorder="1"/>
    <xf numFmtId="3" fontId="0" fillId="0" borderId="0" xfId="0" applyNumberFormat="1" applyBorder="1"/>
    <xf numFmtId="0" fontId="5"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2" borderId="8" xfId="2" applyNumberFormat="1" applyFont="1" applyFill="1" applyBorder="1" applyAlignment="1">
      <alignment horizontal="center" vertical="center" wrapText="1"/>
    </xf>
    <xf numFmtId="165" fontId="7" fillId="2" borderId="14" xfId="3" applyNumberFormat="1" applyFont="1" applyFill="1" applyBorder="1" applyAlignment="1">
      <alignment horizontal="right" vertical="center" wrapText="1"/>
    </xf>
    <xf numFmtId="0" fontId="5"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7" fillId="2" borderId="14" xfId="2" applyNumberFormat="1" applyFont="1" applyFill="1" applyBorder="1" applyAlignment="1">
      <alignment vertical="center" wrapText="1"/>
    </xf>
    <xf numFmtId="0" fontId="5" fillId="0" borderId="3" xfId="0" applyFont="1" applyBorder="1" applyAlignment="1">
      <alignment horizontal="center" vertical="center" wrapText="1"/>
    </xf>
    <xf numFmtId="0" fontId="5" fillId="0" borderId="14" xfId="0" applyFont="1" applyFill="1" applyBorder="1" applyAlignment="1">
      <alignment horizontal="center" vertical="center" wrapText="1"/>
    </xf>
    <xf numFmtId="0" fontId="7" fillId="0" borderId="3" xfId="0" applyFont="1" applyBorder="1" applyAlignment="1">
      <alignment horizontal="center" vertical="center" wrapText="1"/>
    </xf>
    <xf numFmtId="0" fontId="0" fillId="0" borderId="17" xfId="0" applyBorder="1"/>
    <xf numFmtId="0" fontId="0" fillId="0" borderId="16" xfId="0" applyBorder="1"/>
    <xf numFmtId="6" fontId="4" fillId="0" borderId="7" xfId="0" applyNumberFormat="1" applyFont="1" applyBorder="1"/>
    <xf numFmtId="0" fontId="15" fillId="0" borderId="15" xfId="0" applyFont="1" applyBorder="1" applyAlignment="1">
      <alignment horizontal="center" vertical="center"/>
    </xf>
    <xf numFmtId="6" fontId="4" fillId="0" borderId="10" xfId="0" applyNumberFormat="1" applyFont="1" applyFill="1" applyBorder="1" applyAlignment="1">
      <alignment horizontal="center" vertical="center" wrapText="1"/>
    </xf>
    <xf numFmtId="0" fontId="3" fillId="0" borderId="14" xfId="0" applyFont="1" applyBorder="1" applyAlignment="1">
      <alignment vertical="center" wrapText="1"/>
    </xf>
    <xf numFmtId="0" fontId="4" fillId="0" borderId="15" xfId="0" applyFont="1" applyBorder="1" applyAlignment="1">
      <alignment vertical="center" wrapText="1"/>
    </xf>
    <xf numFmtId="6"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horizontal="center" vertical="center" wrapText="1"/>
    </xf>
    <xf numFmtId="0" fontId="5" fillId="0" borderId="15" xfId="0" applyFont="1" applyBorder="1" applyAlignment="1">
      <alignment vertical="center" wrapText="1"/>
    </xf>
    <xf numFmtId="165" fontId="9" fillId="0" borderId="14" xfId="0" applyNumberFormat="1" applyFont="1" applyBorder="1"/>
    <xf numFmtId="3" fontId="9" fillId="0" borderId="8" xfId="0" applyNumberFormat="1" applyFont="1" applyBorder="1" applyAlignment="1">
      <alignment horizontal="center"/>
    </xf>
    <xf numFmtId="0" fontId="9" fillId="0" borderId="4" xfId="0" applyFont="1" applyBorder="1" applyAlignment="1">
      <alignment horizontal="center"/>
    </xf>
    <xf numFmtId="0" fontId="9" fillId="0" borderId="14" xfId="0" applyFont="1" applyBorder="1" applyAlignment="1">
      <alignment horizontal="center"/>
    </xf>
    <xf numFmtId="0" fontId="23" fillId="0" borderId="0" xfId="0" applyFont="1" applyAlignment="1">
      <alignment vertical="center"/>
    </xf>
    <xf numFmtId="0" fontId="0" fillId="2" borderId="24" xfId="0" applyFill="1" applyBorder="1"/>
    <xf numFmtId="3" fontId="20" fillId="0" borderId="10" xfId="0" applyNumberFormat="1" applyFont="1" applyFill="1" applyBorder="1"/>
    <xf numFmtId="0" fontId="0" fillId="0" borderId="0" xfId="0" applyFill="1" applyBorder="1"/>
    <xf numFmtId="0" fontId="20" fillId="0" borderId="0" xfId="0" applyFont="1" applyFill="1" applyBorder="1"/>
    <xf numFmtId="3" fontId="0" fillId="0" borderId="0" xfId="0" applyNumberFormat="1" applyFill="1" applyBorder="1"/>
    <xf numFmtId="6"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10" xfId="0" applyFill="1" applyBorder="1"/>
    <xf numFmtId="0" fontId="19" fillId="0" borderId="10" xfId="0" applyFont="1" applyFill="1" applyBorder="1" applyAlignment="1">
      <alignment horizontal="center" vertical="center" wrapText="1"/>
    </xf>
    <xf numFmtId="0" fontId="4" fillId="0" borderId="14" xfId="0" applyFont="1" applyFill="1" applyBorder="1" applyAlignment="1">
      <alignment horizontal="center"/>
    </xf>
    <xf numFmtId="0" fontId="7" fillId="0" borderId="10" xfId="0" applyFont="1" applyFill="1" applyBorder="1" applyAlignment="1">
      <alignment horizontal="left" vertical="center" wrapText="1" indent="1"/>
    </xf>
    <xf numFmtId="0" fontId="0" fillId="0" borderId="18" xfId="0" applyBorder="1" applyAlignment="1"/>
    <xf numFmtId="0" fontId="7" fillId="0" borderId="10" xfId="0" applyFont="1" applyFill="1" applyBorder="1" applyAlignment="1">
      <alignment horizontal="center" vertical="center" wrapText="1"/>
    </xf>
    <xf numFmtId="2" fontId="4" fillId="0" borderId="14" xfId="0" applyNumberFormat="1" applyFont="1" applyBorder="1" applyAlignment="1">
      <alignment horizontal="center"/>
    </xf>
    <xf numFmtId="1" fontId="4" fillId="0" borderId="14" xfId="0" applyNumberFormat="1" applyFont="1" applyFill="1" applyBorder="1" applyAlignment="1">
      <alignment horizontal="center"/>
    </xf>
    <xf numFmtId="1" fontId="7" fillId="0" borderId="7" xfId="2"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3" fontId="7" fillId="0" borderId="7" xfId="0" applyNumberFormat="1" applyFont="1" applyFill="1" applyBorder="1" applyAlignment="1">
      <alignment horizontal="center" vertical="center" wrapText="1"/>
    </xf>
    <xf numFmtId="0" fontId="10" fillId="0" borderId="0" xfId="0" applyFont="1" applyFill="1" applyAlignment="1">
      <alignment vertical="center"/>
    </xf>
    <xf numFmtId="0" fontId="24" fillId="0" borderId="0" xfId="0" applyFont="1" applyAlignment="1">
      <alignment vertical="center"/>
    </xf>
    <xf numFmtId="0" fontId="25" fillId="0" borderId="10" xfId="0" applyFont="1" applyBorder="1"/>
    <xf numFmtId="3" fontId="25" fillId="0" borderId="10" xfId="0" applyNumberFormat="1" applyFont="1" applyBorder="1"/>
    <xf numFmtId="0" fontId="7" fillId="0" borderId="1" xfId="0" applyFont="1" applyFill="1" applyBorder="1" applyAlignment="1">
      <alignment horizontal="left" vertical="center" wrapText="1"/>
    </xf>
    <xf numFmtId="0" fontId="4" fillId="0" borderId="3" xfId="0" applyFont="1" applyFill="1" applyBorder="1" applyAlignment="1">
      <alignment horizontal="center"/>
    </xf>
    <xf numFmtId="0" fontId="4" fillId="0" borderId="7" xfId="0" applyFont="1" applyFill="1" applyBorder="1" applyAlignment="1">
      <alignment horizontal="center"/>
    </xf>
    <xf numFmtId="0" fontId="7" fillId="0" borderId="4" xfId="0" applyFont="1" applyFill="1" applyBorder="1" applyAlignment="1">
      <alignment horizontal="center" vertical="center" wrapText="1"/>
    </xf>
    <xf numFmtId="6" fontId="7" fillId="0" borderId="7" xfId="0" applyNumberFormat="1" applyFont="1" applyFill="1" applyBorder="1" applyAlignment="1">
      <alignment horizontal="right" vertical="center" wrapText="1"/>
    </xf>
    <xf numFmtId="0" fontId="0" fillId="0" borderId="25" xfId="0" applyBorder="1"/>
    <xf numFmtId="0" fontId="0" fillId="0" borderId="26" xfId="0" applyBorder="1"/>
    <xf numFmtId="0" fontId="0" fillId="0" borderId="21" xfId="0" applyBorder="1"/>
    <xf numFmtId="0" fontId="20" fillId="0" borderId="24" xfId="0" applyFont="1" applyBorder="1"/>
    <xf numFmtId="0" fontId="0" fillId="0" borderId="24" xfId="0" applyBorder="1"/>
    <xf numFmtId="0" fontId="20" fillId="0" borderId="15" xfId="0" applyFont="1" applyBorder="1"/>
    <xf numFmtId="0" fontId="0" fillId="0" borderId="15" xfId="0" applyBorder="1"/>
    <xf numFmtId="0" fontId="0" fillId="0" borderId="19" xfId="0" applyBorder="1"/>
    <xf numFmtId="0" fontId="20" fillId="0" borderId="25" xfId="0" applyFont="1" applyBorder="1"/>
    <xf numFmtId="3" fontId="0" fillId="0" borderId="25" xfId="0" applyNumberFormat="1" applyBorder="1"/>
    <xf numFmtId="3" fontId="7" fillId="0" borderId="10" xfId="0" applyNumberFormat="1" applyFont="1" applyBorder="1" applyAlignment="1">
      <alignment horizontal="center" vertical="center"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30"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0" fillId="0" borderId="6" xfId="0" applyBorder="1" applyAlignment="1">
      <alignment vertical="top" wrapText="1"/>
    </xf>
    <xf numFmtId="0" fontId="22" fillId="0" borderId="0" xfId="0" applyFont="1" applyAlignment="1">
      <alignment vertical="center"/>
    </xf>
    <xf numFmtId="0" fontId="19" fillId="0" borderId="0" xfId="0" applyFont="1"/>
    <xf numFmtId="0" fontId="19" fillId="0" borderId="10" xfId="0" applyFont="1" applyBorder="1" applyAlignment="1">
      <alignment horizontal="center"/>
    </xf>
    <xf numFmtId="0" fontId="19" fillId="0" borderId="10" xfId="0" applyFont="1" applyBorder="1"/>
    <xf numFmtId="0" fontId="19" fillId="0" borderId="10" xfId="0" applyFont="1" applyBorder="1" applyAlignment="1">
      <alignment horizontal="center" wrapText="1"/>
    </xf>
    <xf numFmtId="0" fontId="4" fillId="0" borderId="14" xfId="0" applyFont="1" applyBorder="1"/>
    <xf numFmtId="3" fontId="15" fillId="0" borderId="19" xfId="0" applyNumberFormat="1" applyFont="1" applyBorder="1" applyAlignment="1">
      <alignment horizontal="center" vertical="center"/>
    </xf>
    <xf numFmtId="3" fontId="15" fillId="0" borderId="20" xfId="0" applyNumberFormat="1" applyFont="1" applyBorder="1" applyAlignment="1">
      <alignment horizontal="center" vertical="center"/>
    </xf>
    <xf numFmtId="3" fontId="15" fillId="0" borderId="21" xfId="0" applyNumberFormat="1" applyFont="1" applyBorder="1" applyAlignment="1">
      <alignment horizontal="center" vertical="center"/>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0" xfId="0" applyFill="1" applyBorder="1" applyAlignment="1">
      <alignment horizontal="center"/>
    </xf>
    <xf numFmtId="2" fontId="7" fillId="0" borderId="7" xfId="0" applyNumberFormat="1" applyFont="1" applyFill="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173" fontId="7" fillId="2" borderId="8" xfId="2" applyNumberFormat="1" applyFont="1" applyFill="1" applyBorder="1" applyAlignment="1">
      <alignment horizontal="center" vertical="center" wrapText="1"/>
    </xf>
    <xf numFmtId="0" fontId="0" fillId="0" borderId="0" xfId="0" applyFill="1"/>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pdf/2019/GS_h.pdf" TargetMode="External"/><Relationship Id="rId1" Type="http://schemas.openxmlformats.org/officeDocument/2006/relationships/hyperlink" Target="https://www.bls.gov/oes/current/naics3_324000.ht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pdf/2019/GS_h.pdf" TargetMode="External"/><Relationship Id="rId1" Type="http://schemas.openxmlformats.org/officeDocument/2006/relationships/hyperlink" Target="https://www.bls.gov/oes/current/naics3_324000.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pm.gov/policy-data-oversight/pay-leave/salaries-wages/salary-tables/pdf/2019/GS_h.pdf" TargetMode="External"/><Relationship Id="rId1" Type="http://schemas.openxmlformats.org/officeDocument/2006/relationships/hyperlink" Target="https://www.bls.gov/oes/current/naics3_3240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574A-6288-4C17-B30E-20061ABBF66B}">
  <sheetPr>
    <tabColor theme="9"/>
  </sheetPr>
  <dimension ref="A1:Q90"/>
  <sheetViews>
    <sheetView topLeftCell="A25" zoomScale="120" zoomScaleNormal="120" workbookViewId="0">
      <selection activeCell="B82" sqref="B82"/>
    </sheetView>
  </sheetViews>
  <sheetFormatPr defaultRowHeight="15" x14ac:dyDescent="0.25"/>
  <cols>
    <col min="1" max="1" width="49.5703125" customWidth="1"/>
    <col min="2" max="2" width="32.28515625" customWidth="1"/>
    <col min="3" max="10" width="11.28515625" customWidth="1"/>
    <col min="11" max="11" width="21.140625" customWidth="1"/>
    <col min="12" max="12" width="28.42578125" customWidth="1"/>
    <col min="13" max="14" width="13.7109375" customWidth="1"/>
    <col min="15" max="15" width="12.5703125" customWidth="1"/>
  </cols>
  <sheetData>
    <row r="1" spans="1:16" ht="15.75" x14ac:dyDescent="0.25">
      <c r="A1" s="1" t="s">
        <v>0</v>
      </c>
      <c r="B1" s="1"/>
      <c r="L1" s="42" t="s">
        <v>1</v>
      </c>
      <c r="M1" s="42"/>
    </row>
    <row r="2" spans="1:16" ht="16.5" thickBot="1" x14ac:dyDescent="0.3">
      <c r="A2" s="1"/>
      <c r="B2" s="1"/>
      <c r="F2">
        <f>ROUND(O9,2)</f>
        <v>76.78</v>
      </c>
      <c r="G2">
        <f>ROUND(O5,2)</f>
        <v>146.19999999999999</v>
      </c>
      <c r="H2">
        <f>ROUND(O8,2)</f>
        <v>50.48</v>
      </c>
      <c r="L2" s="43"/>
      <c r="M2" s="10" t="s">
        <v>2</v>
      </c>
    </row>
    <row r="3" spans="1:16" x14ac:dyDescent="0.25">
      <c r="A3" s="175" t="s">
        <v>3</v>
      </c>
      <c r="B3" s="53" t="s">
        <v>4</v>
      </c>
      <c r="C3" s="53" t="s">
        <v>5</v>
      </c>
      <c r="D3" s="53" t="s">
        <v>6</v>
      </c>
      <c r="E3" s="53" t="s">
        <v>7</v>
      </c>
      <c r="F3" s="53" t="s">
        <v>8</v>
      </c>
      <c r="G3" s="53" t="s">
        <v>9</v>
      </c>
      <c r="H3" s="53" t="s">
        <v>10</v>
      </c>
      <c r="I3" s="53" t="s">
        <v>11</v>
      </c>
    </row>
    <row r="4" spans="1:16" ht="63.75" x14ac:dyDescent="0.25">
      <c r="A4" s="176"/>
      <c r="B4" s="54" t="s">
        <v>12</v>
      </c>
      <c r="C4" s="54" t="s">
        <v>13</v>
      </c>
      <c r="D4" s="54" t="s">
        <v>14</v>
      </c>
      <c r="E4" s="54" t="s">
        <v>15</v>
      </c>
      <c r="F4" s="54" t="s">
        <v>16</v>
      </c>
      <c r="G4" s="54" t="s">
        <v>17</v>
      </c>
      <c r="H4" s="54" t="s">
        <v>18</v>
      </c>
      <c r="I4" s="54" t="s">
        <v>19</v>
      </c>
      <c r="K4" s="51" t="s">
        <v>20</v>
      </c>
      <c r="L4" s="51" t="s">
        <v>21</v>
      </c>
      <c r="M4" s="51" t="s">
        <v>22</v>
      </c>
      <c r="N4" s="51" t="s">
        <v>23</v>
      </c>
      <c r="O4" s="51" t="s">
        <v>24</v>
      </c>
    </row>
    <row r="5" spans="1:16" ht="15.75" thickBot="1" x14ac:dyDescent="0.3">
      <c r="A5" s="177"/>
      <c r="B5" s="55"/>
      <c r="C5" s="55"/>
      <c r="D5" s="56" t="s">
        <v>25</v>
      </c>
      <c r="E5" s="55"/>
      <c r="F5" s="56" t="s">
        <v>26</v>
      </c>
      <c r="G5" s="56" t="s">
        <v>27</v>
      </c>
      <c r="H5" s="56" t="s">
        <v>28</v>
      </c>
      <c r="I5" s="55"/>
      <c r="K5" s="26" t="s">
        <v>29</v>
      </c>
      <c r="L5" s="26" t="s">
        <v>30</v>
      </c>
      <c r="M5" s="26">
        <v>69.62</v>
      </c>
      <c r="N5" s="47">
        <f>M5*1.1</f>
        <v>76.582000000000008</v>
      </c>
      <c r="O5" s="26">
        <f>M5*2.1</f>
        <v>146.20200000000003</v>
      </c>
    </row>
    <row r="6" spans="1:16" ht="15.75" thickBot="1" x14ac:dyDescent="0.3">
      <c r="A6" s="2" t="s">
        <v>31</v>
      </c>
      <c r="B6" s="3" t="s">
        <v>32</v>
      </c>
      <c r="C6" s="3"/>
      <c r="D6" s="3"/>
      <c r="E6" s="3"/>
      <c r="F6" s="3"/>
      <c r="G6" s="3"/>
      <c r="H6" s="3"/>
      <c r="I6" s="4"/>
      <c r="K6" s="26" t="s">
        <v>33</v>
      </c>
      <c r="L6" s="26" t="s">
        <v>34</v>
      </c>
      <c r="M6" s="26">
        <v>54.64</v>
      </c>
      <c r="N6" s="47">
        <f>M6*1.1</f>
        <v>60.104000000000006</v>
      </c>
      <c r="O6" s="26">
        <f>M6*2.1</f>
        <v>114.744</v>
      </c>
    </row>
    <row r="7" spans="1:16" ht="15.75" thickBot="1" x14ac:dyDescent="0.3">
      <c r="A7" s="2" t="s">
        <v>35</v>
      </c>
      <c r="B7" s="3" t="s">
        <v>32</v>
      </c>
      <c r="C7" s="3"/>
      <c r="D7" s="3"/>
      <c r="E7" s="3"/>
      <c r="F7" s="3"/>
      <c r="G7" s="3"/>
      <c r="H7" s="3"/>
      <c r="I7" s="4"/>
      <c r="K7" s="118" t="s">
        <v>36</v>
      </c>
      <c r="L7" s="26" t="s">
        <v>37</v>
      </c>
      <c r="M7" s="26">
        <v>32.04</v>
      </c>
      <c r="N7" s="47">
        <f>M7*1.1</f>
        <v>35.244</v>
      </c>
      <c r="O7" s="26">
        <f>M7*2.1</f>
        <v>67.284000000000006</v>
      </c>
    </row>
    <row r="8" spans="1:16" ht="15.75" thickBot="1" x14ac:dyDescent="0.3">
      <c r="A8" s="2" t="s">
        <v>38</v>
      </c>
      <c r="B8" s="3"/>
      <c r="C8" s="3"/>
      <c r="D8" s="3"/>
      <c r="E8" s="3"/>
      <c r="F8" s="3"/>
      <c r="G8" s="3"/>
      <c r="H8" s="3"/>
      <c r="I8" s="4"/>
      <c r="K8" s="26" t="s">
        <v>39</v>
      </c>
      <c r="L8" s="26" t="s">
        <v>40</v>
      </c>
      <c r="M8" s="26">
        <v>24.04</v>
      </c>
      <c r="N8" s="47">
        <f t="shared" ref="N8" si="0">M8*1.1</f>
        <v>26.444000000000003</v>
      </c>
      <c r="O8" s="26">
        <f>M8*2.1</f>
        <v>50.484000000000002</v>
      </c>
    </row>
    <row r="9" spans="1:16" ht="15.75" customHeight="1" thickBot="1" x14ac:dyDescent="0.3">
      <c r="A9" s="71" t="s">
        <v>210</v>
      </c>
      <c r="B9" s="3"/>
      <c r="C9" s="3"/>
      <c r="D9" s="3"/>
      <c r="E9" s="3"/>
      <c r="F9" s="3"/>
      <c r="G9" s="3"/>
      <c r="H9" s="3"/>
      <c r="I9" s="4"/>
      <c r="K9" s="26"/>
      <c r="L9" s="118" t="s">
        <v>41</v>
      </c>
      <c r="M9" s="26">
        <f>0.2*M6+0.8*M7</f>
        <v>36.56</v>
      </c>
      <c r="N9" s="26">
        <f t="shared" ref="N9" si="1">0.2*N6+0.8*N7</f>
        <v>40.216000000000001</v>
      </c>
      <c r="O9" s="26">
        <f>0.2*O6+0.8*O7</f>
        <v>76.77600000000001</v>
      </c>
    </row>
    <row r="10" spans="1:16" ht="15.75" thickBot="1" x14ac:dyDescent="0.3">
      <c r="A10" s="71" t="s">
        <v>208</v>
      </c>
      <c r="B10" s="3">
        <v>8</v>
      </c>
      <c r="C10" s="3">
        <v>1</v>
      </c>
      <c r="D10" s="3">
        <f>B10*C10</f>
        <v>8</v>
      </c>
      <c r="E10" s="3">
        <f>P12</f>
        <v>97</v>
      </c>
      <c r="F10" s="3">
        <f>D10*E10</f>
        <v>776</v>
      </c>
      <c r="G10" s="3">
        <f>0.05*F10</f>
        <v>38.800000000000004</v>
      </c>
      <c r="H10" s="3">
        <f>0.1*F10</f>
        <v>77.600000000000009</v>
      </c>
      <c r="I10" s="7">
        <f>F10*F$2+G10*G$2+H10*H$2</f>
        <v>69171.088000000003</v>
      </c>
    </row>
    <row r="11" spans="1:16" ht="15.75" thickBot="1" x14ac:dyDescent="0.3">
      <c r="A11" s="74" t="s">
        <v>209</v>
      </c>
      <c r="B11" s="3">
        <v>4</v>
      </c>
      <c r="C11" s="3">
        <v>1</v>
      </c>
      <c r="D11" s="3">
        <f t="shared" ref="D11" si="2">B11*C11</f>
        <v>4</v>
      </c>
      <c r="E11" s="3">
        <f>P15</f>
        <v>8</v>
      </c>
      <c r="F11" s="3">
        <f t="shared" ref="F11" si="3">D11*E11</f>
        <v>32</v>
      </c>
      <c r="G11" s="3">
        <f t="shared" ref="G11" si="4">0.05*F11</f>
        <v>1.6</v>
      </c>
      <c r="H11" s="3">
        <f t="shared" ref="H11" si="5">0.1*F11</f>
        <v>3.2</v>
      </c>
      <c r="I11" s="7">
        <f>F11*F$2+G11*G$2+H11*H$2</f>
        <v>2852.4160000000002</v>
      </c>
      <c r="L11" s="52" t="s">
        <v>43</v>
      </c>
      <c r="M11" s="52" t="s">
        <v>44</v>
      </c>
      <c r="N11" s="52" t="s">
        <v>45</v>
      </c>
      <c r="O11" s="52" t="s">
        <v>46</v>
      </c>
      <c r="P11" s="52" t="s">
        <v>47</v>
      </c>
    </row>
    <row r="12" spans="1:16" ht="16.5" thickBot="1" x14ac:dyDescent="0.3">
      <c r="A12" s="5" t="s">
        <v>42</v>
      </c>
      <c r="B12" s="3"/>
      <c r="C12" s="3"/>
      <c r="D12" s="3"/>
      <c r="E12" s="3"/>
      <c r="F12" s="3"/>
      <c r="G12" s="3"/>
      <c r="H12" s="3"/>
      <c r="I12" s="7"/>
      <c r="K12" s="26" t="s">
        <v>49</v>
      </c>
      <c r="L12" s="48">
        <v>195</v>
      </c>
      <c r="M12" s="26">
        <v>0</v>
      </c>
      <c r="N12" s="26">
        <f>0.5*L12</f>
        <v>97.5</v>
      </c>
      <c r="O12" s="49">
        <f>L12</f>
        <v>195</v>
      </c>
      <c r="P12" s="26">
        <v>97</v>
      </c>
    </row>
    <row r="13" spans="1:16" ht="16.5" thickBot="1" x14ac:dyDescent="0.3">
      <c r="A13" s="72" t="s">
        <v>48</v>
      </c>
      <c r="B13" s="3">
        <v>0</v>
      </c>
      <c r="C13" s="3">
        <v>2</v>
      </c>
      <c r="D13" s="3">
        <f t="shared" ref="D13" si="6">B13*C13</f>
        <v>0</v>
      </c>
      <c r="E13" s="3">
        <f>SUM(P$12:P$15)</f>
        <v>105</v>
      </c>
      <c r="F13" s="3">
        <f t="shared" ref="F13" si="7">D13*E13</f>
        <v>0</v>
      </c>
      <c r="G13" s="3">
        <f t="shared" ref="G13" si="8">0.05*F13</f>
        <v>0</v>
      </c>
      <c r="H13" s="3">
        <f t="shared" ref="H13" si="9">0.1*F13</f>
        <v>0</v>
      </c>
      <c r="I13" s="7">
        <f>F13*F$2+G13*G$2+H13*H$2</f>
        <v>0</v>
      </c>
      <c r="K13" s="131" t="s">
        <v>51</v>
      </c>
      <c r="L13" s="132">
        <v>0</v>
      </c>
      <c r="M13" s="131">
        <v>0</v>
      </c>
      <c r="N13" s="131">
        <f t="shared" ref="N13:N15" si="10">0.5*L13</f>
        <v>0</v>
      </c>
      <c r="O13" s="132">
        <f t="shared" ref="O13:O15" si="11">L13</f>
        <v>0</v>
      </c>
      <c r="P13" s="131">
        <f t="shared" ref="P13:P14" si="12">AVERAGE(M13:O13)</f>
        <v>0</v>
      </c>
    </row>
    <row r="14" spans="1:16" ht="15.75" thickBot="1" x14ac:dyDescent="0.3">
      <c r="A14" s="74" t="s">
        <v>50</v>
      </c>
      <c r="B14" s="3">
        <v>0.75</v>
      </c>
      <c r="C14" s="3">
        <v>1</v>
      </c>
      <c r="D14" s="3">
        <f t="shared" ref="D14:D17" si="13">B14*C14</f>
        <v>0.75</v>
      </c>
      <c r="E14" s="3">
        <f>SUMPRODUCT(L27:L37,Q27:Q37)</f>
        <v>405</v>
      </c>
      <c r="F14" s="3">
        <f>D14*E14</f>
        <v>303.75</v>
      </c>
      <c r="G14" s="3">
        <f>0.05*F14</f>
        <v>15.1875</v>
      </c>
      <c r="H14" s="3">
        <f>0.1*F14</f>
        <v>30.375</v>
      </c>
      <c r="I14" s="7">
        <f>F14*F$2+G14*G$2+H14*H$2</f>
        <v>27075.667499999996</v>
      </c>
      <c r="K14" s="131" t="s">
        <v>52</v>
      </c>
      <c r="L14" s="132">
        <v>0</v>
      </c>
      <c r="M14" s="131">
        <v>0</v>
      </c>
      <c r="N14" s="131">
        <f t="shared" si="10"/>
        <v>0</v>
      </c>
      <c r="O14" s="132">
        <f t="shared" si="11"/>
        <v>0</v>
      </c>
      <c r="P14" s="131">
        <f t="shared" si="12"/>
        <v>0</v>
      </c>
    </row>
    <row r="15" spans="1:16" ht="16.5" thickBot="1" x14ac:dyDescent="0.3">
      <c r="A15" s="74" t="s">
        <v>211</v>
      </c>
      <c r="B15" s="3">
        <v>8</v>
      </c>
      <c r="C15" s="3">
        <v>0.2</v>
      </c>
      <c r="D15" s="3">
        <f t="shared" si="13"/>
        <v>1.6</v>
      </c>
      <c r="E15" s="3">
        <v>0</v>
      </c>
      <c r="F15" s="3">
        <f t="shared" ref="F15:F16" si="14">D15*E15</f>
        <v>0</v>
      </c>
      <c r="G15" s="3">
        <f t="shared" ref="G15:G16" si="15">0.05*F15</f>
        <v>0</v>
      </c>
      <c r="H15" s="3">
        <f t="shared" ref="H15:H16" si="16">0.1*F15</f>
        <v>0</v>
      </c>
      <c r="I15" s="7">
        <f t="shared" ref="I15" si="17">F15*F$2+G15*G$2+H15*H$2</f>
        <v>0</v>
      </c>
      <c r="K15" s="26" t="s">
        <v>53</v>
      </c>
      <c r="L15" s="50">
        <v>15</v>
      </c>
      <c r="M15" s="26">
        <v>0</v>
      </c>
      <c r="N15" s="26">
        <f t="shared" si="10"/>
        <v>7.5</v>
      </c>
      <c r="O15" s="49">
        <f t="shared" si="11"/>
        <v>15</v>
      </c>
      <c r="P15" s="26">
        <v>8</v>
      </c>
    </row>
    <row r="16" spans="1:16" ht="16.5" thickBot="1" x14ac:dyDescent="0.3">
      <c r="A16" s="73" t="s">
        <v>212</v>
      </c>
      <c r="B16" s="3">
        <v>8</v>
      </c>
      <c r="C16" s="3">
        <v>1</v>
      </c>
      <c r="D16" s="3">
        <f t="shared" si="13"/>
        <v>8</v>
      </c>
      <c r="E16" s="3">
        <f>P12</f>
        <v>97</v>
      </c>
      <c r="F16" s="3">
        <f t="shared" si="14"/>
        <v>776</v>
      </c>
      <c r="G16" s="3">
        <f t="shared" si="15"/>
        <v>38.800000000000004</v>
      </c>
      <c r="H16" s="3">
        <f t="shared" si="16"/>
        <v>77.600000000000009</v>
      </c>
      <c r="I16" s="7">
        <f>F16*F$2+G16*G$2+H16*H$2</f>
        <v>69171.088000000003</v>
      </c>
      <c r="O16" s="44"/>
    </row>
    <row r="17" spans="1:17" ht="16.5" thickBot="1" x14ac:dyDescent="0.3">
      <c r="A17" s="73" t="s">
        <v>207</v>
      </c>
      <c r="B17" s="3">
        <v>0.2</v>
      </c>
      <c r="C17" s="3">
        <v>365</v>
      </c>
      <c r="D17" s="3">
        <f t="shared" si="13"/>
        <v>73</v>
      </c>
      <c r="E17" s="3">
        <f>P12</f>
        <v>97</v>
      </c>
      <c r="F17" s="3">
        <f>D17*E17</f>
        <v>7081</v>
      </c>
      <c r="G17" s="3">
        <f t="shared" ref="G17" si="18">0.05*F17</f>
        <v>354.05</v>
      </c>
      <c r="H17" s="3">
        <f t="shared" ref="H17" si="19">0.1*F17</f>
        <v>708.1</v>
      </c>
      <c r="I17" s="7">
        <f>F17*F$2+G17*G$2+H17*H$2</f>
        <v>631186.17800000007</v>
      </c>
      <c r="K17" s="75"/>
      <c r="L17" s="46"/>
      <c r="M17" s="75"/>
      <c r="N17" s="75"/>
      <c r="O17" s="76"/>
    </row>
    <row r="18" spans="1:17" ht="15.75" thickBot="1" x14ac:dyDescent="0.3">
      <c r="A18" s="5" t="s">
        <v>54</v>
      </c>
      <c r="B18" s="3"/>
      <c r="C18" s="3"/>
      <c r="D18" s="3"/>
      <c r="E18" s="3"/>
      <c r="F18" s="3"/>
      <c r="G18" s="3"/>
      <c r="H18" s="3"/>
      <c r="I18" s="7"/>
      <c r="K18" s="75"/>
      <c r="L18" s="46"/>
      <c r="M18" s="75"/>
      <c r="N18" s="75"/>
      <c r="O18" s="76"/>
    </row>
    <row r="19" spans="1:17" ht="15.75" thickBot="1" x14ac:dyDescent="0.3">
      <c r="A19" s="71" t="s">
        <v>55</v>
      </c>
      <c r="B19" s="3">
        <v>1</v>
      </c>
      <c r="C19" s="3">
        <v>1</v>
      </c>
      <c r="D19" s="3">
        <f>B19*C19</f>
        <v>1</v>
      </c>
      <c r="E19" s="3">
        <f>P12+P15</f>
        <v>105</v>
      </c>
      <c r="F19" s="3">
        <f t="shared" ref="F19" si="20">D19*E19</f>
        <v>105</v>
      </c>
      <c r="G19" s="3">
        <f t="shared" ref="G19" si="21">0.05*F19</f>
        <v>5.25</v>
      </c>
      <c r="H19" s="3">
        <f t="shared" ref="H19" si="22">0.1*F19</f>
        <v>10.5</v>
      </c>
      <c r="I19" s="7">
        <f>F19*F$2+G19*G$2+H19*H$2</f>
        <v>9359.4900000000016</v>
      </c>
    </row>
    <row r="20" spans="1:17" ht="26.25" customHeight="1" thickBot="1" x14ac:dyDescent="0.3">
      <c r="A20" s="73" t="s">
        <v>224</v>
      </c>
      <c r="B20" s="3">
        <v>5</v>
      </c>
      <c r="C20" s="3">
        <v>2</v>
      </c>
      <c r="D20" s="3">
        <f>B20*C20</f>
        <v>10</v>
      </c>
      <c r="E20" s="41">
        <v>0</v>
      </c>
      <c r="F20" s="3">
        <f t="shared" ref="F20:F21" si="23">D20*E20</f>
        <v>0</v>
      </c>
      <c r="G20" s="3">
        <f t="shared" ref="G20:G21" si="24">0.05*F20</f>
        <v>0</v>
      </c>
      <c r="H20" s="3">
        <f t="shared" ref="H20:H21" si="25">0.1*F20</f>
        <v>0</v>
      </c>
      <c r="I20" s="7">
        <f>F20*F$2+G20*G$2+H20*H$2</f>
        <v>0</v>
      </c>
      <c r="K20" s="75"/>
      <c r="L20" s="46"/>
      <c r="M20" s="75"/>
      <c r="N20" s="75"/>
      <c r="O20" s="76"/>
    </row>
    <row r="21" spans="1:17" ht="29.25" customHeight="1" thickBot="1" x14ac:dyDescent="0.3">
      <c r="A21" s="73" t="s">
        <v>225</v>
      </c>
      <c r="B21" s="3">
        <v>2.5</v>
      </c>
      <c r="C21" s="3">
        <v>2</v>
      </c>
      <c r="D21" s="3">
        <f t="shared" ref="D21:D24" si="26">B21*C21</f>
        <v>5</v>
      </c>
      <c r="E21" s="41">
        <v>0</v>
      </c>
      <c r="F21" s="3">
        <f t="shared" si="23"/>
        <v>0</v>
      </c>
      <c r="G21" s="3">
        <f t="shared" si="24"/>
        <v>0</v>
      </c>
      <c r="H21" s="3">
        <f t="shared" si="25"/>
        <v>0</v>
      </c>
      <c r="I21" s="7">
        <f>F21*F$2+G21*G$2+H21*H$2</f>
        <v>0</v>
      </c>
      <c r="K21" s="75"/>
      <c r="L21" s="75"/>
      <c r="M21" s="75"/>
      <c r="N21" s="75"/>
      <c r="O21" s="76"/>
    </row>
    <row r="22" spans="1:17" ht="15.75" customHeight="1" thickBot="1" x14ac:dyDescent="0.3">
      <c r="A22" s="74" t="s">
        <v>56</v>
      </c>
      <c r="B22" s="3">
        <v>1</v>
      </c>
      <c r="C22" s="3">
        <f>0.2</f>
        <v>0.2</v>
      </c>
      <c r="D22" s="3">
        <f t="shared" si="26"/>
        <v>0.2</v>
      </c>
      <c r="E22" s="41">
        <v>0</v>
      </c>
      <c r="F22" s="3">
        <f t="shared" ref="F22:F24" si="27">D22*E22</f>
        <v>0</v>
      </c>
      <c r="G22" s="3">
        <f t="shared" ref="G22:G24" si="28">0.05*F22</f>
        <v>0</v>
      </c>
      <c r="H22" s="3">
        <f t="shared" ref="H22:H24" si="29">0.1*F22</f>
        <v>0</v>
      </c>
      <c r="I22" s="7">
        <f t="shared" ref="I22:I24" si="30">F22*F$2+G22*G$2+H22*H$2</f>
        <v>0</v>
      </c>
      <c r="K22" s="75"/>
      <c r="L22" s="75"/>
      <c r="M22" s="75"/>
      <c r="N22" s="75"/>
      <c r="O22" s="76"/>
    </row>
    <row r="23" spans="1:17" ht="15.75" thickBot="1" x14ac:dyDescent="0.3">
      <c r="A23" s="74" t="s">
        <v>57</v>
      </c>
      <c r="B23" s="3">
        <v>8</v>
      </c>
      <c r="C23" s="3">
        <v>0.2</v>
      </c>
      <c r="D23" s="3">
        <f t="shared" si="26"/>
        <v>1.6</v>
      </c>
      <c r="E23" s="41">
        <v>0</v>
      </c>
      <c r="F23" s="3">
        <f t="shared" si="27"/>
        <v>0</v>
      </c>
      <c r="G23" s="3">
        <f t="shared" si="28"/>
        <v>0</v>
      </c>
      <c r="H23" s="3">
        <f t="shared" si="29"/>
        <v>0</v>
      </c>
      <c r="I23" s="7">
        <f t="shared" si="30"/>
        <v>0</v>
      </c>
      <c r="K23" s="75"/>
      <c r="L23" s="75"/>
      <c r="M23" s="75"/>
      <c r="N23" s="75"/>
      <c r="O23" s="76"/>
    </row>
    <row r="24" spans="1:17" ht="15.75" thickBot="1" x14ac:dyDescent="0.3">
      <c r="A24" s="74" t="s">
        <v>58</v>
      </c>
      <c r="B24" s="41">
        <v>1</v>
      </c>
      <c r="C24" s="3">
        <v>1</v>
      </c>
      <c r="D24" s="3">
        <f t="shared" si="26"/>
        <v>1</v>
      </c>
      <c r="E24" s="41">
        <f>P12</f>
        <v>97</v>
      </c>
      <c r="F24" s="3">
        <f t="shared" si="27"/>
        <v>97</v>
      </c>
      <c r="G24" s="3">
        <f t="shared" si="28"/>
        <v>4.8500000000000005</v>
      </c>
      <c r="H24" s="3">
        <f t="shared" si="29"/>
        <v>9.7000000000000011</v>
      </c>
      <c r="I24" s="7">
        <f t="shared" si="30"/>
        <v>8646.3860000000004</v>
      </c>
    </row>
    <row r="25" spans="1:17" ht="15.75" thickBot="1" x14ac:dyDescent="0.3">
      <c r="A25" s="74" t="s">
        <v>59</v>
      </c>
      <c r="B25" s="3">
        <v>8</v>
      </c>
      <c r="C25" s="3">
        <v>1</v>
      </c>
      <c r="D25" s="3">
        <f>B25*C25</f>
        <v>8</v>
      </c>
      <c r="E25" s="41">
        <f>P12</f>
        <v>97</v>
      </c>
      <c r="F25" s="3">
        <f>D25*E25</f>
        <v>776</v>
      </c>
      <c r="G25" s="3">
        <f>0.05*F25</f>
        <v>38.800000000000004</v>
      </c>
      <c r="H25" s="3">
        <f>0.1*F25</f>
        <v>77.600000000000009</v>
      </c>
      <c r="I25" s="7">
        <f>F25*F$2+G25*G$2+H25*H$2</f>
        <v>69171.088000000003</v>
      </c>
      <c r="N25" s="122"/>
      <c r="O25" s="122"/>
      <c r="P25" s="122"/>
    </row>
    <row r="26" spans="1:17" ht="15.75" thickBot="1" x14ac:dyDescent="0.3">
      <c r="A26" s="168" t="s">
        <v>213</v>
      </c>
      <c r="B26" s="120">
        <v>40</v>
      </c>
      <c r="C26" s="124">
        <f>1/3</f>
        <v>0.33333333333333331</v>
      </c>
      <c r="D26" s="124">
        <f>B26*C26</f>
        <v>13.333333333333332</v>
      </c>
      <c r="E26" s="125">
        <f>L12</f>
        <v>195</v>
      </c>
      <c r="F26" s="126">
        <f>D26*E26</f>
        <v>2599.9999999999995</v>
      </c>
      <c r="G26" s="127">
        <f>0.05*F26</f>
        <v>129.99999999999997</v>
      </c>
      <c r="H26" s="127">
        <f>0.1*F26</f>
        <v>259.99999999999994</v>
      </c>
      <c r="I26" s="7">
        <f>F26*F$2+G26*G$2+H26*H$2</f>
        <v>231758.79999999996</v>
      </c>
      <c r="K26" s="52" t="s">
        <v>62</v>
      </c>
      <c r="L26" s="52" t="s">
        <v>63</v>
      </c>
      <c r="M26" s="52" t="s">
        <v>64</v>
      </c>
      <c r="N26" s="52" t="s">
        <v>44</v>
      </c>
      <c r="O26" s="52" t="s">
        <v>45</v>
      </c>
      <c r="P26" s="52" t="s">
        <v>46</v>
      </c>
      <c r="Q26" s="52" t="s">
        <v>47</v>
      </c>
    </row>
    <row r="27" spans="1:17" ht="15.75" thickBot="1" x14ac:dyDescent="0.3">
      <c r="A27" s="77" t="s">
        <v>60</v>
      </c>
      <c r="B27" s="78"/>
      <c r="C27" s="78"/>
      <c r="D27" s="78"/>
      <c r="E27" s="78"/>
      <c r="F27" s="79">
        <f>SUM(F$6:F$26)</f>
        <v>12546.75</v>
      </c>
      <c r="G27" s="79">
        <f>SUM(G$6:G$26)</f>
        <v>627.33749999999998</v>
      </c>
      <c r="H27" s="79">
        <f>SUM(H$6:H$26)</f>
        <v>1254.675</v>
      </c>
      <c r="I27" s="80">
        <f>SUM(I$6:I$26)</f>
        <v>1118392.2015</v>
      </c>
      <c r="K27" s="26" t="s">
        <v>67</v>
      </c>
      <c r="L27" s="50"/>
      <c r="M27" s="26">
        <v>0</v>
      </c>
      <c r="N27" s="26">
        <v>0</v>
      </c>
      <c r="O27" s="26">
        <f t="shared" ref="O27:O37" si="31">0.5*M27</f>
        <v>0</v>
      </c>
      <c r="P27" s="49">
        <f t="shared" ref="P27:P37" si="32">M27</f>
        <v>0</v>
      </c>
      <c r="Q27" s="26">
        <f t="shared" ref="Q27:Q37" si="33">AVERAGE(N27:P27)</f>
        <v>0</v>
      </c>
    </row>
    <row r="28" spans="1:17" ht="15.75" thickBot="1" x14ac:dyDescent="0.3">
      <c r="A28" s="57" t="s">
        <v>61</v>
      </c>
      <c r="B28" s="58"/>
      <c r="C28" s="58"/>
      <c r="D28" s="58"/>
      <c r="E28" s="58"/>
      <c r="F28" s="59"/>
      <c r="G28" s="59"/>
      <c r="H28" s="59"/>
      <c r="I28" s="60"/>
      <c r="K28" s="26" t="s">
        <v>69</v>
      </c>
      <c r="L28" s="141">
        <v>2</v>
      </c>
      <c r="M28" s="142">
        <v>6</v>
      </c>
      <c r="N28" s="26">
        <v>0</v>
      </c>
      <c r="O28" s="26">
        <f t="shared" si="31"/>
        <v>3</v>
      </c>
      <c r="P28" s="49">
        <f t="shared" si="32"/>
        <v>6</v>
      </c>
      <c r="Q28" s="26">
        <f t="shared" si="33"/>
        <v>3</v>
      </c>
    </row>
    <row r="29" spans="1:17" ht="15.75" thickBot="1" x14ac:dyDescent="0.3">
      <c r="A29" s="72" t="s">
        <v>65</v>
      </c>
      <c r="B29" s="3" t="s">
        <v>66</v>
      </c>
      <c r="C29" s="3"/>
      <c r="D29" s="3"/>
      <c r="E29" s="3"/>
      <c r="F29" s="62"/>
      <c r="G29" s="62"/>
      <c r="H29" s="62"/>
      <c r="I29" s="65"/>
      <c r="K29" s="139" t="s">
        <v>69</v>
      </c>
      <c r="L29" s="138">
        <v>3</v>
      </c>
      <c r="M29" s="138">
        <v>33</v>
      </c>
      <c r="N29" s="140">
        <v>0</v>
      </c>
      <c r="O29" s="26">
        <f t="shared" si="31"/>
        <v>16.5</v>
      </c>
      <c r="P29" s="49">
        <f t="shared" si="32"/>
        <v>33</v>
      </c>
      <c r="Q29" s="26">
        <f t="shared" si="33"/>
        <v>16.5</v>
      </c>
    </row>
    <row r="30" spans="1:17" ht="15.75" customHeight="1" thickBot="1" x14ac:dyDescent="0.3">
      <c r="A30" s="57" t="s">
        <v>68</v>
      </c>
      <c r="B30" s="58">
        <v>3</v>
      </c>
      <c r="C30" s="58">
        <v>1</v>
      </c>
      <c r="D30" s="3">
        <f t="shared" ref="D30:D36" si="34">B30*C30</f>
        <v>3</v>
      </c>
      <c r="E30" s="58">
        <f t="shared" ref="E30:E36" si="35">SUM(P$12:P$15)</f>
        <v>105</v>
      </c>
      <c r="F30" s="3">
        <f>D30*E30</f>
        <v>315</v>
      </c>
      <c r="G30" s="3">
        <f>0.05*F30</f>
        <v>15.75</v>
      </c>
      <c r="H30" s="3">
        <f>0.1*F30</f>
        <v>31.5</v>
      </c>
      <c r="I30" s="7">
        <f t="shared" ref="I30:I36" si="36">F30*F$2+G30*G$2+H30*H$2</f>
        <v>28078.469999999998</v>
      </c>
      <c r="K30" s="139" t="s">
        <v>72</v>
      </c>
      <c r="L30" s="138">
        <v>3</v>
      </c>
      <c r="M30" s="138">
        <v>15</v>
      </c>
      <c r="N30" s="140">
        <v>0</v>
      </c>
      <c r="O30" s="26">
        <f t="shared" si="31"/>
        <v>7.5</v>
      </c>
      <c r="P30" s="49">
        <f t="shared" si="32"/>
        <v>15</v>
      </c>
      <c r="Q30" s="26">
        <f t="shared" si="33"/>
        <v>7.5</v>
      </c>
    </row>
    <row r="31" spans="1:17" ht="15.75" customHeight="1" thickBot="1" x14ac:dyDescent="0.3">
      <c r="A31" s="70" t="s">
        <v>70</v>
      </c>
      <c r="B31" s="63">
        <v>6</v>
      </c>
      <c r="C31" s="64">
        <v>1</v>
      </c>
      <c r="D31" s="3">
        <f t="shared" si="34"/>
        <v>6</v>
      </c>
      <c r="E31" s="58">
        <f t="shared" si="35"/>
        <v>105</v>
      </c>
      <c r="F31" s="3">
        <f t="shared" ref="F31:F36" si="37">D31*E31</f>
        <v>630</v>
      </c>
      <c r="G31" s="3">
        <f t="shared" ref="G31:G36" si="38">0.05*F31</f>
        <v>31.5</v>
      </c>
      <c r="H31" s="3">
        <f t="shared" ref="H31:H36" si="39">0.1*F31</f>
        <v>63</v>
      </c>
      <c r="I31" s="7">
        <f t="shared" si="36"/>
        <v>56156.939999999995</v>
      </c>
      <c r="K31" s="26" t="s">
        <v>72</v>
      </c>
      <c r="L31" s="143">
        <v>4</v>
      </c>
      <c r="M31" s="144">
        <v>63</v>
      </c>
      <c r="N31" s="26">
        <v>0</v>
      </c>
      <c r="O31" s="26">
        <f t="shared" si="31"/>
        <v>31.5</v>
      </c>
      <c r="P31" s="49">
        <f t="shared" si="32"/>
        <v>63</v>
      </c>
      <c r="Q31" s="26">
        <f t="shared" si="33"/>
        <v>31.5</v>
      </c>
    </row>
    <row r="32" spans="1:17" ht="15.75" thickBot="1" x14ac:dyDescent="0.3">
      <c r="A32" s="69" t="s">
        <v>71</v>
      </c>
      <c r="B32" s="63">
        <v>1</v>
      </c>
      <c r="C32" s="64">
        <v>1</v>
      </c>
      <c r="D32" s="3">
        <f t="shared" si="34"/>
        <v>1</v>
      </c>
      <c r="E32" s="58">
        <f t="shared" si="35"/>
        <v>105</v>
      </c>
      <c r="F32" s="3">
        <f t="shared" si="37"/>
        <v>105</v>
      </c>
      <c r="G32" s="3">
        <f t="shared" si="38"/>
        <v>5.25</v>
      </c>
      <c r="H32" s="3">
        <f t="shared" si="39"/>
        <v>10.5</v>
      </c>
      <c r="I32" s="7">
        <f t="shared" si="36"/>
        <v>9359.4900000000016</v>
      </c>
      <c r="K32" s="26" t="s">
        <v>75</v>
      </c>
      <c r="L32" s="50">
        <v>4</v>
      </c>
      <c r="M32" s="26">
        <v>20</v>
      </c>
      <c r="N32" s="26">
        <v>0</v>
      </c>
      <c r="O32" s="26">
        <f t="shared" si="31"/>
        <v>10</v>
      </c>
      <c r="P32" s="49">
        <f t="shared" si="32"/>
        <v>20</v>
      </c>
      <c r="Q32" s="26">
        <f t="shared" si="33"/>
        <v>10</v>
      </c>
    </row>
    <row r="33" spans="1:17" ht="15.75" thickBot="1" x14ac:dyDescent="0.3">
      <c r="A33" s="69" t="s">
        <v>73</v>
      </c>
      <c r="B33" s="63">
        <v>0.5</v>
      </c>
      <c r="C33" s="64">
        <v>2</v>
      </c>
      <c r="D33" s="3">
        <f t="shared" si="34"/>
        <v>1</v>
      </c>
      <c r="E33" s="58">
        <f t="shared" si="35"/>
        <v>105</v>
      </c>
      <c r="F33" s="3">
        <f t="shared" si="37"/>
        <v>105</v>
      </c>
      <c r="G33" s="3">
        <f t="shared" si="38"/>
        <v>5.25</v>
      </c>
      <c r="H33" s="3">
        <f t="shared" si="39"/>
        <v>10.5</v>
      </c>
      <c r="I33" s="7">
        <f t="shared" si="36"/>
        <v>9359.4900000000016</v>
      </c>
      <c r="K33" s="26" t="s">
        <v>75</v>
      </c>
      <c r="L33">
        <v>5</v>
      </c>
      <c r="M33">
        <v>58</v>
      </c>
      <c r="N33" s="26">
        <v>0</v>
      </c>
      <c r="O33" s="26">
        <f t="shared" si="31"/>
        <v>29</v>
      </c>
      <c r="P33" s="49">
        <f t="shared" si="32"/>
        <v>58</v>
      </c>
      <c r="Q33" s="26">
        <f t="shared" si="33"/>
        <v>29</v>
      </c>
    </row>
    <row r="34" spans="1:17" ht="15.75" thickBot="1" x14ac:dyDescent="0.3">
      <c r="A34" s="69" t="s">
        <v>74</v>
      </c>
      <c r="B34" s="63">
        <v>2</v>
      </c>
      <c r="C34" s="64">
        <v>1</v>
      </c>
      <c r="D34" s="3">
        <f t="shared" si="34"/>
        <v>2</v>
      </c>
      <c r="E34" s="58">
        <f t="shared" si="35"/>
        <v>105</v>
      </c>
      <c r="F34" s="3">
        <f t="shared" si="37"/>
        <v>210</v>
      </c>
      <c r="G34" s="3">
        <f t="shared" si="38"/>
        <v>10.5</v>
      </c>
      <c r="H34" s="3">
        <f t="shared" si="39"/>
        <v>21</v>
      </c>
      <c r="I34" s="7">
        <f t="shared" si="36"/>
        <v>18718.980000000003</v>
      </c>
      <c r="K34" s="26" t="s">
        <v>78</v>
      </c>
      <c r="L34" s="141">
        <v>3</v>
      </c>
      <c r="M34" s="26">
        <v>2</v>
      </c>
      <c r="N34" s="26">
        <v>0</v>
      </c>
      <c r="O34" s="26">
        <f t="shared" si="31"/>
        <v>1</v>
      </c>
      <c r="P34" s="49">
        <f t="shared" si="32"/>
        <v>2</v>
      </c>
      <c r="Q34" s="26">
        <f t="shared" si="33"/>
        <v>1</v>
      </c>
    </row>
    <row r="35" spans="1:17" ht="26.25" thickBot="1" x14ac:dyDescent="0.3">
      <c r="A35" s="133" t="s">
        <v>76</v>
      </c>
      <c r="B35" s="134">
        <v>2</v>
      </c>
      <c r="C35" s="135">
        <v>1</v>
      </c>
      <c r="D35" s="41">
        <f t="shared" si="34"/>
        <v>2</v>
      </c>
      <c r="E35" s="136">
        <f t="shared" si="35"/>
        <v>105</v>
      </c>
      <c r="F35" s="41">
        <f t="shared" si="37"/>
        <v>210</v>
      </c>
      <c r="G35" s="41">
        <f t="shared" si="38"/>
        <v>10.5</v>
      </c>
      <c r="H35" s="41">
        <f t="shared" si="39"/>
        <v>21</v>
      </c>
      <c r="I35" s="137">
        <f t="shared" si="36"/>
        <v>18718.980000000003</v>
      </c>
      <c r="K35" s="145" t="s">
        <v>78</v>
      </c>
      <c r="L35" s="138">
        <v>4</v>
      </c>
      <c r="M35" s="140">
        <v>2</v>
      </c>
      <c r="N35" s="26">
        <v>0</v>
      </c>
      <c r="O35" s="26">
        <f t="shared" si="31"/>
        <v>1</v>
      </c>
      <c r="P35" s="49">
        <f t="shared" si="32"/>
        <v>2</v>
      </c>
      <c r="Q35" s="26">
        <f t="shared" si="33"/>
        <v>1</v>
      </c>
    </row>
    <row r="36" spans="1:17" ht="15.75" thickBot="1" x14ac:dyDescent="0.3">
      <c r="A36" s="69" t="s">
        <v>77</v>
      </c>
      <c r="B36" s="63">
        <v>0.25</v>
      </c>
      <c r="C36" s="64">
        <v>2</v>
      </c>
      <c r="D36" s="3">
        <f t="shared" si="34"/>
        <v>0.5</v>
      </c>
      <c r="E36" s="58">
        <f t="shared" si="35"/>
        <v>105</v>
      </c>
      <c r="F36" s="3">
        <f t="shared" si="37"/>
        <v>52.5</v>
      </c>
      <c r="G36" s="3">
        <f t="shared" si="38"/>
        <v>2.625</v>
      </c>
      <c r="H36" s="3">
        <f t="shared" si="39"/>
        <v>5.25</v>
      </c>
      <c r="I36" s="7">
        <f t="shared" si="36"/>
        <v>4679.7450000000008</v>
      </c>
      <c r="K36" s="145" t="s">
        <v>81</v>
      </c>
      <c r="L36" s="146">
        <v>4</v>
      </c>
      <c r="M36" s="140">
        <v>2</v>
      </c>
      <c r="N36" s="26">
        <v>0</v>
      </c>
      <c r="O36" s="26">
        <f t="shared" si="31"/>
        <v>1</v>
      </c>
      <c r="P36" s="49">
        <f t="shared" si="32"/>
        <v>2</v>
      </c>
      <c r="Q36" s="26">
        <f t="shared" si="33"/>
        <v>1</v>
      </c>
    </row>
    <row r="37" spans="1:17" ht="15.75" thickBot="1" x14ac:dyDescent="0.3">
      <c r="A37" s="81" t="s">
        <v>79</v>
      </c>
      <c r="B37" s="82"/>
      <c r="C37" s="83"/>
      <c r="D37" s="83"/>
      <c r="E37" s="83"/>
      <c r="F37" s="182">
        <f>SUM(F$30:F$36)</f>
        <v>1627.5</v>
      </c>
      <c r="G37" s="182">
        <f>SUM(G$30:G$36)</f>
        <v>81.375</v>
      </c>
      <c r="H37" s="182">
        <f>SUM(H$30:H$36)</f>
        <v>162.75</v>
      </c>
      <c r="I37" s="84">
        <f>SUM(I$30:I$36)</f>
        <v>145072.095</v>
      </c>
      <c r="K37" s="145" t="s">
        <v>81</v>
      </c>
      <c r="L37" s="138">
        <v>5</v>
      </c>
      <c r="M37" s="140">
        <v>2</v>
      </c>
      <c r="N37" s="26">
        <v>0</v>
      </c>
      <c r="O37" s="26">
        <f t="shared" si="31"/>
        <v>1</v>
      </c>
      <c r="P37" s="49">
        <f t="shared" si="32"/>
        <v>2</v>
      </c>
      <c r="Q37" s="26">
        <f t="shared" si="33"/>
        <v>1</v>
      </c>
    </row>
    <row r="38" spans="1:17" ht="15.75" thickBot="1" x14ac:dyDescent="0.3">
      <c r="A38" s="85" t="s">
        <v>80</v>
      </c>
      <c r="B38" s="87"/>
      <c r="C38" s="3"/>
      <c r="D38" s="3"/>
      <c r="E38" s="87"/>
      <c r="F38" s="172">
        <f>SUM(F27:H27)+SUM(F37:H37)</f>
        <v>16300.387499999999</v>
      </c>
      <c r="G38" s="173"/>
      <c r="H38" s="174"/>
      <c r="I38" s="66">
        <f>I27+I37</f>
        <v>1263464.2964999999</v>
      </c>
    </row>
    <row r="39" spans="1:17" ht="15.75" thickBot="1" x14ac:dyDescent="0.3">
      <c r="A39" s="86" t="s">
        <v>82</v>
      </c>
      <c r="B39" s="88"/>
      <c r="C39" s="61"/>
      <c r="D39" s="89"/>
      <c r="E39" s="61"/>
      <c r="F39" s="61"/>
      <c r="G39" s="89"/>
      <c r="H39" s="61"/>
      <c r="I39" s="90">
        <f>G55</f>
        <v>0</v>
      </c>
    </row>
    <row r="40" spans="1:17" ht="15.75" thickBot="1" x14ac:dyDescent="0.3">
      <c r="A40" s="86" t="s">
        <v>83</v>
      </c>
      <c r="B40" s="61"/>
      <c r="C40" s="61"/>
      <c r="D40" s="61"/>
      <c r="E40" s="61"/>
      <c r="F40" s="106"/>
      <c r="G40" s="108"/>
      <c r="H40" s="107"/>
      <c r="I40" s="105">
        <f>I38+I39</f>
        <v>1263464.2964999999</v>
      </c>
    </row>
    <row r="41" spans="1:17" x14ac:dyDescent="0.25">
      <c r="A41" s="8" t="s">
        <v>84</v>
      </c>
      <c r="B41" s="8"/>
    </row>
    <row r="42" spans="1:17" ht="15.75" x14ac:dyDescent="0.25">
      <c r="A42" s="9" t="s">
        <v>85</v>
      </c>
      <c r="B42" s="9"/>
    </row>
    <row r="43" spans="1:17" ht="15.75" x14ac:dyDescent="0.25">
      <c r="A43" s="9" t="s">
        <v>86</v>
      </c>
      <c r="B43" s="9"/>
    </row>
    <row r="44" spans="1:17" ht="15.75" x14ac:dyDescent="0.25">
      <c r="A44" s="9" t="s">
        <v>87</v>
      </c>
      <c r="B44" s="9"/>
    </row>
    <row r="45" spans="1:17" ht="15.75" x14ac:dyDescent="0.25">
      <c r="A45" s="9" t="s">
        <v>88</v>
      </c>
      <c r="B45" s="9"/>
    </row>
    <row r="46" spans="1:17" ht="15.75" x14ac:dyDescent="0.25">
      <c r="A46" s="9" t="s">
        <v>89</v>
      </c>
      <c r="B46" s="9"/>
    </row>
    <row r="47" spans="1:17" ht="15.75" x14ac:dyDescent="0.25">
      <c r="A47" s="9" t="s">
        <v>201</v>
      </c>
      <c r="B47" s="9"/>
    </row>
    <row r="48" spans="1:17" ht="15.75" x14ac:dyDescent="0.25">
      <c r="A48" s="9" t="s">
        <v>202</v>
      </c>
      <c r="B48" s="9"/>
      <c r="D48" s="183"/>
      <c r="E48" s="183"/>
      <c r="J48" s="21"/>
    </row>
    <row r="49" spans="1:14" ht="15.75" x14ac:dyDescent="0.25">
      <c r="A49" s="9" t="s">
        <v>221</v>
      </c>
      <c r="B49" s="9"/>
      <c r="D49" s="183"/>
      <c r="E49" s="183"/>
      <c r="J49" s="21"/>
    </row>
    <row r="50" spans="1:14" ht="15.75" x14ac:dyDescent="0.25">
      <c r="A50" s="9"/>
      <c r="B50" s="9"/>
      <c r="J50" s="21"/>
    </row>
    <row r="51" spans="1:14" x14ac:dyDescent="0.25">
      <c r="A51" s="97" t="s">
        <v>4</v>
      </c>
      <c r="B51" s="103" t="s">
        <v>5</v>
      </c>
      <c r="C51" s="98" t="s">
        <v>6</v>
      </c>
      <c r="D51" s="103" t="s">
        <v>7</v>
      </c>
      <c r="E51" s="98" t="s">
        <v>8</v>
      </c>
      <c r="F51" s="103" t="s">
        <v>9</v>
      </c>
      <c r="G51" s="99" t="s">
        <v>10</v>
      </c>
      <c r="J51" s="21"/>
    </row>
    <row r="52" spans="1:14" ht="51" x14ac:dyDescent="0.25">
      <c r="A52" s="100" t="s">
        <v>90</v>
      </c>
      <c r="B52" s="104" t="s">
        <v>91</v>
      </c>
      <c r="C52" s="101" t="s">
        <v>92</v>
      </c>
      <c r="D52" s="104" t="s">
        <v>93</v>
      </c>
      <c r="E52" s="101" t="s">
        <v>94</v>
      </c>
      <c r="F52" s="104" t="s">
        <v>95</v>
      </c>
      <c r="G52" s="102" t="s">
        <v>96</v>
      </c>
      <c r="J52" s="21"/>
    </row>
    <row r="53" spans="1:14" x14ac:dyDescent="0.25">
      <c r="A53" s="94" t="s">
        <v>97</v>
      </c>
      <c r="B53" s="95">
        <v>750</v>
      </c>
      <c r="C53" s="96">
        <v>0</v>
      </c>
      <c r="D53" s="95">
        <f>B53*C53</f>
        <v>0</v>
      </c>
      <c r="E53" s="115">
        <v>100</v>
      </c>
      <c r="F53" s="116">
        <v>0</v>
      </c>
      <c r="G53" s="95">
        <f>E53*F53</f>
        <v>0</v>
      </c>
      <c r="J53" s="21"/>
    </row>
    <row r="54" spans="1:14" ht="15.75" thickBot="1" x14ac:dyDescent="0.3">
      <c r="A54" s="13" t="s">
        <v>98</v>
      </c>
      <c r="B54" s="14">
        <v>100000</v>
      </c>
      <c r="C54" s="15">
        <v>0</v>
      </c>
      <c r="D54" s="14">
        <f>B54*C54</f>
        <v>0</v>
      </c>
      <c r="E54" s="92">
        <v>10000</v>
      </c>
      <c r="F54" s="117">
        <v>0</v>
      </c>
      <c r="G54" s="14">
        <f>E54*F54</f>
        <v>0</v>
      </c>
      <c r="J54" s="21"/>
    </row>
    <row r="55" spans="1:14" ht="32.25" thickBot="1" x14ac:dyDescent="0.3">
      <c r="A55" s="13" t="s">
        <v>64</v>
      </c>
      <c r="B55" s="15"/>
      <c r="C55" s="15"/>
      <c r="D55" s="14">
        <f>SUM(D53:D54)</f>
        <v>0</v>
      </c>
      <c r="E55" s="15"/>
      <c r="F55" s="15"/>
      <c r="G55" s="14">
        <f>SUM(G53:G54)</f>
        <v>0</v>
      </c>
      <c r="J55" s="21"/>
      <c r="K55" s="93" t="s">
        <v>100</v>
      </c>
      <c r="L55" s="68" t="s">
        <v>101</v>
      </c>
      <c r="M55" s="68" t="s">
        <v>102</v>
      </c>
      <c r="N55" s="68" t="s">
        <v>103</v>
      </c>
    </row>
    <row r="56" spans="1:14" ht="16.5" thickBot="1" x14ac:dyDescent="0.3">
      <c r="A56" s="9"/>
      <c r="B56" s="9"/>
      <c r="J56" s="21"/>
      <c r="K56" s="16" t="s">
        <v>105</v>
      </c>
      <c r="L56" s="17">
        <v>42.73</v>
      </c>
      <c r="M56" s="18">
        <f>0.6*L56</f>
        <v>25.637999999999998</v>
      </c>
      <c r="N56" s="18">
        <f>L56+M56</f>
        <v>68.367999999999995</v>
      </c>
    </row>
    <row r="57" spans="1:14" ht="16.5" thickBot="1" x14ac:dyDescent="0.3">
      <c r="A57" s="67" t="s">
        <v>99</v>
      </c>
      <c r="B57" s="21"/>
      <c r="C57" s="21"/>
      <c r="D57" s="21"/>
      <c r="E57" s="21"/>
      <c r="F57" s="21"/>
      <c r="J57" s="21"/>
      <c r="K57" s="16" t="s">
        <v>115</v>
      </c>
      <c r="L57" s="17">
        <v>31.7</v>
      </c>
      <c r="M57" s="18">
        <f>0.6*L57</f>
        <v>19.02</v>
      </c>
      <c r="N57" s="18">
        <f>L57+M57</f>
        <v>50.72</v>
      </c>
    </row>
    <row r="58" spans="1:14" ht="16.5" thickBot="1" x14ac:dyDescent="0.3">
      <c r="A58" s="21"/>
      <c r="B58" s="21"/>
      <c r="C58" s="21"/>
      <c r="D58" s="21"/>
      <c r="E58" s="22" t="s">
        <v>104</v>
      </c>
      <c r="F58" s="23">
        <f>Burden_MajorSource!N57</f>
        <v>50.72</v>
      </c>
      <c r="G58" s="23">
        <f>Burden_MajorSource!N56</f>
        <v>68.367999999999995</v>
      </c>
      <c r="H58" s="23">
        <f>Burden_MajorSource!N58</f>
        <v>27.456</v>
      </c>
      <c r="I58" s="21"/>
      <c r="J58" s="21"/>
      <c r="K58" s="16" t="s">
        <v>117</v>
      </c>
      <c r="L58" s="17">
        <v>17.16</v>
      </c>
      <c r="M58" s="18">
        <f>0.6*L58</f>
        <v>10.295999999999999</v>
      </c>
      <c r="N58" s="18">
        <f>L58+M58</f>
        <v>27.456</v>
      </c>
    </row>
    <row r="59" spans="1:14" ht="60" x14ac:dyDescent="0.25">
      <c r="A59" s="24" t="s">
        <v>106</v>
      </c>
      <c r="B59" s="24" t="s">
        <v>107</v>
      </c>
      <c r="C59" s="24" t="s">
        <v>108</v>
      </c>
      <c r="D59" s="24" t="s">
        <v>109</v>
      </c>
      <c r="E59" s="24" t="s">
        <v>110</v>
      </c>
      <c r="F59" s="24" t="s">
        <v>111</v>
      </c>
      <c r="G59" s="24" t="s">
        <v>112</v>
      </c>
      <c r="H59" s="24" t="s">
        <v>113</v>
      </c>
      <c r="I59" s="24" t="s">
        <v>114</v>
      </c>
      <c r="J59" s="21"/>
      <c r="K59" s="19" t="s">
        <v>119</v>
      </c>
    </row>
    <row r="60" spans="1:14" ht="15.75" x14ac:dyDescent="0.25">
      <c r="A60" s="12" t="s">
        <v>116</v>
      </c>
      <c r="B60" s="11"/>
      <c r="C60" s="11"/>
      <c r="D60" s="11"/>
      <c r="E60" s="11"/>
      <c r="F60" s="34"/>
      <c r="G60" s="34"/>
      <c r="H60" s="34"/>
      <c r="I60" s="35"/>
      <c r="J60" s="21"/>
      <c r="K60" s="20" t="s">
        <v>121</v>
      </c>
    </row>
    <row r="61" spans="1:14" ht="15.75" x14ac:dyDescent="0.25">
      <c r="A61" s="40" t="s">
        <v>118</v>
      </c>
      <c r="B61" s="11">
        <v>2</v>
      </c>
      <c r="C61" s="11">
        <v>1</v>
      </c>
      <c r="D61" s="11">
        <f>B61*C61</f>
        <v>2</v>
      </c>
      <c r="E61" s="11">
        <v>0</v>
      </c>
      <c r="F61" s="34">
        <f>D61*E61</f>
        <v>0</v>
      </c>
      <c r="G61" s="34">
        <f>F61*0.05</f>
        <v>0</v>
      </c>
      <c r="H61" s="34">
        <f>F61*0.1</f>
        <v>0</v>
      </c>
      <c r="I61" s="35">
        <f t="shared" ref="I61:I68" si="40">F61*F$58+G61*G$58+H61*H$58</f>
        <v>0</v>
      </c>
      <c r="J61" s="21"/>
    </row>
    <row r="62" spans="1:14" ht="15.75" x14ac:dyDescent="0.25">
      <c r="A62" s="40" t="s">
        <v>186</v>
      </c>
      <c r="B62" s="28">
        <v>1</v>
      </c>
      <c r="C62" s="28">
        <v>0.2</v>
      </c>
      <c r="D62" s="11">
        <f t="shared" ref="D62:D68" si="41">B62*C62</f>
        <v>0.2</v>
      </c>
      <c r="E62" s="119">
        <v>0</v>
      </c>
      <c r="F62" s="34">
        <f t="shared" ref="F62:F68" si="42">D62*E62</f>
        <v>0</v>
      </c>
      <c r="G62" s="34">
        <f t="shared" ref="G62:G68" si="43">F62*0.05</f>
        <v>0</v>
      </c>
      <c r="H62" s="34">
        <f t="shared" ref="H62:H66" si="44">F62*0.1</f>
        <v>0</v>
      </c>
      <c r="I62" s="35">
        <f t="shared" si="40"/>
        <v>0</v>
      </c>
      <c r="J62" s="21"/>
    </row>
    <row r="63" spans="1:14" ht="15.75" x14ac:dyDescent="0.25">
      <c r="A63" s="40" t="s">
        <v>204</v>
      </c>
      <c r="B63" s="28">
        <v>1</v>
      </c>
      <c r="C63" s="28">
        <v>1</v>
      </c>
      <c r="D63" s="11">
        <f t="shared" ref="D63" si="45">B63*C63</f>
        <v>1</v>
      </c>
      <c r="E63" s="119">
        <f>P12</f>
        <v>97</v>
      </c>
      <c r="F63" s="34">
        <f>D63*E63</f>
        <v>97</v>
      </c>
      <c r="G63" s="34">
        <f t="shared" ref="G63" si="46">F63*0.05</f>
        <v>4.8500000000000005</v>
      </c>
      <c r="H63" s="34">
        <f t="shared" ref="H63" si="47">F63*0.1</f>
        <v>9.7000000000000011</v>
      </c>
      <c r="I63" s="35">
        <f t="shared" si="40"/>
        <v>5517.7479999999996</v>
      </c>
      <c r="J63" s="21"/>
    </row>
    <row r="64" spans="1:14" ht="15.75" x14ac:dyDescent="0.25">
      <c r="A64" s="121" t="s">
        <v>122</v>
      </c>
      <c r="B64" s="11">
        <v>2</v>
      </c>
      <c r="C64" s="11">
        <v>1</v>
      </c>
      <c r="D64" s="11">
        <f t="shared" si="41"/>
        <v>2</v>
      </c>
      <c r="E64" s="148">
        <f>L12</f>
        <v>195</v>
      </c>
      <c r="F64" s="34">
        <f t="shared" si="42"/>
        <v>390</v>
      </c>
      <c r="G64" s="34">
        <f t="shared" si="43"/>
        <v>19.5</v>
      </c>
      <c r="H64" s="34">
        <f t="shared" si="44"/>
        <v>39</v>
      </c>
      <c r="I64" s="35">
        <f t="shared" si="40"/>
        <v>22184.76</v>
      </c>
      <c r="J64" s="21"/>
    </row>
    <row r="65" spans="1:10" ht="15.75" x14ac:dyDescent="0.25">
      <c r="A65" s="40" t="s">
        <v>123</v>
      </c>
      <c r="B65" s="11">
        <v>2</v>
      </c>
      <c r="C65" s="11">
        <v>1</v>
      </c>
      <c r="D65" s="11">
        <f t="shared" si="41"/>
        <v>2</v>
      </c>
      <c r="E65" s="11">
        <f>P12+P15</f>
        <v>105</v>
      </c>
      <c r="F65" s="34">
        <f t="shared" si="42"/>
        <v>210</v>
      </c>
      <c r="G65" s="34">
        <f t="shared" si="43"/>
        <v>10.5</v>
      </c>
      <c r="H65" s="34">
        <f t="shared" si="44"/>
        <v>21</v>
      </c>
      <c r="I65" s="35">
        <f t="shared" si="40"/>
        <v>11945.64</v>
      </c>
      <c r="J65" s="21"/>
    </row>
    <row r="66" spans="1:10" ht="15.75" x14ac:dyDescent="0.25">
      <c r="A66" s="40" t="s">
        <v>187</v>
      </c>
      <c r="B66" s="28">
        <v>2</v>
      </c>
      <c r="C66" s="28">
        <v>0.2</v>
      </c>
      <c r="D66" s="11">
        <f t="shared" si="41"/>
        <v>0.4</v>
      </c>
      <c r="E66" s="28">
        <v>0</v>
      </c>
      <c r="F66" s="34">
        <f t="shared" si="42"/>
        <v>0</v>
      </c>
      <c r="G66" s="34">
        <f t="shared" si="43"/>
        <v>0</v>
      </c>
      <c r="H66" s="34">
        <f t="shared" si="44"/>
        <v>0</v>
      </c>
      <c r="I66" s="35">
        <f t="shared" si="40"/>
        <v>0</v>
      </c>
      <c r="J66" s="21"/>
    </row>
    <row r="67" spans="1:10" ht="15.75" x14ac:dyDescent="0.25">
      <c r="A67" s="40" t="s">
        <v>188</v>
      </c>
      <c r="B67" s="28">
        <v>2</v>
      </c>
      <c r="C67" s="28">
        <v>1</v>
      </c>
      <c r="D67" s="11">
        <f t="shared" si="41"/>
        <v>2</v>
      </c>
      <c r="E67" s="28">
        <f>P12</f>
        <v>97</v>
      </c>
      <c r="F67" s="34">
        <f t="shared" ref="F67" si="48">D67*E67</f>
        <v>194</v>
      </c>
      <c r="G67" s="34">
        <f t="shared" ref="G67" si="49">F67*0.05</f>
        <v>9.7000000000000011</v>
      </c>
      <c r="H67" s="34">
        <f t="shared" ref="H67" si="50">F67*0.1</f>
        <v>19.400000000000002</v>
      </c>
      <c r="I67" s="35">
        <f t="shared" si="40"/>
        <v>11035.495999999999</v>
      </c>
      <c r="J67" s="21"/>
    </row>
    <row r="68" spans="1:10" ht="15.75" x14ac:dyDescent="0.25">
      <c r="A68" s="40" t="s">
        <v>223</v>
      </c>
      <c r="B68" s="28">
        <v>2</v>
      </c>
      <c r="C68" s="28">
        <v>2</v>
      </c>
      <c r="D68" s="11">
        <f t="shared" si="41"/>
        <v>4</v>
      </c>
      <c r="E68" s="119">
        <v>0</v>
      </c>
      <c r="F68" s="34">
        <f t="shared" si="42"/>
        <v>0</v>
      </c>
      <c r="G68" s="34">
        <f t="shared" si="43"/>
        <v>0</v>
      </c>
      <c r="H68" s="34">
        <f>F68*0.1</f>
        <v>0</v>
      </c>
      <c r="I68" s="35">
        <f t="shared" si="40"/>
        <v>0</v>
      </c>
      <c r="J68" s="21"/>
    </row>
    <row r="69" spans="1:10" x14ac:dyDescent="0.25">
      <c r="A69" s="91" t="s">
        <v>124</v>
      </c>
      <c r="B69" s="36"/>
      <c r="C69" s="36"/>
      <c r="D69" s="36"/>
      <c r="E69" s="36"/>
      <c r="F69" s="169">
        <f>SUM(F61:H68)</f>
        <v>1024.6500000000001</v>
      </c>
      <c r="G69" s="170"/>
      <c r="H69" s="171"/>
      <c r="I69" s="37">
        <f>SUM(I61:I68)</f>
        <v>50683.644</v>
      </c>
      <c r="J69" s="21"/>
    </row>
    <row r="70" spans="1:10" x14ac:dyDescent="0.25">
      <c r="A70" s="21"/>
      <c r="B70" s="21"/>
      <c r="C70" s="21"/>
      <c r="D70" s="21"/>
      <c r="E70" s="21"/>
      <c r="F70" s="21"/>
      <c r="J70" s="21"/>
    </row>
    <row r="71" spans="1:10" x14ac:dyDescent="0.25">
      <c r="A71" s="38" t="s">
        <v>84</v>
      </c>
      <c r="B71" s="21"/>
      <c r="C71" s="21"/>
      <c r="D71" s="21"/>
      <c r="E71" s="21"/>
      <c r="F71" s="21"/>
      <c r="G71" s="21"/>
      <c r="H71" s="21"/>
      <c r="I71" s="21"/>
      <c r="J71" s="21"/>
    </row>
    <row r="72" spans="1:10" ht="15.75" x14ac:dyDescent="0.25">
      <c r="A72" s="39" t="s">
        <v>125</v>
      </c>
      <c r="B72" s="21"/>
      <c r="C72" s="21"/>
      <c r="D72" s="21"/>
      <c r="E72" s="21"/>
      <c r="F72" s="21"/>
      <c r="G72" s="21"/>
      <c r="H72" s="21"/>
      <c r="I72" s="21"/>
      <c r="J72" s="21"/>
    </row>
    <row r="73" spans="1:10" ht="15.75" x14ac:dyDescent="0.25">
      <c r="A73" s="39" t="s">
        <v>126</v>
      </c>
      <c r="B73" s="21"/>
      <c r="C73" s="21"/>
      <c r="D73" s="21"/>
      <c r="E73" s="21"/>
      <c r="F73" s="21"/>
      <c r="G73" s="21"/>
      <c r="H73" s="21"/>
      <c r="I73" s="21"/>
      <c r="J73" s="21"/>
    </row>
    <row r="74" spans="1:10" ht="15.75" x14ac:dyDescent="0.25">
      <c r="A74" s="39" t="s">
        <v>127</v>
      </c>
      <c r="B74" s="21"/>
      <c r="C74" s="21"/>
      <c r="D74" s="21"/>
      <c r="E74" s="21"/>
      <c r="F74" s="21"/>
      <c r="G74" s="21"/>
      <c r="H74" s="21"/>
      <c r="I74" s="21"/>
      <c r="J74" s="21"/>
    </row>
    <row r="75" spans="1:10" ht="15.75" x14ac:dyDescent="0.25">
      <c r="A75" s="9" t="s">
        <v>205</v>
      </c>
      <c r="B75" s="21"/>
      <c r="C75" s="21"/>
      <c r="D75" s="21"/>
      <c r="E75" s="21"/>
      <c r="F75" s="21"/>
      <c r="G75" s="21"/>
      <c r="H75" s="21"/>
      <c r="I75" s="21"/>
    </row>
    <row r="76" spans="1:10" ht="15.75" x14ac:dyDescent="0.25">
      <c r="A76" s="9" t="s">
        <v>206</v>
      </c>
      <c r="B76" s="21"/>
      <c r="C76" s="21"/>
      <c r="D76" s="21"/>
      <c r="E76" s="21"/>
      <c r="F76" s="21"/>
      <c r="G76" s="21"/>
      <c r="H76" s="21"/>
      <c r="I76" s="21"/>
    </row>
    <row r="77" spans="1:10" ht="15.75" x14ac:dyDescent="0.25">
      <c r="A77" s="9" t="s">
        <v>222</v>
      </c>
      <c r="B77" s="21"/>
      <c r="C77" s="21"/>
      <c r="D77" s="21"/>
      <c r="E77" s="21"/>
      <c r="F77" s="21"/>
      <c r="G77" s="21"/>
      <c r="H77" s="21"/>
      <c r="I77" s="21"/>
    </row>
    <row r="78" spans="1:10" ht="15.75" x14ac:dyDescent="0.25">
      <c r="A78" s="9"/>
      <c r="B78" s="21"/>
      <c r="C78" s="21"/>
      <c r="D78" s="21"/>
      <c r="E78" s="21"/>
      <c r="F78" s="21"/>
      <c r="G78" s="21"/>
      <c r="H78" s="21"/>
      <c r="I78" s="21"/>
    </row>
    <row r="79" spans="1:10" ht="96" x14ac:dyDescent="0.25">
      <c r="A79" s="25" t="s">
        <v>128</v>
      </c>
      <c r="B79" s="25" t="s">
        <v>129</v>
      </c>
      <c r="C79" s="25" t="s">
        <v>130</v>
      </c>
      <c r="D79" s="25" t="s">
        <v>131</v>
      </c>
      <c r="E79" s="25" t="s">
        <v>132</v>
      </c>
      <c r="G79" s="21"/>
      <c r="H79" s="21"/>
      <c r="I79" s="21"/>
    </row>
    <row r="80" spans="1:10" x14ac:dyDescent="0.25">
      <c r="A80" s="26"/>
      <c r="B80" s="26"/>
      <c r="C80" s="26"/>
      <c r="D80" s="27"/>
      <c r="E80" s="28" t="s">
        <v>133</v>
      </c>
    </row>
    <row r="81" spans="1:5" x14ac:dyDescent="0.25">
      <c r="A81" s="166" t="s">
        <v>203</v>
      </c>
      <c r="B81" s="165">
        <f>P12+P15</f>
        <v>105</v>
      </c>
      <c r="C81" s="165">
        <v>1</v>
      </c>
      <c r="D81" s="167">
        <v>0</v>
      </c>
      <c r="E81" s="28">
        <f>B81*C81+D81</f>
        <v>105</v>
      </c>
    </row>
    <row r="82" spans="1:5" x14ac:dyDescent="0.25">
      <c r="A82" s="29" t="s">
        <v>134</v>
      </c>
      <c r="B82" s="119">
        <v>0</v>
      </c>
      <c r="C82" s="28">
        <v>2</v>
      </c>
      <c r="D82" s="28">
        <v>0</v>
      </c>
      <c r="E82" s="28">
        <f>B82*C82+D82</f>
        <v>0</v>
      </c>
    </row>
    <row r="83" spans="1:5" x14ac:dyDescent="0.25">
      <c r="A83" s="29" t="s">
        <v>120</v>
      </c>
      <c r="B83" s="119">
        <v>0</v>
      </c>
      <c r="C83" s="28">
        <v>0.2</v>
      </c>
      <c r="D83" s="28">
        <v>0</v>
      </c>
      <c r="E83" s="28">
        <f t="shared" ref="E83:E85" si="51">B83*C83+D83</f>
        <v>0</v>
      </c>
    </row>
    <row r="84" spans="1:5" x14ac:dyDescent="0.25">
      <c r="A84" s="29" t="s">
        <v>135</v>
      </c>
      <c r="B84" s="119">
        <f>P12</f>
        <v>97</v>
      </c>
      <c r="C84" s="28">
        <v>1</v>
      </c>
      <c r="D84" s="28">
        <v>0</v>
      </c>
      <c r="E84" s="28">
        <f t="shared" si="51"/>
        <v>97</v>
      </c>
    </row>
    <row r="85" spans="1:5" x14ac:dyDescent="0.25">
      <c r="A85" s="29" t="s">
        <v>136</v>
      </c>
      <c r="B85" s="119">
        <v>0</v>
      </c>
      <c r="C85" s="28">
        <v>0.2</v>
      </c>
      <c r="D85" s="28">
        <v>0</v>
      </c>
      <c r="E85" s="28">
        <f t="shared" si="51"/>
        <v>0</v>
      </c>
    </row>
    <row r="86" spans="1:5" x14ac:dyDescent="0.25">
      <c r="A86" s="29" t="s">
        <v>137</v>
      </c>
      <c r="B86" s="119">
        <f>P12</f>
        <v>97</v>
      </c>
      <c r="C86" s="28">
        <v>1</v>
      </c>
      <c r="D86" s="28">
        <v>0</v>
      </c>
      <c r="E86" s="28">
        <f>B86*C86+D86</f>
        <v>97</v>
      </c>
    </row>
    <row r="87" spans="1:5" x14ac:dyDescent="0.25">
      <c r="A87" s="30"/>
      <c r="B87" s="30"/>
      <c r="C87" s="30"/>
      <c r="D87" s="25" t="s">
        <v>64</v>
      </c>
      <c r="E87" s="31">
        <f>SUM(E81:E86)</f>
        <v>299</v>
      </c>
    </row>
    <row r="90" spans="1:5" x14ac:dyDescent="0.25">
      <c r="D90" s="33" t="s">
        <v>138</v>
      </c>
      <c r="E90" s="32">
        <f>F38/E87</f>
        <v>54.51634615384615</v>
      </c>
    </row>
  </sheetData>
  <mergeCells count="3">
    <mergeCell ref="F69:H69"/>
    <mergeCell ref="F38:H38"/>
    <mergeCell ref="A3:A5"/>
  </mergeCells>
  <hyperlinks>
    <hyperlink ref="M2" r:id="rId1" xr:uid="{7313CA4E-F27C-4EEE-9DE2-5D70B77520FD}"/>
    <hyperlink ref="K59" r:id="rId2" display="https://www.opm.gov/policy-data-oversight/pay-leave/salaries-wages/salary-tables/pdf/2019/GS_h.pdf" xr:uid="{C9007B09-4392-44C4-AD6B-3968F6408C4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D16D-7DA1-4B7A-B6A5-3AC6D56D1038}">
  <sheetPr>
    <tabColor theme="9"/>
  </sheetPr>
  <dimension ref="A1:Q96"/>
  <sheetViews>
    <sheetView tabSelected="1" topLeftCell="A73" workbookViewId="0">
      <selection activeCell="I23" sqref="I23"/>
    </sheetView>
  </sheetViews>
  <sheetFormatPr defaultRowHeight="15" x14ac:dyDescent="0.25"/>
  <cols>
    <col min="1" max="1" width="56.85546875" customWidth="1"/>
    <col min="2" max="2" width="32.28515625" customWidth="1"/>
    <col min="3" max="8" width="11.28515625" customWidth="1"/>
    <col min="9" max="9" width="15.28515625" customWidth="1"/>
    <col min="10" max="10" width="11.28515625" customWidth="1"/>
    <col min="11" max="11" width="48.42578125" customWidth="1"/>
    <col min="12" max="12" width="28.42578125" customWidth="1"/>
    <col min="13" max="14" width="13.7109375" customWidth="1"/>
    <col min="15" max="15" width="12.5703125" customWidth="1"/>
  </cols>
  <sheetData>
    <row r="1" spans="1:16" ht="15.75" x14ac:dyDescent="0.25">
      <c r="A1" s="1" t="s">
        <v>139</v>
      </c>
      <c r="B1" s="1"/>
      <c r="L1" s="42" t="s">
        <v>1</v>
      </c>
      <c r="M1" s="42"/>
    </row>
    <row r="2" spans="1:16" ht="16.5" thickBot="1" x14ac:dyDescent="0.3">
      <c r="A2" s="1"/>
      <c r="B2" s="1"/>
      <c r="F2">
        <f>ROUND(O9,2)</f>
        <v>76.78</v>
      </c>
      <c r="G2">
        <f>ROUND(O5,2)</f>
        <v>146.19999999999999</v>
      </c>
      <c r="H2">
        <f>ROUND(O8,2)</f>
        <v>50.48</v>
      </c>
      <c r="L2" s="43"/>
      <c r="M2" s="10" t="s">
        <v>2</v>
      </c>
    </row>
    <row r="3" spans="1:16" x14ac:dyDescent="0.25">
      <c r="A3" s="175" t="s">
        <v>3</v>
      </c>
      <c r="B3" s="53" t="s">
        <v>4</v>
      </c>
      <c r="C3" s="53" t="s">
        <v>5</v>
      </c>
      <c r="D3" s="53" t="s">
        <v>6</v>
      </c>
      <c r="E3" s="53" t="s">
        <v>7</v>
      </c>
      <c r="F3" s="53" t="s">
        <v>8</v>
      </c>
      <c r="G3" s="53" t="s">
        <v>9</v>
      </c>
      <c r="H3" s="53" t="s">
        <v>10</v>
      </c>
      <c r="I3" s="53" t="s">
        <v>11</v>
      </c>
    </row>
    <row r="4" spans="1:16" ht="63.75" x14ac:dyDescent="0.25">
      <c r="A4" s="176"/>
      <c r="B4" s="54" t="s">
        <v>12</v>
      </c>
      <c r="C4" s="54" t="s">
        <v>13</v>
      </c>
      <c r="D4" s="54" t="s">
        <v>14</v>
      </c>
      <c r="E4" s="54" t="s">
        <v>15</v>
      </c>
      <c r="F4" s="54" t="s">
        <v>16</v>
      </c>
      <c r="G4" s="54" t="s">
        <v>17</v>
      </c>
      <c r="H4" s="54" t="s">
        <v>18</v>
      </c>
      <c r="I4" s="54" t="s">
        <v>19</v>
      </c>
      <c r="K4" s="51" t="s">
        <v>20</v>
      </c>
      <c r="L4" s="51" t="s">
        <v>21</v>
      </c>
      <c r="M4" s="51" t="s">
        <v>22</v>
      </c>
      <c r="N4" s="51" t="s">
        <v>23</v>
      </c>
      <c r="O4" s="51" t="s">
        <v>24</v>
      </c>
    </row>
    <row r="5" spans="1:16" ht="15.75" thickBot="1" x14ac:dyDescent="0.3">
      <c r="A5" s="177"/>
      <c r="B5" s="55"/>
      <c r="C5" s="55"/>
      <c r="D5" s="56" t="s">
        <v>25</v>
      </c>
      <c r="E5" s="55"/>
      <c r="F5" s="56" t="s">
        <v>26</v>
      </c>
      <c r="G5" s="56" t="s">
        <v>27</v>
      </c>
      <c r="H5" s="56" t="s">
        <v>28</v>
      </c>
      <c r="I5" s="55"/>
      <c r="K5" s="26" t="s">
        <v>29</v>
      </c>
      <c r="L5" s="26" t="s">
        <v>30</v>
      </c>
      <c r="M5" s="26">
        <v>69.62</v>
      </c>
      <c r="N5" s="47">
        <f>M5*1.1</f>
        <v>76.582000000000008</v>
      </c>
      <c r="O5" s="26">
        <f>M5*2.1</f>
        <v>146.20200000000003</v>
      </c>
    </row>
    <row r="6" spans="1:16" ht="15.75" thickBot="1" x14ac:dyDescent="0.3">
      <c r="A6" s="2" t="s">
        <v>31</v>
      </c>
      <c r="B6" s="3" t="s">
        <v>32</v>
      </c>
      <c r="C6" s="3"/>
      <c r="D6" s="3"/>
      <c r="E6" s="3"/>
      <c r="F6" s="3"/>
      <c r="G6" s="3"/>
      <c r="H6" s="3"/>
      <c r="I6" s="4"/>
      <c r="K6" s="26" t="s">
        <v>33</v>
      </c>
      <c r="L6" s="26" t="s">
        <v>34</v>
      </c>
      <c r="M6" s="26">
        <v>54.64</v>
      </c>
      <c r="N6" s="47">
        <f>M6*1.1</f>
        <v>60.104000000000006</v>
      </c>
      <c r="O6" s="26">
        <f>M6*2.1</f>
        <v>114.744</v>
      </c>
    </row>
    <row r="7" spans="1:16" ht="15.75" thickBot="1" x14ac:dyDescent="0.3">
      <c r="A7" s="2" t="s">
        <v>35</v>
      </c>
      <c r="B7" s="3" t="s">
        <v>32</v>
      </c>
      <c r="C7" s="3"/>
      <c r="D7" s="3"/>
      <c r="E7" s="3"/>
      <c r="F7" s="3"/>
      <c r="G7" s="3"/>
      <c r="H7" s="3"/>
      <c r="I7" s="4"/>
      <c r="K7" s="118" t="s">
        <v>36</v>
      </c>
      <c r="L7" s="26" t="s">
        <v>37</v>
      </c>
      <c r="M7" s="26">
        <v>32.04</v>
      </c>
      <c r="N7" s="47">
        <f>M7*1.1</f>
        <v>35.244</v>
      </c>
      <c r="O7" s="26">
        <f>M7*2.1</f>
        <v>67.284000000000006</v>
      </c>
    </row>
    <row r="8" spans="1:16" ht="15.75" thickBot="1" x14ac:dyDescent="0.3">
      <c r="A8" s="2" t="s">
        <v>38</v>
      </c>
      <c r="B8" s="3"/>
      <c r="C8" s="3"/>
      <c r="D8" s="3"/>
      <c r="E8" s="3"/>
      <c r="F8" s="3"/>
      <c r="G8" s="3"/>
      <c r="H8" s="3"/>
      <c r="I8" s="4"/>
      <c r="K8" s="26" t="s">
        <v>39</v>
      </c>
      <c r="L8" s="26" t="s">
        <v>40</v>
      </c>
      <c r="M8" s="26">
        <v>24.04</v>
      </c>
      <c r="N8" s="47">
        <f t="shared" ref="N8" si="0">M8*1.1</f>
        <v>26.444000000000003</v>
      </c>
      <c r="O8" s="26">
        <f>M8*2.1</f>
        <v>50.484000000000002</v>
      </c>
    </row>
    <row r="9" spans="1:16" ht="15.75" customHeight="1" thickBot="1" x14ac:dyDescent="0.3">
      <c r="A9" s="71" t="s">
        <v>140</v>
      </c>
      <c r="B9" s="3"/>
      <c r="C9" s="3"/>
      <c r="D9" s="3"/>
      <c r="E9" s="3"/>
      <c r="F9" s="3"/>
      <c r="G9" s="3"/>
      <c r="H9" s="3"/>
      <c r="I9" s="4"/>
      <c r="K9" s="26"/>
      <c r="L9" s="118" t="s">
        <v>41</v>
      </c>
      <c r="M9" s="26">
        <f>0.2*M6+0.8*M7</f>
        <v>36.56</v>
      </c>
      <c r="N9" s="26">
        <f t="shared" ref="N9" si="1">0.2*N6+0.8*N7</f>
        <v>40.216000000000001</v>
      </c>
      <c r="O9" s="26">
        <f>0.2*O6+0.8*O7</f>
        <v>76.77600000000001</v>
      </c>
    </row>
    <row r="10" spans="1:16" ht="15.75" thickBot="1" x14ac:dyDescent="0.3">
      <c r="A10" s="71" t="s">
        <v>217</v>
      </c>
      <c r="B10" s="3">
        <v>8</v>
      </c>
      <c r="C10" s="3">
        <v>1</v>
      </c>
      <c r="D10" s="3">
        <f>B10*C10</f>
        <v>8</v>
      </c>
      <c r="E10" s="3">
        <f>P23</f>
        <v>116</v>
      </c>
      <c r="F10" s="3">
        <f>D10*E10</f>
        <v>928</v>
      </c>
      <c r="G10" s="3">
        <f>0.05*F10</f>
        <v>46.400000000000006</v>
      </c>
      <c r="H10" s="3">
        <f>0.1*F10</f>
        <v>92.800000000000011</v>
      </c>
      <c r="I10" s="7">
        <f>F10*F$2+G10*G$2+H10*H$2</f>
        <v>82720.063999999984</v>
      </c>
    </row>
    <row r="11" spans="1:16" ht="26.25" thickBot="1" x14ac:dyDescent="0.3">
      <c r="A11" s="74" t="s">
        <v>218</v>
      </c>
      <c r="B11" s="3">
        <v>4</v>
      </c>
      <c r="C11" s="3">
        <v>1</v>
      </c>
      <c r="D11" s="3">
        <f t="shared" ref="D11" si="2">B11*C11</f>
        <v>4</v>
      </c>
      <c r="E11" s="3">
        <f>SUM(P13:P15)+P24</f>
        <v>4516</v>
      </c>
      <c r="F11" s="3">
        <f t="shared" ref="F11" si="3">D11*E11</f>
        <v>18064</v>
      </c>
      <c r="G11" s="3">
        <f t="shared" ref="G11" si="4">0.05*F11</f>
        <v>903.2</v>
      </c>
      <c r="H11" s="3">
        <f t="shared" ref="H11" si="5">0.1*F11</f>
        <v>1806.4</v>
      </c>
      <c r="I11" s="7">
        <f>F11*F$2+G11*G$2+H11*H$2</f>
        <v>1610188.8319999999</v>
      </c>
      <c r="L11" s="52" t="s">
        <v>43</v>
      </c>
      <c r="M11" s="52" t="s">
        <v>44</v>
      </c>
      <c r="N11" s="52" t="s">
        <v>45</v>
      </c>
      <c r="O11" s="52" t="s">
        <v>46</v>
      </c>
      <c r="P11" s="52" t="s">
        <v>47</v>
      </c>
    </row>
    <row r="12" spans="1:16" ht="16.5" thickBot="1" x14ac:dyDescent="0.3">
      <c r="A12" s="5" t="s">
        <v>42</v>
      </c>
      <c r="B12" s="3"/>
      <c r="C12" s="3"/>
      <c r="D12" s="3"/>
      <c r="E12" s="3"/>
      <c r="F12" s="3"/>
      <c r="G12" s="3"/>
      <c r="H12" s="3"/>
      <c r="I12" s="7"/>
      <c r="K12" s="26" t="s">
        <v>49</v>
      </c>
      <c r="L12" s="48">
        <v>1090</v>
      </c>
      <c r="M12" s="26">
        <v>0</v>
      </c>
      <c r="N12" s="26">
        <f>0.5*L12</f>
        <v>545</v>
      </c>
      <c r="O12" s="49">
        <f>L12</f>
        <v>1090</v>
      </c>
      <c r="P12" s="26">
        <f t="shared" ref="P12:P15" si="6">ROUNDUP(AVERAGE(M12:O12),0)</f>
        <v>545</v>
      </c>
    </row>
    <row r="13" spans="1:16" ht="16.5" thickBot="1" x14ac:dyDescent="0.3">
      <c r="A13" s="72" t="s">
        <v>197</v>
      </c>
      <c r="B13" s="3">
        <v>0</v>
      </c>
      <c r="C13" s="3">
        <v>1</v>
      </c>
      <c r="D13" s="3">
        <f>B13*C13</f>
        <v>0</v>
      </c>
      <c r="E13" s="3">
        <f>SUM(P$12:P$15)</f>
        <v>4632</v>
      </c>
      <c r="F13" s="3">
        <f t="shared" ref="F13" si="7">D13*E13</f>
        <v>0</v>
      </c>
      <c r="G13" s="3">
        <f t="shared" ref="G13" si="8">0.05*F13</f>
        <v>0</v>
      </c>
      <c r="H13" s="3">
        <f t="shared" ref="H13" si="9">0.1*F13</f>
        <v>0</v>
      </c>
      <c r="I13" s="7">
        <f>F13*F$2+G13*G$2+H13*H$2</f>
        <v>0</v>
      </c>
      <c r="K13" s="26" t="s">
        <v>51</v>
      </c>
      <c r="L13" s="48">
        <v>5913</v>
      </c>
      <c r="M13" s="26">
        <v>0</v>
      </c>
      <c r="N13" s="26">
        <f t="shared" ref="N13:N15" si="10">0.5*L13</f>
        <v>2956.5</v>
      </c>
      <c r="O13" s="49">
        <f t="shared" ref="O13:O15" si="11">L13</f>
        <v>5913</v>
      </c>
      <c r="P13" s="26">
        <f t="shared" si="6"/>
        <v>2957</v>
      </c>
    </row>
    <row r="14" spans="1:16" ht="16.5" thickBot="1" x14ac:dyDescent="0.3">
      <c r="A14" s="74" t="s">
        <v>198</v>
      </c>
      <c r="B14" s="3">
        <v>8</v>
      </c>
      <c r="C14" s="3">
        <v>1</v>
      </c>
      <c r="D14" s="3">
        <f>B14*C14</f>
        <v>8</v>
      </c>
      <c r="E14" s="41">
        <f>P18</f>
        <v>85</v>
      </c>
      <c r="F14" s="3">
        <f t="shared" ref="F14:F22" si="12">D14*E14</f>
        <v>680</v>
      </c>
      <c r="G14" s="3">
        <f t="shared" ref="G14:G22" si="13">0.05*F14</f>
        <v>34</v>
      </c>
      <c r="H14" s="3">
        <f t="shared" ref="H14:H22" si="14">0.1*F14</f>
        <v>68</v>
      </c>
      <c r="I14" s="7">
        <f>F14*F$2+G14*G$2+H14*H$2</f>
        <v>60613.84</v>
      </c>
      <c r="K14" s="26" t="s">
        <v>52</v>
      </c>
      <c r="L14" s="48">
        <v>1800</v>
      </c>
      <c r="M14" s="26">
        <v>0</v>
      </c>
      <c r="N14" s="26">
        <f t="shared" si="10"/>
        <v>900</v>
      </c>
      <c r="O14" s="49">
        <f t="shared" si="11"/>
        <v>1800</v>
      </c>
      <c r="P14" s="26">
        <f t="shared" si="6"/>
        <v>900</v>
      </c>
    </row>
    <row r="15" spans="1:16" ht="16.5" thickBot="1" x14ac:dyDescent="0.3">
      <c r="A15" s="73" t="s">
        <v>199</v>
      </c>
      <c r="B15" s="3">
        <v>8</v>
      </c>
      <c r="C15" s="3">
        <v>0.2</v>
      </c>
      <c r="D15" s="3">
        <f t="shared" ref="D15:D22" si="15">B15*C15</f>
        <v>1.6</v>
      </c>
      <c r="E15" s="3">
        <f>P21</f>
        <v>27</v>
      </c>
      <c r="F15" s="3">
        <f t="shared" si="12"/>
        <v>43.2</v>
      </c>
      <c r="G15" s="3">
        <f t="shared" si="13"/>
        <v>2.16</v>
      </c>
      <c r="H15" s="3">
        <f t="shared" si="14"/>
        <v>4.32</v>
      </c>
      <c r="I15" s="7">
        <f>F15*F$2+G15*G$2+H15*H$2</f>
        <v>3850.7616000000003</v>
      </c>
      <c r="K15" s="26" t="s">
        <v>53</v>
      </c>
      <c r="L15" s="50">
        <v>460</v>
      </c>
      <c r="M15" s="26">
        <v>0</v>
      </c>
      <c r="N15" s="26">
        <f t="shared" si="10"/>
        <v>230</v>
      </c>
      <c r="O15" s="49">
        <f t="shared" si="11"/>
        <v>460</v>
      </c>
      <c r="P15" s="26">
        <f t="shared" si="6"/>
        <v>230</v>
      </c>
    </row>
    <row r="16" spans="1:16" ht="16.5" thickBot="1" x14ac:dyDescent="0.3">
      <c r="A16" s="73" t="s">
        <v>200</v>
      </c>
      <c r="B16" s="3">
        <v>0.2</v>
      </c>
      <c r="C16" s="3">
        <v>365</v>
      </c>
      <c r="D16" s="3">
        <f t="shared" si="15"/>
        <v>73</v>
      </c>
      <c r="E16" s="3">
        <f>P21</f>
        <v>27</v>
      </c>
      <c r="F16" s="3">
        <f t="shared" ref="F16" si="16">D16*E16</f>
        <v>1971</v>
      </c>
      <c r="G16" s="3">
        <f t="shared" ref="G16" si="17">0.05*F16</f>
        <v>98.550000000000011</v>
      </c>
      <c r="H16" s="3">
        <f t="shared" ref="H16" si="18">0.1*F16</f>
        <v>197.10000000000002</v>
      </c>
      <c r="I16" s="7">
        <f>F16*F$2+G16*G$2+H16*H$2</f>
        <v>175690.99800000002</v>
      </c>
      <c r="O16" s="44"/>
    </row>
    <row r="17" spans="1:17" ht="15.75" thickBot="1" x14ac:dyDescent="0.3">
      <c r="A17" s="6" t="s">
        <v>214</v>
      </c>
      <c r="B17" s="3"/>
      <c r="C17" s="3"/>
      <c r="D17" s="3"/>
      <c r="E17" s="3"/>
      <c r="F17" s="3"/>
      <c r="G17" s="3"/>
      <c r="H17" s="3"/>
      <c r="I17" s="7"/>
      <c r="L17" s="110" t="s">
        <v>43</v>
      </c>
      <c r="M17" s="110" t="s">
        <v>44</v>
      </c>
      <c r="N17" s="110" t="s">
        <v>45</v>
      </c>
      <c r="O17" s="110" t="s">
        <v>46</v>
      </c>
      <c r="P17" s="110" t="s">
        <v>47</v>
      </c>
    </row>
    <row r="18" spans="1:17" ht="15.75" thickBot="1" x14ac:dyDescent="0.3">
      <c r="A18" s="6" t="s">
        <v>141</v>
      </c>
      <c r="B18" s="3">
        <v>0.5</v>
      </c>
      <c r="C18" s="3">
        <v>14</v>
      </c>
      <c r="D18" s="3">
        <f t="shared" ref="D18:D19" si="19">B18*C18</f>
        <v>7</v>
      </c>
      <c r="E18" s="3">
        <f>P22</f>
        <v>4</v>
      </c>
      <c r="F18" s="3">
        <f t="shared" ref="F18:F19" si="20">D18*E18</f>
        <v>28</v>
      </c>
      <c r="G18" s="3">
        <f t="shared" ref="G18:G19" si="21">0.05*F18</f>
        <v>1.4000000000000001</v>
      </c>
      <c r="H18" s="3">
        <f t="shared" ref="H18:H19" si="22">0.1*F18</f>
        <v>2.8000000000000003</v>
      </c>
      <c r="I18" s="7">
        <f>F18*F$2+G18*G$2+H18*H$2</f>
        <v>2495.864</v>
      </c>
      <c r="K18" s="26" t="s">
        <v>143</v>
      </c>
      <c r="L18" s="111">
        <v>170</v>
      </c>
      <c r="M18" s="26">
        <v>0</v>
      </c>
      <c r="N18" s="26">
        <f t="shared" ref="N18:N19" si="23">0.5*L18</f>
        <v>85</v>
      </c>
      <c r="O18" s="49">
        <f t="shared" ref="O18:O19" si="24">L18</f>
        <v>170</v>
      </c>
      <c r="P18" s="26">
        <f>AVERAGE(M18:O18)</f>
        <v>85</v>
      </c>
    </row>
    <row r="19" spans="1:17" ht="15.75" thickBot="1" x14ac:dyDescent="0.3">
      <c r="A19" s="6" t="s">
        <v>142</v>
      </c>
      <c r="B19" s="3">
        <v>8</v>
      </c>
      <c r="C19" s="3">
        <v>1</v>
      </c>
      <c r="D19" s="3">
        <f t="shared" si="19"/>
        <v>8</v>
      </c>
      <c r="E19" s="3">
        <f>P22</f>
        <v>4</v>
      </c>
      <c r="F19" s="3">
        <f t="shared" si="20"/>
        <v>32</v>
      </c>
      <c r="G19" s="3">
        <f t="shared" si="21"/>
        <v>1.6</v>
      </c>
      <c r="H19" s="3">
        <f t="shared" si="22"/>
        <v>3.2</v>
      </c>
      <c r="I19" s="7">
        <f>F19*F$2+G19*G$2+H19*H$2</f>
        <v>2852.4160000000002</v>
      </c>
      <c r="K19" s="26" t="s">
        <v>144</v>
      </c>
      <c r="L19" s="118">
        <f>0.8*L18</f>
        <v>136</v>
      </c>
      <c r="M19" s="26">
        <v>0</v>
      </c>
      <c r="N19" s="26">
        <f t="shared" si="23"/>
        <v>68</v>
      </c>
      <c r="O19" s="49">
        <f t="shared" si="24"/>
        <v>136</v>
      </c>
      <c r="P19" s="26">
        <f t="shared" ref="P19" si="25">AVERAGE(M19:O19)</f>
        <v>68</v>
      </c>
    </row>
    <row r="20" spans="1:17" ht="15.75" customHeight="1" thickBot="1" x14ac:dyDescent="0.3">
      <c r="A20" s="73" t="s">
        <v>215</v>
      </c>
      <c r="B20" s="3"/>
      <c r="C20" s="3"/>
      <c r="D20" s="3"/>
      <c r="E20" s="3"/>
      <c r="F20" s="3"/>
      <c r="G20" s="3"/>
      <c r="H20" s="3"/>
      <c r="I20" s="7"/>
      <c r="K20" s="26" t="s">
        <v>145</v>
      </c>
      <c r="L20" s="118">
        <f>0.2*L18</f>
        <v>34</v>
      </c>
      <c r="M20" s="26">
        <v>0</v>
      </c>
      <c r="N20" s="26">
        <f t="shared" ref="N20" si="26">0.5*L20</f>
        <v>17</v>
      </c>
      <c r="O20" s="49">
        <f t="shared" ref="O20" si="27">L20</f>
        <v>34</v>
      </c>
      <c r="P20" s="26">
        <f>AVERAGE(M20:O20)</f>
        <v>17</v>
      </c>
    </row>
    <row r="21" spans="1:17" ht="15.75" customHeight="1" thickBot="1" x14ac:dyDescent="0.3">
      <c r="A21" s="6" t="s">
        <v>141</v>
      </c>
      <c r="B21" s="3">
        <v>0.5</v>
      </c>
      <c r="C21" s="3">
        <v>14</v>
      </c>
      <c r="D21" s="3">
        <f t="shared" si="15"/>
        <v>7</v>
      </c>
      <c r="E21" s="3">
        <f>P19</f>
        <v>68</v>
      </c>
      <c r="F21" s="3">
        <f t="shared" si="12"/>
        <v>476</v>
      </c>
      <c r="G21" s="3">
        <f t="shared" si="13"/>
        <v>23.8</v>
      </c>
      <c r="H21" s="3">
        <f t="shared" si="14"/>
        <v>47.6</v>
      </c>
      <c r="I21" s="7">
        <f>F21*F$2+G21*G$2+H21*H$2</f>
        <v>42429.687999999995</v>
      </c>
      <c r="K21" s="26" t="s">
        <v>146</v>
      </c>
      <c r="L21" s="118">
        <v>54</v>
      </c>
      <c r="M21" s="26">
        <v>0</v>
      </c>
      <c r="N21" s="26">
        <f>0.5*L21</f>
        <v>27</v>
      </c>
      <c r="O21" s="49">
        <f>L21</f>
        <v>54</v>
      </c>
      <c r="P21" s="26">
        <f>AVERAGE(M21:O21)</f>
        <v>27</v>
      </c>
    </row>
    <row r="22" spans="1:17" ht="15.75" customHeight="1" thickBot="1" x14ac:dyDescent="0.3">
      <c r="A22" s="6" t="s">
        <v>142</v>
      </c>
      <c r="B22" s="3">
        <v>8</v>
      </c>
      <c r="C22" s="3">
        <v>1</v>
      </c>
      <c r="D22" s="3">
        <f t="shared" si="15"/>
        <v>8</v>
      </c>
      <c r="E22" s="3">
        <f>P19</f>
        <v>68</v>
      </c>
      <c r="F22" s="3">
        <f t="shared" si="12"/>
        <v>544</v>
      </c>
      <c r="G22" s="3">
        <f t="shared" si="13"/>
        <v>27.200000000000003</v>
      </c>
      <c r="H22" s="3">
        <f t="shared" si="14"/>
        <v>54.400000000000006</v>
      </c>
      <c r="I22" s="7">
        <f>F22*F$2+G22*G$2+H22*H$2</f>
        <v>48491.072</v>
      </c>
      <c r="K22" s="26" t="s">
        <v>147</v>
      </c>
      <c r="L22" s="26">
        <v>8</v>
      </c>
      <c r="M22" s="26">
        <v>0</v>
      </c>
      <c r="N22" s="26">
        <f>0.5*L22</f>
        <v>4</v>
      </c>
      <c r="O22" s="49">
        <f>L22</f>
        <v>8</v>
      </c>
      <c r="P22" s="26">
        <f>AVERAGE(M22:O22)</f>
        <v>4</v>
      </c>
    </row>
    <row r="23" spans="1:17" ht="15.75" thickBot="1" x14ac:dyDescent="0.3">
      <c r="A23" s="74" t="s">
        <v>216</v>
      </c>
      <c r="B23" s="3">
        <v>0.75</v>
      </c>
      <c r="C23" s="3">
        <v>1</v>
      </c>
      <c r="D23" s="3">
        <f t="shared" ref="D23" si="28">B23*C23</f>
        <v>0.75</v>
      </c>
      <c r="E23" s="3">
        <f>ROUND(SUMPRODUCT(L27:L38,Q27:Q38),0)</f>
        <v>2642</v>
      </c>
      <c r="F23" s="3">
        <f>D23*E23</f>
        <v>1981.5</v>
      </c>
      <c r="G23" s="3">
        <f>0.05*F23</f>
        <v>99.075000000000003</v>
      </c>
      <c r="H23" s="3">
        <f>0.1*F23</f>
        <v>198.15</v>
      </c>
      <c r="I23" s="137">
        <f>F23*F$2+G23*G$2+H23*H$2</f>
        <v>176626.94700000001</v>
      </c>
      <c r="K23" s="26" t="s">
        <v>148</v>
      </c>
      <c r="L23" s="111">
        <v>232</v>
      </c>
      <c r="M23" s="26">
        <v>0</v>
      </c>
      <c r="N23" s="26">
        <f>0.5*L23</f>
        <v>116</v>
      </c>
      <c r="O23" s="49">
        <f>L23</f>
        <v>232</v>
      </c>
      <c r="P23" s="26">
        <f>AVERAGE(M23:O23)</f>
        <v>116</v>
      </c>
    </row>
    <row r="24" spans="1:17" ht="15.75" thickBot="1" x14ac:dyDescent="0.3">
      <c r="A24" s="5" t="s">
        <v>54</v>
      </c>
      <c r="B24" s="3"/>
      <c r="C24" s="3"/>
      <c r="D24" s="3"/>
      <c r="E24" s="3"/>
      <c r="F24" s="3"/>
      <c r="G24" s="3"/>
      <c r="H24" s="3"/>
      <c r="I24" s="7"/>
      <c r="K24" s="26" t="s">
        <v>150</v>
      </c>
      <c r="L24" s="111">
        <v>858</v>
      </c>
      <c r="M24" s="26">
        <v>0</v>
      </c>
      <c r="N24" s="26">
        <f t="shared" ref="N24" si="29">0.5*L24</f>
        <v>429</v>
      </c>
      <c r="O24" s="49">
        <f>L24</f>
        <v>858</v>
      </c>
      <c r="P24" s="26">
        <f>AVERAGE(M24:O24)</f>
        <v>429</v>
      </c>
    </row>
    <row r="25" spans="1:17" ht="15.75" thickBot="1" x14ac:dyDescent="0.3">
      <c r="A25" s="71" t="s">
        <v>149</v>
      </c>
      <c r="B25" s="3">
        <v>1</v>
      </c>
      <c r="C25" s="3">
        <v>1</v>
      </c>
      <c r="D25" s="3">
        <f>B25*C25</f>
        <v>1</v>
      </c>
      <c r="E25" s="3">
        <f>P23+P13</f>
        <v>3073</v>
      </c>
      <c r="F25" s="3">
        <f>D25*E25</f>
        <v>3073</v>
      </c>
      <c r="G25" s="3">
        <f>0.05*F25</f>
        <v>153.65</v>
      </c>
      <c r="H25" s="3">
        <f>0.1*F25</f>
        <v>307.3</v>
      </c>
      <c r="I25" s="7">
        <f>F25*F$2+G25*G$2+H25*H$2</f>
        <v>273921.07400000002</v>
      </c>
      <c r="N25" s="75"/>
      <c r="O25" s="75"/>
      <c r="P25" s="75"/>
    </row>
    <row r="26" spans="1:17" ht="16.5" thickBot="1" x14ac:dyDescent="0.3">
      <c r="A26" s="73" t="s">
        <v>219</v>
      </c>
      <c r="B26" s="3">
        <v>5</v>
      </c>
      <c r="C26" s="3">
        <v>2</v>
      </c>
      <c r="D26" s="3">
        <f>B26*C26</f>
        <v>10</v>
      </c>
      <c r="E26" s="41">
        <v>0</v>
      </c>
      <c r="F26" s="3">
        <f t="shared" ref="F26:F27" si="30">D26*E26</f>
        <v>0</v>
      </c>
      <c r="G26" s="3">
        <f t="shared" ref="G26:G27" si="31">0.05*F26</f>
        <v>0</v>
      </c>
      <c r="H26" s="3">
        <f t="shared" ref="H26:H27" si="32">0.1*F26</f>
        <v>0</v>
      </c>
      <c r="I26" s="7">
        <f>F26*F$2+G26*G$2+H26*H$2</f>
        <v>0</v>
      </c>
      <c r="K26" s="52" t="s">
        <v>62</v>
      </c>
      <c r="L26" s="110" t="s">
        <v>63</v>
      </c>
      <c r="M26" s="110" t="s">
        <v>64</v>
      </c>
      <c r="N26" s="110" t="s">
        <v>44</v>
      </c>
      <c r="O26" s="110" t="s">
        <v>45</v>
      </c>
      <c r="P26" s="110" t="s">
        <v>46</v>
      </c>
      <c r="Q26" s="110" t="s">
        <v>47</v>
      </c>
    </row>
    <row r="27" spans="1:17" ht="42" thickBot="1" x14ac:dyDescent="0.3">
      <c r="A27" s="73" t="s">
        <v>220</v>
      </c>
      <c r="B27" s="3">
        <v>2.5</v>
      </c>
      <c r="C27" s="3">
        <v>2</v>
      </c>
      <c r="D27" s="3">
        <f t="shared" ref="D27:D32" si="33">B27*C27</f>
        <v>5</v>
      </c>
      <c r="E27" s="41">
        <v>0</v>
      </c>
      <c r="F27" s="3">
        <f t="shared" si="30"/>
        <v>0</v>
      </c>
      <c r="G27" s="3">
        <f t="shared" si="31"/>
        <v>0</v>
      </c>
      <c r="H27" s="3">
        <f t="shared" si="32"/>
        <v>0</v>
      </c>
      <c r="I27" s="7">
        <f>F27*F$2+G27*G$2+H27*H$2</f>
        <v>0</v>
      </c>
      <c r="K27" s="145" t="s">
        <v>67</v>
      </c>
      <c r="L27" s="146">
        <v>2</v>
      </c>
      <c r="M27" s="138">
        <v>87</v>
      </c>
      <c r="N27" s="138">
        <v>0</v>
      </c>
      <c r="O27" s="138">
        <f t="shared" ref="O27:O38" si="34">0.5*M27</f>
        <v>43.5</v>
      </c>
      <c r="P27" s="147">
        <f t="shared" ref="P27:P38" si="35">M27</f>
        <v>87</v>
      </c>
      <c r="Q27" s="138">
        <f t="shared" ref="Q27:Q38" si="36">AVERAGE(N27:P27)</f>
        <v>43.5</v>
      </c>
    </row>
    <row r="28" spans="1:17" ht="15.75" thickBot="1" x14ac:dyDescent="0.3">
      <c r="A28" s="74" t="s">
        <v>151</v>
      </c>
      <c r="B28" s="3">
        <v>1</v>
      </c>
      <c r="C28" s="3">
        <v>0.2</v>
      </c>
      <c r="D28" s="3">
        <f t="shared" si="33"/>
        <v>0.2</v>
      </c>
      <c r="E28" s="41">
        <f>P18</f>
        <v>85</v>
      </c>
      <c r="F28" s="3">
        <f t="shared" ref="F28:F31" si="37">D28*E28</f>
        <v>17</v>
      </c>
      <c r="G28" s="3">
        <f t="shared" ref="G28:G31" si="38">0.05*F28</f>
        <v>0.85000000000000009</v>
      </c>
      <c r="H28" s="3">
        <f t="shared" ref="H28:H31" si="39">0.1*F28</f>
        <v>1.7000000000000002</v>
      </c>
      <c r="I28" s="7">
        <f t="shared" ref="I28:I31" si="40">F28*F$2+G28*G$2+H28*H$2</f>
        <v>1515.346</v>
      </c>
      <c r="K28" s="145" t="s">
        <v>67</v>
      </c>
      <c r="L28" s="138">
        <v>3</v>
      </c>
      <c r="M28" s="138">
        <v>493</v>
      </c>
      <c r="N28" s="138">
        <v>0</v>
      </c>
      <c r="O28" s="138">
        <f t="shared" si="34"/>
        <v>246.5</v>
      </c>
      <c r="P28" s="147">
        <f t="shared" si="35"/>
        <v>493</v>
      </c>
      <c r="Q28" s="138">
        <f t="shared" si="36"/>
        <v>246.5</v>
      </c>
    </row>
    <row r="29" spans="1:17" ht="18.75" customHeight="1" thickBot="1" x14ac:dyDescent="0.3">
      <c r="A29" s="74" t="s">
        <v>152</v>
      </c>
      <c r="B29" s="3">
        <v>8</v>
      </c>
      <c r="C29" s="3">
        <v>0.2</v>
      </c>
      <c r="D29" s="3">
        <f t="shared" si="33"/>
        <v>1.6</v>
      </c>
      <c r="E29" s="41">
        <f>P18</f>
        <v>85</v>
      </c>
      <c r="F29" s="3">
        <f t="shared" si="37"/>
        <v>136</v>
      </c>
      <c r="G29" s="3">
        <f t="shared" si="38"/>
        <v>6.8000000000000007</v>
      </c>
      <c r="H29" s="3">
        <f t="shared" si="39"/>
        <v>13.600000000000001</v>
      </c>
      <c r="I29" s="7">
        <f t="shared" si="40"/>
        <v>12122.768</v>
      </c>
      <c r="K29" s="145" t="s">
        <v>69</v>
      </c>
      <c r="L29" s="146">
        <v>2</v>
      </c>
      <c r="M29" s="138">
        <v>43</v>
      </c>
      <c r="N29" s="138">
        <v>0</v>
      </c>
      <c r="O29" s="138">
        <f t="shared" si="34"/>
        <v>21.5</v>
      </c>
      <c r="P29" s="147">
        <f t="shared" si="35"/>
        <v>43</v>
      </c>
      <c r="Q29" s="138">
        <f t="shared" si="36"/>
        <v>21.5</v>
      </c>
    </row>
    <row r="30" spans="1:17" ht="15.75" customHeight="1" thickBot="1" x14ac:dyDescent="0.3">
      <c r="A30" s="74" t="s">
        <v>153</v>
      </c>
      <c r="B30" s="3">
        <v>1</v>
      </c>
      <c r="C30" s="3">
        <v>1</v>
      </c>
      <c r="D30" s="3">
        <f t="shared" si="33"/>
        <v>1</v>
      </c>
      <c r="E30" s="3">
        <f>P21</f>
        <v>27</v>
      </c>
      <c r="F30" s="3">
        <f t="shared" si="37"/>
        <v>27</v>
      </c>
      <c r="G30" s="3">
        <f t="shared" si="38"/>
        <v>1.35</v>
      </c>
      <c r="H30" s="3">
        <f t="shared" si="39"/>
        <v>2.7</v>
      </c>
      <c r="I30" s="7">
        <f t="shared" si="40"/>
        <v>2406.7259999999997</v>
      </c>
      <c r="K30" s="145" t="s">
        <v>69</v>
      </c>
      <c r="L30" s="138">
        <v>3</v>
      </c>
      <c r="M30" s="138">
        <v>235</v>
      </c>
      <c r="N30" s="138">
        <v>0</v>
      </c>
      <c r="O30" s="138">
        <f t="shared" si="34"/>
        <v>117.5</v>
      </c>
      <c r="P30" s="147">
        <f t="shared" si="35"/>
        <v>235</v>
      </c>
      <c r="Q30" s="138">
        <f t="shared" si="36"/>
        <v>117.5</v>
      </c>
    </row>
    <row r="31" spans="1:17" ht="15.75" customHeight="1" thickBot="1" x14ac:dyDescent="0.3">
      <c r="A31" s="74" t="s">
        <v>154</v>
      </c>
      <c r="B31" s="3">
        <v>8</v>
      </c>
      <c r="C31" s="3">
        <v>1</v>
      </c>
      <c r="D31" s="3">
        <f t="shared" si="33"/>
        <v>8</v>
      </c>
      <c r="E31" s="3">
        <f>P21</f>
        <v>27</v>
      </c>
      <c r="F31" s="3">
        <f t="shared" si="37"/>
        <v>216</v>
      </c>
      <c r="G31" s="3">
        <f t="shared" si="38"/>
        <v>10.8</v>
      </c>
      <c r="H31" s="3">
        <f t="shared" si="39"/>
        <v>21.6</v>
      </c>
      <c r="I31" s="7">
        <f t="shared" si="40"/>
        <v>19253.807999999997</v>
      </c>
      <c r="K31" s="145" t="s">
        <v>72</v>
      </c>
      <c r="L31" s="146">
        <v>3</v>
      </c>
      <c r="M31" s="138">
        <v>49</v>
      </c>
      <c r="N31" s="138">
        <v>0</v>
      </c>
      <c r="O31" s="138">
        <f t="shared" si="34"/>
        <v>24.5</v>
      </c>
      <c r="P31" s="147">
        <f t="shared" si="35"/>
        <v>49</v>
      </c>
      <c r="Q31" s="138">
        <f t="shared" si="36"/>
        <v>24.5</v>
      </c>
    </row>
    <row r="32" spans="1:17" ht="15.75" thickBot="1" x14ac:dyDescent="0.3">
      <c r="A32" s="72" t="s">
        <v>155</v>
      </c>
      <c r="B32" s="3">
        <v>40</v>
      </c>
      <c r="C32" s="179">
        <f>1/3</f>
        <v>0.33333333333333331</v>
      </c>
      <c r="D32" s="180">
        <f t="shared" si="33"/>
        <v>13.333333333333332</v>
      </c>
      <c r="E32" s="128">
        <f>L21</f>
        <v>54</v>
      </c>
      <c r="F32" s="3">
        <f t="shared" ref="F32" si="41">D32*E32</f>
        <v>719.99999999999989</v>
      </c>
      <c r="G32" s="3">
        <f t="shared" ref="G32" si="42">0.05*F32</f>
        <v>35.999999999999993</v>
      </c>
      <c r="H32" s="3">
        <f t="shared" ref="H32" si="43">0.1*F32</f>
        <v>71.999999999999986</v>
      </c>
      <c r="I32" s="7">
        <f t="shared" ref="I32" si="44">F32*F$2+G32*G$2+H32*H$2</f>
        <v>64179.359999999986</v>
      </c>
      <c r="K32" s="145" t="s">
        <v>72</v>
      </c>
      <c r="L32" s="138">
        <v>4</v>
      </c>
      <c r="M32" s="138">
        <v>167</v>
      </c>
      <c r="N32" s="138">
        <v>0</v>
      </c>
      <c r="O32" s="138">
        <f t="shared" si="34"/>
        <v>83.5</v>
      </c>
      <c r="P32" s="147">
        <f t="shared" si="35"/>
        <v>167</v>
      </c>
      <c r="Q32" s="138">
        <f t="shared" si="36"/>
        <v>83.5</v>
      </c>
    </row>
    <row r="33" spans="1:17" ht="15.75" thickBot="1" x14ac:dyDescent="0.3">
      <c r="A33" s="77" t="s">
        <v>60</v>
      </c>
      <c r="B33" s="78"/>
      <c r="C33" s="78"/>
      <c r="D33" s="78"/>
      <c r="E33" s="78"/>
      <c r="F33" s="79">
        <f>SUM(F$6:F$32)</f>
        <v>28936.7</v>
      </c>
      <c r="G33" s="79">
        <f>SUM(G$6:G$32)</f>
        <v>1446.8349999999998</v>
      </c>
      <c r="H33" s="79">
        <f>SUM(H$6:H$32)</f>
        <v>2893.6699999999996</v>
      </c>
      <c r="I33" s="80">
        <f>SUM(I$6:I$32)</f>
        <v>2579359.5646000002</v>
      </c>
      <c r="K33" s="145" t="s">
        <v>75</v>
      </c>
      <c r="L33" s="146">
        <v>4</v>
      </c>
      <c r="M33" s="138">
        <v>3</v>
      </c>
      <c r="N33" s="138">
        <v>0</v>
      </c>
      <c r="O33" s="138">
        <f t="shared" si="34"/>
        <v>1.5</v>
      </c>
      <c r="P33" s="147">
        <f t="shared" si="35"/>
        <v>3</v>
      </c>
      <c r="Q33" s="138">
        <f t="shared" si="36"/>
        <v>1.5</v>
      </c>
    </row>
    <row r="34" spans="1:17" ht="15.75" thickBot="1" x14ac:dyDescent="0.3">
      <c r="A34" s="57" t="s">
        <v>61</v>
      </c>
      <c r="B34" s="58"/>
      <c r="C34" s="58"/>
      <c r="D34" s="58"/>
      <c r="E34" s="58"/>
      <c r="F34" s="59"/>
      <c r="G34" s="59"/>
      <c r="H34" s="59"/>
      <c r="I34" s="60"/>
      <c r="K34" s="145" t="s">
        <v>75</v>
      </c>
      <c r="L34" s="138">
        <v>5</v>
      </c>
      <c r="M34" s="138">
        <v>13</v>
      </c>
      <c r="N34" s="138">
        <v>0</v>
      </c>
      <c r="O34" s="138">
        <f t="shared" si="34"/>
        <v>6.5</v>
      </c>
      <c r="P34" s="147">
        <f t="shared" si="35"/>
        <v>13</v>
      </c>
      <c r="Q34" s="138">
        <f t="shared" si="36"/>
        <v>6.5</v>
      </c>
    </row>
    <row r="35" spans="1:17" ht="15.75" thickBot="1" x14ac:dyDescent="0.3">
      <c r="A35" s="72" t="s">
        <v>65</v>
      </c>
      <c r="B35" s="3" t="s">
        <v>66</v>
      </c>
      <c r="C35" s="3"/>
      <c r="D35" s="3"/>
      <c r="E35" s="3"/>
      <c r="F35" s="62"/>
      <c r="G35" s="62"/>
      <c r="H35" s="62"/>
      <c r="I35" s="65"/>
      <c r="K35" s="145" t="s">
        <v>78</v>
      </c>
      <c r="L35" s="146">
        <v>3</v>
      </c>
      <c r="M35" s="138">
        <v>50</v>
      </c>
      <c r="N35" s="138">
        <v>0</v>
      </c>
      <c r="O35" s="138">
        <f t="shared" si="34"/>
        <v>25</v>
      </c>
      <c r="P35" s="147">
        <f t="shared" si="35"/>
        <v>50</v>
      </c>
      <c r="Q35" s="138">
        <f t="shared" si="36"/>
        <v>25</v>
      </c>
    </row>
    <row r="36" spans="1:17" ht="15.75" thickBot="1" x14ac:dyDescent="0.3">
      <c r="A36" s="57" t="s">
        <v>68</v>
      </c>
      <c r="B36" s="58">
        <v>1</v>
      </c>
      <c r="C36" s="58">
        <v>1</v>
      </c>
      <c r="D36" s="3">
        <f t="shared" ref="D36:D42" si="45">B36*C36</f>
        <v>1</v>
      </c>
      <c r="E36" s="58">
        <f t="shared" ref="E36:E42" si="46">SUM(P$12:P$15)</f>
        <v>4632</v>
      </c>
      <c r="F36" s="3">
        <f>D36*E36</f>
        <v>4632</v>
      </c>
      <c r="G36" s="3">
        <f>0.05*F36</f>
        <v>231.60000000000002</v>
      </c>
      <c r="H36" s="3">
        <f>0.1*F36</f>
        <v>463.20000000000005</v>
      </c>
      <c r="I36" s="7">
        <f>F36*F$2+G36*G$2+H36*H$2</f>
        <v>412887.21600000001</v>
      </c>
      <c r="K36" s="145" t="s">
        <v>78</v>
      </c>
      <c r="L36" s="138">
        <v>4</v>
      </c>
      <c r="M36" s="138">
        <v>200</v>
      </c>
      <c r="N36" s="138">
        <v>0</v>
      </c>
      <c r="O36" s="138">
        <f t="shared" si="34"/>
        <v>100</v>
      </c>
      <c r="P36" s="147">
        <f t="shared" si="35"/>
        <v>200</v>
      </c>
      <c r="Q36" s="138">
        <f t="shared" si="36"/>
        <v>100</v>
      </c>
    </row>
    <row r="37" spans="1:17" ht="15.75" thickBot="1" x14ac:dyDescent="0.3">
      <c r="A37" s="70" t="s">
        <v>70</v>
      </c>
      <c r="B37" s="63">
        <v>2</v>
      </c>
      <c r="C37" s="64">
        <v>1</v>
      </c>
      <c r="D37" s="3">
        <f t="shared" si="45"/>
        <v>2</v>
      </c>
      <c r="E37" s="58">
        <f t="shared" si="46"/>
        <v>4632</v>
      </c>
      <c r="F37" s="3">
        <f t="shared" ref="F37:F42" si="47">D37*E37</f>
        <v>9264</v>
      </c>
      <c r="G37" s="3">
        <f t="shared" ref="G37:G42" si="48">0.05*F37</f>
        <v>463.20000000000005</v>
      </c>
      <c r="H37" s="3">
        <f t="shared" ref="H37:H42" si="49">0.1*F37</f>
        <v>926.40000000000009</v>
      </c>
      <c r="I37" s="7">
        <f t="shared" ref="I37:I42" si="50">F37*F$2+G37*G$2+H37*H$2</f>
        <v>825774.43200000003</v>
      </c>
      <c r="K37" s="145" t="s">
        <v>81</v>
      </c>
      <c r="L37" s="146">
        <v>4</v>
      </c>
      <c r="M37" s="138">
        <v>53</v>
      </c>
      <c r="N37" s="138">
        <v>0</v>
      </c>
      <c r="O37" s="138">
        <f t="shared" si="34"/>
        <v>26.5</v>
      </c>
      <c r="P37" s="147">
        <f t="shared" si="35"/>
        <v>53</v>
      </c>
      <c r="Q37" s="138">
        <f t="shared" si="36"/>
        <v>26.5</v>
      </c>
    </row>
    <row r="38" spans="1:17" ht="15.75" thickBot="1" x14ac:dyDescent="0.3">
      <c r="A38" s="69" t="s">
        <v>71</v>
      </c>
      <c r="B38" s="63">
        <v>1</v>
      </c>
      <c r="C38" s="64">
        <v>1</v>
      </c>
      <c r="D38" s="3">
        <f t="shared" si="45"/>
        <v>1</v>
      </c>
      <c r="E38" s="58">
        <f t="shared" si="46"/>
        <v>4632</v>
      </c>
      <c r="F38" s="3">
        <f t="shared" si="47"/>
        <v>4632</v>
      </c>
      <c r="G38" s="3">
        <f t="shared" si="48"/>
        <v>231.60000000000002</v>
      </c>
      <c r="H38" s="3">
        <f t="shared" si="49"/>
        <v>463.20000000000005</v>
      </c>
      <c r="I38" s="7">
        <f t="shared" si="50"/>
        <v>412887.21600000001</v>
      </c>
      <c r="K38" s="145" t="s">
        <v>81</v>
      </c>
      <c r="L38" s="138">
        <v>5</v>
      </c>
      <c r="M38" s="138">
        <v>157</v>
      </c>
      <c r="N38" s="138">
        <v>0</v>
      </c>
      <c r="O38" s="138">
        <f t="shared" si="34"/>
        <v>78.5</v>
      </c>
      <c r="P38" s="147">
        <f t="shared" si="35"/>
        <v>157</v>
      </c>
      <c r="Q38" s="138">
        <f t="shared" si="36"/>
        <v>78.5</v>
      </c>
    </row>
    <row r="39" spans="1:17" ht="15.75" thickBot="1" x14ac:dyDescent="0.3">
      <c r="A39" s="69" t="s">
        <v>73</v>
      </c>
      <c r="B39" s="63">
        <v>0.5</v>
      </c>
      <c r="C39" s="64">
        <v>2</v>
      </c>
      <c r="D39" s="3">
        <f t="shared" si="45"/>
        <v>1</v>
      </c>
      <c r="E39" s="58">
        <f t="shared" si="46"/>
        <v>4632</v>
      </c>
      <c r="F39" s="3">
        <f t="shared" si="47"/>
        <v>4632</v>
      </c>
      <c r="G39" s="3">
        <f t="shared" si="48"/>
        <v>231.60000000000002</v>
      </c>
      <c r="H39" s="3">
        <f t="shared" si="49"/>
        <v>463.20000000000005</v>
      </c>
      <c r="I39" s="7">
        <f t="shared" si="50"/>
        <v>412887.21600000001</v>
      </c>
    </row>
    <row r="40" spans="1:17" ht="15.75" thickBot="1" x14ac:dyDescent="0.3">
      <c r="A40" s="69" t="s">
        <v>74</v>
      </c>
      <c r="B40" s="63">
        <v>2</v>
      </c>
      <c r="C40" s="64">
        <v>1</v>
      </c>
      <c r="D40" s="3">
        <f t="shared" si="45"/>
        <v>2</v>
      </c>
      <c r="E40" s="58">
        <f t="shared" si="46"/>
        <v>4632</v>
      </c>
      <c r="F40" s="3">
        <f t="shared" si="47"/>
        <v>9264</v>
      </c>
      <c r="G40" s="3">
        <f t="shared" si="48"/>
        <v>463.20000000000005</v>
      </c>
      <c r="H40" s="3">
        <f t="shared" si="49"/>
        <v>926.40000000000009</v>
      </c>
      <c r="I40" s="7">
        <f t="shared" si="50"/>
        <v>825774.43200000003</v>
      </c>
    </row>
    <row r="41" spans="1:17" ht="26.25" thickBot="1" x14ac:dyDescent="0.3">
      <c r="A41" s="133" t="s">
        <v>76</v>
      </c>
      <c r="B41" s="134">
        <v>2</v>
      </c>
      <c r="C41" s="135">
        <v>1</v>
      </c>
      <c r="D41" s="41">
        <f t="shared" si="45"/>
        <v>2</v>
      </c>
      <c r="E41" s="136">
        <f t="shared" si="46"/>
        <v>4632</v>
      </c>
      <c r="F41" s="41">
        <f t="shared" si="47"/>
        <v>9264</v>
      </c>
      <c r="G41" s="41">
        <f t="shared" si="48"/>
        <v>463.20000000000005</v>
      </c>
      <c r="H41" s="41">
        <f t="shared" si="49"/>
        <v>926.40000000000009</v>
      </c>
      <c r="I41" s="137">
        <f t="shared" si="50"/>
        <v>825774.43200000003</v>
      </c>
    </row>
    <row r="42" spans="1:17" ht="15.75" thickBot="1" x14ac:dyDescent="0.3">
      <c r="A42" s="69" t="s">
        <v>77</v>
      </c>
      <c r="B42" s="63">
        <v>0.25</v>
      </c>
      <c r="C42" s="64">
        <v>2</v>
      </c>
      <c r="D42" s="3">
        <f t="shared" si="45"/>
        <v>0.5</v>
      </c>
      <c r="E42" s="58">
        <f t="shared" si="46"/>
        <v>4632</v>
      </c>
      <c r="F42" s="3">
        <f t="shared" si="47"/>
        <v>2316</v>
      </c>
      <c r="G42" s="3">
        <f t="shared" si="48"/>
        <v>115.80000000000001</v>
      </c>
      <c r="H42" s="3">
        <f t="shared" si="49"/>
        <v>231.60000000000002</v>
      </c>
      <c r="I42" s="7">
        <f t="shared" si="50"/>
        <v>206443.60800000001</v>
      </c>
    </row>
    <row r="43" spans="1:17" ht="15.75" thickBot="1" x14ac:dyDescent="0.3">
      <c r="A43" s="81" t="s">
        <v>79</v>
      </c>
      <c r="B43" s="82"/>
      <c r="C43" s="83"/>
      <c r="D43" s="83"/>
      <c r="E43" s="83"/>
      <c r="F43" s="79">
        <f>SUM(F$36:F$42)</f>
        <v>44004</v>
      </c>
      <c r="G43" s="79">
        <f>SUM(G$36:G$42)</f>
        <v>2200.2000000000003</v>
      </c>
      <c r="H43" s="79">
        <f>SUM(H$36:H$42)</f>
        <v>4400.4000000000005</v>
      </c>
      <c r="I43" s="84">
        <f>SUM(I$36:I$42)</f>
        <v>3922428.5520000001</v>
      </c>
    </row>
    <row r="44" spans="1:17" ht="15.75" thickBot="1" x14ac:dyDescent="0.3">
      <c r="A44" s="85" t="s">
        <v>80</v>
      </c>
      <c r="B44" s="87"/>
      <c r="C44" s="3"/>
      <c r="D44" s="3"/>
      <c r="E44" s="87"/>
      <c r="F44" s="172">
        <f>SUM(F33:H33)+SUM(F43:H43)</f>
        <v>83881.804999999993</v>
      </c>
      <c r="G44" s="173"/>
      <c r="H44" s="174"/>
      <c r="I44" s="66">
        <f>I33+I43</f>
        <v>6501788.1166000003</v>
      </c>
    </row>
    <row r="45" spans="1:17" ht="15.75" thickBot="1" x14ac:dyDescent="0.3">
      <c r="A45" s="86" t="s">
        <v>82</v>
      </c>
      <c r="B45" s="88"/>
      <c r="C45" s="61"/>
      <c r="D45" s="89"/>
      <c r="E45" s="61"/>
      <c r="F45" s="61"/>
      <c r="G45" s="89"/>
      <c r="H45" s="61"/>
      <c r="I45" s="90">
        <f>G61</f>
        <v>0</v>
      </c>
    </row>
    <row r="46" spans="1:17" ht="15.75" thickBot="1" x14ac:dyDescent="0.3">
      <c r="A46" s="86" t="s">
        <v>83</v>
      </c>
      <c r="B46" s="61"/>
      <c r="C46" s="61"/>
      <c r="D46" s="61"/>
      <c r="E46" s="61"/>
      <c r="F46" s="106"/>
      <c r="G46" s="108"/>
      <c r="H46" s="107"/>
      <c r="I46" s="105">
        <f>I44+I45</f>
        <v>6501788.1166000003</v>
      </c>
      <c r="J46" s="21"/>
    </row>
    <row r="47" spans="1:17" x14ac:dyDescent="0.25">
      <c r="A47" s="8" t="s">
        <v>84</v>
      </c>
      <c r="B47" s="8"/>
      <c r="J47" s="21"/>
    </row>
    <row r="48" spans="1:17" ht="15.75" x14ac:dyDescent="0.25">
      <c r="A48" s="9" t="s">
        <v>85</v>
      </c>
      <c r="B48" s="9"/>
      <c r="J48" s="21"/>
    </row>
    <row r="49" spans="1:14" ht="15.75" x14ac:dyDescent="0.25">
      <c r="A49" s="9" t="s">
        <v>86</v>
      </c>
      <c r="B49" s="9"/>
      <c r="J49" s="21"/>
    </row>
    <row r="50" spans="1:14" ht="15.75" x14ac:dyDescent="0.25">
      <c r="A50" s="9" t="s">
        <v>87</v>
      </c>
      <c r="B50" s="9"/>
      <c r="J50" s="21"/>
    </row>
    <row r="51" spans="1:14" ht="15.75" x14ac:dyDescent="0.25">
      <c r="A51" s="9" t="s">
        <v>88</v>
      </c>
      <c r="B51" s="9"/>
      <c r="J51" s="21"/>
    </row>
    <row r="52" spans="1:14" ht="15.75" x14ac:dyDescent="0.25">
      <c r="A52" s="9" t="s">
        <v>89</v>
      </c>
      <c r="B52" s="9"/>
      <c r="J52" s="21"/>
    </row>
    <row r="53" spans="1:14" ht="15.75" x14ac:dyDescent="0.25">
      <c r="A53" s="9" t="s">
        <v>201</v>
      </c>
      <c r="B53" s="9"/>
      <c r="J53" s="21"/>
    </row>
    <row r="54" spans="1:14" ht="15.75" x14ac:dyDescent="0.25">
      <c r="A54" s="9" t="s">
        <v>202</v>
      </c>
      <c r="B54" s="9"/>
      <c r="E54" s="183"/>
      <c r="J54" s="21"/>
    </row>
    <row r="55" spans="1:14" ht="15.75" x14ac:dyDescent="0.25">
      <c r="A55" s="9" t="s">
        <v>221</v>
      </c>
      <c r="B55" s="9"/>
      <c r="J55" s="21"/>
    </row>
    <row r="56" spans="1:14" ht="15.75" x14ac:dyDescent="0.25">
      <c r="A56" s="9"/>
      <c r="B56" s="9"/>
      <c r="J56" s="21"/>
    </row>
    <row r="57" spans="1:14" x14ac:dyDescent="0.25">
      <c r="A57" s="97" t="s">
        <v>4</v>
      </c>
      <c r="B57" s="103" t="s">
        <v>5</v>
      </c>
      <c r="C57" s="98" t="s">
        <v>6</v>
      </c>
      <c r="D57" s="103" t="s">
        <v>7</v>
      </c>
      <c r="E57" s="98" t="s">
        <v>8</v>
      </c>
      <c r="F57" s="103" t="s">
        <v>9</v>
      </c>
      <c r="G57" s="99" t="s">
        <v>10</v>
      </c>
      <c r="J57" s="21"/>
    </row>
    <row r="58" spans="1:14" ht="51" x14ac:dyDescent="0.25">
      <c r="A58" s="100" t="s">
        <v>90</v>
      </c>
      <c r="B58" s="104" t="s">
        <v>91</v>
      </c>
      <c r="C58" s="101" t="s">
        <v>92</v>
      </c>
      <c r="D58" s="104" t="s">
        <v>93</v>
      </c>
      <c r="E58" s="101" t="s">
        <v>94</v>
      </c>
      <c r="F58" s="104" t="s">
        <v>95</v>
      </c>
      <c r="G58" s="102" t="s">
        <v>96</v>
      </c>
      <c r="J58" s="21"/>
    </row>
    <row r="59" spans="1:14" x14ac:dyDescent="0.25">
      <c r="A59" s="94" t="s">
        <v>97</v>
      </c>
      <c r="B59" s="95">
        <v>750</v>
      </c>
      <c r="C59" s="96">
        <v>0</v>
      </c>
      <c r="D59" s="95">
        <f>B59*C59</f>
        <v>0</v>
      </c>
      <c r="E59" s="115">
        <v>100</v>
      </c>
      <c r="F59" s="116">
        <v>0</v>
      </c>
      <c r="G59" s="95">
        <f>E59*F59</f>
        <v>0</v>
      </c>
      <c r="J59" s="21"/>
    </row>
    <row r="60" spans="1:14" x14ac:dyDescent="0.25">
      <c r="A60" s="13" t="s">
        <v>98</v>
      </c>
      <c r="B60" s="14">
        <v>100000</v>
      </c>
      <c r="C60" s="15">
        <v>0</v>
      </c>
      <c r="D60" s="14">
        <f>B60*C60</f>
        <v>0</v>
      </c>
      <c r="E60" s="92">
        <v>10000</v>
      </c>
      <c r="F60" s="117">
        <v>0</v>
      </c>
      <c r="G60" s="14">
        <f>E60*F60</f>
        <v>0</v>
      </c>
      <c r="J60" s="21"/>
    </row>
    <row r="61" spans="1:14" x14ac:dyDescent="0.25">
      <c r="A61" s="13" t="s">
        <v>64</v>
      </c>
      <c r="B61" s="15"/>
      <c r="C61" s="15"/>
      <c r="D61" s="14">
        <f>SUM(D59:D60)</f>
        <v>0</v>
      </c>
      <c r="E61" s="15"/>
      <c r="F61" s="15"/>
      <c r="G61" s="14">
        <f>SUM(G59:G60)</f>
        <v>0</v>
      </c>
      <c r="J61" s="21"/>
    </row>
    <row r="62" spans="1:14" ht="16.5" thickBot="1" x14ac:dyDescent="0.3">
      <c r="A62" s="9"/>
      <c r="B62" s="9"/>
      <c r="J62" s="21"/>
    </row>
    <row r="63" spans="1:14" ht="32.25" thickBot="1" x14ac:dyDescent="0.3">
      <c r="A63" s="67" t="s">
        <v>99</v>
      </c>
      <c r="B63" s="21"/>
      <c r="C63" s="21"/>
      <c r="D63" s="21"/>
      <c r="E63" s="21"/>
      <c r="F63" s="21"/>
      <c r="J63" s="21"/>
      <c r="K63" s="93" t="s">
        <v>100</v>
      </c>
      <c r="L63" s="68" t="s">
        <v>101</v>
      </c>
      <c r="M63" s="68" t="s">
        <v>102</v>
      </c>
      <c r="N63" s="68" t="s">
        <v>103</v>
      </c>
    </row>
    <row r="64" spans="1:14" ht="16.5" thickBot="1" x14ac:dyDescent="0.3">
      <c r="A64" s="21"/>
      <c r="B64" s="21"/>
      <c r="C64" s="21"/>
      <c r="D64" s="21"/>
      <c r="E64" s="22" t="s">
        <v>104</v>
      </c>
      <c r="F64" s="23">
        <f>Burden_AreaSource!N65</f>
        <v>50.72</v>
      </c>
      <c r="G64" s="23">
        <f>Burden_AreaSource!N64</f>
        <v>68.367999999999995</v>
      </c>
      <c r="H64" s="23">
        <f>Burden_AreaSource!N66</f>
        <v>27.456</v>
      </c>
      <c r="I64" s="21"/>
      <c r="J64" s="21"/>
      <c r="K64" s="16" t="s">
        <v>105</v>
      </c>
      <c r="L64" s="17">
        <v>42.73</v>
      </c>
      <c r="M64" s="18">
        <f>0.6*L64</f>
        <v>25.637999999999998</v>
      </c>
      <c r="N64" s="18">
        <f>L64+M64</f>
        <v>68.367999999999995</v>
      </c>
    </row>
    <row r="65" spans="1:14" ht="60.75" thickBot="1" x14ac:dyDescent="0.3">
      <c r="A65" s="24" t="s">
        <v>106</v>
      </c>
      <c r="B65" s="24" t="s">
        <v>107</v>
      </c>
      <c r="C65" s="24" t="s">
        <v>108</v>
      </c>
      <c r="D65" s="24" t="s">
        <v>109</v>
      </c>
      <c r="E65" s="24" t="s">
        <v>110</v>
      </c>
      <c r="F65" s="24" t="s">
        <v>111</v>
      </c>
      <c r="G65" s="24" t="s">
        <v>112</v>
      </c>
      <c r="H65" s="24" t="s">
        <v>113</v>
      </c>
      <c r="I65" s="24" t="s">
        <v>114</v>
      </c>
      <c r="J65" s="21"/>
      <c r="K65" s="16" t="s">
        <v>115</v>
      </c>
      <c r="L65" s="17">
        <v>31.7</v>
      </c>
      <c r="M65" s="18">
        <f>0.6*L65</f>
        <v>19.02</v>
      </c>
      <c r="N65" s="18">
        <f>L65+M65</f>
        <v>50.72</v>
      </c>
    </row>
    <row r="66" spans="1:14" ht="16.5" thickBot="1" x14ac:dyDescent="0.3">
      <c r="A66" s="12" t="s">
        <v>116</v>
      </c>
      <c r="B66" s="11"/>
      <c r="C66" s="11"/>
      <c r="D66" s="11"/>
      <c r="E66" s="11"/>
      <c r="F66" s="34"/>
      <c r="G66" s="34"/>
      <c r="H66" s="34"/>
      <c r="I66" s="35"/>
      <c r="J66" s="21"/>
      <c r="K66" s="16" t="s">
        <v>117</v>
      </c>
      <c r="L66" s="17">
        <v>17.16</v>
      </c>
      <c r="M66" s="18">
        <f>0.6*L66</f>
        <v>10.295999999999999</v>
      </c>
      <c r="N66" s="18">
        <f>L66+M66</f>
        <v>27.456</v>
      </c>
    </row>
    <row r="67" spans="1:14" ht="15.75" x14ac:dyDescent="0.25">
      <c r="A67" s="40" t="s">
        <v>118</v>
      </c>
      <c r="B67" s="11">
        <v>2</v>
      </c>
      <c r="C67" s="11">
        <v>1</v>
      </c>
      <c r="D67" s="11">
        <f>B67*C67</f>
        <v>2</v>
      </c>
      <c r="E67" s="11">
        <v>0</v>
      </c>
      <c r="F67" s="34">
        <f>D67*E67</f>
        <v>0</v>
      </c>
      <c r="G67" s="34">
        <f>F67*0.05</f>
        <v>0</v>
      </c>
      <c r="H67" s="34">
        <f>F67*0.1</f>
        <v>0</v>
      </c>
      <c r="I67" s="35">
        <f t="shared" ref="I67:I74" si="51">F67*F$64+G67*G$64+H67*H$64</f>
        <v>0</v>
      </c>
      <c r="J67" s="21"/>
      <c r="K67" s="19" t="s">
        <v>119</v>
      </c>
    </row>
    <row r="68" spans="1:14" ht="15.75" x14ac:dyDescent="0.25">
      <c r="A68" s="40" t="s">
        <v>186</v>
      </c>
      <c r="B68" s="28">
        <v>1</v>
      </c>
      <c r="C68" s="28">
        <v>0.2</v>
      </c>
      <c r="D68" s="11">
        <f t="shared" ref="D68:D74" si="52">B68*C68</f>
        <v>0.2</v>
      </c>
      <c r="E68" s="119">
        <f>P18</f>
        <v>85</v>
      </c>
      <c r="F68" s="34">
        <f>D68*E68</f>
        <v>17</v>
      </c>
      <c r="G68" s="34">
        <f t="shared" ref="G68:G74" si="53">F68*0.05</f>
        <v>0.85000000000000009</v>
      </c>
      <c r="H68" s="34">
        <f t="shared" ref="H68:H72" si="54">F68*0.1</f>
        <v>1.7000000000000002</v>
      </c>
      <c r="I68" s="35">
        <f t="shared" si="51"/>
        <v>967.02800000000002</v>
      </c>
      <c r="J68" s="21"/>
      <c r="K68" s="20" t="s">
        <v>121</v>
      </c>
    </row>
    <row r="69" spans="1:14" ht="15.75" x14ac:dyDescent="0.25">
      <c r="A69" s="40" t="s">
        <v>204</v>
      </c>
      <c r="B69" s="28">
        <v>1</v>
      </c>
      <c r="C69" s="28">
        <v>1</v>
      </c>
      <c r="D69" s="11">
        <v>1</v>
      </c>
      <c r="E69" s="119">
        <f>P21</f>
        <v>27</v>
      </c>
      <c r="F69" s="34">
        <f t="shared" ref="F69" si="55">D69*E69</f>
        <v>27</v>
      </c>
      <c r="G69" s="34">
        <f t="shared" ref="G69" si="56">F69*0.05</f>
        <v>1.35</v>
      </c>
      <c r="H69" s="34">
        <f t="shared" ref="H69" si="57">F69*0.1</f>
        <v>2.7</v>
      </c>
      <c r="I69" s="35">
        <f t="shared" si="51"/>
        <v>1535.8680000000002</v>
      </c>
      <c r="J69" s="21"/>
    </row>
    <row r="70" spans="1:14" ht="15.75" x14ac:dyDescent="0.25">
      <c r="A70" s="40" t="s">
        <v>122</v>
      </c>
      <c r="B70" s="11">
        <v>2</v>
      </c>
      <c r="C70" s="181">
        <f>1/3</f>
        <v>0.33333333333333331</v>
      </c>
      <c r="D70" s="181">
        <f t="shared" si="52"/>
        <v>0.66666666666666663</v>
      </c>
      <c r="E70" s="123">
        <f>L21</f>
        <v>54</v>
      </c>
      <c r="F70" s="34">
        <f t="shared" ref="F70:F74" si="58">D70*E70</f>
        <v>36</v>
      </c>
      <c r="G70" s="34">
        <f t="shared" si="53"/>
        <v>1.8</v>
      </c>
      <c r="H70" s="34">
        <f t="shared" si="54"/>
        <v>3.6</v>
      </c>
      <c r="I70" s="35">
        <f t="shared" si="51"/>
        <v>2047.8240000000001</v>
      </c>
      <c r="J70" s="21"/>
    </row>
    <row r="71" spans="1:14" ht="15.75" x14ac:dyDescent="0.25">
      <c r="A71" s="40" t="s">
        <v>123</v>
      </c>
      <c r="B71" s="11">
        <v>4</v>
      </c>
      <c r="C71" s="11">
        <v>1</v>
      </c>
      <c r="D71" s="11">
        <v>2</v>
      </c>
      <c r="E71" s="123">
        <f>P23+P13</f>
        <v>3073</v>
      </c>
      <c r="F71" s="34">
        <f t="shared" si="58"/>
        <v>6146</v>
      </c>
      <c r="G71" s="34">
        <f t="shared" si="53"/>
        <v>307.3</v>
      </c>
      <c r="H71" s="34">
        <f t="shared" si="54"/>
        <v>614.6</v>
      </c>
      <c r="I71" s="35">
        <f t="shared" si="51"/>
        <v>349609.06400000001</v>
      </c>
    </row>
    <row r="72" spans="1:14" ht="15.75" x14ac:dyDescent="0.25">
      <c r="A72" s="40" t="s">
        <v>187</v>
      </c>
      <c r="B72" s="28">
        <v>2</v>
      </c>
      <c r="C72" s="28">
        <v>0.2</v>
      </c>
      <c r="D72" s="11">
        <f t="shared" si="52"/>
        <v>0.4</v>
      </c>
      <c r="E72" s="119">
        <f>P18</f>
        <v>85</v>
      </c>
      <c r="F72" s="34">
        <f t="shared" si="58"/>
        <v>34</v>
      </c>
      <c r="G72" s="34">
        <f t="shared" si="53"/>
        <v>1.7000000000000002</v>
      </c>
      <c r="H72" s="34">
        <f t="shared" si="54"/>
        <v>3.4000000000000004</v>
      </c>
      <c r="I72" s="35">
        <f t="shared" si="51"/>
        <v>1934.056</v>
      </c>
    </row>
    <row r="73" spans="1:14" ht="15.75" x14ac:dyDescent="0.25">
      <c r="A73" s="40" t="s">
        <v>188</v>
      </c>
      <c r="B73" s="28">
        <v>2</v>
      </c>
      <c r="C73" s="28">
        <v>1</v>
      </c>
      <c r="D73" s="11">
        <f t="shared" si="52"/>
        <v>2</v>
      </c>
      <c r="E73" s="28">
        <f>P21</f>
        <v>27</v>
      </c>
      <c r="F73" s="34">
        <f t="shared" ref="F73" si="59">D73*E73</f>
        <v>54</v>
      </c>
      <c r="G73" s="34">
        <f t="shared" ref="G73" si="60">F73*0.05</f>
        <v>2.7</v>
      </c>
      <c r="H73" s="34">
        <f t="shared" ref="H73" si="61">F73*0.1</f>
        <v>5.4</v>
      </c>
      <c r="I73" s="35">
        <f t="shared" si="51"/>
        <v>3071.7360000000003</v>
      </c>
    </row>
    <row r="74" spans="1:14" ht="15.75" x14ac:dyDescent="0.25">
      <c r="A74" s="40" t="s">
        <v>223</v>
      </c>
      <c r="B74" s="28">
        <v>2</v>
      </c>
      <c r="C74" s="28">
        <v>2</v>
      </c>
      <c r="D74" s="11">
        <f t="shared" si="52"/>
        <v>4</v>
      </c>
      <c r="E74" s="119">
        <v>0</v>
      </c>
      <c r="F74" s="34">
        <f t="shared" si="58"/>
        <v>0</v>
      </c>
      <c r="G74" s="34">
        <f t="shared" si="53"/>
        <v>0</v>
      </c>
      <c r="H74" s="34">
        <f>F74*0.1</f>
        <v>0</v>
      </c>
      <c r="I74" s="35">
        <f t="shared" si="51"/>
        <v>0</v>
      </c>
    </row>
    <row r="75" spans="1:14" x14ac:dyDescent="0.25">
      <c r="A75" s="91" t="s">
        <v>124</v>
      </c>
      <c r="B75" s="36"/>
      <c r="C75" s="36"/>
      <c r="D75" s="36"/>
      <c r="E75" s="36"/>
      <c r="F75" s="169">
        <f>SUM(F67:H74)</f>
        <v>7261.0999999999995</v>
      </c>
      <c r="G75" s="170"/>
      <c r="H75" s="171"/>
      <c r="I75" s="37">
        <f>SUM(I67:I74)</f>
        <v>359165.57599999994</v>
      </c>
    </row>
    <row r="76" spans="1:14" x14ac:dyDescent="0.25">
      <c r="A76" s="21"/>
      <c r="B76" s="21"/>
      <c r="C76" s="21"/>
      <c r="D76" s="21"/>
      <c r="E76" s="21"/>
      <c r="F76" s="21"/>
    </row>
    <row r="77" spans="1:14" x14ac:dyDescent="0.25">
      <c r="A77" s="38" t="s">
        <v>84</v>
      </c>
      <c r="B77" s="21"/>
      <c r="C77" s="21"/>
      <c r="D77" s="21"/>
      <c r="E77" s="21"/>
      <c r="F77" s="21"/>
      <c r="G77" s="21"/>
      <c r="H77" s="21"/>
      <c r="I77" s="21"/>
    </row>
    <row r="78" spans="1:14" ht="15.75" x14ac:dyDescent="0.25">
      <c r="A78" s="39" t="s">
        <v>157</v>
      </c>
      <c r="B78" s="21"/>
      <c r="C78" s="21"/>
      <c r="D78" s="21"/>
      <c r="E78" s="21"/>
      <c r="F78" s="21"/>
      <c r="G78" s="21"/>
      <c r="H78" s="21"/>
      <c r="I78" s="21"/>
    </row>
    <row r="79" spans="1:14" ht="15.75" x14ac:dyDescent="0.25">
      <c r="A79" s="39" t="s">
        <v>126</v>
      </c>
      <c r="B79" s="21"/>
      <c r="C79" s="21"/>
      <c r="D79" s="21"/>
      <c r="E79" s="21"/>
      <c r="F79" s="21"/>
      <c r="G79" s="21"/>
      <c r="H79" s="21"/>
      <c r="I79" s="21"/>
    </row>
    <row r="80" spans="1:14" ht="15.75" x14ac:dyDescent="0.25">
      <c r="A80" s="39" t="s">
        <v>127</v>
      </c>
      <c r="B80" s="21"/>
      <c r="C80" s="21"/>
      <c r="D80" s="21"/>
      <c r="E80" s="21"/>
      <c r="F80" s="21"/>
      <c r="G80" s="21"/>
      <c r="H80" s="21"/>
      <c r="I80" s="21"/>
    </row>
    <row r="81" spans="1:9" ht="15.75" x14ac:dyDescent="0.25">
      <c r="A81" s="9" t="s">
        <v>205</v>
      </c>
      <c r="B81" s="21"/>
      <c r="C81" s="21"/>
      <c r="D81" s="21"/>
      <c r="E81" s="21"/>
      <c r="F81" s="21"/>
      <c r="G81" s="21"/>
      <c r="H81" s="21"/>
      <c r="I81" s="21"/>
    </row>
    <row r="82" spans="1:9" ht="15.75" x14ac:dyDescent="0.25">
      <c r="A82" s="9" t="s">
        <v>206</v>
      </c>
      <c r="B82" s="21"/>
      <c r="C82" s="21"/>
      <c r="D82" s="21"/>
      <c r="E82" s="21"/>
      <c r="F82" s="21"/>
      <c r="G82" s="21"/>
      <c r="H82" s="21"/>
      <c r="I82" s="21"/>
    </row>
    <row r="83" spans="1:9" ht="15.75" x14ac:dyDescent="0.25">
      <c r="A83" s="9" t="s">
        <v>222</v>
      </c>
      <c r="B83" s="21"/>
      <c r="C83" s="21"/>
      <c r="D83" s="21"/>
      <c r="E83" s="21"/>
      <c r="F83" s="21"/>
      <c r="G83" s="21"/>
      <c r="H83" s="21"/>
      <c r="I83" s="21"/>
    </row>
    <row r="84" spans="1:9" x14ac:dyDescent="0.25">
      <c r="A84" s="109"/>
      <c r="B84" s="21"/>
      <c r="C84" s="21"/>
      <c r="D84" s="21"/>
      <c r="E84" s="21"/>
      <c r="F84" s="21"/>
      <c r="G84" s="21"/>
      <c r="H84" s="21"/>
      <c r="I84" s="21"/>
    </row>
    <row r="85" spans="1:9" ht="96" x14ac:dyDescent="0.25">
      <c r="A85" s="25" t="s">
        <v>128</v>
      </c>
      <c r="B85" s="25" t="s">
        <v>129</v>
      </c>
      <c r="C85" s="25" t="s">
        <v>130</v>
      </c>
      <c r="D85" s="25" t="s">
        <v>131</v>
      </c>
      <c r="E85" s="25" t="s">
        <v>132</v>
      </c>
      <c r="G85" s="21"/>
      <c r="H85" s="21"/>
      <c r="I85" s="21"/>
    </row>
    <row r="86" spans="1:9" x14ac:dyDescent="0.25">
      <c r="A86" s="26"/>
      <c r="B86" s="26"/>
      <c r="C86" s="26"/>
      <c r="D86" s="27"/>
      <c r="E86" s="28" t="s">
        <v>133</v>
      </c>
    </row>
    <row r="87" spans="1:9" x14ac:dyDescent="0.25">
      <c r="A87" s="164" t="s">
        <v>203</v>
      </c>
      <c r="B87" s="165">
        <f>P23+P13</f>
        <v>3073</v>
      </c>
      <c r="C87" s="165">
        <v>1</v>
      </c>
      <c r="D87" s="28">
        <v>0</v>
      </c>
      <c r="E87" s="28">
        <f>B87*C87+D87</f>
        <v>3073</v>
      </c>
    </row>
    <row r="88" spans="1:9" x14ac:dyDescent="0.25">
      <c r="A88" s="29" t="s">
        <v>134</v>
      </c>
      <c r="B88" s="119">
        <v>0</v>
      </c>
      <c r="C88" s="28">
        <v>2</v>
      </c>
      <c r="D88" s="28">
        <v>0</v>
      </c>
      <c r="E88" s="28">
        <f>B88*C88+D88</f>
        <v>0</v>
      </c>
    </row>
    <row r="89" spans="1:9" x14ac:dyDescent="0.25">
      <c r="A89" s="29" t="s">
        <v>120</v>
      </c>
      <c r="B89" s="28">
        <f>P18</f>
        <v>85</v>
      </c>
      <c r="C89" s="28">
        <v>0.2</v>
      </c>
      <c r="D89" s="28">
        <v>0</v>
      </c>
      <c r="E89" s="28">
        <f t="shared" ref="E89:E92" si="62">B89*C89+D89</f>
        <v>17</v>
      </c>
    </row>
    <row r="90" spans="1:9" x14ac:dyDescent="0.25">
      <c r="A90" s="29" t="s">
        <v>135</v>
      </c>
      <c r="B90" s="28">
        <f>P21</f>
        <v>27</v>
      </c>
      <c r="C90" s="28">
        <v>1</v>
      </c>
      <c r="D90" s="28">
        <v>0</v>
      </c>
      <c r="E90" s="28">
        <f t="shared" si="62"/>
        <v>27</v>
      </c>
    </row>
    <row r="91" spans="1:9" x14ac:dyDescent="0.25">
      <c r="A91" s="29" t="s">
        <v>136</v>
      </c>
      <c r="B91" s="28">
        <f>P18</f>
        <v>85</v>
      </c>
      <c r="C91" s="28">
        <v>0.2</v>
      </c>
      <c r="D91" s="28">
        <v>0</v>
      </c>
      <c r="E91" s="28">
        <f t="shared" si="62"/>
        <v>17</v>
      </c>
    </row>
    <row r="92" spans="1:9" x14ac:dyDescent="0.25">
      <c r="A92" s="29" t="s">
        <v>137</v>
      </c>
      <c r="B92" s="28">
        <f>P21</f>
        <v>27</v>
      </c>
      <c r="C92" s="28">
        <v>1</v>
      </c>
      <c r="D92" s="28">
        <v>0</v>
      </c>
      <c r="E92" s="28">
        <f t="shared" si="62"/>
        <v>27</v>
      </c>
    </row>
    <row r="93" spans="1:9" x14ac:dyDescent="0.25">
      <c r="A93" s="30"/>
      <c r="B93" s="30"/>
      <c r="C93" s="30"/>
      <c r="D93" s="25" t="s">
        <v>64</v>
      </c>
      <c r="E93" s="31">
        <f>SUM(E87:E92)</f>
        <v>3161</v>
      </c>
    </row>
    <row r="96" spans="1:9" x14ac:dyDescent="0.25">
      <c r="D96" s="33" t="s">
        <v>138</v>
      </c>
      <c r="E96" s="32">
        <f>F44/E93</f>
        <v>26.536477380575764</v>
      </c>
    </row>
  </sheetData>
  <mergeCells count="3">
    <mergeCell ref="A3:A5"/>
    <mergeCell ref="F44:H44"/>
    <mergeCell ref="F75:H75"/>
  </mergeCells>
  <hyperlinks>
    <hyperlink ref="M2" r:id="rId1" xr:uid="{5995C3E7-A281-40E0-9AE5-9EA387169A51}"/>
    <hyperlink ref="K67" r:id="rId2" display="https://www.opm.gov/policy-data-oversight/pay-leave/salaries-wages/salary-tables/pdf/2019/GS_h.pdf" xr:uid="{A6EDD5A7-6844-4230-9609-86052245CA5D}"/>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6ED5-43C3-4A00-9EED-D9658F6D67E6}">
  <sheetPr>
    <tabColor theme="9"/>
  </sheetPr>
  <dimension ref="A1:W80"/>
  <sheetViews>
    <sheetView topLeftCell="A52" workbookViewId="0">
      <selection activeCell="A66" sqref="A66:A67"/>
    </sheetView>
  </sheetViews>
  <sheetFormatPr defaultRowHeight="15" x14ac:dyDescent="0.25"/>
  <cols>
    <col min="1" max="1" width="47.28515625" customWidth="1"/>
    <col min="2" max="2" width="19.7109375" customWidth="1"/>
    <col min="3" max="10" width="11.28515625" customWidth="1"/>
    <col min="11" max="11" width="21.140625" customWidth="1"/>
    <col min="12" max="12" width="28.42578125" customWidth="1"/>
    <col min="13" max="14" width="13.7109375" customWidth="1"/>
    <col min="15" max="15" width="12.5703125" customWidth="1"/>
    <col min="19" max="20" width="13.42578125" customWidth="1"/>
    <col min="21" max="22" width="19.140625" customWidth="1"/>
    <col min="23" max="23" width="13.42578125" customWidth="1"/>
  </cols>
  <sheetData>
    <row r="1" spans="1:23" ht="16.5" thickBot="1" x14ac:dyDescent="0.3">
      <c r="A1" s="163" t="s">
        <v>195</v>
      </c>
      <c r="B1" s="1"/>
      <c r="L1" s="42" t="s">
        <v>1</v>
      </c>
      <c r="M1" s="42"/>
    </row>
    <row r="2" spans="1:23" ht="16.5" thickBot="1" x14ac:dyDescent="0.3">
      <c r="A2" s="1"/>
      <c r="B2" s="1"/>
      <c r="G2">
        <f>ROUND(O9,2)</f>
        <v>76.78</v>
      </c>
      <c r="H2">
        <f>ROUND(O5,2)</f>
        <v>146.19999999999999</v>
      </c>
      <c r="I2">
        <f>ROUND(O8,2)</f>
        <v>50.48</v>
      </c>
      <c r="L2" s="43"/>
      <c r="M2" s="10" t="s">
        <v>2</v>
      </c>
      <c r="R2" s="155"/>
      <c r="S2" s="156"/>
      <c r="T2" s="156"/>
      <c r="U2" s="157"/>
      <c r="V2" s="158"/>
      <c r="W2" s="157"/>
    </row>
    <row r="3" spans="1:23" ht="15" customHeight="1" x14ac:dyDescent="0.25">
      <c r="A3" s="175" t="s">
        <v>3</v>
      </c>
      <c r="B3" s="53" t="s">
        <v>4</v>
      </c>
      <c r="C3" s="53" t="s">
        <v>5</v>
      </c>
      <c r="D3" s="53" t="s">
        <v>6</v>
      </c>
      <c r="E3" s="53" t="s">
        <v>7</v>
      </c>
      <c r="F3" s="53" t="s">
        <v>8</v>
      </c>
      <c r="G3" s="53" t="s">
        <v>9</v>
      </c>
      <c r="H3" s="53" t="s">
        <v>10</v>
      </c>
      <c r="I3" s="53" t="s">
        <v>11</v>
      </c>
      <c r="R3" s="151"/>
      <c r="S3" s="152" t="s">
        <v>4</v>
      </c>
      <c r="T3" s="152" t="s">
        <v>5</v>
      </c>
      <c r="U3" s="153" t="s">
        <v>6</v>
      </c>
      <c r="V3" s="154" t="s">
        <v>7</v>
      </c>
      <c r="W3" s="153" t="s">
        <v>8</v>
      </c>
    </row>
    <row r="4" spans="1:23" ht="63.75" x14ac:dyDescent="0.25">
      <c r="A4" s="176"/>
      <c r="B4" s="54" t="s">
        <v>12</v>
      </c>
      <c r="C4" s="54" t="s">
        <v>13</v>
      </c>
      <c r="D4" s="54" t="s">
        <v>14</v>
      </c>
      <c r="E4" s="54" t="s">
        <v>15</v>
      </c>
      <c r="F4" s="54" t="s">
        <v>16</v>
      </c>
      <c r="G4" s="54" t="s">
        <v>17</v>
      </c>
      <c r="H4" s="54" t="s">
        <v>18</v>
      </c>
      <c r="I4" s="54" t="s">
        <v>19</v>
      </c>
      <c r="K4" s="51" t="s">
        <v>20</v>
      </c>
      <c r="L4" s="51" t="s">
        <v>21</v>
      </c>
      <c r="M4" s="51" t="s">
        <v>22</v>
      </c>
      <c r="N4" s="51" t="s">
        <v>23</v>
      </c>
      <c r="O4" s="51" t="s">
        <v>24</v>
      </c>
      <c r="R4" s="151" t="s">
        <v>158</v>
      </c>
      <c r="S4" s="152" t="s">
        <v>159</v>
      </c>
      <c r="T4" s="152" t="s">
        <v>160</v>
      </c>
      <c r="U4" s="153" t="s">
        <v>161</v>
      </c>
      <c r="V4" s="154" t="s">
        <v>162</v>
      </c>
      <c r="W4" s="153" t="s">
        <v>163</v>
      </c>
    </row>
    <row r="5" spans="1:23" ht="15.75" thickBot="1" x14ac:dyDescent="0.3">
      <c r="A5" s="177"/>
      <c r="B5" s="55"/>
      <c r="C5" s="55"/>
      <c r="D5" s="56" t="s">
        <v>25</v>
      </c>
      <c r="E5" s="55"/>
      <c r="F5" s="56" t="s">
        <v>26</v>
      </c>
      <c r="G5" s="56" t="s">
        <v>27</v>
      </c>
      <c r="H5" s="56" t="s">
        <v>28</v>
      </c>
      <c r="I5" s="55"/>
      <c r="K5" s="26" t="s">
        <v>29</v>
      </c>
      <c r="L5" s="26" t="s">
        <v>30</v>
      </c>
      <c r="M5" s="26">
        <v>69.62</v>
      </c>
      <c r="N5" s="47">
        <f>M5*1.1</f>
        <v>76.582000000000008</v>
      </c>
      <c r="O5" s="26">
        <f>M5*2.1</f>
        <v>146.20200000000003</v>
      </c>
      <c r="R5" s="159"/>
      <c r="S5" s="160"/>
      <c r="T5" s="160"/>
      <c r="U5" s="161"/>
      <c r="V5" s="162"/>
      <c r="W5" s="153" t="s">
        <v>164</v>
      </c>
    </row>
    <row r="6" spans="1:23" ht="15.75" thickBot="1" x14ac:dyDescent="0.3">
      <c r="A6" s="2" t="s">
        <v>31</v>
      </c>
      <c r="B6" s="3" t="s">
        <v>32</v>
      </c>
      <c r="C6" s="3"/>
      <c r="D6" s="3"/>
      <c r="E6" s="3"/>
      <c r="F6" s="3"/>
      <c r="G6" s="3"/>
      <c r="H6" s="3"/>
      <c r="I6" s="4"/>
      <c r="K6" s="26" t="s">
        <v>33</v>
      </c>
      <c r="L6" s="26" t="s">
        <v>34</v>
      </c>
      <c r="M6" s="26">
        <v>54.64</v>
      </c>
      <c r="N6" s="47">
        <f>M6*1.1</f>
        <v>60.104000000000006</v>
      </c>
      <c r="O6" s="26">
        <f>M6*2.1</f>
        <v>114.744</v>
      </c>
      <c r="R6" s="150">
        <v>1</v>
      </c>
      <c r="S6" s="150">
        <v>4</v>
      </c>
      <c r="T6" s="150">
        <v>0</v>
      </c>
      <c r="U6" s="150">
        <v>0</v>
      </c>
      <c r="V6" s="150">
        <v>0</v>
      </c>
      <c r="W6" s="150">
        <v>4</v>
      </c>
    </row>
    <row r="7" spans="1:23" ht="15.75" thickBot="1" x14ac:dyDescent="0.3">
      <c r="A7" s="2" t="s">
        <v>35</v>
      </c>
      <c r="B7" s="3" t="s">
        <v>32</v>
      </c>
      <c r="C7" s="3"/>
      <c r="D7" s="3"/>
      <c r="E7" s="3"/>
      <c r="F7" s="3"/>
      <c r="G7" s="3"/>
      <c r="H7" s="3"/>
      <c r="I7" s="4"/>
      <c r="K7" s="118" t="s">
        <v>36</v>
      </c>
      <c r="L7" s="26" t="s">
        <v>37</v>
      </c>
      <c r="M7" s="26">
        <v>32.04</v>
      </c>
      <c r="N7" s="47">
        <f>M7*1.1</f>
        <v>35.244</v>
      </c>
      <c r="O7" s="26">
        <f>M7*2.1</f>
        <v>67.284000000000006</v>
      </c>
      <c r="R7" s="150">
        <v>2</v>
      </c>
      <c r="S7" s="150">
        <v>4</v>
      </c>
      <c r="T7" s="150">
        <v>4</v>
      </c>
      <c r="U7" s="150">
        <v>0</v>
      </c>
      <c r="V7" s="150">
        <v>0</v>
      </c>
      <c r="W7" s="150">
        <v>8</v>
      </c>
    </row>
    <row r="8" spans="1:23" ht="15.75" thickBot="1" x14ac:dyDescent="0.3">
      <c r="A8" s="2" t="s">
        <v>38</v>
      </c>
      <c r="B8" s="3"/>
      <c r="C8" s="3"/>
      <c r="D8" s="3"/>
      <c r="E8" s="3"/>
      <c r="F8" s="3"/>
      <c r="G8" s="3"/>
      <c r="H8" s="3"/>
      <c r="I8" s="4"/>
      <c r="K8" s="26" t="s">
        <v>39</v>
      </c>
      <c r="L8" s="26" t="s">
        <v>40</v>
      </c>
      <c r="M8" s="26">
        <v>24.04</v>
      </c>
      <c r="N8" s="47">
        <f t="shared" ref="N8" si="0">M8*1.1</f>
        <v>26.444000000000003</v>
      </c>
      <c r="O8" s="26">
        <f>M8*2.1</f>
        <v>50.484000000000002</v>
      </c>
      <c r="R8" s="150">
        <v>3</v>
      </c>
      <c r="S8" s="150">
        <v>4</v>
      </c>
      <c r="T8" s="150">
        <v>8</v>
      </c>
      <c r="U8" s="150">
        <v>0</v>
      </c>
      <c r="V8" s="150">
        <v>0</v>
      </c>
      <c r="W8" s="150">
        <v>12</v>
      </c>
    </row>
    <row r="9" spans="1:23" ht="15.75" customHeight="1" thickBot="1" x14ac:dyDescent="0.3">
      <c r="A9" s="74" t="s">
        <v>140</v>
      </c>
      <c r="B9" s="3">
        <v>8</v>
      </c>
      <c r="C9" s="3">
        <v>1</v>
      </c>
      <c r="D9" s="3">
        <f>B9*C9</f>
        <v>8</v>
      </c>
      <c r="E9" s="3">
        <f>$P$12</f>
        <v>8</v>
      </c>
      <c r="F9" s="41">
        <f>D9*E9</f>
        <v>64</v>
      </c>
      <c r="G9" s="3">
        <f>0.05*F9</f>
        <v>3.2</v>
      </c>
      <c r="H9" s="3">
        <f>0.1*F9</f>
        <v>6.4</v>
      </c>
      <c r="I9" s="7">
        <f>F9*G$2+G9*H$2+H9*I$2</f>
        <v>5704.8320000000003</v>
      </c>
      <c r="K9" s="26"/>
      <c r="L9" s="118" t="s">
        <v>41</v>
      </c>
      <c r="M9" s="26">
        <f>0.2*M6+0.8*M7</f>
        <v>36.56</v>
      </c>
      <c r="N9" s="47">
        <f t="shared" ref="N9" si="1">0.2*N6+0.8*N7</f>
        <v>40.216000000000001</v>
      </c>
      <c r="O9" s="47">
        <f>0.2*O6+0.8*O7</f>
        <v>76.77600000000001</v>
      </c>
      <c r="R9" s="150" t="s">
        <v>47</v>
      </c>
      <c r="S9" s="150">
        <v>4</v>
      </c>
      <c r="T9" s="150">
        <v>4</v>
      </c>
      <c r="U9" s="150"/>
      <c r="V9" s="150"/>
      <c r="W9" s="150">
        <v>8</v>
      </c>
    </row>
    <row r="10" spans="1:23" ht="15.75" thickBot="1" x14ac:dyDescent="0.3">
      <c r="A10" s="5" t="s">
        <v>165</v>
      </c>
      <c r="B10" s="3"/>
      <c r="C10" s="3"/>
      <c r="D10" s="3"/>
      <c r="E10" s="3"/>
      <c r="F10" s="3"/>
      <c r="G10" s="3"/>
      <c r="H10" s="3"/>
      <c r="I10" s="7"/>
    </row>
    <row r="11" spans="1:23" ht="16.5" thickBot="1" x14ac:dyDescent="0.3">
      <c r="A11" s="72" t="s">
        <v>166</v>
      </c>
      <c r="B11" s="3">
        <v>0</v>
      </c>
      <c r="C11" s="41">
        <v>4</v>
      </c>
      <c r="D11" s="41">
        <f t="shared" ref="D11:D14" si="2">B11*C11</f>
        <v>0</v>
      </c>
      <c r="E11" s="3">
        <f t="shared" ref="E11" si="3">$P$12</f>
        <v>8</v>
      </c>
      <c r="F11" s="3">
        <f t="shared" ref="F11" si="4">D11*E11</f>
        <v>0</v>
      </c>
      <c r="G11" s="3">
        <f t="shared" ref="G11" si="5">0.05*F11</f>
        <v>0</v>
      </c>
      <c r="H11" s="3">
        <f t="shared" ref="H11" si="6">0.1*F11</f>
        <v>0</v>
      </c>
      <c r="I11" s="7">
        <f>F11*G$2+G11*H$2+H11*I$2</f>
        <v>0</v>
      </c>
      <c r="L11" s="52" t="s">
        <v>167</v>
      </c>
      <c r="M11" s="52" t="s">
        <v>44</v>
      </c>
      <c r="N11" s="52" t="s">
        <v>45</v>
      </c>
      <c r="O11" s="52" t="s">
        <v>46</v>
      </c>
      <c r="P11" s="52" t="s">
        <v>47</v>
      </c>
    </row>
    <row r="12" spans="1:23" ht="16.5" thickBot="1" x14ac:dyDescent="0.3">
      <c r="A12" s="74" t="s">
        <v>168</v>
      </c>
      <c r="B12" s="3">
        <v>0</v>
      </c>
      <c r="C12" s="41">
        <v>0.2</v>
      </c>
      <c r="D12" s="41">
        <f t="shared" si="2"/>
        <v>0</v>
      </c>
      <c r="E12" s="3">
        <v>0</v>
      </c>
      <c r="F12" s="3">
        <f t="shared" ref="F12" si="7">D12*E12</f>
        <v>0</v>
      </c>
      <c r="G12" s="3">
        <f t="shared" ref="G12:G14" si="8">0.05*F12</f>
        <v>0</v>
      </c>
      <c r="H12" s="3">
        <f t="shared" ref="H12:H14" si="9">0.1*F12</f>
        <v>0</v>
      </c>
      <c r="I12" s="7">
        <f t="shared" ref="I12:I14" si="10">F12*G$2+G12*H$2+H12*I$2</f>
        <v>0</v>
      </c>
      <c r="K12" s="26" t="s">
        <v>49</v>
      </c>
      <c r="L12" s="111">
        <f>W8</f>
        <v>12</v>
      </c>
      <c r="M12" s="26">
        <f>W6</f>
        <v>4</v>
      </c>
      <c r="N12" s="26">
        <f>W7</f>
        <v>8</v>
      </c>
      <c r="O12" s="49">
        <f>W8</f>
        <v>12</v>
      </c>
      <c r="P12" s="26">
        <f>W9</f>
        <v>8</v>
      </c>
    </row>
    <row r="13" spans="1:23" ht="16.5" thickBot="1" x14ac:dyDescent="0.3">
      <c r="A13" s="73" t="s">
        <v>169</v>
      </c>
      <c r="B13" s="3">
        <v>8</v>
      </c>
      <c r="C13" s="3">
        <v>1</v>
      </c>
      <c r="D13" s="3">
        <f t="shared" ref="D13" si="11">B13*C13</f>
        <v>8</v>
      </c>
      <c r="E13" s="3">
        <f>$P$12</f>
        <v>8</v>
      </c>
      <c r="F13" s="3">
        <f t="shared" ref="F13" si="12">D13*E13</f>
        <v>64</v>
      </c>
      <c r="G13" s="3">
        <f t="shared" ref="G13" si="13">0.05*F13</f>
        <v>3.2</v>
      </c>
      <c r="H13" s="3">
        <f t="shared" ref="H13" si="14">0.1*F13</f>
        <v>6.4</v>
      </c>
      <c r="I13" s="7">
        <f t="shared" ref="I13" si="15">F13*G$2+G13*H$2+H13*I$2</f>
        <v>5704.8320000000003</v>
      </c>
    </row>
    <row r="14" spans="1:23" ht="16.5" thickBot="1" x14ac:dyDescent="0.3">
      <c r="A14" s="73" t="s">
        <v>170</v>
      </c>
      <c r="B14" s="3">
        <v>0.2</v>
      </c>
      <c r="C14" s="3">
        <v>365</v>
      </c>
      <c r="D14" s="3">
        <f t="shared" si="2"/>
        <v>73</v>
      </c>
      <c r="E14" s="3">
        <f>$P$12</f>
        <v>8</v>
      </c>
      <c r="F14" s="3">
        <f>D14*E14</f>
        <v>584</v>
      </c>
      <c r="G14" s="3">
        <f t="shared" si="8"/>
        <v>29.200000000000003</v>
      </c>
      <c r="H14" s="3">
        <f t="shared" si="9"/>
        <v>58.400000000000006</v>
      </c>
      <c r="I14" s="7">
        <f t="shared" si="10"/>
        <v>52056.592000000004</v>
      </c>
    </row>
    <row r="15" spans="1:23" ht="15.75" thickBot="1" x14ac:dyDescent="0.3">
      <c r="A15" s="5" t="s">
        <v>54</v>
      </c>
      <c r="B15" s="3"/>
      <c r="C15" s="3"/>
      <c r="D15" s="3"/>
      <c r="E15" s="3"/>
      <c r="F15" s="3"/>
      <c r="G15" s="3"/>
      <c r="H15" s="3"/>
      <c r="I15" s="7"/>
    </row>
    <row r="16" spans="1:23" ht="15.75" thickBot="1" x14ac:dyDescent="0.3">
      <c r="A16" s="71" t="s">
        <v>171</v>
      </c>
      <c r="B16" s="3">
        <v>5</v>
      </c>
      <c r="C16" s="3">
        <v>2</v>
      </c>
      <c r="D16" s="3">
        <f>B16*C16</f>
        <v>10</v>
      </c>
      <c r="E16" s="3">
        <f>$P$12</f>
        <v>8</v>
      </c>
      <c r="F16" s="3">
        <f t="shared" ref="F16" si="16">D16*E16</f>
        <v>80</v>
      </c>
      <c r="G16" s="3">
        <f t="shared" ref="G16" si="17">0.05*F16</f>
        <v>4</v>
      </c>
      <c r="H16" s="3">
        <f t="shared" ref="H16" si="18">0.1*F16</f>
        <v>8</v>
      </c>
      <c r="I16" s="7">
        <f>F16*G$2+G16*H$2+H16*I$2</f>
        <v>7131.04</v>
      </c>
    </row>
    <row r="17" spans="1:17" ht="15.75" customHeight="1" thickBot="1" x14ac:dyDescent="0.3">
      <c r="A17" s="71" t="s">
        <v>172</v>
      </c>
      <c r="B17" s="3">
        <v>1</v>
      </c>
      <c r="C17" s="3">
        <v>1</v>
      </c>
      <c r="D17" s="3">
        <f>B17*C17</f>
        <v>1</v>
      </c>
      <c r="E17" s="3">
        <f>$S$9</f>
        <v>4</v>
      </c>
      <c r="F17" s="3">
        <f t="shared" ref="F17" si="19">D17*E17</f>
        <v>4</v>
      </c>
      <c r="G17" s="3">
        <f t="shared" ref="G17" si="20">0.05*F17</f>
        <v>0.2</v>
      </c>
      <c r="H17" s="3">
        <f t="shared" ref="H17" si="21">0.1*F17</f>
        <v>0.4</v>
      </c>
      <c r="I17" s="7">
        <f>F17*G$2+G17*H$2+H17*I$2</f>
        <v>356.55200000000002</v>
      </c>
    </row>
    <row r="18" spans="1:17" ht="16.5" thickBot="1" x14ac:dyDescent="0.3">
      <c r="A18" s="74" t="s">
        <v>173</v>
      </c>
      <c r="B18" s="3">
        <v>1</v>
      </c>
      <c r="C18" s="3">
        <v>0.2</v>
      </c>
      <c r="D18" s="3">
        <f t="shared" ref="D18:D20" si="22">B18*C18</f>
        <v>0.2</v>
      </c>
      <c r="E18" s="3">
        <v>0</v>
      </c>
      <c r="F18" s="3">
        <f t="shared" ref="F18:F20" si="23">D18*E18</f>
        <v>0</v>
      </c>
      <c r="G18" s="3">
        <f t="shared" ref="G18:G20" si="24">0.05*F18</f>
        <v>0</v>
      </c>
      <c r="H18" s="3">
        <f t="shared" ref="H18:H20" si="25">0.1*F18</f>
        <v>0</v>
      </c>
      <c r="I18" s="7">
        <f t="shared" ref="I18:I20" si="26">F18*G$2+G18*H$2+H18*I$2</f>
        <v>0</v>
      </c>
    </row>
    <row r="19" spans="1:17" ht="16.5" thickBot="1" x14ac:dyDescent="0.3">
      <c r="A19" s="74" t="s">
        <v>174</v>
      </c>
      <c r="B19" s="3">
        <v>8</v>
      </c>
      <c r="C19" s="3">
        <v>0.2</v>
      </c>
      <c r="D19" s="3">
        <f t="shared" si="22"/>
        <v>1.6</v>
      </c>
      <c r="E19" s="3">
        <v>0</v>
      </c>
      <c r="F19" s="3">
        <f t="shared" si="23"/>
        <v>0</v>
      </c>
      <c r="G19" s="3">
        <f t="shared" si="24"/>
        <v>0</v>
      </c>
      <c r="H19" s="3">
        <f t="shared" si="25"/>
        <v>0</v>
      </c>
      <c r="I19" s="7">
        <f t="shared" si="26"/>
        <v>0</v>
      </c>
      <c r="K19" s="75"/>
      <c r="L19" s="46"/>
      <c r="M19" s="75"/>
      <c r="N19" s="75"/>
      <c r="O19" s="76"/>
    </row>
    <row r="20" spans="1:17" ht="15.75" customHeight="1" thickBot="1" x14ac:dyDescent="0.3">
      <c r="A20" s="74" t="s">
        <v>175</v>
      </c>
      <c r="B20" s="3">
        <v>1</v>
      </c>
      <c r="C20" s="3">
        <v>1</v>
      </c>
      <c r="D20" s="3">
        <f t="shared" si="22"/>
        <v>1</v>
      </c>
      <c r="E20" s="3">
        <f t="shared" ref="E20:E21" si="27">$P$12</f>
        <v>8</v>
      </c>
      <c r="F20" s="3">
        <f t="shared" si="23"/>
        <v>8</v>
      </c>
      <c r="G20" s="3">
        <f t="shared" si="24"/>
        <v>0.4</v>
      </c>
      <c r="H20" s="3">
        <f t="shared" si="25"/>
        <v>0.8</v>
      </c>
      <c r="I20" s="7">
        <f t="shared" si="26"/>
        <v>713.10400000000004</v>
      </c>
      <c r="K20" s="75"/>
      <c r="L20" s="75"/>
      <c r="M20" s="75"/>
      <c r="N20" s="75"/>
      <c r="O20" s="76"/>
    </row>
    <row r="21" spans="1:17" ht="15.75" customHeight="1" thickBot="1" x14ac:dyDescent="0.3">
      <c r="A21" s="74" t="s">
        <v>176</v>
      </c>
      <c r="B21" s="3">
        <v>8</v>
      </c>
      <c r="C21" s="3">
        <v>1</v>
      </c>
      <c r="D21" s="3">
        <f t="shared" ref="D21" si="28">B21*C21</f>
        <v>8</v>
      </c>
      <c r="E21" s="3">
        <f t="shared" si="27"/>
        <v>8</v>
      </c>
      <c r="F21" s="3">
        <f t="shared" ref="F21" si="29">D21*E21</f>
        <v>64</v>
      </c>
      <c r="G21" s="3">
        <f t="shared" ref="G21" si="30">0.05*F21</f>
        <v>3.2</v>
      </c>
      <c r="H21" s="3">
        <f t="shared" ref="H21" si="31">0.1*F21</f>
        <v>6.4</v>
      </c>
      <c r="I21" s="7">
        <f t="shared" ref="I21" si="32">F21*G$2+G21*H$2+H21*I$2</f>
        <v>5704.8320000000003</v>
      </c>
      <c r="K21" s="75"/>
      <c r="L21" s="75"/>
      <c r="M21" s="75"/>
      <c r="N21" s="75"/>
      <c r="O21" s="76"/>
    </row>
    <row r="22" spans="1:17" ht="15.75" customHeight="1" thickBot="1" x14ac:dyDescent="0.3">
      <c r="A22" s="77" t="s">
        <v>60</v>
      </c>
      <c r="B22" s="78"/>
      <c r="C22" s="78"/>
      <c r="D22" s="78"/>
      <c r="E22" s="78"/>
      <c r="F22" s="79">
        <f>SUM(F$6:F$21)</f>
        <v>868</v>
      </c>
      <c r="G22" s="79">
        <f>SUM(G$6:G$21)</f>
        <v>43.400000000000006</v>
      </c>
      <c r="H22" s="79">
        <f>SUM(H$6:H$21)</f>
        <v>86.800000000000011</v>
      </c>
      <c r="I22" s="80">
        <f>SUM(I$6:I$21)</f>
        <v>77371.784</v>
      </c>
    </row>
    <row r="23" spans="1:17" ht="15.75" thickBot="1" x14ac:dyDescent="0.3">
      <c r="A23" s="57" t="s">
        <v>61</v>
      </c>
      <c r="B23" s="58"/>
      <c r="C23" s="58"/>
      <c r="D23" s="58"/>
      <c r="E23" s="58"/>
      <c r="F23" s="59"/>
      <c r="G23" s="59"/>
      <c r="H23" s="59"/>
      <c r="I23" s="60"/>
      <c r="K23" s="112"/>
      <c r="L23" s="112"/>
      <c r="M23" s="112"/>
      <c r="N23" s="178"/>
      <c r="O23" s="178"/>
      <c r="P23" s="178"/>
      <c r="Q23" s="112"/>
    </row>
    <row r="24" spans="1:17" ht="15.75" thickBot="1" x14ac:dyDescent="0.3">
      <c r="A24" s="72" t="s">
        <v>65</v>
      </c>
      <c r="B24" s="3" t="s">
        <v>66</v>
      </c>
      <c r="C24" s="3"/>
      <c r="D24" s="3"/>
      <c r="E24" s="3"/>
      <c r="F24" s="62"/>
      <c r="G24" s="62"/>
      <c r="H24" s="62"/>
      <c r="I24" s="65"/>
      <c r="K24" s="112"/>
      <c r="L24" s="112"/>
      <c r="M24" s="112"/>
      <c r="N24" s="112"/>
      <c r="O24" s="112"/>
      <c r="P24" s="112"/>
      <c r="Q24" s="112"/>
    </row>
    <row r="25" spans="1:17" ht="15.75" thickBot="1" x14ac:dyDescent="0.3">
      <c r="A25" s="57" t="s">
        <v>177</v>
      </c>
      <c r="B25" s="58">
        <v>3</v>
      </c>
      <c r="C25" s="58">
        <v>1</v>
      </c>
      <c r="D25" s="3">
        <f t="shared" ref="D25:D30" si="33">B25*C25</f>
        <v>3</v>
      </c>
      <c r="E25" s="3">
        <f t="shared" ref="E25:E29" si="34">$P$12</f>
        <v>8</v>
      </c>
      <c r="F25" s="3">
        <f>D25*E25</f>
        <v>24</v>
      </c>
      <c r="G25" s="3">
        <f>0.05*F25</f>
        <v>1.2000000000000002</v>
      </c>
      <c r="H25" s="3">
        <f>0.1*F25</f>
        <v>2.4000000000000004</v>
      </c>
      <c r="I25" s="7">
        <f t="shared" ref="I25:I30" si="35">F25*G$2+G25*H$2+H25*I$2</f>
        <v>2139.3119999999999</v>
      </c>
      <c r="K25" s="112"/>
      <c r="L25" s="113"/>
      <c r="M25" s="112"/>
      <c r="N25" s="112"/>
      <c r="O25" s="112"/>
      <c r="P25" s="114"/>
      <c r="Q25" s="112"/>
    </row>
    <row r="26" spans="1:17" ht="15.75" thickBot="1" x14ac:dyDescent="0.3">
      <c r="A26" s="70" t="s">
        <v>178</v>
      </c>
      <c r="B26" s="63">
        <v>6</v>
      </c>
      <c r="C26" s="64">
        <v>1</v>
      </c>
      <c r="D26" s="3">
        <f t="shared" si="33"/>
        <v>6</v>
      </c>
      <c r="E26" s="3">
        <f t="shared" si="34"/>
        <v>8</v>
      </c>
      <c r="F26" s="3">
        <f t="shared" ref="F26:F30" si="36">D26*E26</f>
        <v>48</v>
      </c>
      <c r="G26" s="3">
        <f t="shared" ref="G26:G30" si="37">0.05*F26</f>
        <v>2.4000000000000004</v>
      </c>
      <c r="H26" s="3">
        <f t="shared" ref="H26:H30" si="38">0.1*F26</f>
        <v>4.8000000000000007</v>
      </c>
      <c r="I26" s="7">
        <f t="shared" si="35"/>
        <v>4278.6239999999998</v>
      </c>
      <c r="K26" s="112"/>
      <c r="L26" s="113"/>
      <c r="M26" s="112"/>
      <c r="N26" s="112"/>
      <c r="O26" s="112"/>
      <c r="P26" s="114"/>
      <c r="Q26" s="112"/>
    </row>
    <row r="27" spans="1:17" ht="15.75" thickBot="1" x14ac:dyDescent="0.3">
      <c r="A27" s="69" t="s">
        <v>179</v>
      </c>
      <c r="B27" s="63">
        <v>1</v>
      </c>
      <c r="C27" s="64">
        <v>1</v>
      </c>
      <c r="D27" s="3">
        <f t="shared" si="33"/>
        <v>1</v>
      </c>
      <c r="E27" s="3">
        <f t="shared" si="34"/>
        <v>8</v>
      </c>
      <c r="F27" s="3">
        <f t="shared" si="36"/>
        <v>8</v>
      </c>
      <c r="G27" s="3">
        <f t="shared" si="37"/>
        <v>0.4</v>
      </c>
      <c r="H27" s="3">
        <f t="shared" si="38"/>
        <v>0.8</v>
      </c>
      <c r="I27" s="7">
        <f t="shared" si="35"/>
        <v>713.10400000000004</v>
      </c>
      <c r="K27" s="112"/>
      <c r="L27" s="113"/>
      <c r="M27" s="112"/>
      <c r="N27" s="112"/>
      <c r="O27" s="112"/>
      <c r="P27" s="114"/>
      <c r="Q27" s="112"/>
    </row>
    <row r="28" spans="1:17" ht="15.75" thickBot="1" x14ac:dyDescent="0.3">
      <c r="A28" s="69" t="s">
        <v>73</v>
      </c>
      <c r="B28" s="63">
        <v>0.5</v>
      </c>
      <c r="C28" s="64">
        <v>2</v>
      </c>
      <c r="D28" s="3">
        <f t="shared" si="33"/>
        <v>1</v>
      </c>
      <c r="E28" s="3">
        <f t="shared" si="34"/>
        <v>8</v>
      </c>
      <c r="F28" s="3">
        <f t="shared" si="36"/>
        <v>8</v>
      </c>
      <c r="G28" s="3">
        <f t="shared" si="37"/>
        <v>0.4</v>
      </c>
      <c r="H28" s="3">
        <f t="shared" si="38"/>
        <v>0.8</v>
      </c>
      <c r="I28" s="7">
        <f t="shared" si="35"/>
        <v>713.10400000000004</v>
      </c>
      <c r="K28" s="112"/>
      <c r="L28" s="113"/>
      <c r="M28" s="112"/>
      <c r="N28" s="112"/>
      <c r="O28" s="112"/>
      <c r="P28" s="114"/>
      <c r="Q28" s="112"/>
    </row>
    <row r="29" spans="1:17" ht="15.75" thickBot="1" x14ac:dyDescent="0.3">
      <c r="A29" s="69" t="s">
        <v>180</v>
      </c>
      <c r="B29" s="63">
        <v>2</v>
      </c>
      <c r="C29" s="64">
        <v>1</v>
      </c>
      <c r="D29" s="3">
        <f t="shared" si="33"/>
        <v>2</v>
      </c>
      <c r="E29" s="3">
        <f t="shared" si="34"/>
        <v>8</v>
      </c>
      <c r="F29" s="3">
        <f t="shared" si="36"/>
        <v>16</v>
      </c>
      <c r="G29" s="3">
        <f t="shared" si="37"/>
        <v>0.8</v>
      </c>
      <c r="H29" s="3">
        <f t="shared" si="38"/>
        <v>1.6</v>
      </c>
      <c r="I29" s="7">
        <f t="shared" si="35"/>
        <v>1426.2080000000001</v>
      </c>
      <c r="K29" s="112"/>
      <c r="L29" s="113"/>
      <c r="M29" s="112"/>
      <c r="N29" s="112"/>
      <c r="O29" s="112"/>
      <c r="P29" s="114"/>
      <c r="Q29" s="112"/>
    </row>
    <row r="30" spans="1:17" ht="15.75" customHeight="1" thickBot="1" x14ac:dyDescent="0.3">
      <c r="A30" s="69" t="s">
        <v>181</v>
      </c>
      <c r="B30" s="63">
        <v>0.25</v>
      </c>
      <c r="C30" s="64">
        <v>2</v>
      </c>
      <c r="D30" s="3">
        <f t="shared" si="33"/>
        <v>0.5</v>
      </c>
      <c r="E30" s="3">
        <f>$P$12</f>
        <v>8</v>
      </c>
      <c r="F30" s="3">
        <f t="shared" si="36"/>
        <v>4</v>
      </c>
      <c r="G30" s="3">
        <f t="shared" si="37"/>
        <v>0.2</v>
      </c>
      <c r="H30" s="3">
        <f t="shared" si="38"/>
        <v>0.4</v>
      </c>
      <c r="I30" s="7">
        <f t="shared" si="35"/>
        <v>356.55200000000002</v>
      </c>
      <c r="K30" s="112"/>
      <c r="L30" s="113"/>
      <c r="M30" s="112"/>
      <c r="N30" s="112"/>
      <c r="O30" s="112"/>
      <c r="P30" s="114"/>
      <c r="Q30" s="112"/>
    </row>
    <row r="31" spans="1:17" ht="15.75" customHeight="1" thickBot="1" x14ac:dyDescent="0.3">
      <c r="A31" s="81" t="s">
        <v>79</v>
      </c>
      <c r="B31" s="82"/>
      <c r="C31" s="83"/>
      <c r="D31" s="83"/>
      <c r="E31" s="83"/>
      <c r="F31" s="79">
        <f>SUM(F$25:F$30)</f>
        <v>108</v>
      </c>
      <c r="G31" s="79">
        <f>SUM(G$25:G$30)</f>
        <v>5.4000000000000012</v>
      </c>
      <c r="H31" s="79">
        <f>SUM(H$25:H$30)</f>
        <v>10.800000000000002</v>
      </c>
      <c r="I31" s="84">
        <f>SUM(I$25:I$30)</f>
        <v>9626.9040000000005</v>
      </c>
      <c r="K31" s="75"/>
      <c r="L31" s="45"/>
      <c r="M31" s="75"/>
      <c r="N31" s="75"/>
      <c r="O31" s="75"/>
      <c r="P31" s="76"/>
      <c r="Q31" s="75"/>
    </row>
    <row r="32" spans="1:17" ht="15.75" thickBot="1" x14ac:dyDescent="0.3">
      <c r="A32" s="85" t="s">
        <v>80</v>
      </c>
      <c r="B32" s="87"/>
      <c r="C32" s="3"/>
      <c r="D32" s="3"/>
      <c r="E32" s="87"/>
      <c r="F32" s="172">
        <f>SUM(F22:H22)+SUM(F31:H31)</f>
        <v>1122.4000000000001</v>
      </c>
      <c r="G32" s="173"/>
      <c r="H32" s="174"/>
      <c r="I32" s="66">
        <f>I22+I31</f>
        <v>86998.687999999995</v>
      </c>
    </row>
    <row r="33" spans="1:10" ht="15.75" thickBot="1" x14ac:dyDescent="0.3">
      <c r="A33" s="86" t="s">
        <v>82</v>
      </c>
      <c r="B33" s="88"/>
      <c r="C33" s="61"/>
      <c r="D33" s="89"/>
      <c r="E33" s="61"/>
      <c r="F33" s="61"/>
      <c r="G33" s="89"/>
      <c r="H33" s="61"/>
      <c r="I33" s="90">
        <f>G48</f>
        <v>0</v>
      </c>
    </row>
    <row r="34" spans="1:10" ht="15.75" thickBot="1" x14ac:dyDescent="0.3">
      <c r="A34" s="86" t="s">
        <v>83</v>
      </c>
      <c r="B34" s="61"/>
      <c r="C34" s="61"/>
      <c r="D34" s="61"/>
      <c r="E34" s="61"/>
      <c r="F34" s="106"/>
      <c r="G34" s="108"/>
      <c r="H34" s="107"/>
      <c r="I34" s="105">
        <f>I32+I33</f>
        <v>86998.687999999995</v>
      </c>
    </row>
    <row r="35" spans="1:10" x14ac:dyDescent="0.25">
      <c r="A35" s="8" t="s">
        <v>84</v>
      </c>
      <c r="B35" s="8"/>
    </row>
    <row r="36" spans="1:10" ht="15.75" x14ac:dyDescent="0.25">
      <c r="A36" s="129" t="s">
        <v>182</v>
      </c>
      <c r="B36" s="9"/>
    </row>
    <row r="37" spans="1:10" ht="15.75" x14ac:dyDescent="0.25">
      <c r="A37" s="9" t="s">
        <v>86</v>
      </c>
      <c r="B37" s="9"/>
    </row>
    <row r="38" spans="1:10" ht="15.75" x14ac:dyDescent="0.25">
      <c r="A38" s="9" t="s">
        <v>87</v>
      </c>
      <c r="B38" s="9"/>
    </row>
    <row r="39" spans="1:10" ht="15.75" x14ac:dyDescent="0.25">
      <c r="A39" s="9" t="s">
        <v>183</v>
      </c>
      <c r="B39" s="130"/>
    </row>
    <row r="40" spans="1:10" ht="15.75" x14ac:dyDescent="0.25">
      <c r="A40" s="9" t="s">
        <v>184</v>
      </c>
      <c r="B40" s="9"/>
    </row>
    <row r="41" spans="1:10" ht="15.75" x14ac:dyDescent="0.25">
      <c r="A41" s="9" t="s">
        <v>194</v>
      </c>
      <c r="B41" s="9"/>
    </row>
    <row r="42" spans="1:10" ht="15.75" x14ac:dyDescent="0.25">
      <c r="A42" s="9"/>
      <c r="B42" s="9"/>
    </row>
    <row r="43" spans="1:10" ht="15.75" x14ac:dyDescent="0.25">
      <c r="A43" s="9"/>
      <c r="B43" s="9"/>
    </row>
    <row r="44" spans="1:10" ht="15.75" x14ac:dyDescent="0.25">
      <c r="A44" s="9"/>
      <c r="B44" s="9"/>
    </row>
    <row r="45" spans="1:10" x14ac:dyDescent="0.25">
      <c r="A45" s="97" t="s">
        <v>4</v>
      </c>
      <c r="B45" s="103" t="s">
        <v>5</v>
      </c>
      <c r="C45" s="98" t="s">
        <v>6</v>
      </c>
      <c r="D45" s="103" t="s">
        <v>7</v>
      </c>
      <c r="E45" s="98" t="s">
        <v>8</v>
      </c>
      <c r="F45" s="103" t="s">
        <v>9</v>
      </c>
      <c r="G45" s="99" t="s">
        <v>10</v>
      </c>
      <c r="J45" s="21"/>
    </row>
    <row r="46" spans="1:10" ht="51" x14ac:dyDescent="0.25">
      <c r="A46" s="100" t="s">
        <v>90</v>
      </c>
      <c r="B46" s="104" t="s">
        <v>91</v>
      </c>
      <c r="C46" s="101" t="s">
        <v>92</v>
      </c>
      <c r="D46" s="104" t="s">
        <v>93</v>
      </c>
      <c r="E46" s="101" t="s">
        <v>94</v>
      </c>
      <c r="F46" s="104" t="s">
        <v>95</v>
      </c>
      <c r="G46" s="102" t="s">
        <v>96</v>
      </c>
      <c r="J46" s="21"/>
    </row>
    <row r="47" spans="1:10" x14ac:dyDescent="0.25">
      <c r="A47" s="13" t="s">
        <v>98</v>
      </c>
      <c r="B47" s="14">
        <v>100000</v>
      </c>
      <c r="C47" s="15">
        <v>0</v>
      </c>
      <c r="D47" s="14">
        <f>B47*C47</f>
        <v>0</v>
      </c>
      <c r="E47" s="92">
        <v>10000</v>
      </c>
      <c r="F47" s="117">
        <v>0</v>
      </c>
      <c r="G47" s="14">
        <f>E47*F47</f>
        <v>0</v>
      </c>
      <c r="J47" s="21"/>
    </row>
    <row r="48" spans="1:10" x14ac:dyDescent="0.25">
      <c r="A48" s="13" t="s">
        <v>64</v>
      </c>
      <c r="B48" s="15"/>
      <c r="C48" s="15"/>
      <c r="D48" s="14">
        <f>SUM(D47:D47)</f>
        <v>0</v>
      </c>
      <c r="E48" s="15"/>
      <c r="F48" s="15"/>
      <c r="G48" s="14">
        <f>SUM(G47:G47)</f>
        <v>0</v>
      </c>
      <c r="J48" s="21"/>
    </row>
    <row r="49" spans="1:14" ht="15.75" x14ac:dyDescent="0.25">
      <c r="A49" s="9"/>
      <c r="B49" s="9"/>
      <c r="J49" s="21"/>
    </row>
    <row r="50" spans="1:14" ht="15.75" x14ac:dyDescent="0.25">
      <c r="A50" s="67" t="s">
        <v>196</v>
      </c>
      <c r="B50" s="21"/>
      <c r="C50" s="21"/>
      <c r="D50" s="21"/>
      <c r="E50" s="21"/>
      <c r="F50" s="21"/>
      <c r="J50" s="21"/>
    </row>
    <row r="51" spans="1:14" x14ac:dyDescent="0.25">
      <c r="A51" s="21"/>
      <c r="B51" s="21"/>
      <c r="C51" s="21"/>
      <c r="D51" s="21"/>
      <c r="E51" s="22" t="s">
        <v>104</v>
      </c>
      <c r="F51" s="23">
        <f>Burden_NSPS!N56</f>
        <v>50.72</v>
      </c>
      <c r="G51" s="23">
        <f>Burden_NSPS!N55</f>
        <v>68.367999999999995</v>
      </c>
      <c r="H51" s="23">
        <f>Burden_NSPS!N57</f>
        <v>27.456</v>
      </c>
      <c r="I51" s="21"/>
      <c r="J51" s="21"/>
    </row>
    <row r="52" spans="1:14" ht="60" x14ac:dyDescent="0.25">
      <c r="A52" s="24" t="s">
        <v>106</v>
      </c>
      <c r="B52" s="24" t="s">
        <v>107</v>
      </c>
      <c r="C52" s="24" t="s">
        <v>108</v>
      </c>
      <c r="D52" s="24" t="s">
        <v>109</v>
      </c>
      <c r="E52" s="24" t="s">
        <v>110</v>
      </c>
      <c r="F52" s="24" t="s">
        <v>111</v>
      </c>
      <c r="G52" s="24" t="s">
        <v>112</v>
      </c>
      <c r="H52" s="24" t="s">
        <v>113</v>
      </c>
      <c r="I52" s="24" t="s">
        <v>114</v>
      </c>
      <c r="J52" s="21"/>
    </row>
    <row r="53" spans="1:14" ht="15.75" thickBot="1" x14ac:dyDescent="0.3">
      <c r="A53" s="12" t="s">
        <v>116</v>
      </c>
      <c r="B53" s="11"/>
      <c r="C53" s="11"/>
      <c r="D53" s="11"/>
      <c r="E53" s="11"/>
      <c r="F53" s="34"/>
      <c r="G53" s="34"/>
      <c r="H53" s="34"/>
      <c r="I53" s="35"/>
      <c r="J53" s="21"/>
    </row>
    <row r="54" spans="1:14" ht="32.25" thickBot="1" x14ac:dyDescent="0.3">
      <c r="A54" s="40" t="s">
        <v>185</v>
      </c>
      <c r="B54" s="11">
        <v>0.5</v>
      </c>
      <c r="C54" s="11">
        <v>1</v>
      </c>
      <c r="D54" s="11">
        <v>0.5</v>
      </c>
      <c r="E54" s="11">
        <f>$S$9</f>
        <v>4</v>
      </c>
      <c r="F54" s="34">
        <f>D54*E54</f>
        <v>2</v>
      </c>
      <c r="G54" s="34">
        <f>F54*0.05</f>
        <v>0.1</v>
      </c>
      <c r="H54" s="34">
        <f>F54*0.1</f>
        <v>0.2</v>
      </c>
      <c r="I54" s="35">
        <f t="shared" ref="I54:I59" si="39">F54*F$51+G54*G$51+H54*H$51</f>
        <v>113.768</v>
      </c>
      <c r="J54" s="21"/>
      <c r="K54" s="93" t="s">
        <v>100</v>
      </c>
      <c r="L54" s="68" t="s">
        <v>101</v>
      </c>
      <c r="M54" s="68" t="s">
        <v>102</v>
      </c>
      <c r="N54" s="68" t="s">
        <v>103</v>
      </c>
    </row>
    <row r="55" spans="1:14" ht="16.5" thickBot="1" x14ac:dyDescent="0.3">
      <c r="A55" s="40" t="s">
        <v>186</v>
      </c>
      <c r="B55" s="28">
        <v>1</v>
      </c>
      <c r="C55" s="28">
        <v>0.2</v>
      </c>
      <c r="D55" s="11">
        <f t="shared" ref="D55:D59" si="40">B55*C55</f>
        <v>0.2</v>
      </c>
      <c r="E55" s="28">
        <v>0</v>
      </c>
      <c r="F55" s="34">
        <f t="shared" ref="F55:F59" si="41">D55*E55</f>
        <v>0</v>
      </c>
      <c r="G55" s="34">
        <f t="shared" ref="G55:G59" si="42">F55*0.05</f>
        <v>0</v>
      </c>
      <c r="H55" s="34">
        <f t="shared" ref="H55:H59" si="43">F55*0.1</f>
        <v>0</v>
      </c>
      <c r="I55" s="35">
        <f t="shared" si="39"/>
        <v>0</v>
      </c>
      <c r="J55" s="21"/>
      <c r="K55" s="16" t="s">
        <v>105</v>
      </c>
      <c r="L55" s="17">
        <v>42.73</v>
      </c>
      <c r="M55" s="18">
        <f>0.6*L55</f>
        <v>25.637999999999998</v>
      </c>
      <c r="N55" s="18">
        <f>L55+M55</f>
        <v>68.367999999999995</v>
      </c>
    </row>
    <row r="56" spans="1:14" ht="16.5" thickBot="1" x14ac:dyDescent="0.3">
      <c r="A56" s="40" t="s">
        <v>204</v>
      </c>
      <c r="B56" s="28">
        <v>1</v>
      </c>
      <c r="C56" s="28">
        <v>1</v>
      </c>
      <c r="D56" s="11">
        <v>1</v>
      </c>
      <c r="E56" s="28">
        <f t="shared" ref="E56" si="44">$P$12</f>
        <v>8</v>
      </c>
      <c r="F56" s="34">
        <f t="shared" si="41"/>
        <v>8</v>
      </c>
      <c r="G56" s="34">
        <f t="shared" si="42"/>
        <v>0.4</v>
      </c>
      <c r="H56" s="34">
        <f t="shared" si="43"/>
        <v>0.8</v>
      </c>
      <c r="I56" s="35">
        <f t="shared" si="39"/>
        <v>455.072</v>
      </c>
      <c r="J56" s="21"/>
      <c r="K56" s="16" t="s">
        <v>115</v>
      </c>
      <c r="L56" s="17">
        <v>31.7</v>
      </c>
      <c r="M56" s="18">
        <f>0.6*L56</f>
        <v>19.02</v>
      </c>
      <c r="N56" s="18">
        <f>L56+M56</f>
        <v>50.72</v>
      </c>
    </row>
    <row r="57" spans="1:14" ht="16.5" thickBot="1" x14ac:dyDescent="0.3">
      <c r="A57" s="40" t="s">
        <v>187</v>
      </c>
      <c r="B57" s="28">
        <v>2</v>
      </c>
      <c r="C57" s="28">
        <v>0.2</v>
      </c>
      <c r="D57" s="11">
        <f t="shared" si="40"/>
        <v>0.4</v>
      </c>
      <c r="E57" s="28">
        <v>0</v>
      </c>
      <c r="F57" s="34">
        <f t="shared" si="41"/>
        <v>0</v>
      </c>
      <c r="G57" s="34">
        <f t="shared" si="42"/>
        <v>0</v>
      </c>
      <c r="H57" s="34">
        <f t="shared" si="43"/>
        <v>0</v>
      </c>
      <c r="I57" s="35">
        <f t="shared" si="39"/>
        <v>0</v>
      </c>
      <c r="J57" s="21"/>
      <c r="K57" s="16" t="s">
        <v>117</v>
      </c>
      <c r="L57" s="17">
        <v>17.16</v>
      </c>
      <c r="M57" s="18">
        <f>0.6*L57</f>
        <v>10.295999999999999</v>
      </c>
      <c r="N57" s="18">
        <f>L57+M57</f>
        <v>27.456</v>
      </c>
    </row>
    <row r="58" spans="1:14" ht="15.75" x14ac:dyDescent="0.25">
      <c r="A58" s="40" t="s">
        <v>188</v>
      </c>
      <c r="B58" s="28">
        <v>2</v>
      </c>
      <c r="C58" s="28">
        <v>1</v>
      </c>
      <c r="D58" s="11">
        <f t="shared" si="40"/>
        <v>2</v>
      </c>
      <c r="E58" s="28">
        <f t="shared" ref="E58:E59" si="45">$P$12</f>
        <v>8</v>
      </c>
      <c r="F58" s="34">
        <f t="shared" si="41"/>
        <v>16</v>
      </c>
      <c r="G58" s="34">
        <f t="shared" si="42"/>
        <v>0.8</v>
      </c>
      <c r="H58" s="34">
        <f t="shared" si="43"/>
        <v>1.6</v>
      </c>
      <c r="I58" s="35">
        <f t="shared" si="39"/>
        <v>910.14400000000001</v>
      </c>
      <c r="J58" s="21"/>
      <c r="K58" s="19" t="s">
        <v>119</v>
      </c>
    </row>
    <row r="59" spans="1:14" ht="15.75" x14ac:dyDescent="0.25">
      <c r="A59" s="40" t="s">
        <v>156</v>
      </c>
      <c r="B59" s="28">
        <v>2</v>
      </c>
      <c r="C59" s="28">
        <v>2</v>
      </c>
      <c r="D59" s="11">
        <f t="shared" si="40"/>
        <v>4</v>
      </c>
      <c r="E59" s="28">
        <f t="shared" si="45"/>
        <v>8</v>
      </c>
      <c r="F59" s="34">
        <f t="shared" si="41"/>
        <v>32</v>
      </c>
      <c r="G59" s="34">
        <f t="shared" si="42"/>
        <v>1.6</v>
      </c>
      <c r="H59" s="34">
        <f t="shared" si="43"/>
        <v>3.2</v>
      </c>
      <c r="I59" s="35">
        <f t="shared" si="39"/>
        <v>1820.288</v>
      </c>
      <c r="J59" s="21"/>
      <c r="K59" s="20" t="s">
        <v>121</v>
      </c>
    </row>
    <row r="60" spans="1:14" x14ac:dyDescent="0.25">
      <c r="A60" s="91" t="s">
        <v>124</v>
      </c>
      <c r="B60" s="36"/>
      <c r="C60" s="36"/>
      <c r="D60" s="36"/>
      <c r="E60" s="36"/>
      <c r="F60" s="169">
        <f>SUM(F54:H59)</f>
        <v>66.7</v>
      </c>
      <c r="G60" s="170"/>
      <c r="H60" s="171"/>
      <c r="I60" s="37">
        <f>SUM(I54:I59)</f>
        <v>3299.2719999999999</v>
      </c>
      <c r="J60" s="21"/>
    </row>
    <row r="61" spans="1:14" x14ac:dyDescent="0.25">
      <c r="A61" s="21"/>
      <c r="B61" s="21"/>
      <c r="C61" s="21"/>
      <c r="D61" s="21"/>
      <c r="E61" s="21"/>
      <c r="F61" s="21"/>
      <c r="J61" s="21"/>
    </row>
    <row r="62" spans="1:14" x14ac:dyDescent="0.25">
      <c r="A62" s="38" t="s">
        <v>84</v>
      </c>
      <c r="B62" s="21"/>
      <c r="C62" s="21"/>
      <c r="D62" s="21"/>
      <c r="E62" s="21"/>
      <c r="F62" s="21"/>
      <c r="G62" s="21"/>
      <c r="H62" s="21"/>
      <c r="I62" s="21"/>
      <c r="J62" s="21"/>
    </row>
    <row r="63" spans="1:14" ht="15.75" x14ac:dyDescent="0.25">
      <c r="A63" s="39" t="s">
        <v>189</v>
      </c>
      <c r="B63" s="21"/>
      <c r="C63" s="21"/>
      <c r="D63" s="21"/>
      <c r="E63" s="21"/>
      <c r="F63" s="21"/>
      <c r="G63" s="21"/>
      <c r="H63" s="21"/>
      <c r="I63" s="21"/>
      <c r="J63" s="21"/>
    </row>
    <row r="64" spans="1:14" ht="15.75" x14ac:dyDescent="0.25">
      <c r="A64" s="39" t="s">
        <v>126</v>
      </c>
      <c r="B64" s="21"/>
      <c r="C64" s="21"/>
      <c r="D64" s="21"/>
      <c r="E64" s="21"/>
      <c r="F64" s="21"/>
      <c r="G64" s="21"/>
      <c r="H64" s="21"/>
      <c r="I64" s="21"/>
      <c r="J64" s="21"/>
    </row>
    <row r="65" spans="1:10" ht="15.75" x14ac:dyDescent="0.25">
      <c r="A65" s="39" t="s">
        <v>190</v>
      </c>
      <c r="B65" s="21"/>
      <c r="C65" s="21"/>
      <c r="D65" s="21"/>
      <c r="E65" s="21"/>
      <c r="F65" s="21"/>
      <c r="G65" s="21"/>
      <c r="H65" s="21"/>
      <c r="I65" s="21"/>
      <c r="J65" s="21"/>
    </row>
    <row r="66" spans="1:10" ht="15.75" x14ac:dyDescent="0.25">
      <c r="A66" s="9" t="s">
        <v>191</v>
      </c>
      <c r="B66" s="21"/>
      <c r="C66" s="21"/>
      <c r="D66" s="21"/>
      <c r="E66" s="21"/>
      <c r="F66" s="21"/>
      <c r="G66" s="21"/>
      <c r="H66" s="21"/>
      <c r="I66" s="21"/>
      <c r="J66" s="21"/>
    </row>
    <row r="67" spans="1:10" ht="15.75" x14ac:dyDescent="0.25">
      <c r="A67" s="9" t="s">
        <v>192</v>
      </c>
      <c r="B67" s="21"/>
      <c r="C67" s="21"/>
      <c r="D67" s="21"/>
      <c r="E67" s="21"/>
      <c r="F67" s="21"/>
      <c r="G67" s="21"/>
      <c r="H67" s="21"/>
      <c r="I67" s="21"/>
    </row>
    <row r="68" spans="1:10" x14ac:dyDescent="0.25">
      <c r="A68" s="109"/>
      <c r="B68" s="21"/>
      <c r="C68" s="21"/>
      <c r="D68" s="21"/>
      <c r="E68" s="21"/>
      <c r="F68" s="21"/>
      <c r="G68" s="21"/>
      <c r="H68" s="21"/>
      <c r="I68" s="21"/>
    </row>
    <row r="69" spans="1:10" ht="96" x14ac:dyDescent="0.25">
      <c r="A69" s="25" t="s">
        <v>128</v>
      </c>
      <c r="B69" s="25" t="s">
        <v>129</v>
      </c>
      <c r="C69" s="25" t="s">
        <v>130</v>
      </c>
      <c r="D69" s="25" t="s">
        <v>131</v>
      </c>
      <c r="E69" s="25" t="s">
        <v>132</v>
      </c>
      <c r="G69" s="21"/>
      <c r="H69" s="21"/>
      <c r="I69" s="21"/>
    </row>
    <row r="70" spans="1:10" x14ac:dyDescent="0.25">
      <c r="A70" s="26"/>
      <c r="B70" s="26"/>
      <c r="C70" s="26"/>
      <c r="D70" s="27"/>
      <c r="E70" s="28" t="s">
        <v>133</v>
      </c>
    </row>
    <row r="71" spans="1:10" x14ac:dyDescent="0.25">
      <c r="A71" s="29" t="s">
        <v>134</v>
      </c>
      <c r="B71" s="28">
        <f>$P$12</f>
        <v>8</v>
      </c>
      <c r="C71" s="28">
        <v>2</v>
      </c>
      <c r="D71" s="28">
        <v>0</v>
      </c>
      <c r="E71" s="28">
        <f>B71*C71+D71</f>
        <v>16</v>
      </c>
    </row>
    <row r="72" spans="1:10" x14ac:dyDescent="0.25">
      <c r="A72" s="149" t="s">
        <v>193</v>
      </c>
      <c r="B72" s="150">
        <f t="shared" ref="B72" si="46">$S$9</f>
        <v>4</v>
      </c>
      <c r="C72" s="150">
        <v>1</v>
      </c>
      <c r="D72" s="150">
        <v>0</v>
      </c>
      <c r="E72" s="28">
        <f t="shared" ref="E72:E76" si="47">B72*C72+D72</f>
        <v>4</v>
      </c>
    </row>
    <row r="73" spans="1:10" x14ac:dyDescent="0.25">
      <c r="A73" s="29" t="s">
        <v>120</v>
      </c>
      <c r="B73" s="28">
        <v>0</v>
      </c>
      <c r="C73" s="28">
        <v>0.2</v>
      </c>
      <c r="D73" s="28">
        <v>0</v>
      </c>
      <c r="E73" s="28">
        <f t="shared" si="47"/>
        <v>0</v>
      </c>
    </row>
    <row r="74" spans="1:10" x14ac:dyDescent="0.25">
      <c r="A74" s="29" t="s">
        <v>135</v>
      </c>
      <c r="B74" s="28">
        <f>$P$12</f>
        <v>8</v>
      </c>
      <c r="C74" s="28">
        <v>1</v>
      </c>
      <c r="D74" s="28">
        <v>0</v>
      </c>
      <c r="E74" s="28">
        <f t="shared" si="47"/>
        <v>8</v>
      </c>
    </row>
    <row r="75" spans="1:10" x14ac:dyDescent="0.25">
      <c r="A75" s="29" t="s">
        <v>136</v>
      </c>
      <c r="B75" s="28">
        <v>0</v>
      </c>
      <c r="C75" s="28">
        <v>0.2</v>
      </c>
      <c r="D75" s="28">
        <v>0</v>
      </c>
      <c r="E75" s="28">
        <f t="shared" si="47"/>
        <v>0</v>
      </c>
    </row>
    <row r="76" spans="1:10" x14ac:dyDescent="0.25">
      <c r="A76" s="29" t="s">
        <v>137</v>
      </c>
      <c r="B76" s="28">
        <f>$P$12</f>
        <v>8</v>
      </c>
      <c r="C76" s="28">
        <v>1</v>
      </c>
      <c r="D76" s="28">
        <v>0</v>
      </c>
      <c r="E76" s="28">
        <f t="shared" si="47"/>
        <v>8</v>
      </c>
    </row>
    <row r="77" spans="1:10" x14ac:dyDescent="0.25">
      <c r="A77" s="30"/>
      <c r="B77" s="30"/>
      <c r="C77" s="30"/>
      <c r="D77" s="25" t="s">
        <v>64</v>
      </c>
      <c r="E77" s="31">
        <f>SUM(E71:E76)</f>
        <v>36</v>
      </c>
    </row>
    <row r="80" spans="1:10" x14ac:dyDescent="0.25">
      <c r="D80" s="33" t="s">
        <v>138</v>
      </c>
      <c r="E80" s="32">
        <f>F32/E77</f>
        <v>31.177777777777781</v>
      </c>
    </row>
  </sheetData>
  <mergeCells count="4">
    <mergeCell ref="A3:A5"/>
    <mergeCell ref="N23:P23"/>
    <mergeCell ref="F32:H32"/>
    <mergeCell ref="F60:H60"/>
  </mergeCells>
  <hyperlinks>
    <hyperlink ref="M2" r:id="rId1" xr:uid="{AA558BB4-C7F6-4FED-8BD9-0061C0A7C91A}"/>
    <hyperlink ref="K58" r:id="rId2" display="https://www.opm.gov/policy-data-oversight/pay-leave/salaries-wages/salary-tables/pdf/2019/GS_h.pdf" xr:uid="{4B6F863D-E2E4-4C6E-AEDE-F11E9BDE2183}"/>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2022-03-16T21:11:35+00:00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51FAA-6E44-4C7D-8BB1-0E4B4F5889F3}">
  <ds:schemaRefs>
    <ds:schemaRef ds:uri="Microsoft.SharePoint.Taxonomy.ContentTypeSync"/>
  </ds:schemaRefs>
</ds:datastoreItem>
</file>

<file path=customXml/itemProps2.xml><?xml version="1.0" encoding="utf-8"?>
<ds:datastoreItem xmlns:ds="http://schemas.openxmlformats.org/officeDocument/2006/customXml" ds:itemID="{7A22EBAA-18EF-4892-B012-C96351413445}">
  <ds:schemaRefs>
    <ds:schemaRef ds:uri="http://schemas.microsoft.com/sharepoint/v3/contenttype/forms"/>
  </ds:schemaRefs>
</ds:datastoreItem>
</file>

<file path=customXml/itemProps3.xml><?xml version="1.0" encoding="utf-8"?>
<ds:datastoreItem xmlns:ds="http://schemas.openxmlformats.org/officeDocument/2006/customXml" ds:itemID="{64FA0241-E84B-4663-8281-47B73F2B4F87}">
  <ds:schemaRefs>
    <ds:schemaRef ds:uri="http://schemas.microsoft.com/office/2006/metadata/properties"/>
    <ds:schemaRef ds:uri="http://purl.org/dc/dcmitype/"/>
    <ds:schemaRef ds:uri="http://schemas.microsoft.com/office/infopath/2007/PartnerControls"/>
    <ds:schemaRef ds:uri="http://purl.org/dc/terms/"/>
    <ds:schemaRef ds:uri="94db4d94-ed81-48b9-bc97-a7d8e23f06ad"/>
    <ds:schemaRef ds:uri="4ffa91fb-a0ff-4ac5-b2db-65c790d184a4"/>
    <ds:schemaRef ds:uri="http://schemas.openxmlformats.org/package/2006/metadata/core-properties"/>
    <ds:schemaRef ds:uri="20f58fec-565a-4eeb-9bba-03a71ae13962"/>
    <ds:schemaRef ds:uri="http://schemas.microsoft.com/office/2006/documentManagement/types"/>
    <ds:schemaRef ds:uri="http://purl.org/dc/elements/1.1/"/>
    <ds:schemaRef ds:uri="http://schemas.microsoft.com/sharepoint/v3/fields"/>
    <ds:schemaRef ds:uri="http://schemas.microsoft.com/sharepoint.v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D17613F7-21AF-4BC3-AB3F-4A2D4EBBE8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Burden_MajorSource</vt:lpstr>
      <vt:lpstr>Burden_AreaSource</vt:lpstr>
      <vt:lpstr>Burden_NSPS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Coburn, Jeff</dc:creator>
  <cp:keywords/>
  <dc:description/>
  <cp:lastModifiedBy>DeLang, Marissa</cp:lastModifiedBy>
  <cp:revision/>
  <dcterms:created xsi:type="dcterms:W3CDTF">2019-08-12T22:39:09Z</dcterms:created>
  <dcterms:modified xsi:type="dcterms:W3CDTF">2022-04-14T16:07:41Z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Document_x0020_Type">
    <vt:lpwstr/>
  </property>
</Properties>
</file>