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usepa.sharepoint.com/sites/RegulatorySupportDivision/Shared Documents/ICR Program/ICR Desk Officer Materials/OAR Stuff/Converted SSs and Template Files/2137.12 Rulemaking/"/>
    </mc:Choice>
  </mc:AlternateContent>
  <xr:revisionPtr revIDLastSave="28" documentId="13_ncr:1_{3840628C-A3FC-4F04-86B7-6C174CA59AD3}" xr6:coauthVersionLast="47" xr6:coauthVersionMax="47" xr10:uidLastSave="{A0A94942-41A4-4A02-85A6-5C55904B39DA}"/>
  <bookViews>
    <workbookView xWindow="31890" yWindow="-110" windowWidth="19420" windowHeight="10300" tabRatio="721" firstSheet="3" activeTab="4" xr2:uid="{00000000-000D-0000-FFFF-FFFF00000000}"/>
  </bookViews>
  <sheets>
    <sheet name="Regulated Sources_Overview" sheetId="19" r:id="rId1"/>
    <sheet name="Table 1a-Year 1" sheetId="25" r:id="rId2"/>
    <sheet name="Table 1a-Year 2" sheetId="1" r:id="rId3"/>
    <sheet name="Table 1a-Year 3" sheetId="27" r:id="rId4"/>
    <sheet name="Table 1a-Avg" sheetId="31" r:id="rId5"/>
    <sheet name="Table 1b-Year 1" sheetId="26" r:id="rId6"/>
    <sheet name="Table 1b-Year 2" sheetId="21" r:id="rId7"/>
    <sheet name="Table 1b-Year 3" sheetId="30" r:id="rId8"/>
    <sheet name="Table 1b-Avg" sheetId="32" r:id="rId9"/>
    <sheet name="Table 1c-Year 1" sheetId="28" r:id="rId10"/>
    <sheet name="Table 1c-Year 2" sheetId="20" r:id="rId11"/>
    <sheet name="Table 1c-Year 3" sheetId="29" r:id="rId12"/>
    <sheet name="Table 1c-Avg" sheetId="33" r:id="rId13"/>
    <sheet name="Table 2-Year 1" sheetId="34" r:id="rId14"/>
    <sheet name="Table 2-Year 2" sheetId="5" r:id="rId15"/>
    <sheet name="Table 2-Year 3" sheetId="35" r:id="rId16"/>
    <sheet name="Table 2-Avg" sheetId="36" r:id="rId17"/>
    <sheet name="Annual Responses-Year 1" sheetId="37" r:id="rId18"/>
    <sheet name="Annual Responses-Year 2" sheetId="4" r:id="rId19"/>
    <sheet name="Annual Responses-Year 3" sheetId="38" r:id="rId20"/>
    <sheet name="Annual Responses-Avg" sheetId="39" r:id="rId21"/>
    <sheet name="Summary of CEMS Costs_2018" sheetId="22" state="hidden" r:id="rId22"/>
    <sheet name="%CEMSCPMSvs.testing_2137.13" sheetId="24" r:id="rId23"/>
    <sheet name="%CEMSCPMSvs.testing_2137.12" sheetId="40" r:id="rId24"/>
    <sheet name="Summary Info_2015" sheetId="12" state="hidden" r:id="rId25"/>
    <sheet name="Hg 1 monitor_2015" sheetId="13" state="hidden" r:id="rId26"/>
    <sheet name="HCl 1 monitor_2015" sheetId="15" state="hidden" r:id="rId27"/>
    <sheet name="PM 1 monitor_2015" sheetId="14" state="hidden" r:id="rId28"/>
    <sheet name="PM beta 1 monitor_2015" sheetId="16" state="hidden" r:id="rId29"/>
    <sheet name="PM extractive_2015" sheetId="17" state="hidden" r:id="rId30"/>
  </sheets>
  <externalReferences>
    <externalReference r:id="rId31"/>
    <externalReference r:id="rId32"/>
    <externalReference r:id="rId33"/>
  </externalReferences>
  <definedNames>
    <definedName name="_xlnm.Print_Area" localSheetId="20">'Annual Responses-Avg'!$B$2:$H$15</definedName>
    <definedName name="_xlnm.Print_Area" localSheetId="17">'Annual Responses-Year 1'!$B$2:$H$15</definedName>
    <definedName name="_xlnm.Print_Area" localSheetId="18">'Annual Responses-Year 2'!$B$2:$H$15</definedName>
    <definedName name="_xlnm.Print_Area" localSheetId="19">'Annual Responses-Year 3'!$B$2:$H$15</definedName>
    <definedName name="_xlnm.Print_Area" localSheetId="4">'Table 1a-Avg'!#REF!</definedName>
    <definedName name="_xlnm.Print_Area" localSheetId="1">'Table 1a-Year 1'!#REF!</definedName>
    <definedName name="_xlnm.Print_Area" localSheetId="2">'Table 1a-Year 2'!#REF!</definedName>
    <definedName name="_xlnm.Print_Area" localSheetId="3">'Table 1a-Year 3'!#REF!</definedName>
    <definedName name="_xlnm.Print_Area" localSheetId="8">'Table 1b-Avg'!#REF!</definedName>
    <definedName name="_xlnm.Print_Area" localSheetId="5">'Table 1b-Year 1'!#REF!</definedName>
    <definedName name="_xlnm.Print_Area" localSheetId="6">'Table 1b-Year 2'!#REF!</definedName>
    <definedName name="_xlnm.Print_Area" localSheetId="7">'Table 1b-Year 3'!#REF!</definedName>
    <definedName name="_xlnm.Print_Area" localSheetId="16">'Table 2-Avg'!$A$4:$I$36</definedName>
    <definedName name="_xlnm.Print_Area" localSheetId="13">'Table 2-Year 1'!$A$4:$I$36</definedName>
    <definedName name="_xlnm.Print_Area" localSheetId="14">'Table 2-Year 2'!$A$4:$I$36</definedName>
    <definedName name="_xlnm.Print_Area" localSheetId="15">'Table 2-Year 3'!$A$4:$I$36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35" l="1"/>
  <c r="A25" i="34"/>
  <c r="G86" i="27"/>
  <c r="G85" i="27"/>
  <c r="G84" i="27"/>
  <c r="F18" i="34"/>
  <c r="F18" i="35"/>
  <c r="X15" i="24" l="1"/>
  <c r="I95" i="27"/>
  <c r="I94" i="27"/>
  <c r="I93" i="27"/>
  <c r="I92" i="27"/>
  <c r="D33" i="35" l="1"/>
  <c r="D32" i="35"/>
  <c r="D31" i="35"/>
  <c r="D33" i="5"/>
  <c r="D32" i="5"/>
  <c r="D31" i="5"/>
  <c r="K119" i="27"/>
  <c r="D33" i="34"/>
  <c r="D32" i="34"/>
  <c r="D31" i="34"/>
  <c r="G97" i="26"/>
  <c r="G97" i="21"/>
  <c r="G97" i="30"/>
  <c r="G99" i="27"/>
  <c r="G99" i="1"/>
  <c r="G99" i="25"/>
  <c r="H12" i="21"/>
  <c r="H12" i="30"/>
  <c r="H12" i="26"/>
  <c r="H12" i="27"/>
  <c r="H12" i="1"/>
  <c r="H12" i="25"/>
  <c r="Z16" i="24"/>
  <c r="Z15" i="24"/>
  <c r="Y16" i="24"/>
  <c r="Y15" i="24"/>
  <c r="X16" i="24"/>
  <c r="D139" i="19"/>
  <c r="E93" i="19"/>
  <c r="I34" i="40"/>
  <c r="A33" i="40"/>
  <c r="T31" i="40"/>
  <c r="A27" i="40"/>
  <c r="T25" i="40"/>
  <c r="A21" i="40"/>
  <c r="T19" i="40"/>
  <c r="AI16" i="40"/>
  <c r="AI15" i="40"/>
  <c r="A15" i="40"/>
  <c r="T13" i="40"/>
  <c r="U11" i="40"/>
  <c r="K11" i="40"/>
  <c r="G11" i="40"/>
  <c r="C11" i="40"/>
  <c r="K10" i="40"/>
  <c r="U9" i="40"/>
  <c r="K9" i="40"/>
  <c r="G9" i="40"/>
  <c r="C9" i="40"/>
  <c r="A9" i="40"/>
  <c r="T7" i="40"/>
  <c r="N6" i="40"/>
  <c r="N4" i="40"/>
  <c r="V3" i="40"/>
  <c r="A3" i="40"/>
  <c r="A28" i="40" l="1"/>
  <c r="U4" i="40"/>
  <c r="U3" i="40"/>
  <c r="U5" i="40"/>
  <c r="K3" i="40"/>
  <c r="A22" i="40"/>
  <c r="K5" i="40"/>
  <c r="K4" i="40"/>
  <c r="G3" i="40"/>
  <c r="C3" i="40"/>
  <c r="C5" i="40"/>
  <c r="G5" i="40"/>
  <c r="A16" i="40"/>
  <c r="A34" i="40"/>
  <c r="X31" i="40" l="1"/>
  <c r="AG32" i="40"/>
  <c r="X32" i="40"/>
  <c r="AG31" i="40"/>
  <c r="U17" i="40"/>
  <c r="K17" i="40"/>
  <c r="G17" i="40"/>
  <c r="C17" i="40"/>
  <c r="U15" i="40"/>
  <c r="K16" i="40"/>
  <c r="K15" i="40"/>
  <c r="G15" i="40"/>
  <c r="C15" i="40"/>
  <c r="K28" i="40"/>
  <c r="U29" i="40"/>
  <c r="K29" i="40"/>
  <c r="G29" i="40"/>
  <c r="C29" i="40"/>
  <c r="U27" i="40"/>
  <c r="G27" i="40"/>
  <c r="C27" i="40"/>
  <c r="AG27" i="40"/>
  <c r="X27" i="40"/>
  <c r="AG28" i="40"/>
  <c r="X28" i="40"/>
  <c r="AG20" i="40"/>
  <c r="X20" i="40"/>
  <c r="AG19" i="40"/>
  <c r="X19" i="40"/>
  <c r="X23" i="40"/>
  <c r="AG24" i="40"/>
  <c r="X24" i="40"/>
  <c r="AG23" i="40"/>
  <c r="U23" i="40"/>
  <c r="K23" i="40"/>
  <c r="G23" i="40"/>
  <c r="C23" i="40"/>
  <c r="U21" i="40"/>
  <c r="C21" i="40"/>
  <c r="G21" i="40"/>
  <c r="K21" i="40"/>
  <c r="S5" i="40"/>
  <c r="R5" i="40"/>
  <c r="AG5" i="40"/>
  <c r="S3" i="40"/>
  <c r="R3" i="40"/>
  <c r="AG3" i="40"/>
  <c r="U35" i="40"/>
  <c r="K35" i="40"/>
  <c r="G35" i="40"/>
  <c r="C35" i="40"/>
  <c r="K34" i="40"/>
  <c r="C33" i="40"/>
  <c r="U33" i="40"/>
  <c r="K33" i="40"/>
  <c r="G33" i="40"/>
  <c r="X4" i="40"/>
  <c r="Y4" i="40" s="1"/>
  <c r="Z4" i="40" s="1"/>
  <c r="S4" i="40"/>
  <c r="AG4" i="40" s="1"/>
  <c r="AH4" i="40" s="1"/>
  <c r="R4" i="40"/>
  <c r="AI27" i="40" l="1"/>
  <c r="AH27" i="40"/>
  <c r="Z31" i="40"/>
  <c r="Y31" i="40"/>
  <c r="AI28" i="40"/>
  <c r="AH28" i="40"/>
  <c r="Z24" i="40"/>
  <c r="Y24" i="40"/>
  <c r="AG12" i="40"/>
  <c r="AG11" i="40"/>
  <c r="Z27" i="40"/>
  <c r="Y27" i="40"/>
  <c r="AI23" i="40"/>
  <c r="AH23" i="40"/>
  <c r="Z8" i="40"/>
  <c r="Y8" i="40"/>
  <c r="X8" i="40"/>
  <c r="AH8" i="40"/>
  <c r="AG8" i="40"/>
  <c r="AI24" i="40"/>
  <c r="AH24" i="40"/>
  <c r="Z28" i="40"/>
  <c r="Y28" i="40"/>
  <c r="AG15" i="40"/>
  <c r="AG16" i="40"/>
  <c r="AH5" i="40"/>
  <c r="X5" i="40"/>
  <c r="Z23" i="40"/>
  <c r="Y23" i="40"/>
  <c r="AI31" i="40"/>
  <c r="AH31" i="40"/>
  <c r="Z19" i="40"/>
  <c r="Y19" i="40"/>
  <c r="Z20" i="40"/>
  <c r="Y20" i="40"/>
  <c r="Z32" i="40"/>
  <c r="Y32" i="40"/>
  <c r="AI19" i="40"/>
  <c r="AH19" i="40"/>
  <c r="AH20" i="40"/>
  <c r="AI20" i="40"/>
  <c r="AI32" i="40"/>
  <c r="AH32" i="40"/>
  <c r="AN8" i="40" l="1"/>
  <c r="AN9" i="40"/>
  <c r="AH3" i="40"/>
  <c r="AE8" i="40"/>
  <c r="AE9" i="40"/>
  <c r="X3" i="40"/>
  <c r="Y5" i="40"/>
  <c r="X15" i="40"/>
  <c r="X16" i="40"/>
  <c r="AH15" i="40"/>
  <c r="AH16" i="40"/>
  <c r="Y15" i="40" l="1"/>
  <c r="Z5" i="40"/>
  <c r="Y16" i="40"/>
  <c r="X12" i="40"/>
  <c r="X11" i="40"/>
  <c r="Y3" i="40"/>
  <c r="AH12" i="40"/>
  <c r="AI3" i="40"/>
  <c r="AH11" i="40"/>
  <c r="AI12" i="40" l="1"/>
  <c r="AI11" i="40"/>
  <c r="Y12" i="40"/>
  <c r="Y11" i="40"/>
  <c r="Z3" i="40"/>
  <c r="Z15" i="40"/>
  <c r="Z16" i="40"/>
  <c r="Z12" i="40" l="1"/>
  <c r="Z11" i="40"/>
  <c r="Z5" i="24" l="1"/>
  <c r="Y5" i="24"/>
  <c r="X5" i="24"/>
  <c r="Z4" i="24"/>
  <c r="Y4" i="24"/>
  <c r="X4" i="24"/>
  <c r="X3" i="24" l="1"/>
  <c r="R117" i="19"/>
  <c r="R118" i="19" s="1"/>
  <c r="R111" i="19"/>
  <c r="R119" i="19" s="1"/>
  <c r="F106" i="19"/>
  <c r="F112" i="19" s="1"/>
  <c r="E111" i="19"/>
  <c r="D131" i="19" s="1"/>
  <c r="M123" i="19"/>
  <c r="F120" i="19"/>
  <c r="M117" i="19"/>
  <c r="F114" i="19"/>
  <c r="M111" i="19"/>
  <c r="F110" i="19"/>
  <c r="F122" i="19" s="1"/>
  <c r="F109" i="19"/>
  <c r="F107" i="19"/>
  <c r="F119" i="19" s="1"/>
  <c r="A34" i="24"/>
  <c r="A28" i="24"/>
  <c r="R112" i="19" l="1"/>
  <c r="R113" i="19"/>
  <c r="F118" i="19"/>
  <c r="F111" i="19"/>
  <c r="S111" i="19" s="1"/>
  <c r="F115" i="19"/>
  <c r="F121" i="19"/>
  <c r="F123" i="19" s="1"/>
  <c r="F116" i="19"/>
  <c r="F113" i="19"/>
  <c r="F117" i="19" l="1"/>
  <c r="S117" i="19" s="1"/>
  <c r="A3" i="24"/>
  <c r="G10" i="33"/>
  <c r="E10" i="33"/>
  <c r="G10" i="29"/>
  <c r="E10" i="29"/>
  <c r="G10" i="20"/>
  <c r="E10" i="20"/>
  <c r="G10" i="28"/>
  <c r="E10" i="28"/>
  <c r="N92" i="25" l="1"/>
  <c r="N93" i="25"/>
  <c r="H77" i="12"/>
  <c r="G12" i="29" l="1"/>
  <c r="G12" i="20"/>
  <c r="G11" i="20"/>
  <c r="G12" i="28"/>
  <c r="G11" i="29"/>
  <c r="G11" i="28"/>
  <c r="N95" i="25"/>
  <c r="M89" i="25" s="1"/>
  <c r="F99" i="25" l="1"/>
  <c r="F92" i="25"/>
  <c r="G86" i="31"/>
  <c r="F86" i="31" s="1"/>
  <c r="G85" i="31"/>
  <c r="F85" i="31" s="1"/>
  <c r="G84" i="31"/>
  <c r="F84" i="31" s="1"/>
  <c r="F86" i="27"/>
  <c r="F85" i="27"/>
  <c r="F84" i="27"/>
  <c r="G86" i="1"/>
  <c r="F86" i="1" s="1"/>
  <c r="G85" i="1"/>
  <c r="F85" i="1" s="1"/>
  <c r="G84" i="1"/>
  <c r="F84" i="1" s="1"/>
  <c r="H84" i="30"/>
  <c r="F84" i="30" s="1"/>
  <c r="H83" i="30"/>
  <c r="F83" i="30" s="1"/>
  <c r="H82" i="30"/>
  <c r="F82" i="30" s="1"/>
  <c r="H84" i="21"/>
  <c r="F84" i="21" s="1"/>
  <c r="H83" i="21"/>
  <c r="F83" i="21" s="1"/>
  <c r="H82" i="21"/>
  <c r="F82" i="21" s="1"/>
  <c r="H84" i="32"/>
  <c r="F84" i="32" s="1"/>
  <c r="H83" i="32"/>
  <c r="F83" i="32" s="1"/>
  <c r="H82" i="32"/>
  <c r="F82" i="32" s="1"/>
  <c r="F31" i="5"/>
  <c r="F32" i="5"/>
  <c r="F33" i="5"/>
  <c r="C36" i="5"/>
  <c r="F31" i="35"/>
  <c r="F32" i="35"/>
  <c r="F33" i="35"/>
  <c r="C36" i="35"/>
  <c r="D31" i="36"/>
  <c r="F31" i="36" s="1"/>
  <c r="D32" i="36"/>
  <c r="F32" i="36" s="1"/>
  <c r="D33" i="36"/>
  <c r="F33" i="36" s="1"/>
  <c r="C36" i="36"/>
  <c r="F90" i="32" l="1"/>
  <c r="F90" i="30"/>
  <c r="F90" i="21"/>
  <c r="F90" i="26"/>
  <c r="F92" i="31"/>
  <c r="F92" i="27"/>
  <c r="F92" i="1"/>
  <c r="F92" i="19"/>
  <c r="F91" i="19"/>
  <c r="F89" i="19"/>
  <c r="F88" i="19"/>
  <c r="E14" i="33" l="1"/>
  <c r="E14" i="29"/>
  <c r="E14" i="20"/>
  <c r="E14" i="28"/>
  <c r="U5" i="24"/>
  <c r="U4" i="24"/>
  <c r="S4" i="24" s="1"/>
  <c r="V3" i="24"/>
  <c r="U3" i="24" s="1"/>
  <c r="H31" i="31"/>
  <c r="I31" i="31" s="1"/>
  <c r="H32" i="31"/>
  <c r="I32" i="31" s="1"/>
  <c r="H34" i="31"/>
  <c r="I34" i="31" s="1"/>
  <c r="J32" i="31" l="1"/>
  <c r="K32" i="31"/>
  <c r="K34" i="31"/>
  <c r="J34" i="31"/>
  <c r="K31" i="31"/>
  <c r="J31" i="31"/>
  <c r="S5" i="24"/>
  <c r="AG5" i="24" s="1"/>
  <c r="AH5" i="24" s="1"/>
  <c r="AG8" i="24"/>
  <c r="AG4" i="24"/>
  <c r="AH4" i="24" s="1"/>
  <c r="AH3" i="24"/>
  <c r="R3" i="24"/>
  <c r="S3" i="24"/>
  <c r="AG3" i="24"/>
  <c r="AH8" i="24"/>
  <c r="F104" i="19"/>
  <c r="F103" i="19"/>
  <c r="F102" i="19"/>
  <c r="F101" i="19"/>
  <c r="F100" i="19"/>
  <c r="F98" i="19"/>
  <c r="F97" i="19"/>
  <c r="F96" i="19"/>
  <c r="F95" i="19"/>
  <c r="AI3" i="24" l="1"/>
  <c r="R4" i="24" l="1"/>
  <c r="R5" i="24"/>
  <c r="K3" i="24" l="1"/>
  <c r="T7" i="24" l="1"/>
  <c r="H20" i="30" l="1"/>
  <c r="H20" i="27"/>
  <c r="J112" i="25"/>
  <c r="J110" i="26"/>
  <c r="Y3" i="24"/>
  <c r="Z3" i="24" s="1"/>
  <c r="H47" i="30" l="1"/>
  <c r="H46" i="30"/>
  <c r="H45" i="30"/>
  <c r="H64" i="30"/>
  <c r="H43" i="30"/>
  <c r="H42" i="30"/>
  <c r="H66" i="30" s="1"/>
  <c r="H50" i="30"/>
  <c r="H49" i="30"/>
  <c r="H41" i="30"/>
  <c r="H65" i="30"/>
  <c r="H63" i="30"/>
  <c r="H48" i="30"/>
  <c r="H63" i="27"/>
  <c r="H65" i="27"/>
  <c r="H48" i="27"/>
  <c r="H41" i="27"/>
  <c r="H64" i="27"/>
  <c r="H20" i="26"/>
  <c r="H20" i="25"/>
  <c r="H20" i="1"/>
  <c r="H20" i="21"/>
  <c r="G92" i="25"/>
  <c r="G90" i="26" l="1"/>
  <c r="H47" i="26"/>
  <c r="H46" i="26"/>
  <c r="H50" i="26"/>
  <c r="H45" i="26"/>
  <c r="H65" i="26"/>
  <c r="H63" i="26"/>
  <c r="H43" i="26"/>
  <c r="H42" i="26"/>
  <c r="H66" i="26" s="1"/>
  <c r="H41" i="26"/>
  <c r="H64" i="26"/>
  <c r="H49" i="26"/>
  <c r="H48" i="26"/>
  <c r="E5" i="35"/>
  <c r="E6" i="35" s="1"/>
  <c r="E7" i="35"/>
  <c r="H65" i="21"/>
  <c r="H41" i="21"/>
  <c r="H64" i="21"/>
  <c r="H43" i="21"/>
  <c r="H63" i="21"/>
  <c r="H48" i="21"/>
  <c r="H47" i="21"/>
  <c r="H50" i="21"/>
  <c r="H49" i="21"/>
  <c r="H46" i="21"/>
  <c r="H42" i="21"/>
  <c r="H66" i="21" s="1"/>
  <c r="H45" i="21"/>
  <c r="H46" i="25"/>
  <c r="H42" i="25"/>
  <c r="H41" i="25"/>
  <c r="H63" i="25"/>
  <c r="H49" i="25"/>
  <c r="H45" i="25"/>
  <c r="H64" i="25"/>
  <c r="H50" i="25"/>
  <c r="H48" i="25"/>
  <c r="H47" i="25"/>
  <c r="H43" i="25"/>
  <c r="H65" i="25"/>
  <c r="H64" i="1"/>
  <c r="H48" i="1"/>
  <c r="H41" i="1"/>
  <c r="H65" i="1"/>
  <c r="H63" i="1"/>
  <c r="H23" i="25"/>
  <c r="H24" i="25"/>
  <c r="H26" i="25"/>
  <c r="H25" i="25"/>
  <c r="G90" i="21"/>
  <c r="G92" i="1"/>
  <c r="H24" i="26"/>
  <c r="H26" i="26"/>
  <c r="H25" i="26"/>
  <c r="H23" i="26"/>
  <c r="J110" i="21"/>
  <c r="J112" i="1"/>
  <c r="E5" i="5" l="1"/>
  <c r="E6" i="5" s="1"/>
  <c r="E7" i="5"/>
  <c r="J110" i="30"/>
  <c r="J112" i="27"/>
  <c r="G90" i="30"/>
  <c r="G92" i="27"/>
  <c r="E12" i="29" l="1"/>
  <c r="E11" i="29"/>
  <c r="E11" i="20"/>
  <c r="E12" i="20"/>
  <c r="E12" i="28"/>
  <c r="E11" i="28"/>
  <c r="F97" i="32"/>
  <c r="H112" i="31"/>
  <c r="G112" i="31"/>
  <c r="F112" i="31"/>
  <c r="F99" i="31"/>
  <c r="H9" i="21" l="1"/>
  <c r="H9" i="30"/>
  <c r="F94" i="19"/>
  <c r="H110" i="30"/>
  <c r="G110" i="30"/>
  <c r="F110" i="30"/>
  <c r="H110" i="21"/>
  <c r="G110" i="21"/>
  <c r="F110" i="21"/>
  <c r="H110" i="26"/>
  <c r="G110" i="26"/>
  <c r="F110" i="26"/>
  <c r="H112" i="27"/>
  <c r="G112" i="27"/>
  <c r="F112" i="27"/>
  <c r="H112" i="1"/>
  <c r="G112" i="1"/>
  <c r="F112" i="1"/>
  <c r="F97" i="30"/>
  <c r="F97" i="21"/>
  <c r="F97" i="26"/>
  <c r="F99" i="27"/>
  <c r="F99" i="1"/>
  <c r="G127" i="19"/>
  <c r="D25" i="38" l="1"/>
  <c r="D24" i="38"/>
  <c r="D23" i="38"/>
  <c r="D22" i="38"/>
  <c r="D21" i="38"/>
  <c r="D20" i="38"/>
  <c r="D18" i="38"/>
  <c r="D17" i="38"/>
  <c r="D16" i="38"/>
  <c r="D14" i="38"/>
  <c r="D13" i="38"/>
  <c r="D12" i="38"/>
  <c r="D11" i="38"/>
  <c r="D10" i="38"/>
  <c r="C10" i="38"/>
  <c r="D9" i="38"/>
  <c r="C9" i="38"/>
  <c r="D7" i="38"/>
  <c r="C7" i="38"/>
  <c r="D6" i="38"/>
  <c r="C6" i="38"/>
  <c r="H35" i="32"/>
  <c r="H34" i="32"/>
  <c r="I34" i="32" s="1"/>
  <c r="J34" i="32" s="1"/>
  <c r="H32" i="32"/>
  <c r="H31" i="32"/>
  <c r="H35" i="31"/>
  <c r="H9" i="27"/>
  <c r="D14" i="37"/>
  <c r="D13" i="37"/>
  <c r="D25" i="37"/>
  <c r="D24" i="37"/>
  <c r="D23" i="37"/>
  <c r="D22" i="37"/>
  <c r="D21" i="37"/>
  <c r="D20" i="37"/>
  <c r="D18" i="37"/>
  <c r="D17" i="37"/>
  <c r="D16" i="37"/>
  <c r="I110" i="26"/>
  <c r="D12" i="37"/>
  <c r="D11" i="37"/>
  <c r="D10" i="37"/>
  <c r="D9" i="37"/>
  <c r="C10" i="37"/>
  <c r="C9" i="37"/>
  <c r="D7" i="37"/>
  <c r="C7" i="37"/>
  <c r="D6" i="37"/>
  <c r="C6" i="37"/>
  <c r="D25" i="39"/>
  <c r="D24" i="39"/>
  <c r="D23" i="39"/>
  <c r="D22" i="39"/>
  <c r="D21" i="39"/>
  <c r="D20" i="39"/>
  <c r="D18" i="39"/>
  <c r="D17" i="39"/>
  <c r="D16" i="39"/>
  <c r="D14" i="39"/>
  <c r="D13" i="39"/>
  <c r="D12" i="39"/>
  <c r="D11" i="39"/>
  <c r="D10" i="39"/>
  <c r="D9" i="39"/>
  <c r="D7" i="39"/>
  <c r="D6" i="39"/>
  <c r="F6" i="38"/>
  <c r="C41" i="36"/>
  <c r="D16" i="36"/>
  <c r="D15" i="36"/>
  <c r="D14" i="36"/>
  <c r="D13" i="36"/>
  <c r="D12" i="36"/>
  <c r="D11" i="36"/>
  <c r="D10" i="36"/>
  <c r="D9" i="36"/>
  <c r="D8" i="36"/>
  <c r="D7" i="36"/>
  <c r="D6" i="36"/>
  <c r="D5" i="36"/>
  <c r="C41" i="35"/>
  <c r="D16" i="35"/>
  <c r="D15" i="35"/>
  <c r="D14" i="35"/>
  <c r="D13" i="35"/>
  <c r="D12" i="35"/>
  <c r="D11" i="35"/>
  <c r="D10" i="35"/>
  <c r="D9" i="35"/>
  <c r="D8" i="35"/>
  <c r="D7" i="35"/>
  <c r="D6" i="35"/>
  <c r="D5" i="35"/>
  <c r="C41" i="34"/>
  <c r="C36" i="34"/>
  <c r="F33" i="34"/>
  <c r="F32" i="34"/>
  <c r="F31" i="34"/>
  <c r="D16" i="34"/>
  <c r="D15" i="34"/>
  <c r="D14" i="34"/>
  <c r="D13" i="34"/>
  <c r="D12" i="34"/>
  <c r="D11" i="34"/>
  <c r="D10" i="34"/>
  <c r="D9" i="34"/>
  <c r="D8" i="34"/>
  <c r="D7" i="34"/>
  <c r="D6" i="34"/>
  <c r="D5" i="34"/>
  <c r="L10" i="33"/>
  <c r="M10" i="33" s="1"/>
  <c r="B10" i="33"/>
  <c r="C12" i="33" s="1"/>
  <c r="H110" i="32"/>
  <c r="G110" i="32"/>
  <c r="F110" i="32"/>
  <c r="F99" i="32"/>
  <c r="F98" i="32"/>
  <c r="F93" i="32"/>
  <c r="F92" i="32"/>
  <c r="F91" i="32"/>
  <c r="E66" i="32"/>
  <c r="G66" i="32" s="1"/>
  <c r="G65" i="32"/>
  <c r="G64" i="32"/>
  <c r="G63" i="32"/>
  <c r="G61" i="32"/>
  <c r="G60" i="32"/>
  <c r="G59" i="32"/>
  <c r="G50" i="32"/>
  <c r="G49" i="32"/>
  <c r="G48" i="32"/>
  <c r="G47" i="32"/>
  <c r="G46" i="32"/>
  <c r="G45" i="32"/>
  <c r="G43" i="32"/>
  <c r="G42" i="32"/>
  <c r="G41" i="32"/>
  <c r="G39" i="32"/>
  <c r="G38" i="32"/>
  <c r="G37" i="32"/>
  <c r="G36" i="32"/>
  <c r="G35" i="32"/>
  <c r="G34" i="32"/>
  <c r="G32" i="32"/>
  <c r="G31" i="32"/>
  <c r="G26" i="32"/>
  <c r="G25" i="32"/>
  <c r="E24" i="32"/>
  <c r="G24" i="32" s="1"/>
  <c r="G23" i="32"/>
  <c r="G22" i="32"/>
  <c r="G21" i="32"/>
  <c r="G20" i="32"/>
  <c r="G18" i="32"/>
  <c r="G17" i="32"/>
  <c r="G16" i="32"/>
  <c r="G15" i="32"/>
  <c r="G14" i="32"/>
  <c r="G13" i="32"/>
  <c r="G12" i="32"/>
  <c r="G9" i="32"/>
  <c r="G7" i="32"/>
  <c r="H114" i="31"/>
  <c r="G114" i="31"/>
  <c r="F114" i="31"/>
  <c r="H113" i="31"/>
  <c r="G113" i="31"/>
  <c r="F113" i="31"/>
  <c r="I112" i="31"/>
  <c r="F101" i="31"/>
  <c r="F100" i="31"/>
  <c r="F94" i="31"/>
  <c r="F93" i="31"/>
  <c r="E66" i="31"/>
  <c r="G66" i="31" s="1"/>
  <c r="G65" i="31"/>
  <c r="G64" i="31"/>
  <c r="G63" i="31"/>
  <c r="G61" i="31"/>
  <c r="G60" i="31"/>
  <c r="G59" i="31"/>
  <c r="G50" i="31"/>
  <c r="G49" i="31"/>
  <c r="G48" i="31"/>
  <c r="G47" i="31"/>
  <c r="G46" i="31"/>
  <c r="G45" i="31"/>
  <c r="G43" i="31"/>
  <c r="G42" i="31"/>
  <c r="G41" i="31"/>
  <c r="G39" i="31"/>
  <c r="G38" i="31"/>
  <c r="G37" i="31"/>
  <c r="G36" i="31"/>
  <c r="G35" i="31"/>
  <c r="G34" i="31"/>
  <c r="G32" i="31"/>
  <c r="G31" i="31"/>
  <c r="G26" i="31"/>
  <c r="G25" i="31"/>
  <c r="E24" i="31"/>
  <c r="G24" i="31" s="1"/>
  <c r="G23" i="31"/>
  <c r="G22" i="31"/>
  <c r="G21" i="31"/>
  <c r="G20" i="31"/>
  <c r="G18" i="31"/>
  <c r="G17" i="31"/>
  <c r="G16" i="31"/>
  <c r="G15" i="31"/>
  <c r="G14" i="31"/>
  <c r="G13" i="31"/>
  <c r="G12" i="31"/>
  <c r="G9" i="31"/>
  <c r="G7" i="31"/>
  <c r="F100" i="30"/>
  <c r="F99" i="30"/>
  <c r="F98" i="30"/>
  <c r="F92" i="30"/>
  <c r="F91" i="30"/>
  <c r="G66" i="30"/>
  <c r="E66" i="30"/>
  <c r="G65" i="30"/>
  <c r="G64" i="30"/>
  <c r="G63" i="30"/>
  <c r="G61" i="30"/>
  <c r="G60" i="30"/>
  <c r="G59" i="30"/>
  <c r="G50" i="30"/>
  <c r="G49" i="30"/>
  <c r="G48" i="30"/>
  <c r="G47" i="30"/>
  <c r="G46" i="30"/>
  <c r="G45" i="30"/>
  <c r="G43" i="30"/>
  <c r="G42" i="30"/>
  <c r="G41" i="30"/>
  <c r="G39" i="30"/>
  <c r="G38" i="30"/>
  <c r="G37" i="30"/>
  <c r="G36" i="30"/>
  <c r="G35" i="30"/>
  <c r="I35" i="30" s="1"/>
  <c r="G34" i="30"/>
  <c r="I34" i="30" s="1"/>
  <c r="J34" i="30" s="1"/>
  <c r="J32" i="30"/>
  <c r="G32" i="30"/>
  <c r="I32" i="30" s="1"/>
  <c r="K32" i="30" s="1"/>
  <c r="G31" i="30"/>
  <c r="I31" i="30" s="1"/>
  <c r="J31" i="30" s="1"/>
  <c r="G26" i="30"/>
  <c r="G25" i="30"/>
  <c r="E24" i="30"/>
  <c r="G24" i="30" s="1"/>
  <c r="G23" i="30"/>
  <c r="G22" i="30"/>
  <c r="G21" i="30"/>
  <c r="G20" i="30"/>
  <c r="G18" i="30"/>
  <c r="G17" i="30"/>
  <c r="G16" i="30"/>
  <c r="G15" i="30"/>
  <c r="G14" i="30"/>
  <c r="G13" i="30"/>
  <c r="G12" i="30"/>
  <c r="G9" i="30"/>
  <c r="G7" i="30"/>
  <c r="B10" i="29"/>
  <c r="C12" i="29" s="1"/>
  <c r="L10" i="28"/>
  <c r="M10" i="28" s="1"/>
  <c r="B10" i="28"/>
  <c r="C12" i="28" s="1"/>
  <c r="H114" i="27"/>
  <c r="I114" i="27" s="1"/>
  <c r="G114" i="27"/>
  <c r="F114" i="27"/>
  <c r="H113" i="27"/>
  <c r="G113" i="27"/>
  <c r="F113" i="27"/>
  <c r="I112" i="27"/>
  <c r="F101" i="27"/>
  <c r="F100" i="27"/>
  <c r="F94" i="27"/>
  <c r="F93" i="27"/>
  <c r="E66" i="27"/>
  <c r="G66" i="27" s="1"/>
  <c r="G65" i="27"/>
  <c r="G64" i="27"/>
  <c r="G63" i="27"/>
  <c r="G61" i="27"/>
  <c r="G60" i="27"/>
  <c r="G59" i="27"/>
  <c r="G50" i="27"/>
  <c r="G49" i="27"/>
  <c r="G48" i="27"/>
  <c r="G47" i="27"/>
  <c r="G46" i="27"/>
  <c r="G45" i="27"/>
  <c r="G43" i="27"/>
  <c r="G42" i="27"/>
  <c r="G41" i="27"/>
  <c r="G39" i="27"/>
  <c r="G38" i="27"/>
  <c r="G37" i="27"/>
  <c r="G36" i="27"/>
  <c r="G35" i="27"/>
  <c r="I35" i="27" s="1"/>
  <c r="G34" i="27"/>
  <c r="I34" i="27" s="1"/>
  <c r="I32" i="27"/>
  <c r="G32" i="27"/>
  <c r="I31" i="27"/>
  <c r="J31" i="27" s="1"/>
  <c r="G31" i="27"/>
  <c r="G26" i="27"/>
  <c r="G25" i="27"/>
  <c r="G24" i="27"/>
  <c r="E24" i="27"/>
  <c r="G23" i="27"/>
  <c r="G22" i="27"/>
  <c r="G21" i="27"/>
  <c r="G20" i="27"/>
  <c r="G18" i="27"/>
  <c r="G17" i="27"/>
  <c r="G16" i="27"/>
  <c r="G15" i="27"/>
  <c r="G14" i="27"/>
  <c r="G13" i="27"/>
  <c r="G12" i="27"/>
  <c r="G9" i="27"/>
  <c r="I9" i="27" s="1"/>
  <c r="K9" i="27" s="1"/>
  <c r="G7" i="27"/>
  <c r="F99" i="26"/>
  <c r="F98" i="26"/>
  <c r="F92" i="26"/>
  <c r="F93" i="26" s="1"/>
  <c r="F91" i="26"/>
  <c r="F84" i="26"/>
  <c r="F83" i="26"/>
  <c r="F82" i="26"/>
  <c r="E66" i="26"/>
  <c r="G66" i="26" s="1"/>
  <c r="G65" i="26"/>
  <c r="G64" i="26"/>
  <c r="G63" i="26"/>
  <c r="G61" i="26"/>
  <c r="G60" i="26"/>
  <c r="G59" i="26"/>
  <c r="G50" i="26"/>
  <c r="G49" i="26"/>
  <c r="G48" i="26"/>
  <c r="G47" i="26"/>
  <c r="G46" i="26"/>
  <c r="G45" i="26"/>
  <c r="G43" i="26"/>
  <c r="G42" i="26"/>
  <c r="G41" i="26"/>
  <c r="G39" i="26"/>
  <c r="G38" i="26"/>
  <c r="G37" i="26"/>
  <c r="G36" i="26"/>
  <c r="G35" i="26"/>
  <c r="I35" i="26" s="1"/>
  <c r="I34" i="26"/>
  <c r="K34" i="26" s="1"/>
  <c r="G34" i="26"/>
  <c r="G32" i="26"/>
  <c r="I32" i="26" s="1"/>
  <c r="J32" i="26" s="1"/>
  <c r="G31" i="26"/>
  <c r="I31" i="26" s="1"/>
  <c r="G26" i="26"/>
  <c r="G25" i="26"/>
  <c r="E24" i="26"/>
  <c r="G24" i="26" s="1"/>
  <c r="G23" i="26"/>
  <c r="G22" i="26"/>
  <c r="G21" i="26"/>
  <c r="G20" i="26"/>
  <c r="G18" i="26"/>
  <c r="G17" i="26"/>
  <c r="G16" i="26"/>
  <c r="G15" i="26"/>
  <c r="G14" i="26"/>
  <c r="G13" i="26"/>
  <c r="G12" i="26"/>
  <c r="I12" i="26" s="1"/>
  <c r="G9" i="26"/>
  <c r="G7" i="26"/>
  <c r="H114" i="25"/>
  <c r="H112" i="26" s="1"/>
  <c r="G114" i="25"/>
  <c r="G112" i="26" s="1"/>
  <c r="F114" i="25"/>
  <c r="H113" i="25"/>
  <c r="H111" i="26" s="1"/>
  <c r="G113" i="25"/>
  <c r="G111" i="26" s="1"/>
  <c r="F113" i="25"/>
  <c r="I112" i="25"/>
  <c r="F101" i="25"/>
  <c r="F100" i="25"/>
  <c r="F94" i="25"/>
  <c r="F93" i="25"/>
  <c r="F86" i="25"/>
  <c r="F85" i="25"/>
  <c r="F84" i="25"/>
  <c r="E66" i="25"/>
  <c r="G66" i="25" s="1"/>
  <c r="G65" i="25"/>
  <c r="G64" i="25"/>
  <c r="G63" i="25"/>
  <c r="G61" i="25"/>
  <c r="G60" i="25"/>
  <c r="G59" i="25"/>
  <c r="G50" i="25"/>
  <c r="G49" i="25"/>
  <c r="G48" i="25"/>
  <c r="G47" i="25"/>
  <c r="G46" i="25"/>
  <c r="G45" i="25"/>
  <c r="G43" i="25"/>
  <c r="G42" i="25"/>
  <c r="G41" i="25"/>
  <c r="G39" i="25"/>
  <c r="G38" i="25"/>
  <c r="G37" i="25"/>
  <c r="G36" i="25"/>
  <c r="G35" i="25"/>
  <c r="I35" i="25" s="1"/>
  <c r="G34" i="25"/>
  <c r="I34" i="25" s="1"/>
  <c r="G32" i="25"/>
  <c r="I32" i="25" s="1"/>
  <c r="G31" i="25"/>
  <c r="I31" i="25" s="1"/>
  <c r="J31" i="25" s="1"/>
  <c r="G26" i="25"/>
  <c r="G25" i="25"/>
  <c r="E24" i="25"/>
  <c r="G24" i="25" s="1"/>
  <c r="G23" i="25"/>
  <c r="G22" i="25"/>
  <c r="G21" i="25"/>
  <c r="G20" i="25"/>
  <c r="G18" i="25"/>
  <c r="G17" i="25"/>
  <c r="G16" i="25"/>
  <c r="G15" i="25"/>
  <c r="G14" i="25"/>
  <c r="G13" i="25"/>
  <c r="G12" i="25"/>
  <c r="G9" i="25"/>
  <c r="G7" i="25"/>
  <c r="K31" i="30" l="1"/>
  <c r="I35" i="32"/>
  <c r="J35" i="32" s="1"/>
  <c r="F9" i="38"/>
  <c r="F10" i="38"/>
  <c r="B11" i="33"/>
  <c r="C11" i="33" s="1"/>
  <c r="B11" i="29"/>
  <c r="B11" i="28"/>
  <c r="I9" i="30"/>
  <c r="K9" i="30" s="1"/>
  <c r="I31" i="32"/>
  <c r="J31" i="32" s="1"/>
  <c r="I32" i="32"/>
  <c r="J32" i="32" s="1"/>
  <c r="J34" i="26"/>
  <c r="K32" i="26"/>
  <c r="L32" i="26" s="1"/>
  <c r="K34" i="32"/>
  <c r="L34" i="32" s="1"/>
  <c r="I114" i="31"/>
  <c r="K31" i="27"/>
  <c r="I113" i="27"/>
  <c r="F7" i="38"/>
  <c r="F102" i="25"/>
  <c r="I114" i="25"/>
  <c r="F7" i="37"/>
  <c r="F95" i="25"/>
  <c r="I113" i="25"/>
  <c r="F112" i="26"/>
  <c r="I112" i="26" s="1"/>
  <c r="I35" i="31"/>
  <c r="J35" i="31" s="1"/>
  <c r="I113" i="31"/>
  <c r="F111" i="26"/>
  <c r="I111" i="26" s="1"/>
  <c r="H9" i="26"/>
  <c r="I12" i="25"/>
  <c r="H9" i="25"/>
  <c r="I9" i="25" s="1"/>
  <c r="J9" i="25" s="1"/>
  <c r="L31" i="30"/>
  <c r="I110" i="30"/>
  <c r="I110" i="32"/>
  <c r="K110" i="26"/>
  <c r="J9" i="27"/>
  <c r="L9" i="27" s="1"/>
  <c r="F10" i="37"/>
  <c r="F9" i="37"/>
  <c r="F6" i="37"/>
  <c r="K112" i="25"/>
  <c r="F100" i="32"/>
  <c r="F95" i="31"/>
  <c r="F102" i="31"/>
  <c r="K35" i="30"/>
  <c r="J35" i="30"/>
  <c r="L35" i="30" s="1"/>
  <c r="L32" i="30"/>
  <c r="K34" i="30"/>
  <c r="L34" i="30" s="1"/>
  <c r="F93" i="30"/>
  <c r="C11" i="29"/>
  <c r="C11" i="28"/>
  <c r="J35" i="27"/>
  <c r="L31" i="27"/>
  <c r="K32" i="27"/>
  <c r="J32" i="27"/>
  <c r="K35" i="27"/>
  <c r="L35" i="27" s="1"/>
  <c r="F95" i="27"/>
  <c r="K34" i="27"/>
  <c r="J34" i="27"/>
  <c r="F102" i="27"/>
  <c r="K35" i="26"/>
  <c r="J35" i="26"/>
  <c r="J31" i="26"/>
  <c r="K31" i="26"/>
  <c r="L31" i="26" s="1"/>
  <c r="J12" i="26"/>
  <c r="K12" i="26"/>
  <c r="H90" i="26"/>
  <c r="L34" i="26"/>
  <c r="F100" i="26"/>
  <c r="J35" i="25"/>
  <c r="J32" i="25"/>
  <c r="L32" i="25" s="1"/>
  <c r="K32" i="25"/>
  <c r="K35" i="25"/>
  <c r="K31" i="25"/>
  <c r="L31" i="25" s="1"/>
  <c r="K34" i="25"/>
  <c r="J34" i="25"/>
  <c r="K35" i="32" l="1"/>
  <c r="K31" i="32"/>
  <c r="L32" i="27"/>
  <c r="L35" i="25"/>
  <c r="J9" i="30"/>
  <c r="L9" i="30" s="1"/>
  <c r="L35" i="32"/>
  <c r="K32" i="32"/>
  <c r="L32" i="32" s="1"/>
  <c r="L35" i="26"/>
  <c r="L31" i="32"/>
  <c r="L34" i="27"/>
  <c r="L31" i="31"/>
  <c r="K35" i="31"/>
  <c r="L35" i="31" s="1"/>
  <c r="L34" i="25"/>
  <c r="L32" i="31"/>
  <c r="H92" i="25"/>
  <c r="G125" i="19"/>
  <c r="K9" i="25"/>
  <c r="L9" i="25" s="1"/>
  <c r="I9" i="26"/>
  <c r="L34" i="31"/>
  <c r="L12" i="26"/>
  <c r="K12" i="25"/>
  <c r="J12" i="25"/>
  <c r="J9" i="26" l="1"/>
  <c r="K9" i="26"/>
  <c r="L12" i="25"/>
  <c r="V12" i="25" s="1"/>
  <c r="W12" i="25" s="1"/>
  <c r="L9" i="26" l="1"/>
  <c r="G5" i="24" l="1"/>
  <c r="G3" i="24"/>
  <c r="K5" i="24"/>
  <c r="K4" i="24"/>
  <c r="C5" i="24"/>
  <c r="C3" i="24"/>
  <c r="A27" i="24"/>
  <c r="U29" i="24" s="1"/>
  <c r="A33" i="24"/>
  <c r="A21" i="24"/>
  <c r="A22" i="24" s="1"/>
  <c r="A15" i="24"/>
  <c r="A16" i="24" s="1"/>
  <c r="A9" i="24"/>
  <c r="T76" i="19"/>
  <c r="T38" i="19"/>
  <c r="T74" i="19"/>
  <c r="T31" i="24"/>
  <c r="T25" i="24"/>
  <c r="T19" i="24"/>
  <c r="T13" i="24"/>
  <c r="J113" i="25" l="1"/>
  <c r="J113" i="27"/>
  <c r="J113" i="1"/>
  <c r="U27" i="24"/>
  <c r="U17" i="24"/>
  <c r="K16" i="24"/>
  <c r="G15" i="24"/>
  <c r="C15" i="24"/>
  <c r="U15" i="24"/>
  <c r="K15" i="24"/>
  <c r="K17" i="24"/>
  <c r="G17" i="24"/>
  <c r="C17" i="24"/>
  <c r="U23" i="24"/>
  <c r="K21" i="24"/>
  <c r="G21" i="24"/>
  <c r="C21" i="24"/>
  <c r="K23" i="24"/>
  <c r="G23" i="24"/>
  <c r="C23" i="24"/>
  <c r="U21" i="24"/>
  <c r="U35" i="24"/>
  <c r="K33" i="24"/>
  <c r="G33" i="24"/>
  <c r="C33" i="24"/>
  <c r="K35" i="24"/>
  <c r="K34" i="24"/>
  <c r="G35" i="24"/>
  <c r="C35" i="24"/>
  <c r="U33" i="24"/>
  <c r="U11" i="24"/>
  <c r="K11" i="24"/>
  <c r="C9" i="24"/>
  <c r="K9" i="24"/>
  <c r="G9" i="24"/>
  <c r="G11" i="24"/>
  <c r="C11" i="24"/>
  <c r="U9" i="24"/>
  <c r="K10" i="24"/>
  <c r="H13" i="21"/>
  <c r="G91" i="21" s="1"/>
  <c r="H13" i="26"/>
  <c r="H13" i="30"/>
  <c r="G91" i="30" s="1"/>
  <c r="H13" i="25"/>
  <c r="H13" i="1"/>
  <c r="H13" i="27"/>
  <c r="C29" i="24"/>
  <c r="G29" i="24"/>
  <c r="K29" i="24"/>
  <c r="H14" i="26"/>
  <c r="H14" i="30"/>
  <c r="G92" i="30" s="1"/>
  <c r="H14" i="21"/>
  <c r="G92" i="21" s="1"/>
  <c r="H14" i="25"/>
  <c r="H14" i="27"/>
  <c r="H14" i="1"/>
  <c r="H15" i="26"/>
  <c r="H15" i="30"/>
  <c r="H15" i="1"/>
  <c r="H15" i="21"/>
  <c r="H15" i="27"/>
  <c r="J111" i="21"/>
  <c r="H15" i="25"/>
  <c r="J111" i="26"/>
  <c r="K111" i="26" s="1"/>
  <c r="J111" i="30"/>
  <c r="C27" i="24"/>
  <c r="G27" i="24"/>
  <c r="K28" i="24"/>
  <c r="J114" i="25"/>
  <c r="J112" i="26"/>
  <c r="K112" i="26" s="1"/>
  <c r="J112" i="30"/>
  <c r="J114" i="27"/>
  <c r="J112" i="21"/>
  <c r="J114" i="1"/>
  <c r="U19" i="19"/>
  <c r="T19" i="19"/>
  <c r="S19" i="19"/>
  <c r="U18" i="19"/>
  <c r="T18" i="19"/>
  <c r="S18" i="19"/>
  <c r="U17" i="19"/>
  <c r="T17" i="19"/>
  <c r="S17" i="19"/>
  <c r="U16" i="19"/>
  <c r="U20" i="19" s="1"/>
  <c r="T16" i="19"/>
  <c r="T20" i="19" s="1"/>
  <c r="S16" i="19"/>
  <c r="S20" i="19" s="1"/>
  <c r="N4" i="24"/>
  <c r="I34" i="24"/>
  <c r="G92" i="26" l="1"/>
  <c r="H92" i="26" s="1"/>
  <c r="I14" i="26"/>
  <c r="G94" i="25"/>
  <c r="H94" i="25" s="1"/>
  <c r="I14" i="25"/>
  <c r="L125" i="19"/>
  <c r="K114" i="25"/>
  <c r="I13" i="25"/>
  <c r="G93" i="25"/>
  <c r="C8" i="37"/>
  <c r="F8" i="37" s="1"/>
  <c r="J125" i="19"/>
  <c r="K113" i="25"/>
  <c r="K113" i="26"/>
  <c r="H5" i="28" s="1"/>
  <c r="G91" i="26"/>
  <c r="I13" i="26"/>
  <c r="H93" i="25" l="1"/>
  <c r="H95" i="25" s="1"/>
  <c r="G95" i="25"/>
  <c r="J13" i="25"/>
  <c r="K13" i="25"/>
  <c r="K115" i="25"/>
  <c r="H4" i="28" s="1"/>
  <c r="J14" i="26"/>
  <c r="K14" i="26"/>
  <c r="K14" i="25"/>
  <c r="J14" i="25"/>
  <c r="K13" i="26"/>
  <c r="J13" i="26"/>
  <c r="H91" i="26"/>
  <c r="H93" i="26" s="1"/>
  <c r="K115" i="26" s="1"/>
  <c r="K119" i="25" s="1"/>
  <c r="G93" i="26"/>
  <c r="L10" i="20"/>
  <c r="M10" i="20" s="1"/>
  <c r="H6" i="28" l="1"/>
  <c r="L13" i="26"/>
  <c r="L14" i="25"/>
  <c r="V14" i="25" s="1"/>
  <c r="W14" i="25" s="1"/>
  <c r="L13" i="25"/>
  <c r="V13" i="25" s="1"/>
  <c r="W13" i="25" s="1"/>
  <c r="L14" i="26"/>
  <c r="K117" i="25"/>
  <c r="K121" i="25" s="1"/>
  <c r="S7" i="19"/>
  <c r="U7" i="19"/>
  <c r="T7" i="19"/>
  <c r="M105" i="19" l="1"/>
  <c r="U14" i="19" s="1"/>
  <c r="U24" i="19" s="1"/>
  <c r="M99" i="19"/>
  <c r="T14" i="19" s="1"/>
  <c r="T24" i="19" s="1"/>
  <c r="M93" i="19"/>
  <c r="S14" i="19" s="1"/>
  <c r="S24" i="19" s="1"/>
  <c r="F93" i="19"/>
  <c r="D146" i="19" l="1"/>
  <c r="G129" i="19"/>
  <c r="S6" i="19"/>
  <c r="E90" i="19"/>
  <c r="S93" i="19"/>
  <c r="E89" i="19"/>
  <c r="E88" i="19"/>
  <c r="E91" i="19"/>
  <c r="E92" i="19"/>
  <c r="S13" i="19"/>
  <c r="S23" i="19" s="1"/>
  <c r="S11" i="19"/>
  <c r="G38" i="21"/>
  <c r="E121" i="19" l="1"/>
  <c r="E115" i="19"/>
  <c r="E122" i="19"/>
  <c r="E116" i="19"/>
  <c r="E114" i="19"/>
  <c r="E120" i="19"/>
  <c r="D149" i="19"/>
  <c r="D148" i="19"/>
  <c r="E95" i="19"/>
  <c r="E101" i="19"/>
  <c r="E104" i="19"/>
  <c r="E98" i="19"/>
  <c r="E97" i="19"/>
  <c r="E103" i="19"/>
  <c r="E102" i="19"/>
  <c r="E96" i="19"/>
  <c r="E100" i="19"/>
  <c r="E94" i="19"/>
  <c r="T6" i="19"/>
  <c r="U6" i="19" s="1"/>
  <c r="H23" i="30"/>
  <c r="H23" i="21"/>
  <c r="R93" i="19"/>
  <c r="S12" i="19"/>
  <c r="S22" i="19" s="1"/>
  <c r="H97" i="26"/>
  <c r="H99" i="25"/>
  <c r="H23" i="27"/>
  <c r="H42" i="27" s="1"/>
  <c r="S21" i="19"/>
  <c r="J70" i="19"/>
  <c r="H37" i="1" l="1"/>
  <c r="H61" i="1"/>
  <c r="H37" i="27"/>
  <c r="H37" i="25"/>
  <c r="H61" i="27"/>
  <c r="H61" i="25"/>
  <c r="H37" i="30"/>
  <c r="H37" i="21"/>
  <c r="H37" i="26"/>
  <c r="H61" i="26"/>
  <c r="H61" i="21"/>
  <c r="H61" i="30"/>
  <c r="H43" i="27"/>
  <c r="E9" i="35" s="1"/>
  <c r="E10" i="35" s="1"/>
  <c r="H66" i="27"/>
  <c r="E8" i="35"/>
  <c r="E99" i="19"/>
  <c r="E105" i="19"/>
  <c r="S15" i="19"/>
  <c r="R101" i="19"/>
  <c r="R94" i="19"/>
  <c r="R95" i="19"/>
  <c r="S25" i="19"/>
  <c r="S27" i="19" s="1"/>
  <c r="H18" i="26"/>
  <c r="I18" i="26" s="1"/>
  <c r="H17" i="26"/>
  <c r="I17" i="26" s="1"/>
  <c r="H16" i="26"/>
  <c r="I16" i="26" s="1"/>
  <c r="I15" i="26"/>
  <c r="H17" i="25"/>
  <c r="I17" i="25" s="1"/>
  <c r="H18" i="25"/>
  <c r="I18" i="25" s="1"/>
  <c r="I15" i="25"/>
  <c r="H16" i="25"/>
  <c r="I16" i="25" s="1"/>
  <c r="H26" i="30"/>
  <c r="H24" i="30"/>
  <c r="H25" i="30"/>
  <c r="I26" i="25"/>
  <c r="I24" i="25"/>
  <c r="I23" i="25"/>
  <c r="I25" i="25"/>
  <c r="H24" i="27"/>
  <c r="I24" i="27" s="1"/>
  <c r="H26" i="27"/>
  <c r="I26" i="27" s="1"/>
  <c r="I23" i="27"/>
  <c r="H25" i="27"/>
  <c r="I25" i="27" s="1"/>
  <c r="J76" i="19"/>
  <c r="J82" i="19" s="1"/>
  <c r="T70" i="19"/>
  <c r="V70" i="19" s="1"/>
  <c r="N6" i="24"/>
  <c r="H60" i="30" l="1"/>
  <c r="H59" i="30"/>
  <c r="H36" i="21"/>
  <c r="H39" i="21" s="1"/>
  <c r="H38" i="21"/>
  <c r="H59" i="26"/>
  <c r="I59" i="26" s="1"/>
  <c r="H60" i="26"/>
  <c r="I60" i="26" s="1"/>
  <c r="I61" i="26"/>
  <c r="H60" i="25"/>
  <c r="I60" i="25" s="1"/>
  <c r="H59" i="25"/>
  <c r="I59" i="25" s="1"/>
  <c r="I61" i="25"/>
  <c r="H38" i="27"/>
  <c r="E13" i="35"/>
  <c r="H36" i="27"/>
  <c r="H59" i="21"/>
  <c r="H60" i="21"/>
  <c r="H36" i="30"/>
  <c r="H39" i="30" s="1"/>
  <c r="H38" i="30"/>
  <c r="H59" i="27"/>
  <c r="I59" i="27" s="1"/>
  <c r="H60" i="27"/>
  <c r="I60" i="27" s="1"/>
  <c r="I61" i="27"/>
  <c r="H59" i="1"/>
  <c r="H60" i="1"/>
  <c r="H38" i="26"/>
  <c r="H36" i="26"/>
  <c r="I37" i="26"/>
  <c r="H38" i="25"/>
  <c r="H36" i="25"/>
  <c r="I37" i="25"/>
  <c r="E13" i="34"/>
  <c r="C12" i="37"/>
  <c r="F12" i="37" s="1"/>
  <c r="H36" i="1"/>
  <c r="E12" i="5" s="1"/>
  <c r="H38" i="1"/>
  <c r="E13" i="5"/>
  <c r="J15" i="26"/>
  <c r="K15" i="26"/>
  <c r="K15" i="25"/>
  <c r="J15" i="25"/>
  <c r="K16" i="26"/>
  <c r="J16" i="26"/>
  <c r="J18" i="25"/>
  <c r="K18" i="25"/>
  <c r="J17" i="26"/>
  <c r="K17" i="26"/>
  <c r="K16" i="25"/>
  <c r="J16" i="25"/>
  <c r="K17" i="25"/>
  <c r="J17" i="25"/>
  <c r="K18" i="26"/>
  <c r="J18" i="26"/>
  <c r="K26" i="27"/>
  <c r="J26" i="27"/>
  <c r="K24" i="27"/>
  <c r="J24" i="27"/>
  <c r="K26" i="25"/>
  <c r="J26" i="25"/>
  <c r="J25" i="25"/>
  <c r="K25" i="25"/>
  <c r="K24" i="25"/>
  <c r="J24" i="25"/>
  <c r="J25" i="27"/>
  <c r="K25" i="27"/>
  <c r="K23" i="27"/>
  <c r="J23" i="27"/>
  <c r="J23" i="25"/>
  <c r="K23" i="25"/>
  <c r="L74" i="19"/>
  <c r="L80" i="19" s="1"/>
  <c r="L86" i="19" s="1"/>
  <c r="J74" i="19"/>
  <c r="J80" i="19" s="1"/>
  <c r="J86" i="19" s="1"/>
  <c r="G74" i="19"/>
  <c r="G80" i="19" s="1"/>
  <c r="L73" i="19"/>
  <c r="L79" i="19" s="1"/>
  <c r="L85" i="19" s="1"/>
  <c r="J73" i="19"/>
  <c r="J79" i="19" s="1"/>
  <c r="J85" i="19" s="1"/>
  <c r="G73" i="19"/>
  <c r="G79" i="19" s="1"/>
  <c r="L72" i="19"/>
  <c r="L78" i="19" s="1"/>
  <c r="L84" i="19" s="1"/>
  <c r="J72" i="19"/>
  <c r="J78" i="19" s="1"/>
  <c r="J84" i="19" s="1"/>
  <c r="G72" i="19"/>
  <c r="G78" i="19" s="1"/>
  <c r="G84" i="19" s="1"/>
  <c r="H84" i="19" s="1"/>
  <c r="L71" i="19"/>
  <c r="L77" i="19" s="1"/>
  <c r="L83" i="19" s="1"/>
  <c r="J71" i="19"/>
  <c r="J77" i="19" s="1"/>
  <c r="J83" i="19" s="1"/>
  <c r="G71" i="19"/>
  <c r="H71" i="19" s="1"/>
  <c r="L70" i="19"/>
  <c r="L76" i="19" s="1"/>
  <c r="L82" i="19" s="1"/>
  <c r="G70" i="19"/>
  <c r="G76" i="19" s="1"/>
  <c r="G82" i="19" s="1"/>
  <c r="K59" i="25" l="1"/>
  <c r="J59" i="25"/>
  <c r="J60" i="25"/>
  <c r="K60" i="25"/>
  <c r="K61" i="26"/>
  <c r="J61" i="26"/>
  <c r="K61" i="25"/>
  <c r="J61" i="25"/>
  <c r="J60" i="26"/>
  <c r="K60" i="26"/>
  <c r="K61" i="27"/>
  <c r="J61" i="27"/>
  <c r="E13" i="36"/>
  <c r="F13" i="34"/>
  <c r="J59" i="26"/>
  <c r="L59" i="26" s="1"/>
  <c r="K59" i="26"/>
  <c r="K37" i="25"/>
  <c r="J37" i="25"/>
  <c r="K60" i="27"/>
  <c r="J60" i="27"/>
  <c r="H39" i="25"/>
  <c r="I39" i="25" s="1"/>
  <c r="I36" i="25"/>
  <c r="C11" i="37"/>
  <c r="F11" i="37" s="1"/>
  <c r="E12" i="34"/>
  <c r="H39" i="26"/>
  <c r="I36" i="26"/>
  <c r="J59" i="27"/>
  <c r="K59" i="27"/>
  <c r="J37" i="26"/>
  <c r="K37" i="26"/>
  <c r="E12" i="35"/>
  <c r="I38" i="25"/>
  <c r="C13" i="37"/>
  <c r="L26" i="25"/>
  <c r="L16" i="25"/>
  <c r="L15" i="25"/>
  <c r="L17" i="25"/>
  <c r="L16" i="26"/>
  <c r="L23" i="27"/>
  <c r="L26" i="27"/>
  <c r="L25" i="27"/>
  <c r="L18" i="25"/>
  <c r="L17" i="26"/>
  <c r="L24" i="27"/>
  <c r="L18" i="26"/>
  <c r="L15" i="26"/>
  <c r="L25" i="25"/>
  <c r="L23" i="25"/>
  <c r="L24" i="25"/>
  <c r="H78" i="19"/>
  <c r="G77" i="19"/>
  <c r="G83" i="19" s="1"/>
  <c r="H83" i="19" s="1"/>
  <c r="G86" i="19"/>
  <c r="H86" i="19" s="1"/>
  <c r="H80" i="19"/>
  <c r="G85" i="19"/>
  <c r="H85" i="19" s="1"/>
  <c r="H79" i="19"/>
  <c r="L61" i="25" l="1"/>
  <c r="L60" i="25"/>
  <c r="L61" i="27"/>
  <c r="L59" i="25"/>
  <c r="L37" i="25"/>
  <c r="L37" i="26"/>
  <c r="L59" i="27"/>
  <c r="L61" i="26"/>
  <c r="L60" i="26"/>
  <c r="H13" i="34"/>
  <c r="G13" i="34"/>
  <c r="I13" i="34" s="1"/>
  <c r="J36" i="25"/>
  <c r="K36" i="25"/>
  <c r="E12" i="36"/>
  <c r="F12" i="34"/>
  <c r="K36" i="26"/>
  <c r="J36" i="26"/>
  <c r="L60" i="27"/>
  <c r="J38" i="25"/>
  <c r="K38" i="25"/>
  <c r="K39" i="25"/>
  <c r="J39" i="25"/>
  <c r="H114" i="1"/>
  <c r="G114" i="1"/>
  <c r="F114" i="1"/>
  <c r="H113" i="1"/>
  <c r="G113" i="1"/>
  <c r="F113" i="1"/>
  <c r="D6" i="4"/>
  <c r="C9" i="4"/>
  <c r="C9" i="39" s="1"/>
  <c r="F9" i="39" s="1"/>
  <c r="C7" i="4"/>
  <c r="C7" i="39" s="1"/>
  <c r="F7" i="39" s="1"/>
  <c r="C6" i="4"/>
  <c r="C6" i="39" s="1"/>
  <c r="F6" i="39" s="1"/>
  <c r="L36" i="25" l="1"/>
  <c r="L36" i="26"/>
  <c r="G12" i="34"/>
  <c r="H12" i="34"/>
  <c r="I12" i="34" s="1"/>
  <c r="L39" i="25"/>
  <c r="L38" i="25"/>
  <c r="H111" i="21"/>
  <c r="H111" i="30"/>
  <c r="H111" i="32"/>
  <c r="F112" i="21"/>
  <c r="F112" i="32"/>
  <c r="F112" i="30"/>
  <c r="F111" i="21"/>
  <c r="F111" i="32"/>
  <c r="F111" i="30"/>
  <c r="G112" i="21"/>
  <c r="G112" i="30"/>
  <c r="G112" i="32"/>
  <c r="G111" i="21"/>
  <c r="G111" i="30"/>
  <c r="G111" i="32"/>
  <c r="H112" i="21"/>
  <c r="H112" i="30"/>
  <c r="H112" i="32"/>
  <c r="F94" i="1"/>
  <c r="I112" i="30" l="1"/>
  <c r="I111" i="30"/>
  <c r="I111" i="32"/>
  <c r="I112" i="32"/>
  <c r="B10" i="20"/>
  <c r="B11" i="20" l="1"/>
  <c r="C12" i="20"/>
  <c r="I60" i="30" l="1"/>
  <c r="I37" i="30"/>
  <c r="I61" i="30"/>
  <c r="I59" i="30"/>
  <c r="I36" i="30"/>
  <c r="H60" i="32"/>
  <c r="I60" i="32" s="1"/>
  <c r="H37" i="32"/>
  <c r="I37" i="32" s="1"/>
  <c r="H36" i="32"/>
  <c r="I36" i="32" s="1"/>
  <c r="C11" i="20"/>
  <c r="I111" i="21"/>
  <c r="I110" i="21"/>
  <c r="F92" i="21"/>
  <c r="E66" i="21"/>
  <c r="G66" i="21" s="1"/>
  <c r="G65" i="21"/>
  <c r="G64" i="21"/>
  <c r="G63" i="21"/>
  <c r="G61" i="21"/>
  <c r="G60" i="21"/>
  <c r="G59" i="21"/>
  <c r="G50" i="21"/>
  <c r="G49" i="21"/>
  <c r="G48" i="21"/>
  <c r="G47" i="21"/>
  <c r="G46" i="21"/>
  <c r="G45" i="21"/>
  <c r="G43" i="21"/>
  <c r="G42" i="21"/>
  <c r="G41" i="21"/>
  <c r="G39" i="21"/>
  <c r="G37" i="21"/>
  <c r="G36" i="21"/>
  <c r="G35" i="21"/>
  <c r="I35" i="21" s="1"/>
  <c r="G34" i="21"/>
  <c r="I34" i="21" s="1"/>
  <c r="G32" i="21"/>
  <c r="I32" i="21" s="1"/>
  <c r="G31" i="21"/>
  <c r="I31" i="21" s="1"/>
  <c r="G26" i="21"/>
  <c r="G25" i="21"/>
  <c r="E24" i="21"/>
  <c r="G24" i="21" s="1"/>
  <c r="G23" i="21"/>
  <c r="G22" i="21"/>
  <c r="G21" i="21"/>
  <c r="G20" i="21"/>
  <c r="G18" i="21"/>
  <c r="G17" i="21"/>
  <c r="G16" i="21"/>
  <c r="G15" i="21"/>
  <c r="G14" i="21"/>
  <c r="G13" i="21"/>
  <c r="G12" i="21"/>
  <c r="G9" i="21"/>
  <c r="G7" i="21"/>
  <c r="J60" i="32" l="1"/>
  <c r="K60" i="32"/>
  <c r="J59" i="30"/>
  <c r="K59" i="30"/>
  <c r="K61" i="30"/>
  <c r="J61" i="30"/>
  <c r="H61" i="32"/>
  <c r="I61" i="32" s="1"/>
  <c r="H59" i="32"/>
  <c r="I59" i="32" s="1"/>
  <c r="J37" i="30"/>
  <c r="K37" i="30"/>
  <c r="L37" i="30" s="1"/>
  <c r="J36" i="32"/>
  <c r="K36" i="32"/>
  <c r="H9" i="32"/>
  <c r="I9" i="32" s="1"/>
  <c r="H59" i="31"/>
  <c r="I59" i="31" s="1"/>
  <c r="K37" i="32"/>
  <c r="J37" i="32"/>
  <c r="K36" i="30"/>
  <c r="J36" i="30"/>
  <c r="J60" i="30"/>
  <c r="K60" i="30"/>
  <c r="H61" i="31"/>
  <c r="I61" i="31" s="1"/>
  <c r="H60" i="31"/>
  <c r="I60" i="31" s="1"/>
  <c r="H9" i="1"/>
  <c r="I112" i="21"/>
  <c r="J31" i="21"/>
  <c r="K31" i="21"/>
  <c r="K32" i="21"/>
  <c r="J32" i="21"/>
  <c r="L32" i="21" s="1"/>
  <c r="J34" i="21"/>
  <c r="K34" i="21"/>
  <c r="K35" i="21"/>
  <c r="J35" i="21"/>
  <c r="M87" i="19"/>
  <c r="L14" i="19" s="1"/>
  <c r="K87" i="19"/>
  <c r="I87" i="19"/>
  <c r="E87" i="19"/>
  <c r="L17" i="19" s="1"/>
  <c r="F86" i="19"/>
  <c r="F85" i="19"/>
  <c r="F84" i="19"/>
  <c r="F83" i="19"/>
  <c r="M81" i="19"/>
  <c r="K14" i="19" s="1"/>
  <c r="K81" i="19"/>
  <c r="I81" i="19"/>
  <c r="E81" i="19"/>
  <c r="K7" i="19" s="1"/>
  <c r="F80" i="19"/>
  <c r="F79" i="19"/>
  <c r="F78" i="19"/>
  <c r="F77" i="19"/>
  <c r="H77" i="19" s="1"/>
  <c r="F76" i="19"/>
  <c r="M75" i="19"/>
  <c r="J14" i="19" s="1"/>
  <c r="K75" i="19"/>
  <c r="I75" i="19"/>
  <c r="F75" i="19"/>
  <c r="E75" i="19"/>
  <c r="J19" i="19" s="1"/>
  <c r="H74" i="19"/>
  <c r="H72" i="19"/>
  <c r="H70" i="19"/>
  <c r="J7" i="19"/>
  <c r="G14" i="1"/>
  <c r="G13" i="1"/>
  <c r="G12" i="1"/>
  <c r="J6" i="19" l="1"/>
  <c r="T75" i="19"/>
  <c r="S75" i="19" s="1"/>
  <c r="L61" i="30"/>
  <c r="L36" i="30"/>
  <c r="L36" i="32"/>
  <c r="L37" i="32"/>
  <c r="K59" i="31"/>
  <c r="J59" i="31"/>
  <c r="K61" i="31"/>
  <c r="J61" i="31"/>
  <c r="J9" i="32"/>
  <c r="K9" i="32"/>
  <c r="K61" i="32"/>
  <c r="J61" i="32"/>
  <c r="H37" i="31"/>
  <c r="I37" i="31" s="1"/>
  <c r="F13" i="35"/>
  <c r="C12" i="38"/>
  <c r="F12" i="38" s="1"/>
  <c r="I37" i="27"/>
  <c r="J60" i="31"/>
  <c r="K60" i="31"/>
  <c r="K59" i="32"/>
  <c r="J59" i="32"/>
  <c r="L59" i="30"/>
  <c r="H9" i="31"/>
  <c r="I9" i="31" s="1"/>
  <c r="H36" i="31"/>
  <c r="I36" i="31" s="1"/>
  <c r="L60" i="30"/>
  <c r="I36" i="27"/>
  <c r="F12" i="35"/>
  <c r="C11" i="38"/>
  <c r="F11" i="38" s="1"/>
  <c r="L60" i="32"/>
  <c r="L34" i="21"/>
  <c r="K19" i="19"/>
  <c r="K24" i="19" s="1"/>
  <c r="L35" i="21"/>
  <c r="L16" i="19"/>
  <c r="J17" i="19"/>
  <c r="J18" i="19"/>
  <c r="L20" i="19"/>
  <c r="J24" i="19"/>
  <c r="K18" i="19"/>
  <c r="L19" i="19"/>
  <c r="L24" i="19" s="1"/>
  <c r="J16" i="19"/>
  <c r="K17" i="19"/>
  <c r="L18" i="19"/>
  <c r="L31" i="21"/>
  <c r="L7" i="19"/>
  <c r="F81" i="19"/>
  <c r="K6" i="19" s="1"/>
  <c r="K16" i="19"/>
  <c r="L75" i="19"/>
  <c r="J13" i="19" s="1"/>
  <c r="H75" i="19"/>
  <c r="G75" i="19"/>
  <c r="J11" i="19" s="1"/>
  <c r="F82" i="19"/>
  <c r="G100" i="25" l="1"/>
  <c r="G100" i="27"/>
  <c r="H100" i="27" s="1"/>
  <c r="G98" i="30"/>
  <c r="H98" i="30" s="1"/>
  <c r="G100" i="31"/>
  <c r="H100" i="31" s="1"/>
  <c r="G98" i="26"/>
  <c r="G98" i="32"/>
  <c r="H98" i="32" s="1"/>
  <c r="G99" i="30"/>
  <c r="H99" i="30" s="1"/>
  <c r="G99" i="26"/>
  <c r="H99" i="26" s="1"/>
  <c r="G101" i="31"/>
  <c r="H101" i="31" s="1"/>
  <c r="G101" i="27"/>
  <c r="H101" i="27" s="1"/>
  <c r="G99" i="32"/>
  <c r="H99" i="32" s="1"/>
  <c r="G101" i="25"/>
  <c r="H101" i="25" s="1"/>
  <c r="L61" i="31"/>
  <c r="L59" i="31"/>
  <c r="F12" i="36"/>
  <c r="H12" i="36" s="1"/>
  <c r="L59" i="32"/>
  <c r="L61" i="32"/>
  <c r="G13" i="35"/>
  <c r="H13" i="35"/>
  <c r="K37" i="31"/>
  <c r="J37" i="31"/>
  <c r="J36" i="27"/>
  <c r="K36" i="27"/>
  <c r="F13" i="36"/>
  <c r="L9" i="32"/>
  <c r="J36" i="31"/>
  <c r="K36" i="31"/>
  <c r="H12" i="35"/>
  <c r="G12" i="35"/>
  <c r="L60" i="31"/>
  <c r="J9" i="31"/>
  <c r="K9" i="31"/>
  <c r="K37" i="27"/>
  <c r="J37" i="27"/>
  <c r="J20" i="19"/>
  <c r="J23" i="19"/>
  <c r="G98" i="21"/>
  <c r="G100" i="1"/>
  <c r="G99" i="21"/>
  <c r="G101" i="1"/>
  <c r="J21" i="19"/>
  <c r="K20" i="19"/>
  <c r="F87" i="19"/>
  <c r="L6" i="19" s="1"/>
  <c r="H76" i="19"/>
  <c r="G81" i="19"/>
  <c r="D9" i="4"/>
  <c r="C41" i="5"/>
  <c r="D5" i="5"/>
  <c r="H98" i="26" l="1"/>
  <c r="H100" i="26" s="1"/>
  <c r="H102" i="26" s="1"/>
  <c r="G100" i="26"/>
  <c r="H100" i="25"/>
  <c r="H102" i="25" s="1"/>
  <c r="H104" i="25" s="1"/>
  <c r="G102" i="25"/>
  <c r="L37" i="27"/>
  <c r="L37" i="31"/>
  <c r="G12" i="36"/>
  <c r="I12" i="36" s="1"/>
  <c r="L9" i="31"/>
  <c r="L36" i="31"/>
  <c r="I12" i="35"/>
  <c r="H13" i="36"/>
  <c r="G13" i="36"/>
  <c r="L36" i="27"/>
  <c r="I13" i="35"/>
  <c r="K11" i="19"/>
  <c r="H81" i="19"/>
  <c r="L81" i="19"/>
  <c r="H82" i="19"/>
  <c r="G87" i="19"/>
  <c r="L11" i="19" s="1"/>
  <c r="F9" i="4"/>
  <c r="G18" i="1"/>
  <c r="G17" i="1"/>
  <c r="G16" i="1"/>
  <c r="G15" i="1"/>
  <c r="G26" i="1"/>
  <c r="G25" i="1"/>
  <c r="G23" i="1"/>
  <c r="G21" i="1"/>
  <c r="G22" i="1"/>
  <c r="G20" i="1"/>
  <c r="G4" i="28" l="1"/>
  <c r="L70" i="25"/>
  <c r="G5" i="28"/>
  <c r="L70" i="26"/>
  <c r="K112" i="30"/>
  <c r="K111" i="30"/>
  <c r="K110" i="30"/>
  <c r="I128" i="19"/>
  <c r="D134" i="19"/>
  <c r="G97" i="32"/>
  <c r="K114" i="27"/>
  <c r="K113" i="27"/>
  <c r="H23" i="1"/>
  <c r="H23" i="31" s="1"/>
  <c r="I23" i="31" s="1"/>
  <c r="K112" i="27"/>
  <c r="D133" i="19"/>
  <c r="I127" i="19"/>
  <c r="I13" i="36"/>
  <c r="K13" i="19"/>
  <c r="K21" i="19"/>
  <c r="I61" i="21"/>
  <c r="I9" i="21"/>
  <c r="I59" i="21"/>
  <c r="I60" i="21"/>
  <c r="L21" i="19"/>
  <c r="H87" i="19"/>
  <c r="L87" i="19"/>
  <c r="L13" i="19" s="1"/>
  <c r="L23" i="19" s="1"/>
  <c r="D7" i="4"/>
  <c r="D10" i="4"/>
  <c r="D11" i="4"/>
  <c r="D12" i="4"/>
  <c r="D13" i="4"/>
  <c r="D14" i="4"/>
  <c r="D16" i="4"/>
  <c r="D17" i="4"/>
  <c r="D18" i="4"/>
  <c r="D21" i="4"/>
  <c r="D22" i="4"/>
  <c r="D23" i="4"/>
  <c r="D20" i="4"/>
  <c r="D24" i="4"/>
  <c r="D25" i="4"/>
  <c r="G6" i="28" l="1"/>
  <c r="J23" i="31"/>
  <c r="K23" i="31"/>
  <c r="H42" i="1"/>
  <c r="K115" i="27"/>
  <c r="H4" i="29" s="1"/>
  <c r="C8" i="38"/>
  <c r="F8" i="38" s="1"/>
  <c r="I13" i="27"/>
  <c r="G93" i="27"/>
  <c r="H93" i="27" s="1"/>
  <c r="G100" i="21"/>
  <c r="I12" i="27"/>
  <c r="I13" i="30"/>
  <c r="H91" i="30"/>
  <c r="H24" i="21"/>
  <c r="H24" i="32" s="1"/>
  <c r="H26" i="21"/>
  <c r="H26" i="32" s="1"/>
  <c r="H25" i="21"/>
  <c r="H25" i="32" s="1"/>
  <c r="H23" i="32"/>
  <c r="H99" i="27"/>
  <c r="H102" i="27" s="1"/>
  <c r="G102" i="27"/>
  <c r="H97" i="30"/>
  <c r="H100" i="30" s="1"/>
  <c r="G100" i="30"/>
  <c r="G99" i="31"/>
  <c r="G94" i="27"/>
  <c r="H94" i="27" s="1"/>
  <c r="I14" i="27"/>
  <c r="K113" i="30"/>
  <c r="H5" i="29" s="1"/>
  <c r="I12" i="30"/>
  <c r="H92" i="30"/>
  <c r="I14" i="30"/>
  <c r="K23" i="19"/>
  <c r="L78" i="12" s="1"/>
  <c r="I37" i="21"/>
  <c r="J37" i="21" s="1"/>
  <c r="C12" i="4"/>
  <c r="C12" i="39" s="1"/>
  <c r="F12" i="39" s="1"/>
  <c r="I36" i="21"/>
  <c r="J36" i="21" s="1"/>
  <c r="C11" i="4"/>
  <c r="C11" i="39" s="1"/>
  <c r="F11" i="39" s="1"/>
  <c r="K61" i="21"/>
  <c r="J61" i="21"/>
  <c r="G78" i="12"/>
  <c r="K59" i="21"/>
  <c r="J59" i="21"/>
  <c r="J60" i="21"/>
  <c r="K60" i="21"/>
  <c r="J9" i="21"/>
  <c r="K9" i="21"/>
  <c r="F6" i="4"/>
  <c r="F7" i="4"/>
  <c r="G65" i="12"/>
  <c r="G55" i="12"/>
  <c r="M74" i="12"/>
  <c r="M72" i="12"/>
  <c r="M75" i="12" s="1"/>
  <c r="L59" i="12"/>
  <c r="G59" i="12" s="1"/>
  <c r="O65" i="12"/>
  <c r="G67" i="12"/>
  <c r="G72" i="12"/>
  <c r="G60" i="12"/>
  <c r="D15" i="19"/>
  <c r="J34" i="19"/>
  <c r="J40" i="19" s="1"/>
  <c r="M57" i="19"/>
  <c r="M63" i="19"/>
  <c r="M69" i="19"/>
  <c r="G34" i="19"/>
  <c r="F40" i="19"/>
  <c r="F46" i="19" s="1"/>
  <c r="F52" i="19" s="1"/>
  <c r="T56" i="19" s="1"/>
  <c r="K69" i="19"/>
  <c r="I69" i="19"/>
  <c r="E69" i="19"/>
  <c r="I7" i="19" s="1"/>
  <c r="F68" i="19"/>
  <c r="G68" i="19" s="1"/>
  <c r="H68" i="19" s="1"/>
  <c r="L68" i="19" s="1"/>
  <c r="F67" i="19"/>
  <c r="G67" i="19" s="1"/>
  <c r="F66" i="19"/>
  <c r="G66" i="19" s="1"/>
  <c r="H66" i="19" s="1"/>
  <c r="L66" i="19" s="1"/>
  <c r="F65" i="19"/>
  <c r="G65" i="19" s="1"/>
  <c r="H65" i="19" s="1"/>
  <c r="L65" i="19" s="1"/>
  <c r="K63" i="19"/>
  <c r="I63" i="19"/>
  <c r="E63" i="19"/>
  <c r="H7" i="19" s="1"/>
  <c r="F62" i="19"/>
  <c r="F61" i="19"/>
  <c r="G61" i="19" s="1"/>
  <c r="F60" i="19"/>
  <c r="G60" i="19" s="1"/>
  <c r="H60" i="19" s="1"/>
  <c r="L60" i="19" s="1"/>
  <c r="F59" i="19"/>
  <c r="G59" i="19" s="1"/>
  <c r="H59" i="19" s="1"/>
  <c r="L59" i="19" s="1"/>
  <c r="K57" i="19"/>
  <c r="I57" i="19"/>
  <c r="E57" i="19"/>
  <c r="G7" i="19" s="1"/>
  <c r="G56" i="19"/>
  <c r="H56" i="19" s="1"/>
  <c r="L56" i="19" s="1"/>
  <c r="G55" i="19"/>
  <c r="G54" i="19"/>
  <c r="H54" i="19" s="1"/>
  <c r="L54" i="19" s="1"/>
  <c r="G53" i="19"/>
  <c r="H53" i="19" s="1"/>
  <c r="L53" i="19" s="1"/>
  <c r="E24" i="1"/>
  <c r="G24" i="1" s="1"/>
  <c r="H6" i="29" l="1"/>
  <c r="H43" i="1"/>
  <c r="E9" i="5" s="1"/>
  <c r="E10" i="5" s="1"/>
  <c r="E8" i="5"/>
  <c r="H66" i="1"/>
  <c r="L23" i="31"/>
  <c r="J14" i="30"/>
  <c r="K14" i="30"/>
  <c r="H97" i="32"/>
  <c r="H100" i="32" s="1"/>
  <c r="G100" i="32"/>
  <c r="J14" i="27"/>
  <c r="K14" i="27"/>
  <c r="J12" i="27"/>
  <c r="K12" i="27"/>
  <c r="J12" i="30"/>
  <c r="K12" i="30"/>
  <c r="G102" i="31"/>
  <c r="H99" i="31"/>
  <c r="H102" i="31" s="1"/>
  <c r="J13" i="27"/>
  <c r="K13" i="27"/>
  <c r="J13" i="30"/>
  <c r="K13" i="30"/>
  <c r="H92" i="27"/>
  <c r="H95" i="27" s="1"/>
  <c r="G95" i="27"/>
  <c r="G93" i="30"/>
  <c r="H90" i="30"/>
  <c r="H93" i="30" s="1"/>
  <c r="H102" i="30" s="1"/>
  <c r="G5" i="29" s="1"/>
  <c r="K36" i="21"/>
  <c r="L36" i="21" s="1"/>
  <c r="K37" i="21"/>
  <c r="L37" i="21" s="1"/>
  <c r="L61" i="21"/>
  <c r="L59" i="21"/>
  <c r="L60" i="21"/>
  <c r="L9" i="21"/>
  <c r="G62" i="19"/>
  <c r="H62" i="19" s="1"/>
  <c r="L62" i="19" s="1"/>
  <c r="H19" i="19"/>
  <c r="I19" i="19"/>
  <c r="J46" i="19"/>
  <c r="J52" i="19" s="1"/>
  <c r="J45" i="19"/>
  <c r="J39" i="19"/>
  <c r="F57" i="19"/>
  <c r="G6" i="19" s="1"/>
  <c r="G52" i="19"/>
  <c r="G57" i="19" s="1"/>
  <c r="F58" i="19"/>
  <c r="H34" i="19"/>
  <c r="F50" i="19"/>
  <c r="G50" i="19" s="1"/>
  <c r="H50" i="19" s="1"/>
  <c r="L50" i="19" s="1"/>
  <c r="F49" i="19"/>
  <c r="G49" i="19" s="1"/>
  <c r="F48" i="19"/>
  <c r="G48" i="19" s="1"/>
  <c r="H48" i="19" s="1"/>
  <c r="L48" i="19" s="1"/>
  <c r="F47" i="19"/>
  <c r="G47" i="19" s="1"/>
  <c r="H47" i="19" s="1"/>
  <c r="L47" i="19" s="1"/>
  <c r="F44" i="19"/>
  <c r="G44" i="19" s="1"/>
  <c r="H44" i="19" s="1"/>
  <c r="L44" i="19" s="1"/>
  <c r="F43" i="19"/>
  <c r="G43" i="19" s="1"/>
  <c r="F42" i="19"/>
  <c r="F41" i="19"/>
  <c r="G41" i="19" s="1"/>
  <c r="H41" i="19" s="1"/>
  <c r="L41" i="19" s="1"/>
  <c r="F13" i="19"/>
  <c r="F15" i="19" s="1"/>
  <c r="E13" i="19"/>
  <c r="E15" i="19" s="1"/>
  <c r="G35" i="19"/>
  <c r="H35" i="19" s="1"/>
  <c r="L35" i="19" s="1"/>
  <c r="G36" i="19"/>
  <c r="H36" i="19" s="1"/>
  <c r="L36" i="19" s="1"/>
  <c r="G37" i="19"/>
  <c r="E51" i="19"/>
  <c r="F7" i="19" s="1"/>
  <c r="E45" i="19"/>
  <c r="E7" i="19" s="1"/>
  <c r="E39" i="19"/>
  <c r="D7" i="19" s="1"/>
  <c r="Q51" i="19"/>
  <c r="P51" i="19"/>
  <c r="O51" i="19"/>
  <c r="N51" i="19"/>
  <c r="M51" i="19"/>
  <c r="F24" i="19" s="1"/>
  <c r="G14" i="19" s="1"/>
  <c r="K51" i="19"/>
  <c r="I51" i="19"/>
  <c r="Q45" i="19"/>
  <c r="P45" i="19"/>
  <c r="O45" i="19"/>
  <c r="N45" i="19"/>
  <c r="M45" i="19"/>
  <c r="E19" i="19" s="1"/>
  <c r="K45" i="19"/>
  <c r="I45" i="19"/>
  <c r="G42" i="19"/>
  <c r="H42" i="19" s="1"/>
  <c r="L42" i="19" s="1"/>
  <c r="Q39" i="19"/>
  <c r="P39" i="19"/>
  <c r="O39" i="19"/>
  <c r="N39" i="19"/>
  <c r="M39" i="19"/>
  <c r="D19" i="19" s="1"/>
  <c r="D24" i="19" s="1"/>
  <c r="K39" i="19"/>
  <c r="I39" i="19"/>
  <c r="G38" i="19"/>
  <c r="H38" i="19" s="1"/>
  <c r="L38" i="19" s="1"/>
  <c r="G9" i="1"/>
  <c r="G7" i="1"/>
  <c r="L70" i="30" l="1"/>
  <c r="L14" i="27"/>
  <c r="V14" i="27" s="1"/>
  <c r="W14" i="27" s="1"/>
  <c r="L14" i="30"/>
  <c r="K115" i="30"/>
  <c r="L12" i="27"/>
  <c r="V12" i="27" s="1"/>
  <c r="W12" i="27" s="1"/>
  <c r="L13" i="27"/>
  <c r="V13" i="27" s="1"/>
  <c r="W13" i="27" s="1"/>
  <c r="L12" i="30"/>
  <c r="L13" i="30"/>
  <c r="H104" i="27"/>
  <c r="K117" i="27"/>
  <c r="F64" i="19"/>
  <c r="F69" i="19" s="1"/>
  <c r="I6" i="19" s="1"/>
  <c r="G58" i="19"/>
  <c r="G63" i="19" s="1"/>
  <c r="J51" i="19"/>
  <c r="F17" i="19" s="1"/>
  <c r="G19" i="19"/>
  <c r="G24" i="19" s="1"/>
  <c r="H14" i="19" s="1"/>
  <c r="H24" i="19" s="1"/>
  <c r="I14" i="19" s="1"/>
  <c r="I24" i="19" s="1"/>
  <c r="H52" i="19"/>
  <c r="L52" i="19" s="1"/>
  <c r="L57" i="19" s="1"/>
  <c r="I9" i="1"/>
  <c r="F63" i="19"/>
  <c r="H6" i="19" s="1"/>
  <c r="L34" i="19"/>
  <c r="L39" i="19" s="1"/>
  <c r="F39" i="19"/>
  <c r="D6" i="19" s="1"/>
  <c r="E24" i="19"/>
  <c r="E17" i="19"/>
  <c r="F19" i="19"/>
  <c r="D17" i="19"/>
  <c r="G39" i="19"/>
  <c r="H39" i="19"/>
  <c r="G66" i="12"/>
  <c r="H59" i="12"/>
  <c r="G4" i="29" l="1"/>
  <c r="G6" i="29" s="1"/>
  <c r="H58" i="19"/>
  <c r="G64" i="19"/>
  <c r="G69" i="19" s="1"/>
  <c r="L70" i="27"/>
  <c r="J66" i="12"/>
  <c r="J9" i="1"/>
  <c r="K9" i="1"/>
  <c r="J58" i="19"/>
  <c r="J57" i="19"/>
  <c r="G17" i="19" s="1"/>
  <c r="H57" i="19"/>
  <c r="L58" i="19"/>
  <c r="L63" i="19" s="1"/>
  <c r="H63" i="19"/>
  <c r="G40" i="19"/>
  <c r="F45" i="19"/>
  <c r="E6" i="19" s="1"/>
  <c r="F22" i="19"/>
  <c r="G12" i="19" s="1"/>
  <c r="E22" i="19"/>
  <c r="D22" i="19"/>
  <c r="D18" i="19"/>
  <c r="D16" i="19"/>
  <c r="H64" i="19" l="1"/>
  <c r="H69" i="19" s="1"/>
  <c r="G22" i="19"/>
  <c r="H12" i="19" s="1"/>
  <c r="D20" i="19"/>
  <c r="D21" i="19"/>
  <c r="H18" i="19"/>
  <c r="H16" i="19"/>
  <c r="F12" i="4"/>
  <c r="L64" i="19"/>
  <c r="L69" i="19" s="1"/>
  <c r="I18" i="19" s="1"/>
  <c r="J63" i="19"/>
  <c r="J64" i="19"/>
  <c r="J69" i="19" s="1"/>
  <c r="I16" i="19"/>
  <c r="G46" i="19"/>
  <c r="F51" i="19"/>
  <c r="F6" i="19" s="1"/>
  <c r="H40" i="19"/>
  <c r="G45" i="19"/>
  <c r="D23" i="19"/>
  <c r="J75" i="19" l="1"/>
  <c r="J12" i="19" s="1"/>
  <c r="D25" i="19"/>
  <c r="D27" i="19" s="1"/>
  <c r="H17" i="19"/>
  <c r="C10" i="4"/>
  <c r="F11" i="4"/>
  <c r="I17" i="19"/>
  <c r="I20" i="19" s="1"/>
  <c r="E16" i="19"/>
  <c r="H46" i="19"/>
  <c r="G51" i="19"/>
  <c r="L40" i="19"/>
  <c r="L45" i="19" s="1"/>
  <c r="E18" i="19" s="1"/>
  <c r="H45" i="19"/>
  <c r="F10" i="4" l="1"/>
  <c r="C10" i="39"/>
  <c r="F10" i="39" s="1"/>
  <c r="J87" i="19"/>
  <c r="L12" i="19" s="1"/>
  <c r="J81" i="19"/>
  <c r="J22" i="19"/>
  <c r="J25" i="19" s="1"/>
  <c r="J27" i="19" s="1"/>
  <c r="J15" i="19"/>
  <c r="E21" i="19"/>
  <c r="E20" i="19"/>
  <c r="G102" i="1"/>
  <c r="H20" i="19"/>
  <c r="H22" i="19"/>
  <c r="F16" i="19"/>
  <c r="G16" i="19"/>
  <c r="E23" i="19"/>
  <c r="L46" i="19"/>
  <c r="L51" i="19" s="1"/>
  <c r="H51" i="19"/>
  <c r="N69" i="12"/>
  <c r="N70" i="12"/>
  <c r="N71" i="12"/>
  <c r="N72" i="12"/>
  <c r="L66" i="12"/>
  <c r="L67" i="12"/>
  <c r="O67" i="12" s="1"/>
  <c r="L68" i="12"/>
  <c r="O68" i="12" s="1"/>
  <c r="L69" i="12"/>
  <c r="L70" i="12"/>
  <c r="L71" i="12"/>
  <c r="L72" i="12"/>
  <c r="L54" i="12"/>
  <c r="M54" i="12"/>
  <c r="N54" i="12"/>
  <c r="L55" i="12"/>
  <c r="M55" i="12"/>
  <c r="N55" i="12"/>
  <c r="L56" i="12"/>
  <c r="M56" i="12"/>
  <c r="N56" i="12"/>
  <c r="L57" i="12"/>
  <c r="M57" i="12"/>
  <c r="L58" i="12"/>
  <c r="M58" i="12"/>
  <c r="N58" i="12"/>
  <c r="N59" i="12"/>
  <c r="O59" i="12" s="1"/>
  <c r="L60" i="12"/>
  <c r="M60" i="12"/>
  <c r="N60" i="12"/>
  <c r="I72" i="12"/>
  <c r="I71" i="12"/>
  <c r="I70" i="12"/>
  <c r="I69" i="12"/>
  <c r="I68" i="12"/>
  <c r="I67" i="12"/>
  <c r="I65" i="12"/>
  <c r="H72" i="12"/>
  <c r="H71" i="12"/>
  <c r="H70" i="12"/>
  <c r="H69" i="12"/>
  <c r="H68" i="12"/>
  <c r="H67" i="12"/>
  <c r="H65" i="12"/>
  <c r="E75" i="12"/>
  <c r="E74" i="12"/>
  <c r="B65" i="12"/>
  <c r="C65" i="12"/>
  <c r="D65" i="12"/>
  <c r="B66" i="12"/>
  <c r="C66" i="12"/>
  <c r="D66" i="12"/>
  <c r="B67" i="12"/>
  <c r="C67" i="12"/>
  <c r="D67" i="12"/>
  <c r="B68" i="12"/>
  <c r="C68" i="12"/>
  <c r="D68" i="12"/>
  <c r="B69" i="12"/>
  <c r="C69" i="12"/>
  <c r="D69" i="12"/>
  <c r="B70" i="12"/>
  <c r="C70" i="12"/>
  <c r="D70" i="12"/>
  <c r="B71" i="12"/>
  <c r="C71" i="12"/>
  <c r="D71" i="12"/>
  <c r="B72" i="12"/>
  <c r="C72" i="12"/>
  <c r="D72" i="12"/>
  <c r="B54" i="12"/>
  <c r="C54" i="12"/>
  <c r="D54" i="12"/>
  <c r="B55" i="12"/>
  <c r="C55" i="12"/>
  <c r="D55" i="12"/>
  <c r="B56" i="12"/>
  <c r="C56" i="12"/>
  <c r="D56" i="12"/>
  <c r="B57" i="12"/>
  <c r="C57" i="12"/>
  <c r="D57" i="12"/>
  <c r="B58" i="12"/>
  <c r="C58" i="12"/>
  <c r="D58" i="12"/>
  <c r="B59" i="12"/>
  <c r="C59" i="12"/>
  <c r="D59" i="12"/>
  <c r="B60" i="12"/>
  <c r="C60" i="12"/>
  <c r="D60" i="12"/>
  <c r="I59" i="12"/>
  <c r="J59" i="12" s="1"/>
  <c r="I58" i="12"/>
  <c r="I57" i="12"/>
  <c r="J57" i="12" s="1"/>
  <c r="I54" i="12"/>
  <c r="G71" i="12"/>
  <c r="G70" i="12"/>
  <c r="G69" i="12"/>
  <c r="G68" i="12"/>
  <c r="I60" i="12"/>
  <c r="I56" i="12"/>
  <c r="J56" i="12" s="1"/>
  <c r="I55" i="12"/>
  <c r="J55" i="12" s="1"/>
  <c r="H60" i="12"/>
  <c r="G58" i="12"/>
  <c r="G54" i="12"/>
  <c r="O70" i="12" l="1"/>
  <c r="K12" i="19"/>
  <c r="L22" i="19"/>
  <c r="L25" i="19" s="1"/>
  <c r="L27" i="19" s="1"/>
  <c r="L15" i="19"/>
  <c r="O72" i="12"/>
  <c r="O57" i="12"/>
  <c r="J58" i="12"/>
  <c r="J71" i="12"/>
  <c r="I113" i="1"/>
  <c r="O60" i="12"/>
  <c r="O58" i="12"/>
  <c r="O55" i="12"/>
  <c r="O69" i="12"/>
  <c r="H75" i="12"/>
  <c r="H74" i="12"/>
  <c r="J65" i="12"/>
  <c r="J54" i="12"/>
  <c r="G61" i="12"/>
  <c r="G62" i="12" s="1"/>
  <c r="I74" i="12"/>
  <c r="I75" i="12"/>
  <c r="J72" i="12"/>
  <c r="J60" i="12"/>
  <c r="H61" i="12"/>
  <c r="H62" i="12" s="1"/>
  <c r="J68" i="12"/>
  <c r="G75" i="12"/>
  <c r="G74" i="12"/>
  <c r="J70" i="12"/>
  <c r="J69" i="12"/>
  <c r="J67" i="12"/>
  <c r="I12" i="19"/>
  <c r="I22" i="19" s="1"/>
  <c r="L61" i="12"/>
  <c r="L62" i="12" s="1"/>
  <c r="O54" i="12"/>
  <c r="M61" i="12"/>
  <c r="M62" i="12" s="1"/>
  <c r="O66" i="12"/>
  <c r="L74" i="12"/>
  <c r="L75" i="12"/>
  <c r="N74" i="12"/>
  <c r="N75" i="12"/>
  <c r="N61" i="12"/>
  <c r="N62" i="12" s="1"/>
  <c r="O56" i="12"/>
  <c r="O71" i="12"/>
  <c r="F21" i="19"/>
  <c r="G11" i="19" s="1"/>
  <c r="F18" i="19"/>
  <c r="F23" i="19" s="1"/>
  <c r="G18" i="19"/>
  <c r="E25" i="19"/>
  <c r="E27" i="19" s="1"/>
  <c r="C75" i="12"/>
  <c r="D75" i="12"/>
  <c r="B75" i="12"/>
  <c r="B74" i="12"/>
  <c r="C74" i="12"/>
  <c r="D74" i="12"/>
  <c r="K22" i="19" l="1"/>
  <c r="K15" i="19"/>
  <c r="L63" i="12"/>
  <c r="F99" i="21" s="1"/>
  <c r="H99" i="21" s="1"/>
  <c r="J61" i="12"/>
  <c r="G21" i="19"/>
  <c r="H11" i="19" s="1"/>
  <c r="F20" i="19"/>
  <c r="J75" i="12"/>
  <c r="J74" i="12"/>
  <c r="G13" i="19"/>
  <c r="G23" i="19" s="1"/>
  <c r="H13" i="19" s="1"/>
  <c r="O74" i="12"/>
  <c r="O75" i="12"/>
  <c r="G20" i="19"/>
  <c r="B78" i="12" l="1"/>
  <c r="D98" i="12" s="1"/>
  <c r="K25" i="19"/>
  <c r="K27" i="19" s="1"/>
  <c r="G15" i="19"/>
  <c r="H23" i="19"/>
  <c r="G25" i="19"/>
  <c r="G27" i="19" s="1"/>
  <c r="F25" i="19"/>
  <c r="F27" i="19" s="1"/>
  <c r="I61" i="12"/>
  <c r="I62" i="12" s="1"/>
  <c r="E61" i="12"/>
  <c r="D61" i="12"/>
  <c r="D62" i="12" s="1"/>
  <c r="C61" i="12"/>
  <c r="B61" i="12"/>
  <c r="B62" i="12" s="1"/>
  <c r="C98" i="12" l="1"/>
  <c r="D92" i="12"/>
  <c r="C95" i="12"/>
  <c r="B93" i="12"/>
  <c r="D95" i="12"/>
  <c r="C91" i="12"/>
  <c r="B94" i="12"/>
  <c r="D96" i="12"/>
  <c r="D91" i="12"/>
  <c r="C94" i="12"/>
  <c r="B97" i="12"/>
  <c r="B98" i="12"/>
  <c r="C93" i="12"/>
  <c r="B96" i="12"/>
  <c r="C97" i="12"/>
  <c r="C83" i="12"/>
  <c r="D86" i="12"/>
  <c r="C86" i="12"/>
  <c r="B87" i="12"/>
  <c r="C85" i="12"/>
  <c r="D82" i="12"/>
  <c r="C81" i="12"/>
  <c r="D87" i="12"/>
  <c r="B82" i="12"/>
  <c r="D84" i="12"/>
  <c r="B84" i="12"/>
  <c r="C84" i="12"/>
  <c r="D81" i="12"/>
  <c r="C82" i="12"/>
  <c r="B85" i="12"/>
  <c r="D83" i="12"/>
  <c r="B91" i="12"/>
  <c r="D85" i="12"/>
  <c r="C87" i="12"/>
  <c r="B86" i="12"/>
  <c r="B81" i="12"/>
  <c r="B83" i="12"/>
  <c r="B92" i="12"/>
  <c r="D94" i="12"/>
  <c r="F93" i="1"/>
  <c r="F91" i="21"/>
  <c r="C92" i="12"/>
  <c r="D93" i="12"/>
  <c r="B95" i="12"/>
  <c r="C96" i="12"/>
  <c r="D97" i="12"/>
  <c r="I13" i="19"/>
  <c r="I23" i="19" s="1"/>
  <c r="H21" i="19"/>
  <c r="H15" i="19"/>
  <c r="O61" i="12"/>
  <c r="B63" i="12"/>
  <c r="F98" i="21" s="1"/>
  <c r="H98" i="21" s="1"/>
  <c r="C62" i="12"/>
  <c r="I112" i="1"/>
  <c r="G63" i="12"/>
  <c r="E97" i="12" l="1"/>
  <c r="E81" i="12"/>
  <c r="E91" i="12"/>
  <c r="E98" i="12"/>
  <c r="E96" i="12"/>
  <c r="E86" i="12"/>
  <c r="E95" i="12"/>
  <c r="E92" i="12"/>
  <c r="F95" i="1"/>
  <c r="E94" i="12"/>
  <c r="E93" i="12"/>
  <c r="E87" i="12"/>
  <c r="C100" i="12"/>
  <c r="E82" i="12"/>
  <c r="D101" i="12"/>
  <c r="B101" i="12"/>
  <c r="E85" i="12"/>
  <c r="E83" i="12"/>
  <c r="B100" i="12"/>
  <c r="C101" i="12"/>
  <c r="D100" i="12"/>
  <c r="E84" i="12"/>
  <c r="H99" i="1"/>
  <c r="F93" i="21"/>
  <c r="L91" i="12"/>
  <c r="M91" i="12"/>
  <c r="N91" i="12"/>
  <c r="L81" i="12"/>
  <c r="M87" i="12"/>
  <c r="N82" i="12"/>
  <c r="M81" i="12"/>
  <c r="N81" i="12"/>
  <c r="L98" i="12"/>
  <c r="L97" i="12"/>
  <c r="M96" i="12"/>
  <c r="N95" i="12"/>
  <c r="L92" i="12"/>
  <c r="M85" i="12"/>
  <c r="N83" i="12"/>
  <c r="M98" i="12"/>
  <c r="M97" i="12"/>
  <c r="N96" i="12"/>
  <c r="L94" i="12"/>
  <c r="L93" i="12"/>
  <c r="M92" i="12"/>
  <c r="L86" i="12"/>
  <c r="N85" i="12"/>
  <c r="L84" i="12"/>
  <c r="L82" i="12"/>
  <c r="N98" i="12"/>
  <c r="N97" i="12"/>
  <c r="L95" i="12"/>
  <c r="M94" i="12"/>
  <c r="M93" i="12"/>
  <c r="N92" i="12"/>
  <c r="L87" i="12"/>
  <c r="M86" i="12"/>
  <c r="M84" i="12"/>
  <c r="L83" i="12"/>
  <c r="M82" i="12"/>
  <c r="L96" i="12"/>
  <c r="M95" i="12"/>
  <c r="N94" i="12"/>
  <c r="N93" i="12"/>
  <c r="N87" i="12"/>
  <c r="N86" i="12"/>
  <c r="L85" i="12"/>
  <c r="N84" i="12"/>
  <c r="M83" i="12"/>
  <c r="I11" i="19"/>
  <c r="I15" i="19" s="1"/>
  <c r="S78" i="12"/>
  <c r="S79" i="12" s="1"/>
  <c r="I21" i="19"/>
  <c r="I25" i="19" s="1"/>
  <c r="I27" i="19" s="1"/>
  <c r="H25" i="19"/>
  <c r="H27" i="19" s="1"/>
  <c r="I114" i="1"/>
  <c r="F100" i="1"/>
  <c r="E101" i="12" l="1"/>
  <c r="E100" i="12"/>
  <c r="H97" i="21"/>
  <c r="H100" i="21" s="1"/>
  <c r="F100" i="21"/>
  <c r="O87" i="12"/>
  <c r="O95" i="12"/>
  <c r="O84" i="12"/>
  <c r="O93" i="12"/>
  <c r="O81" i="12"/>
  <c r="O96" i="12"/>
  <c r="O82" i="12"/>
  <c r="O92" i="12"/>
  <c r="O98" i="12"/>
  <c r="O91" i="12"/>
  <c r="L101" i="12"/>
  <c r="L100" i="12"/>
  <c r="O86" i="12"/>
  <c r="O97" i="12"/>
  <c r="M100" i="12"/>
  <c r="M101" i="12"/>
  <c r="H81" i="12"/>
  <c r="S81" i="12" s="1"/>
  <c r="G91" i="12"/>
  <c r="R91" i="12" s="1"/>
  <c r="G87" i="12"/>
  <c r="R87" i="12" s="1"/>
  <c r="H91" i="12"/>
  <c r="S91" i="12" s="1"/>
  <c r="G81" i="12"/>
  <c r="I81" i="12"/>
  <c r="T81" i="12" s="1"/>
  <c r="I91" i="12"/>
  <c r="T91" i="12" s="1"/>
  <c r="G94" i="12"/>
  <c r="R94" i="12" s="1"/>
  <c r="H98" i="12"/>
  <c r="S98" i="12" s="1"/>
  <c r="G96" i="12"/>
  <c r="H95" i="12"/>
  <c r="S95" i="12" s="1"/>
  <c r="I94" i="12"/>
  <c r="T94" i="12" s="1"/>
  <c r="I93" i="12"/>
  <c r="T93" i="12" s="1"/>
  <c r="H87" i="12"/>
  <c r="S87" i="12" s="1"/>
  <c r="I86" i="12"/>
  <c r="T86" i="12" s="1"/>
  <c r="G85" i="12"/>
  <c r="I84" i="12"/>
  <c r="T84" i="12" s="1"/>
  <c r="H83" i="12"/>
  <c r="S83" i="12" s="1"/>
  <c r="I82" i="12"/>
  <c r="T82" i="12" s="1"/>
  <c r="G97" i="12"/>
  <c r="R97" i="12" s="1"/>
  <c r="H96" i="12"/>
  <c r="S96" i="12" s="1"/>
  <c r="I95" i="12"/>
  <c r="T95" i="12" s="1"/>
  <c r="G92" i="12"/>
  <c r="R92" i="12" s="1"/>
  <c r="I87" i="12"/>
  <c r="T87" i="12" s="1"/>
  <c r="H85" i="12"/>
  <c r="S85" i="12" s="1"/>
  <c r="I83" i="12"/>
  <c r="T83" i="12" s="1"/>
  <c r="G98" i="12"/>
  <c r="R98" i="12" s="1"/>
  <c r="H97" i="12"/>
  <c r="S97" i="12" s="1"/>
  <c r="I96" i="12"/>
  <c r="T96" i="12" s="1"/>
  <c r="G93" i="12"/>
  <c r="R93" i="12" s="1"/>
  <c r="H92" i="12"/>
  <c r="S92" i="12" s="1"/>
  <c r="G86" i="12"/>
  <c r="I85" i="12"/>
  <c r="T85" i="12" s="1"/>
  <c r="G84" i="12"/>
  <c r="G82" i="12"/>
  <c r="R82" i="12" s="1"/>
  <c r="I98" i="12"/>
  <c r="T98" i="12" s="1"/>
  <c r="I97" i="12"/>
  <c r="T97" i="12" s="1"/>
  <c r="G95" i="12"/>
  <c r="H94" i="12"/>
  <c r="S94" i="12" s="1"/>
  <c r="H93" i="12"/>
  <c r="S93" i="12" s="1"/>
  <c r="I92" i="12"/>
  <c r="T92" i="12" s="1"/>
  <c r="H86" i="12"/>
  <c r="S86" i="12" s="1"/>
  <c r="H84" i="12"/>
  <c r="S84" i="12" s="1"/>
  <c r="G83" i="12"/>
  <c r="H82" i="12"/>
  <c r="S82" i="12" s="1"/>
  <c r="O85" i="12"/>
  <c r="O83" i="12"/>
  <c r="O94" i="12"/>
  <c r="N101" i="12"/>
  <c r="N100" i="12"/>
  <c r="F101" i="1"/>
  <c r="F102" i="1" s="1"/>
  <c r="J81" i="12" l="1"/>
  <c r="U81" i="12" s="1"/>
  <c r="J83" i="12"/>
  <c r="U83" i="12" s="1"/>
  <c r="J95" i="12"/>
  <c r="U95" i="12" s="1"/>
  <c r="J86" i="12"/>
  <c r="U86" i="12" s="1"/>
  <c r="J85" i="12"/>
  <c r="U85" i="12" s="1"/>
  <c r="R95" i="12"/>
  <c r="J91" i="12"/>
  <c r="U91" i="12" s="1"/>
  <c r="G101" i="12"/>
  <c r="R101" i="12" s="1"/>
  <c r="G100" i="12"/>
  <c r="R100" i="12" s="1"/>
  <c r="I100" i="12"/>
  <c r="T100" i="12" s="1"/>
  <c r="I101" i="12"/>
  <c r="T101" i="12" s="1"/>
  <c r="O101" i="12"/>
  <c r="O100" i="12"/>
  <c r="R83" i="12"/>
  <c r="J84" i="12"/>
  <c r="U84" i="12" s="1"/>
  <c r="J93" i="12"/>
  <c r="U93" i="12" s="1"/>
  <c r="J96" i="12"/>
  <c r="U96" i="12" s="1"/>
  <c r="R81" i="12"/>
  <c r="R84" i="12"/>
  <c r="R85" i="12"/>
  <c r="J82" i="12"/>
  <c r="U82" i="12" s="1"/>
  <c r="J98" i="12"/>
  <c r="U98" i="12" s="1"/>
  <c r="J92" i="12"/>
  <c r="U92" i="12" s="1"/>
  <c r="J87" i="12"/>
  <c r="U87" i="12" s="1"/>
  <c r="R86" i="12"/>
  <c r="R96" i="12"/>
  <c r="H101" i="12"/>
  <c r="S101" i="12" s="1"/>
  <c r="H100" i="12"/>
  <c r="S100" i="12" s="1"/>
  <c r="J97" i="12"/>
  <c r="U97" i="12" s="1"/>
  <c r="J94" i="12"/>
  <c r="U94" i="12" s="1"/>
  <c r="J100" i="12" l="1"/>
  <c r="U100" i="12" s="1"/>
  <c r="J101" i="12"/>
  <c r="U101" i="12" s="1"/>
  <c r="D7" i="5" l="1"/>
  <c r="D16" i="5"/>
  <c r="D14" i="5"/>
  <c r="D12" i="5"/>
  <c r="D11" i="5"/>
  <c r="G65" i="1" l="1"/>
  <c r="G64" i="1"/>
  <c r="G63" i="1"/>
  <c r="G61" i="1"/>
  <c r="I61" i="1" s="1"/>
  <c r="G60" i="1"/>
  <c r="I60" i="1" s="1"/>
  <c r="G59" i="1"/>
  <c r="I59" i="1" s="1"/>
  <c r="G34" i="1"/>
  <c r="I34" i="1" s="1"/>
  <c r="G45" i="1"/>
  <c r="G47" i="1"/>
  <c r="G36" i="1"/>
  <c r="I36" i="1" s="1"/>
  <c r="J36" i="1" s="1"/>
  <c r="G41" i="1"/>
  <c r="G46" i="1"/>
  <c r="G50" i="1"/>
  <c r="G39" i="1"/>
  <c r="G38" i="1"/>
  <c r="G37" i="1"/>
  <c r="I37" i="1" s="1"/>
  <c r="G35" i="1"/>
  <c r="I35" i="1" s="1"/>
  <c r="G32" i="1"/>
  <c r="I32" i="1" s="1"/>
  <c r="G31" i="1"/>
  <c r="I31" i="1" s="1"/>
  <c r="J31" i="1" l="1"/>
  <c r="K31" i="1"/>
  <c r="J37" i="1"/>
  <c r="K37" i="1"/>
  <c r="K61" i="1"/>
  <c r="J61" i="1"/>
  <c r="K32" i="1"/>
  <c r="J32" i="1"/>
  <c r="K36" i="1"/>
  <c r="K59" i="1"/>
  <c r="J59" i="1"/>
  <c r="J34" i="1"/>
  <c r="K34" i="1"/>
  <c r="J35" i="1"/>
  <c r="K35" i="1"/>
  <c r="J60" i="1"/>
  <c r="K60" i="1"/>
  <c r="E66" i="1" l="1"/>
  <c r="G66" i="1" s="1"/>
  <c r="D15" i="5" l="1"/>
  <c r="G48" i="1"/>
  <c r="D6" i="5"/>
  <c r="D13" i="5"/>
  <c r="D8" i="5"/>
  <c r="D9" i="5"/>
  <c r="D10" i="5"/>
  <c r="G49" i="1"/>
  <c r="G43" i="1"/>
  <c r="G42" i="1"/>
  <c r="L9" i="1" l="1"/>
  <c r="L61" i="1"/>
  <c r="L36" i="1"/>
  <c r="L37" i="1"/>
  <c r="L32" i="1"/>
  <c r="L35" i="1"/>
  <c r="L31" i="1"/>
  <c r="L60" i="1"/>
  <c r="L34" i="1"/>
  <c r="L59" i="1"/>
  <c r="H100" i="1"/>
  <c r="H101" i="1" l="1"/>
  <c r="H102" i="1" s="1"/>
  <c r="J114" i="31"/>
  <c r="K114" i="31" s="1"/>
  <c r="J112" i="31"/>
  <c r="K112" i="31" s="1"/>
  <c r="H14" i="31"/>
  <c r="F99" i="19"/>
  <c r="H12" i="31"/>
  <c r="I12" i="31" s="1"/>
  <c r="J113" i="31"/>
  <c r="K113" i="31" s="1"/>
  <c r="S99" i="19" l="1"/>
  <c r="K115" i="31"/>
  <c r="K12" i="31"/>
  <c r="J12" i="31"/>
  <c r="I14" i="21"/>
  <c r="K14" i="21" s="1"/>
  <c r="H14" i="32"/>
  <c r="I14" i="32" s="1"/>
  <c r="G93" i="1"/>
  <c r="H13" i="31"/>
  <c r="I13" i="31" s="1"/>
  <c r="I14" i="31"/>
  <c r="K111" i="21"/>
  <c r="J111" i="32"/>
  <c r="K111" i="32" s="1"/>
  <c r="K110" i="21"/>
  <c r="J110" i="32"/>
  <c r="K110" i="32" s="1"/>
  <c r="K112" i="21"/>
  <c r="J112" i="32"/>
  <c r="K112" i="32" s="1"/>
  <c r="I12" i="21"/>
  <c r="K12" i="21" s="1"/>
  <c r="H12" i="32"/>
  <c r="I12" i="32" s="1"/>
  <c r="I13" i="21"/>
  <c r="J13" i="21" s="1"/>
  <c r="H13" i="32"/>
  <c r="I13" i="32" s="1"/>
  <c r="C8" i="4"/>
  <c r="I12" i="1"/>
  <c r="K12" i="1" s="1"/>
  <c r="I14" i="1"/>
  <c r="J14" i="1" s="1"/>
  <c r="G94" i="1"/>
  <c r="K113" i="1"/>
  <c r="K112" i="1"/>
  <c r="K114" i="1"/>
  <c r="U13" i="19"/>
  <c r="U23" i="19" s="1"/>
  <c r="T13" i="19"/>
  <c r="T23" i="19" s="1"/>
  <c r="I13" i="1"/>
  <c r="F105" i="19"/>
  <c r="L12" i="31" l="1"/>
  <c r="V12" i="31" s="1"/>
  <c r="W12" i="31" s="1"/>
  <c r="K13" i="21"/>
  <c r="L13" i="21" s="1"/>
  <c r="J12" i="1"/>
  <c r="L12" i="1" s="1"/>
  <c r="G93" i="21"/>
  <c r="K113" i="21"/>
  <c r="H5" i="20" s="1"/>
  <c r="T11" i="19"/>
  <c r="T21" i="19" s="1"/>
  <c r="J12" i="21"/>
  <c r="L12" i="21" s="1"/>
  <c r="G95" i="1"/>
  <c r="K113" i="32"/>
  <c r="J13" i="32"/>
  <c r="K13" i="32"/>
  <c r="H90" i="21"/>
  <c r="G90" i="32"/>
  <c r="J14" i="21"/>
  <c r="L14" i="21" s="1"/>
  <c r="K115" i="1"/>
  <c r="H4" i="20" s="1"/>
  <c r="H92" i="1"/>
  <c r="G92" i="31"/>
  <c r="J13" i="31"/>
  <c r="K13" i="31"/>
  <c r="K14" i="31"/>
  <c r="J14" i="31"/>
  <c r="H91" i="21"/>
  <c r="G91" i="32"/>
  <c r="H91" i="32" s="1"/>
  <c r="J12" i="32"/>
  <c r="K12" i="32"/>
  <c r="H93" i="1"/>
  <c r="G93" i="31"/>
  <c r="H93" i="31" s="1"/>
  <c r="H92" i="21"/>
  <c r="G92" i="32"/>
  <c r="H92" i="32" s="1"/>
  <c r="H94" i="1"/>
  <c r="G94" i="31"/>
  <c r="H94" i="31" s="1"/>
  <c r="F8" i="4"/>
  <c r="C8" i="39"/>
  <c r="F8" i="39" s="1"/>
  <c r="J14" i="32"/>
  <c r="K14" i="32"/>
  <c r="K14" i="1"/>
  <c r="L14" i="1" s="1"/>
  <c r="V14" i="1" s="1"/>
  <c r="W14" i="1" s="1"/>
  <c r="K13" i="1"/>
  <c r="J13" i="1"/>
  <c r="H5" i="33" l="1"/>
  <c r="H6" i="20"/>
  <c r="H4" i="33"/>
  <c r="D142" i="19"/>
  <c r="H38" i="31"/>
  <c r="I38" i="31" s="1"/>
  <c r="J38" i="31" s="1"/>
  <c r="H38" i="32"/>
  <c r="I7" i="27"/>
  <c r="H39" i="27"/>
  <c r="I39" i="27" s="1"/>
  <c r="C13" i="38"/>
  <c r="F13" i="38" s="1"/>
  <c r="I38" i="27"/>
  <c r="R99" i="19"/>
  <c r="R100" i="19" s="1"/>
  <c r="H92" i="31"/>
  <c r="H95" i="31" s="1"/>
  <c r="G95" i="31"/>
  <c r="H93" i="21"/>
  <c r="H102" i="21" s="1"/>
  <c r="G5" i="20" s="1"/>
  <c r="L13" i="31"/>
  <c r="V13" i="31" s="1"/>
  <c r="W13" i="31" s="1"/>
  <c r="U11" i="19"/>
  <c r="U21" i="19" s="1"/>
  <c r="U12" i="19"/>
  <c r="U22" i="19" s="1"/>
  <c r="L14" i="31"/>
  <c r="V14" i="31" s="1"/>
  <c r="W14" i="31" s="1"/>
  <c r="H95" i="1"/>
  <c r="H104" i="1" s="1"/>
  <c r="L13" i="32"/>
  <c r="L14" i="32"/>
  <c r="H90" i="32"/>
  <c r="H93" i="32" s="1"/>
  <c r="G93" i="32"/>
  <c r="I20" i="25"/>
  <c r="L12" i="32"/>
  <c r="I26" i="30"/>
  <c r="I24" i="30"/>
  <c r="I7" i="30"/>
  <c r="H22" i="30"/>
  <c r="I22" i="30" s="1"/>
  <c r="I23" i="30"/>
  <c r="H21" i="30"/>
  <c r="I21" i="30" s="1"/>
  <c r="I20" i="30"/>
  <c r="I25" i="30"/>
  <c r="I24" i="32"/>
  <c r="I25" i="32"/>
  <c r="I23" i="32"/>
  <c r="I26" i="32"/>
  <c r="I25" i="26"/>
  <c r="F13" i="37"/>
  <c r="I24" i="26"/>
  <c r="I26" i="26"/>
  <c r="I23" i="26"/>
  <c r="I38" i="21"/>
  <c r="J38" i="21" s="1"/>
  <c r="T12" i="19"/>
  <c r="T22" i="19" s="1"/>
  <c r="T25" i="19" s="1"/>
  <c r="T27" i="19" s="1"/>
  <c r="I23" i="1"/>
  <c r="C13" i="4"/>
  <c r="I26" i="21"/>
  <c r="I24" i="21"/>
  <c r="I25" i="21"/>
  <c r="I23" i="21"/>
  <c r="V12" i="1"/>
  <c r="W12" i="1" s="1"/>
  <c r="L13" i="1"/>
  <c r="V13" i="1" s="1"/>
  <c r="W13" i="1" s="1"/>
  <c r="G4" i="20" l="1"/>
  <c r="D141" i="19"/>
  <c r="H6" i="33"/>
  <c r="L70" i="21"/>
  <c r="G6" i="20"/>
  <c r="I41" i="21"/>
  <c r="K41" i="21" s="1"/>
  <c r="I41" i="26"/>
  <c r="K41" i="26" s="1"/>
  <c r="K38" i="31"/>
  <c r="L38" i="31" s="1"/>
  <c r="K117" i="1"/>
  <c r="I7" i="26"/>
  <c r="I20" i="26"/>
  <c r="J20" i="26" s="1"/>
  <c r="H21" i="27"/>
  <c r="I21" i="27" s="1"/>
  <c r="J21" i="27" s="1"/>
  <c r="K115" i="21"/>
  <c r="K119" i="1" s="1"/>
  <c r="I7" i="1"/>
  <c r="K7" i="1" s="1"/>
  <c r="F7" i="35"/>
  <c r="I7" i="21"/>
  <c r="K7" i="21" s="1"/>
  <c r="H21" i="21"/>
  <c r="I21" i="21" s="1"/>
  <c r="J21" i="21" s="1"/>
  <c r="H22" i="1"/>
  <c r="I20" i="21"/>
  <c r="K20" i="21" s="1"/>
  <c r="H22" i="21"/>
  <c r="I22" i="21" s="1"/>
  <c r="J22" i="21" s="1"/>
  <c r="H21" i="1"/>
  <c r="H7" i="32"/>
  <c r="I7" i="32" s="1"/>
  <c r="K7" i="32" s="1"/>
  <c r="H22" i="27"/>
  <c r="I22" i="27" s="1"/>
  <c r="K22" i="27" s="1"/>
  <c r="H7" i="31"/>
  <c r="I7" i="31" s="1"/>
  <c r="K7" i="31" s="1"/>
  <c r="I22" i="25"/>
  <c r="J22" i="25" s="1"/>
  <c r="I7" i="25"/>
  <c r="K7" i="25" s="1"/>
  <c r="K38" i="27"/>
  <c r="J38" i="27"/>
  <c r="J39" i="27"/>
  <c r="K39" i="27"/>
  <c r="L70" i="1"/>
  <c r="I21" i="25"/>
  <c r="K21" i="25" s="1"/>
  <c r="H15" i="32"/>
  <c r="I15" i="32" s="1"/>
  <c r="T15" i="19"/>
  <c r="U25" i="19"/>
  <c r="U27" i="19" s="1"/>
  <c r="U15" i="19"/>
  <c r="H16" i="27"/>
  <c r="I16" i="27" s="1"/>
  <c r="H17" i="27"/>
  <c r="I17" i="27" s="1"/>
  <c r="H18" i="27"/>
  <c r="I18" i="27" s="1"/>
  <c r="I15" i="27"/>
  <c r="H16" i="30"/>
  <c r="I16" i="30" s="1"/>
  <c r="H17" i="30"/>
  <c r="I17" i="30" s="1"/>
  <c r="I15" i="30"/>
  <c r="H18" i="30"/>
  <c r="I18" i="30" s="1"/>
  <c r="H15" i="31"/>
  <c r="I15" i="31" s="1"/>
  <c r="F13" i="4"/>
  <c r="C13" i="39"/>
  <c r="F13" i="39" s="1"/>
  <c r="K20" i="25"/>
  <c r="J20" i="25"/>
  <c r="H102" i="32"/>
  <c r="H104" i="31"/>
  <c r="I20" i="27"/>
  <c r="K20" i="27" s="1"/>
  <c r="H20" i="31"/>
  <c r="I20" i="31" s="1"/>
  <c r="J20" i="31" s="1"/>
  <c r="I21" i="26"/>
  <c r="K21" i="26" s="1"/>
  <c r="I22" i="26"/>
  <c r="K22" i="26" s="1"/>
  <c r="J22" i="30"/>
  <c r="K22" i="30"/>
  <c r="J26" i="32"/>
  <c r="K26" i="32"/>
  <c r="I38" i="30"/>
  <c r="J7" i="30"/>
  <c r="K7" i="30"/>
  <c r="J26" i="30"/>
  <c r="K26" i="30"/>
  <c r="K24" i="30"/>
  <c r="J24" i="30"/>
  <c r="I39" i="21"/>
  <c r="K24" i="32"/>
  <c r="J24" i="32"/>
  <c r="K25" i="30"/>
  <c r="J25" i="30"/>
  <c r="K20" i="30"/>
  <c r="J20" i="30"/>
  <c r="K7" i="27"/>
  <c r="J7" i="27"/>
  <c r="I38" i="32"/>
  <c r="K21" i="30"/>
  <c r="J21" i="30"/>
  <c r="K23" i="32"/>
  <c r="J23" i="32"/>
  <c r="K25" i="32"/>
  <c r="J25" i="32"/>
  <c r="K23" i="30"/>
  <c r="J23" i="30"/>
  <c r="I38" i="26"/>
  <c r="J23" i="26"/>
  <c r="K23" i="26"/>
  <c r="J7" i="26"/>
  <c r="K7" i="26"/>
  <c r="K26" i="26"/>
  <c r="J26" i="26"/>
  <c r="K24" i="26"/>
  <c r="J24" i="26"/>
  <c r="K25" i="26"/>
  <c r="J25" i="26"/>
  <c r="K38" i="21"/>
  <c r="L38" i="21" s="1"/>
  <c r="U38" i="21" s="1"/>
  <c r="V38" i="21" s="1"/>
  <c r="H24" i="1"/>
  <c r="H24" i="31" s="1"/>
  <c r="I24" i="31" s="1"/>
  <c r="H26" i="1"/>
  <c r="H26" i="31" s="1"/>
  <c r="I26" i="31" s="1"/>
  <c r="H25" i="1"/>
  <c r="H25" i="31" s="1"/>
  <c r="I25" i="31" s="1"/>
  <c r="I20" i="1"/>
  <c r="J20" i="1" s="1"/>
  <c r="H39" i="1"/>
  <c r="H39" i="31" s="1"/>
  <c r="I39" i="31" s="1"/>
  <c r="I38" i="1"/>
  <c r="J26" i="21"/>
  <c r="K26" i="21"/>
  <c r="K24" i="21"/>
  <c r="J24" i="21"/>
  <c r="F13" i="5"/>
  <c r="K23" i="1"/>
  <c r="J23" i="1"/>
  <c r="F12" i="5"/>
  <c r="J23" i="21"/>
  <c r="K23" i="21"/>
  <c r="J25" i="21"/>
  <c r="K25" i="21"/>
  <c r="H18" i="1"/>
  <c r="H17" i="1"/>
  <c r="H16" i="1"/>
  <c r="I15" i="1"/>
  <c r="H17" i="21"/>
  <c r="H18" i="21"/>
  <c r="H16" i="21"/>
  <c r="I15" i="21"/>
  <c r="I21" i="1" l="1"/>
  <c r="K21" i="1" s="1"/>
  <c r="H21" i="31"/>
  <c r="I21" i="31" s="1"/>
  <c r="I22" i="1"/>
  <c r="K22" i="1" s="1"/>
  <c r="H22" i="31"/>
  <c r="I22" i="31" s="1"/>
  <c r="G5" i="33"/>
  <c r="O5" i="33" s="1"/>
  <c r="K121" i="27"/>
  <c r="J26" i="31"/>
  <c r="K26" i="31"/>
  <c r="J24" i="31"/>
  <c r="K24" i="31"/>
  <c r="J25" i="31"/>
  <c r="K25" i="31"/>
  <c r="E5" i="34"/>
  <c r="I49" i="21"/>
  <c r="J49" i="21" s="1"/>
  <c r="I50" i="21"/>
  <c r="I45" i="21"/>
  <c r="K45" i="21" s="1"/>
  <c r="I46" i="21"/>
  <c r="I47" i="21"/>
  <c r="H49" i="1"/>
  <c r="E15" i="5" s="1"/>
  <c r="H45" i="1"/>
  <c r="E14" i="5" s="1"/>
  <c r="H50" i="1"/>
  <c r="E16" i="5" s="1"/>
  <c r="H47" i="1"/>
  <c r="H46" i="1"/>
  <c r="E11" i="5" s="1"/>
  <c r="I45" i="26"/>
  <c r="I50" i="26"/>
  <c r="K50" i="26" s="1"/>
  <c r="I50" i="30"/>
  <c r="I47" i="30"/>
  <c r="I46" i="30"/>
  <c r="I49" i="30"/>
  <c r="H45" i="27"/>
  <c r="H46" i="27"/>
  <c r="H47" i="27"/>
  <c r="I47" i="27" s="1"/>
  <c r="K47" i="27" s="1"/>
  <c r="H50" i="27"/>
  <c r="H49" i="27"/>
  <c r="F5" i="35"/>
  <c r="G4" i="33"/>
  <c r="O4" i="33" s="1"/>
  <c r="I63" i="21"/>
  <c r="I43" i="21"/>
  <c r="K43" i="21" s="1"/>
  <c r="I66" i="21"/>
  <c r="J66" i="21" s="1"/>
  <c r="I65" i="21"/>
  <c r="J65" i="21" s="1"/>
  <c r="I48" i="21"/>
  <c r="J48" i="21" s="1"/>
  <c r="I64" i="21"/>
  <c r="J64" i="21" s="1"/>
  <c r="I42" i="21"/>
  <c r="K42" i="21" s="1"/>
  <c r="I63" i="30"/>
  <c r="I45" i="30"/>
  <c r="I66" i="30"/>
  <c r="I43" i="30"/>
  <c r="I65" i="30"/>
  <c r="I48" i="30"/>
  <c r="I64" i="30"/>
  <c r="I42" i="30"/>
  <c r="I41" i="30"/>
  <c r="J15" i="32"/>
  <c r="I64" i="26"/>
  <c r="K64" i="26" s="1"/>
  <c r="I46" i="26"/>
  <c r="K46" i="26" s="1"/>
  <c r="I43" i="26"/>
  <c r="J43" i="26" s="1"/>
  <c r="I49" i="26"/>
  <c r="J49" i="26" s="1"/>
  <c r="I66" i="26"/>
  <c r="K66" i="26" s="1"/>
  <c r="I48" i="26"/>
  <c r="K48" i="26" s="1"/>
  <c r="I65" i="26"/>
  <c r="J65" i="26" s="1"/>
  <c r="I64" i="27"/>
  <c r="J64" i="27" s="1"/>
  <c r="C17" i="38"/>
  <c r="F17" i="38" s="1"/>
  <c r="I63" i="27"/>
  <c r="J63" i="27" s="1"/>
  <c r="I66" i="27"/>
  <c r="J66" i="27" s="1"/>
  <c r="I65" i="27"/>
  <c r="K65" i="27" s="1"/>
  <c r="I48" i="27"/>
  <c r="K48" i="27" s="1"/>
  <c r="C18" i="38"/>
  <c r="C19" i="38" s="1"/>
  <c r="F19" i="38" s="1"/>
  <c r="I48" i="25"/>
  <c r="I47" i="25"/>
  <c r="J47" i="25" s="1"/>
  <c r="I42" i="25"/>
  <c r="J42" i="25" s="1"/>
  <c r="I46" i="25"/>
  <c r="J46" i="25" s="1"/>
  <c r="I65" i="25"/>
  <c r="J65" i="25" s="1"/>
  <c r="I45" i="25"/>
  <c r="K45" i="25" s="1"/>
  <c r="I41" i="25"/>
  <c r="J41" i="25" s="1"/>
  <c r="K121" i="1"/>
  <c r="J7" i="1"/>
  <c r="K22" i="21"/>
  <c r="L22" i="21" s="1"/>
  <c r="K21" i="27"/>
  <c r="L21" i="27" s="1"/>
  <c r="H20" i="32"/>
  <c r="I20" i="32" s="1"/>
  <c r="K20" i="32" s="1"/>
  <c r="C16" i="38"/>
  <c r="F16" i="38" s="1"/>
  <c r="J7" i="31"/>
  <c r="L7" i="31" s="1"/>
  <c r="L38" i="27"/>
  <c r="I41" i="27"/>
  <c r="K41" i="27" s="1"/>
  <c r="H21" i="32"/>
  <c r="I21" i="32" s="1"/>
  <c r="K21" i="32" s="1"/>
  <c r="J21" i="1"/>
  <c r="L21" i="1" s="1"/>
  <c r="J20" i="21"/>
  <c r="L20" i="21" s="1"/>
  <c r="J7" i="21"/>
  <c r="L7" i="21" s="1"/>
  <c r="K21" i="21"/>
  <c r="L21" i="21" s="1"/>
  <c r="J22" i="27"/>
  <c r="L22" i="27" s="1"/>
  <c r="J7" i="25"/>
  <c r="L7" i="25" s="1"/>
  <c r="H22" i="32"/>
  <c r="I22" i="32" s="1"/>
  <c r="K22" i="32" s="1"/>
  <c r="J22" i="1"/>
  <c r="L22" i="1" s="1"/>
  <c r="K22" i="25"/>
  <c r="L22" i="25" s="1"/>
  <c r="J7" i="32"/>
  <c r="L7" i="32" s="1"/>
  <c r="L39" i="27"/>
  <c r="J41" i="21"/>
  <c r="L41" i="21" s="1"/>
  <c r="H41" i="32"/>
  <c r="I41" i="32" s="1"/>
  <c r="J41" i="32" s="1"/>
  <c r="C16" i="37"/>
  <c r="F16" i="37" s="1"/>
  <c r="E7" i="34"/>
  <c r="L70" i="32"/>
  <c r="K115" i="32"/>
  <c r="K119" i="31" s="1"/>
  <c r="L70" i="31"/>
  <c r="J100" i="32"/>
  <c r="K117" i="31"/>
  <c r="K15" i="32"/>
  <c r="J21" i="25"/>
  <c r="L21" i="25" s="1"/>
  <c r="I39" i="30"/>
  <c r="J39" i="30" s="1"/>
  <c r="C14" i="38"/>
  <c r="F14" i="38" s="1"/>
  <c r="H39" i="32"/>
  <c r="I39" i="32" s="1"/>
  <c r="J39" i="32" s="1"/>
  <c r="K18" i="30"/>
  <c r="J18" i="30"/>
  <c r="J15" i="27"/>
  <c r="K15" i="27"/>
  <c r="K15" i="30"/>
  <c r="J15" i="30"/>
  <c r="J18" i="27"/>
  <c r="K18" i="27"/>
  <c r="L20" i="25"/>
  <c r="K17" i="30"/>
  <c r="J17" i="30"/>
  <c r="K17" i="27"/>
  <c r="J17" i="27"/>
  <c r="K20" i="26"/>
  <c r="L20" i="26" s="1"/>
  <c r="K15" i="31"/>
  <c r="J15" i="31"/>
  <c r="K16" i="30"/>
  <c r="J16" i="30"/>
  <c r="J16" i="27"/>
  <c r="K16" i="27"/>
  <c r="K39" i="31"/>
  <c r="J39" i="31"/>
  <c r="L26" i="32"/>
  <c r="L23" i="30"/>
  <c r="L25" i="32"/>
  <c r="J21" i="26"/>
  <c r="L21" i="26" s="1"/>
  <c r="J22" i="26"/>
  <c r="L22" i="26" s="1"/>
  <c r="K20" i="31"/>
  <c r="L20" i="31" s="1"/>
  <c r="I16" i="1"/>
  <c r="J16" i="1" s="1"/>
  <c r="H16" i="31"/>
  <c r="I16" i="31" s="1"/>
  <c r="I18" i="21"/>
  <c r="J18" i="21" s="1"/>
  <c r="H18" i="32"/>
  <c r="I18" i="32" s="1"/>
  <c r="I17" i="1"/>
  <c r="K17" i="1" s="1"/>
  <c r="H17" i="31"/>
  <c r="I17" i="31" s="1"/>
  <c r="I18" i="1"/>
  <c r="K18" i="1" s="1"/>
  <c r="H18" i="31"/>
  <c r="I18" i="31" s="1"/>
  <c r="I16" i="21"/>
  <c r="J16" i="21" s="1"/>
  <c r="H16" i="32"/>
  <c r="I16" i="32" s="1"/>
  <c r="I17" i="21"/>
  <c r="J17" i="21" s="1"/>
  <c r="H17" i="32"/>
  <c r="I17" i="32" s="1"/>
  <c r="J41" i="26"/>
  <c r="L41" i="26" s="1"/>
  <c r="J20" i="27"/>
  <c r="L20" i="27" s="1"/>
  <c r="I24" i="1"/>
  <c r="I26" i="1"/>
  <c r="K26" i="1" s="1"/>
  <c r="I25" i="1"/>
  <c r="K25" i="1" s="1"/>
  <c r="L23" i="26"/>
  <c r="L26" i="26"/>
  <c r="C14" i="37"/>
  <c r="L21" i="30"/>
  <c r="I39" i="26"/>
  <c r="K39" i="26" s="1"/>
  <c r="L23" i="32"/>
  <c r="L20" i="30"/>
  <c r="L24" i="32"/>
  <c r="L26" i="30"/>
  <c r="L7" i="27"/>
  <c r="L24" i="30"/>
  <c r="L7" i="30"/>
  <c r="L22" i="30"/>
  <c r="K38" i="32"/>
  <c r="J38" i="32"/>
  <c r="H7" i="35"/>
  <c r="G7" i="35"/>
  <c r="J38" i="30"/>
  <c r="K38" i="30"/>
  <c r="L25" i="30"/>
  <c r="J39" i="21"/>
  <c r="K39" i="21"/>
  <c r="L24" i="26"/>
  <c r="L7" i="26"/>
  <c r="K38" i="26"/>
  <c r="J38" i="26"/>
  <c r="L25" i="26"/>
  <c r="K20" i="1"/>
  <c r="L20" i="1" s="1"/>
  <c r="K38" i="1"/>
  <c r="J38" i="1"/>
  <c r="L24" i="21"/>
  <c r="L7" i="1"/>
  <c r="C14" i="4"/>
  <c r="F14" i="4" s="1"/>
  <c r="I39" i="1"/>
  <c r="L23" i="1"/>
  <c r="L23" i="21"/>
  <c r="L25" i="21"/>
  <c r="H12" i="5"/>
  <c r="G12" i="5"/>
  <c r="L26" i="21"/>
  <c r="H13" i="5"/>
  <c r="G13" i="5"/>
  <c r="K15" i="1"/>
  <c r="J15" i="1"/>
  <c r="J15" i="21"/>
  <c r="K15" i="21"/>
  <c r="G6" i="33" l="1"/>
  <c r="O6" i="33" s="1"/>
  <c r="S4" i="33"/>
  <c r="S5" i="33"/>
  <c r="J22" i="31"/>
  <c r="K22" i="31"/>
  <c r="K21" i="31"/>
  <c r="J21" i="31"/>
  <c r="K46" i="25"/>
  <c r="L46" i="25" s="1"/>
  <c r="K18" i="21"/>
  <c r="L15" i="32"/>
  <c r="I45" i="27"/>
  <c r="J45" i="27" s="1"/>
  <c r="E14" i="35"/>
  <c r="F14" i="35" s="1"/>
  <c r="G14" i="35" s="1"/>
  <c r="F7" i="34"/>
  <c r="H7" i="34" s="1"/>
  <c r="E7" i="36"/>
  <c r="F5" i="34"/>
  <c r="G5" i="34" s="1"/>
  <c r="E5" i="36"/>
  <c r="I49" i="27"/>
  <c r="K49" i="27" s="1"/>
  <c r="E15" i="35"/>
  <c r="F15" i="35" s="1"/>
  <c r="C25" i="38"/>
  <c r="F25" i="38" s="1"/>
  <c r="E16" i="35"/>
  <c r="F16" i="35" s="1"/>
  <c r="G16" i="35" s="1"/>
  <c r="C21" i="38"/>
  <c r="F21" i="38" s="1"/>
  <c r="E11" i="35"/>
  <c r="F11" i="35" s="1"/>
  <c r="J65" i="27"/>
  <c r="L65" i="27" s="1"/>
  <c r="K64" i="27"/>
  <c r="I17" i="35"/>
  <c r="K48" i="21"/>
  <c r="L48" i="21" s="1"/>
  <c r="K41" i="25"/>
  <c r="L41" i="25" s="1"/>
  <c r="K47" i="25"/>
  <c r="L47" i="25" s="1"/>
  <c r="J47" i="21"/>
  <c r="K47" i="21"/>
  <c r="C22" i="37"/>
  <c r="F22" i="37" s="1"/>
  <c r="H66" i="25"/>
  <c r="I66" i="25" s="1"/>
  <c r="J66" i="25" s="1"/>
  <c r="I43" i="25"/>
  <c r="J43" i="25" s="1"/>
  <c r="K50" i="21"/>
  <c r="J50" i="21"/>
  <c r="J48" i="27"/>
  <c r="L48" i="27" s="1"/>
  <c r="H47" i="32"/>
  <c r="I47" i="32" s="1"/>
  <c r="J47" i="32" s="1"/>
  <c r="I47" i="26"/>
  <c r="K47" i="26" s="1"/>
  <c r="J66" i="26"/>
  <c r="L66" i="26" s="1"/>
  <c r="J46" i="26"/>
  <c r="L46" i="26" s="1"/>
  <c r="E11" i="34"/>
  <c r="C21" i="37"/>
  <c r="F21" i="37" s="1"/>
  <c r="K63" i="27"/>
  <c r="L63" i="27" s="1"/>
  <c r="K45" i="26"/>
  <c r="J45" i="26"/>
  <c r="J46" i="21"/>
  <c r="K46" i="21"/>
  <c r="K65" i="21"/>
  <c r="L65" i="21" s="1"/>
  <c r="K65" i="26"/>
  <c r="L65" i="26" s="1"/>
  <c r="I50" i="27"/>
  <c r="K50" i="27" s="1"/>
  <c r="H66" i="32"/>
  <c r="I66" i="32" s="1"/>
  <c r="J66" i="32" s="1"/>
  <c r="K66" i="21"/>
  <c r="L66" i="21" s="1"/>
  <c r="K64" i="21"/>
  <c r="L64" i="21" s="1"/>
  <c r="K49" i="26"/>
  <c r="L49" i="26" s="1"/>
  <c r="J50" i="26"/>
  <c r="L50" i="26" s="1"/>
  <c r="H50" i="32"/>
  <c r="I50" i="32" s="1"/>
  <c r="J50" i="32" s="1"/>
  <c r="H46" i="32"/>
  <c r="I46" i="32" s="1"/>
  <c r="J46" i="32" s="1"/>
  <c r="J42" i="21"/>
  <c r="L42" i="21" s="1"/>
  <c r="K49" i="21"/>
  <c r="L49" i="21" s="1"/>
  <c r="J45" i="21"/>
  <c r="L45" i="21" s="1"/>
  <c r="J45" i="25"/>
  <c r="L45" i="25" s="1"/>
  <c r="C20" i="37"/>
  <c r="F20" i="37" s="1"/>
  <c r="I42" i="27"/>
  <c r="J42" i="27" s="1"/>
  <c r="E14" i="34"/>
  <c r="C24" i="38"/>
  <c r="F24" i="38" s="1"/>
  <c r="J64" i="26"/>
  <c r="L64" i="26" s="1"/>
  <c r="K43" i="26"/>
  <c r="L43" i="26" s="1"/>
  <c r="F8" i="35"/>
  <c r="G8" i="35" s="1"/>
  <c r="H64" i="32"/>
  <c r="I64" i="32" s="1"/>
  <c r="J64" i="32" s="1"/>
  <c r="H45" i="32"/>
  <c r="I45" i="32" s="1"/>
  <c r="K45" i="32" s="1"/>
  <c r="J48" i="26"/>
  <c r="L48" i="26" s="1"/>
  <c r="H48" i="32"/>
  <c r="I48" i="32" s="1"/>
  <c r="K48" i="32" s="1"/>
  <c r="C20" i="38"/>
  <c r="F20" i="38" s="1"/>
  <c r="J25" i="1"/>
  <c r="L25" i="1" s="1"/>
  <c r="H49" i="32"/>
  <c r="I49" i="32" s="1"/>
  <c r="K49" i="32" s="1"/>
  <c r="H43" i="32"/>
  <c r="I43" i="32" s="1"/>
  <c r="K43" i="32" s="1"/>
  <c r="J43" i="21"/>
  <c r="L43" i="21" s="1"/>
  <c r="H65" i="32"/>
  <c r="I65" i="32" s="1"/>
  <c r="J65" i="32" s="1"/>
  <c r="H63" i="32"/>
  <c r="I63" i="32" s="1"/>
  <c r="I63" i="26"/>
  <c r="K64" i="30"/>
  <c r="J64" i="30"/>
  <c r="K49" i="30"/>
  <c r="J49" i="30"/>
  <c r="K63" i="30"/>
  <c r="J63" i="30"/>
  <c r="K63" i="21"/>
  <c r="J63" i="21"/>
  <c r="J41" i="30"/>
  <c r="K41" i="30"/>
  <c r="K48" i="30"/>
  <c r="J48" i="30"/>
  <c r="K66" i="30"/>
  <c r="J66" i="30"/>
  <c r="J47" i="30"/>
  <c r="K47" i="30"/>
  <c r="I42" i="26"/>
  <c r="H42" i="32"/>
  <c r="I42" i="32" s="1"/>
  <c r="K42" i="30"/>
  <c r="J42" i="30"/>
  <c r="K65" i="30"/>
  <c r="J65" i="30"/>
  <c r="K45" i="30"/>
  <c r="J45" i="30"/>
  <c r="J46" i="30"/>
  <c r="K46" i="30"/>
  <c r="K43" i="30"/>
  <c r="J43" i="30"/>
  <c r="J50" i="30"/>
  <c r="K50" i="30"/>
  <c r="L64" i="27"/>
  <c r="K42" i="25"/>
  <c r="L42" i="25" s="1"/>
  <c r="F10" i="35"/>
  <c r="G10" i="35" s="1"/>
  <c r="K48" i="25"/>
  <c r="J48" i="25"/>
  <c r="C23" i="38"/>
  <c r="F23" i="38" s="1"/>
  <c r="I43" i="27"/>
  <c r="J43" i="27" s="1"/>
  <c r="C23" i="37"/>
  <c r="F23" i="37" s="1"/>
  <c r="F18" i="38"/>
  <c r="J47" i="27"/>
  <c r="L47" i="27" s="1"/>
  <c r="K65" i="25"/>
  <c r="L65" i="25" s="1"/>
  <c r="C17" i="37"/>
  <c r="F17" i="37" s="1"/>
  <c r="E15" i="34"/>
  <c r="K66" i="27"/>
  <c r="L66" i="27" s="1"/>
  <c r="C22" i="38"/>
  <c r="F22" i="38" s="1"/>
  <c r="I46" i="27"/>
  <c r="J46" i="27" s="1"/>
  <c r="E8" i="34"/>
  <c r="E6" i="34"/>
  <c r="J20" i="32"/>
  <c r="L20" i="32" s="1"/>
  <c r="J41" i="27"/>
  <c r="L41" i="27" s="1"/>
  <c r="J21" i="32"/>
  <c r="L21" i="32" s="1"/>
  <c r="K121" i="31"/>
  <c r="K41" i="32"/>
  <c r="L41" i="32" s="1"/>
  <c r="J22" i="32"/>
  <c r="L22" i="32" s="1"/>
  <c r="L22" i="31"/>
  <c r="N70" i="31"/>
  <c r="L21" i="31"/>
  <c r="K39" i="30"/>
  <c r="L39" i="30" s="1"/>
  <c r="J18" i="1"/>
  <c r="L18" i="1" s="1"/>
  <c r="K17" i="21"/>
  <c r="L17" i="21" s="1"/>
  <c r="K39" i="32"/>
  <c r="L39" i="32" s="1"/>
  <c r="L16" i="30"/>
  <c r="K16" i="1"/>
  <c r="L16" i="1" s="1"/>
  <c r="J17" i="1"/>
  <c r="L17" i="1" s="1"/>
  <c r="C14" i="39"/>
  <c r="F14" i="39" s="1"/>
  <c r="L15" i="27"/>
  <c r="L17" i="27"/>
  <c r="L17" i="30"/>
  <c r="L18" i="30"/>
  <c r="L16" i="27"/>
  <c r="L15" i="31"/>
  <c r="L18" i="27"/>
  <c r="L15" i="30"/>
  <c r="K16" i="21"/>
  <c r="L16" i="21" s="1"/>
  <c r="I12" i="5"/>
  <c r="J26" i="1"/>
  <c r="L26" i="1" s="1"/>
  <c r="L38" i="1"/>
  <c r="L39" i="31"/>
  <c r="J39" i="26"/>
  <c r="F14" i="37"/>
  <c r="J16" i="32"/>
  <c r="K16" i="32"/>
  <c r="J18" i="32"/>
  <c r="K18" i="32"/>
  <c r="J18" i="31"/>
  <c r="K18" i="31"/>
  <c r="K17" i="32"/>
  <c r="J17" i="32"/>
  <c r="K17" i="31"/>
  <c r="J17" i="31"/>
  <c r="K16" i="31"/>
  <c r="J16" i="31"/>
  <c r="J24" i="1"/>
  <c r="K24" i="1"/>
  <c r="L38" i="26"/>
  <c r="U38" i="26" s="1"/>
  <c r="V38" i="26" s="1"/>
  <c r="L38" i="30"/>
  <c r="U38" i="30" s="1"/>
  <c r="V38" i="30" s="1"/>
  <c r="L38" i="32"/>
  <c r="U38" i="32" s="1"/>
  <c r="V38" i="32" s="1"/>
  <c r="L39" i="21"/>
  <c r="I7" i="35"/>
  <c r="H5" i="35"/>
  <c r="G5" i="35"/>
  <c r="K39" i="1"/>
  <c r="J39" i="1"/>
  <c r="I13" i="5"/>
  <c r="L18" i="21"/>
  <c r="L15" i="21"/>
  <c r="L15" i="1"/>
  <c r="S6" i="33" l="1"/>
  <c r="K45" i="27"/>
  <c r="L45" i="27" s="1"/>
  <c r="G7" i="34"/>
  <c r="I7" i="34" s="1"/>
  <c r="K47" i="32"/>
  <c r="L47" i="32" s="1"/>
  <c r="H5" i="34"/>
  <c r="G15" i="35"/>
  <c r="J49" i="27"/>
  <c r="L49" i="27" s="1"/>
  <c r="F15" i="34"/>
  <c r="E15" i="36"/>
  <c r="F14" i="34"/>
  <c r="G14" i="34" s="1"/>
  <c r="E14" i="36"/>
  <c r="F11" i="34"/>
  <c r="H11" i="34" s="1"/>
  <c r="E11" i="36"/>
  <c r="E43" i="34"/>
  <c r="B43" i="34" s="1"/>
  <c r="E6" i="36"/>
  <c r="K66" i="25"/>
  <c r="L66" i="25" s="1"/>
  <c r="F8" i="34"/>
  <c r="G8" i="34" s="1"/>
  <c r="E8" i="36"/>
  <c r="F6" i="35"/>
  <c r="H6" i="35" s="1"/>
  <c r="E43" i="35"/>
  <c r="B43" i="35" s="1"/>
  <c r="K43" i="25"/>
  <c r="L43" i="25" s="1"/>
  <c r="C18" i="37"/>
  <c r="F18" i="37" s="1"/>
  <c r="E9" i="34"/>
  <c r="H15" i="35"/>
  <c r="I15" i="35" s="1"/>
  <c r="H16" i="35"/>
  <c r="I16" i="35" s="1"/>
  <c r="J47" i="26"/>
  <c r="L47" i="26" s="1"/>
  <c r="L50" i="21"/>
  <c r="L45" i="26"/>
  <c r="L47" i="21"/>
  <c r="I49" i="25"/>
  <c r="C24" i="37"/>
  <c r="F24" i="37" s="1"/>
  <c r="K66" i="32"/>
  <c r="L66" i="32" s="1"/>
  <c r="J50" i="27"/>
  <c r="L50" i="27" s="1"/>
  <c r="L68" i="27"/>
  <c r="L46" i="21"/>
  <c r="L65" i="30"/>
  <c r="L66" i="30"/>
  <c r="K50" i="32"/>
  <c r="L50" i="32" s="1"/>
  <c r="J48" i="32"/>
  <c r="L48" i="32" s="1"/>
  <c r="K46" i="32"/>
  <c r="L46" i="32" s="1"/>
  <c r="K64" i="32"/>
  <c r="L64" i="32" s="1"/>
  <c r="K42" i="27"/>
  <c r="L42" i="27" s="1"/>
  <c r="J49" i="32"/>
  <c r="L49" i="32" s="1"/>
  <c r="J43" i="32"/>
  <c r="L43" i="32" s="1"/>
  <c r="J45" i="32"/>
  <c r="L45" i="32" s="1"/>
  <c r="H8" i="35"/>
  <c r="I8" i="35" s="1"/>
  <c r="K65" i="32"/>
  <c r="L65" i="32" s="1"/>
  <c r="K46" i="27"/>
  <c r="L46" i="27" s="1"/>
  <c r="L47" i="30"/>
  <c r="L64" i="30"/>
  <c r="L63" i="21"/>
  <c r="L68" i="21" s="1"/>
  <c r="H14" i="35"/>
  <c r="I14" i="35" s="1"/>
  <c r="I68" i="21"/>
  <c r="D5" i="20" s="1"/>
  <c r="L49" i="30"/>
  <c r="K63" i="26"/>
  <c r="J63" i="26"/>
  <c r="J42" i="32"/>
  <c r="K42" i="32"/>
  <c r="J63" i="32"/>
  <c r="K63" i="32"/>
  <c r="L50" i="30"/>
  <c r="L46" i="30"/>
  <c r="K42" i="26"/>
  <c r="J42" i="26"/>
  <c r="L41" i="30"/>
  <c r="I68" i="30"/>
  <c r="D5" i="29" s="1"/>
  <c r="L63" i="30"/>
  <c r="L43" i="30"/>
  <c r="L45" i="30"/>
  <c r="L42" i="30"/>
  <c r="L48" i="30"/>
  <c r="H10" i="35"/>
  <c r="I10" i="35" s="1"/>
  <c r="F26" i="38"/>
  <c r="B5" i="29" s="1"/>
  <c r="G11" i="35"/>
  <c r="H11" i="35"/>
  <c r="F9" i="35"/>
  <c r="L48" i="25"/>
  <c r="I68" i="27"/>
  <c r="D4" i="29" s="1"/>
  <c r="G15" i="34"/>
  <c r="K43" i="27"/>
  <c r="L43" i="27" s="1"/>
  <c r="F6" i="34"/>
  <c r="H6" i="34" s="1"/>
  <c r="I17" i="34"/>
  <c r="I51" i="30"/>
  <c r="C5" i="29" s="1"/>
  <c r="I51" i="21"/>
  <c r="C5" i="20" s="1"/>
  <c r="L39" i="26"/>
  <c r="L16" i="32"/>
  <c r="L17" i="32"/>
  <c r="L18" i="32"/>
  <c r="L17" i="31"/>
  <c r="L39" i="1"/>
  <c r="L25" i="31"/>
  <c r="L26" i="31"/>
  <c r="L18" i="31"/>
  <c r="L16" i="31"/>
  <c r="I5" i="34"/>
  <c r="I5" i="35"/>
  <c r="L24" i="1"/>
  <c r="L24" i="31"/>
  <c r="G6" i="35" l="1"/>
  <c r="G11" i="34"/>
  <c r="I11" i="34" s="1"/>
  <c r="E5" i="20"/>
  <c r="H15" i="34"/>
  <c r="I15" i="34" s="1"/>
  <c r="D6" i="29"/>
  <c r="E5" i="29"/>
  <c r="H14" i="34"/>
  <c r="I14" i="34" s="1"/>
  <c r="L51" i="21"/>
  <c r="L69" i="21" s="1"/>
  <c r="F5" i="20" s="1"/>
  <c r="I5" i="20" s="1"/>
  <c r="F9" i="34"/>
  <c r="G9" i="34" s="1"/>
  <c r="E9" i="36"/>
  <c r="H8" i="34"/>
  <c r="I8" i="34" s="1"/>
  <c r="E10" i="34"/>
  <c r="C19" i="37"/>
  <c r="F19" i="37" s="1"/>
  <c r="K49" i="25"/>
  <c r="J49" i="25"/>
  <c r="I50" i="25"/>
  <c r="C25" i="37"/>
  <c r="F25" i="37" s="1"/>
  <c r="E16" i="34"/>
  <c r="L68" i="30"/>
  <c r="I51" i="32"/>
  <c r="L51" i="30"/>
  <c r="I68" i="32"/>
  <c r="L63" i="32"/>
  <c r="L68" i="32" s="1"/>
  <c r="L42" i="26"/>
  <c r="L51" i="26" s="1"/>
  <c r="L63" i="26"/>
  <c r="L68" i="26" s="1"/>
  <c r="I68" i="26"/>
  <c r="D5" i="28" s="1"/>
  <c r="I51" i="26"/>
  <c r="L42" i="32"/>
  <c r="L51" i="32" s="1"/>
  <c r="B4" i="29"/>
  <c r="B6" i="29" s="1"/>
  <c r="I11" i="35"/>
  <c r="G9" i="35"/>
  <c r="H9" i="35"/>
  <c r="I51" i="27"/>
  <c r="C4" i="29" s="1"/>
  <c r="C6" i="29" s="1"/>
  <c r="L51" i="27"/>
  <c r="L69" i="27" s="1"/>
  <c r="L71" i="27" s="1"/>
  <c r="I69" i="30"/>
  <c r="J71" i="30" s="1"/>
  <c r="G6" i="34"/>
  <c r="I69" i="21"/>
  <c r="J71" i="21" s="1"/>
  <c r="I6" i="35"/>
  <c r="L69" i="30" l="1"/>
  <c r="L71" i="30" s="1"/>
  <c r="E4" i="29"/>
  <c r="E6" i="29" s="1"/>
  <c r="D5" i="33"/>
  <c r="H9" i="34"/>
  <c r="I9" i="34" s="1"/>
  <c r="F16" i="34"/>
  <c r="E16" i="36"/>
  <c r="F10" i="34"/>
  <c r="E10" i="36"/>
  <c r="F26" i="37"/>
  <c r="B5" i="28" s="1"/>
  <c r="L71" i="21"/>
  <c r="L49" i="25"/>
  <c r="K50" i="25"/>
  <c r="J50" i="25"/>
  <c r="L50" i="25" s="1"/>
  <c r="I69" i="32"/>
  <c r="N69" i="32" s="1"/>
  <c r="L69" i="32"/>
  <c r="L71" i="32" s="1"/>
  <c r="I6" i="34"/>
  <c r="L69" i="26"/>
  <c r="F5" i="28" s="1"/>
  <c r="I5" i="28" s="1"/>
  <c r="F4" i="29"/>
  <c r="I4" i="29" s="1"/>
  <c r="C5" i="28"/>
  <c r="E5" i="28" s="1"/>
  <c r="I69" i="26"/>
  <c r="J71" i="26" s="1"/>
  <c r="I9" i="35"/>
  <c r="I18" i="35" s="1"/>
  <c r="I69" i="27"/>
  <c r="F27" i="38" s="1"/>
  <c r="F5" i="29" l="1"/>
  <c r="I5" i="29" s="1"/>
  <c r="I5" i="33" s="1"/>
  <c r="H16" i="34"/>
  <c r="F5" i="33"/>
  <c r="G16" i="34"/>
  <c r="I16" i="34" s="1"/>
  <c r="B4" i="28"/>
  <c r="B6" i="28" s="1"/>
  <c r="G10" i="34"/>
  <c r="H10" i="34"/>
  <c r="J6" i="29"/>
  <c r="I51" i="25"/>
  <c r="C4" i="28" s="1"/>
  <c r="C6" i="28" s="1"/>
  <c r="L51" i="25"/>
  <c r="L71" i="26"/>
  <c r="C5" i="33"/>
  <c r="R5" i="33" l="1"/>
  <c r="N5" i="33"/>
  <c r="T5" i="33"/>
  <c r="P5" i="33"/>
  <c r="F6" i="29"/>
  <c r="I6" i="29"/>
  <c r="I10" i="34"/>
  <c r="I18" i="34"/>
  <c r="E5" i="33"/>
  <c r="C16" i="4"/>
  <c r="F16" i="4" s="1"/>
  <c r="F9" i="36"/>
  <c r="H46" i="31"/>
  <c r="I46" i="31" s="1"/>
  <c r="C20" i="4"/>
  <c r="C20" i="39" s="1"/>
  <c r="F20" i="39" s="1"/>
  <c r="C17" i="4"/>
  <c r="C17" i="39" s="1"/>
  <c r="F17" i="39" s="1"/>
  <c r="C22" i="4"/>
  <c r="F22" i="4" s="1"/>
  <c r="H49" i="31"/>
  <c r="I49" i="31" s="1"/>
  <c r="K49" i="31" s="1"/>
  <c r="F15" i="36"/>
  <c r="G15" i="36" s="1"/>
  <c r="H43" i="31"/>
  <c r="I43" i="31" s="1"/>
  <c r="C23" i="4"/>
  <c r="F23" i="4" s="1"/>
  <c r="H45" i="31"/>
  <c r="I45" i="31" s="1"/>
  <c r="I47" i="1"/>
  <c r="J47" i="1" s="1"/>
  <c r="H50" i="31"/>
  <c r="I50" i="31" s="1"/>
  <c r="J50" i="31" s="1"/>
  <c r="H48" i="31"/>
  <c r="I48" i="31" s="1"/>
  <c r="C21" i="4"/>
  <c r="F21" i="4" s="1"/>
  <c r="H42" i="31"/>
  <c r="I42" i="31" s="1"/>
  <c r="J42" i="31" s="1"/>
  <c r="C18" i="4"/>
  <c r="C18" i="39" s="1"/>
  <c r="F18" i="39" s="1"/>
  <c r="C24" i="4"/>
  <c r="F24" i="4" s="1"/>
  <c r="C25" i="4"/>
  <c r="C25" i="39" s="1"/>
  <c r="F25" i="39" s="1"/>
  <c r="F7" i="5"/>
  <c r="H65" i="31"/>
  <c r="I65" i="31" s="1"/>
  <c r="I50" i="1"/>
  <c r="J50" i="1" s="1"/>
  <c r="I42" i="1"/>
  <c r="J42" i="1" s="1"/>
  <c r="I46" i="1"/>
  <c r="J46" i="1" s="1"/>
  <c r="I48" i="1"/>
  <c r="H41" i="31"/>
  <c r="I41" i="31" s="1"/>
  <c r="J41" i="31" s="1"/>
  <c r="F8" i="36"/>
  <c r="H47" i="31"/>
  <c r="I47" i="31" s="1"/>
  <c r="I43" i="1"/>
  <c r="J43" i="1" s="1"/>
  <c r="I63" i="1"/>
  <c r="I45" i="1"/>
  <c r="K45" i="1" s="1"/>
  <c r="I41" i="1"/>
  <c r="K41" i="1" s="1"/>
  <c r="I49" i="1"/>
  <c r="K49" i="1" s="1"/>
  <c r="C16" i="39" l="1"/>
  <c r="F16" i="39" s="1"/>
  <c r="C24" i="39"/>
  <c r="F24" i="39" s="1"/>
  <c r="C21" i="39"/>
  <c r="F21" i="39" s="1"/>
  <c r="K47" i="1"/>
  <c r="L47" i="1" s="1"/>
  <c r="K43" i="1"/>
  <c r="L43" i="1" s="1"/>
  <c r="K46" i="1"/>
  <c r="L46" i="1" s="1"/>
  <c r="J49" i="1"/>
  <c r="L49" i="1" s="1"/>
  <c r="I65" i="1"/>
  <c r="J65" i="1" s="1"/>
  <c r="F8" i="5"/>
  <c r="G8" i="5" s="1"/>
  <c r="I64" i="1"/>
  <c r="K64" i="1" s="1"/>
  <c r="K42" i="1"/>
  <c r="L42" i="1" s="1"/>
  <c r="F15" i="5"/>
  <c r="C23" i="39"/>
  <c r="F23" i="39" s="1"/>
  <c r="F9" i="5"/>
  <c r="H9" i="5" s="1"/>
  <c r="G7" i="5"/>
  <c r="H7" i="5"/>
  <c r="F25" i="4"/>
  <c r="F18" i="4"/>
  <c r="F17" i="4"/>
  <c r="C19" i="4"/>
  <c r="F19" i="4" s="1"/>
  <c r="F7" i="36"/>
  <c r="G7" i="36" s="1"/>
  <c r="F5" i="5"/>
  <c r="F20" i="4"/>
  <c r="J47" i="31"/>
  <c r="K47" i="31"/>
  <c r="K45" i="31"/>
  <c r="J45" i="31"/>
  <c r="G8" i="36"/>
  <c r="H8" i="36"/>
  <c r="J48" i="31"/>
  <c r="K48" i="31"/>
  <c r="J43" i="31"/>
  <c r="K43" i="31"/>
  <c r="J65" i="31"/>
  <c r="K65" i="31"/>
  <c r="G9" i="36"/>
  <c r="K41" i="31"/>
  <c r="L41" i="31" s="1"/>
  <c r="H9" i="36"/>
  <c r="K50" i="1"/>
  <c r="L50" i="1" s="1"/>
  <c r="F16" i="36"/>
  <c r="F16" i="5"/>
  <c r="J46" i="31"/>
  <c r="K63" i="1"/>
  <c r="J48" i="1"/>
  <c r="J49" i="31"/>
  <c r="L49" i="31" s="1"/>
  <c r="F5" i="36"/>
  <c r="J45" i="1"/>
  <c r="L45" i="1" s="1"/>
  <c r="H66" i="31"/>
  <c r="I66" i="31" s="1"/>
  <c r="I66" i="1"/>
  <c r="J63" i="1"/>
  <c r="K48" i="1"/>
  <c r="K42" i="31"/>
  <c r="F11" i="36"/>
  <c r="F11" i="5"/>
  <c r="K50" i="31"/>
  <c r="L50" i="31" s="1"/>
  <c r="F14" i="36"/>
  <c r="F14" i="5"/>
  <c r="C22" i="39"/>
  <c r="F22" i="39" s="1"/>
  <c r="K46" i="31"/>
  <c r="H15" i="36"/>
  <c r="I15" i="36" s="1"/>
  <c r="J41" i="1"/>
  <c r="L41" i="1" s="1"/>
  <c r="G5" i="5" l="1"/>
  <c r="H15" i="5"/>
  <c r="H8" i="5"/>
  <c r="H5" i="5"/>
  <c r="I7" i="5"/>
  <c r="K65" i="1"/>
  <c r="L65" i="1" s="1"/>
  <c r="G15" i="5"/>
  <c r="F26" i="4"/>
  <c r="B4" i="20" s="1"/>
  <c r="J64" i="1"/>
  <c r="L64" i="1" s="1"/>
  <c r="H7" i="36"/>
  <c r="I7" i="36" s="1"/>
  <c r="C19" i="39"/>
  <c r="F19" i="39" s="1"/>
  <c r="F26" i="39" s="1"/>
  <c r="G9" i="5"/>
  <c r="I9" i="5" s="1"/>
  <c r="I51" i="31"/>
  <c r="L48" i="1"/>
  <c r="L51" i="1" s="1"/>
  <c r="L65" i="31"/>
  <c r="L43" i="31"/>
  <c r="I8" i="5"/>
  <c r="I9" i="36"/>
  <c r="F10" i="36"/>
  <c r="F10" i="5"/>
  <c r="I8" i="36"/>
  <c r="L45" i="31"/>
  <c r="L48" i="31"/>
  <c r="L46" i="31"/>
  <c r="L42" i="31"/>
  <c r="L47" i="31"/>
  <c r="H5" i="36"/>
  <c r="G5" i="36"/>
  <c r="H11" i="5"/>
  <c r="G11" i="5"/>
  <c r="K66" i="1"/>
  <c r="J66" i="1"/>
  <c r="H14" i="5"/>
  <c r="G14" i="5"/>
  <c r="K66" i="31"/>
  <c r="J66" i="31"/>
  <c r="H16" i="5"/>
  <c r="G16" i="5"/>
  <c r="I51" i="1"/>
  <c r="C4" i="20" s="1"/>
  <c r="C6" i="20" s="1"/>
  <c r="F6" i="5"/>
  <c r="E43" i="5"/>
  <c r="B43" i="5" s="1"/>
  <c r="A25" i="5" s="1"/>
  <c r="I17" i="5"/>
  <c r="H11" i="36"/>
  <c r="G11" i="36"/>
  <c r="G14" i="36"/>
  <c r="H14" i="36"/>
  <c r="L63" i="1"/>
  <c r="H16" i="36"/>
  <c r="G16" i="36"/>
  <c r="I5" i="5" l="1"/>
  <c r="I15" i="5"/>
  <c r="B5" i="20"/>
  <c r="B5" i="33" s="1"/>
  <c r="I68" i="1"/>
  <c r="D4" i="20" s="1"/>
  <c r="I11" i="5"/>
  <c r="L51" i="31"/>
  <c r="I16" i="5"/>
  <c r="H10" i="5"/>
  <c r="G10" i="5"/>
  <c r="I14" i="5"/>
  <c r="G10" i="36"/>
  <c r="H10" i="36"/>
  <c r="I5" i="36"/>
  <c r="I11" i="36"/>
  <c r="I16" i="36"/>
  <c r="I14" i="36"/>
  <c r="H6" i="5"/>
  <c r="G6" i="5"/>
  <c r="F6" i="36"/>
  <c r="E43" i="36"/>
  <c r="B43" i="36" s="1"/>
  <c r="A25" i="36" s="1"/>
  <c r="I17" i="36"/>
  <c r="L66" i="31"/>
  <c r="L66" i="1"/>
  <c r="L68" i="1" s="1"/>
  <c r="L69" i="1" s="1"/>
  <c r="B6" i="20"/>
  <c r="B4" i="33"/>
  <c r="F18" i="5" l="1"/>
  <c r="B6" i="33"/>
  <c r="I69" i="1"/>
  <c r="F27" i="39" s="1"/>
  <c r="D6" i="20"/>
  <c r="E4" i="20"/>
  <c r="I10" i="5"/>
  <c r="I10" i="36"/>
  <c r="I6" i="5"/>
  <c r="F4" i="20"/>
  <c r="L71" i="1"/>
  <c r="G6" i="36"/>
  <c r="H6" i="36"/>
  <c r="C4" i="33"/>
  <c r="C6" i="33" s="1"/>
  <c r="F18" i="36" l="1"/>
  <c r="F27" i="4"/>
  <c r="I4" i="20"/>
  <c r="E6" i="20"/>
  <c r="J6" i="20" s="1"/>
  <c r="I18" i="5"/>
  <c r="I6" i="36"/>
  <c r="I18" i="36" s="1"/>
  <c r="F6" i="20"/>
  <c r="H64" i="31"/>
  <c r="I64" i="31" s="1"/>
  <c r="I63" i="25"/>
  <c r="I64" i="25"/>
  <c r="K64" i="25" s="1"/>
  <c r="I6" i="20" l="1"/>
  <c r="J64" i="25"/>
  <c r="L64" i="25" s="1"/>
  <c r="J63" i="25"/>
  <c r="K63" i="25"/>
  <c r="J64" i="31"/>
  <c r="H63" i="31"/>
  <c r="I63" i="31" s="1"/>
  <c r="K64" i="31"/>
  <c r="I68" i="25" l="1"/>
  <c r="D4" i="28" s="1"/>
  <c r="L64" i="31"/>
  <c r="K63" i="31"/>
  <c r="J63" i="31"/>
  <c r="L63" i="25"/>
  <c r="L68" i="25" s="1"/>
  <c r="L69" i="25" s="1"/>
  <c r="I69" i="25" l="1"/>
  <c r="F27" i="37" s="1"/>
  <c r="D6" i="28"/>
  <c r="E4" i="28"/>
  <c r="E6" i="28" s="1"/>
  <c r="J6" i="28" s="1"/>
  <c r="L63" i="31"/>
  <c r="L68" i="31" s="1"/>
  <c r="L69" i="31" s="1"/>
  <c r="L71" i="31" s="1"/>
  <c r="I68" i="31"/>
  <c r="I69" i="31" s="1"/>
  <c r="M69" i="31" s="1"/>
  <c r="F4" i="28"/>
  <c r="L71" i="25"/>
  <c r="D4" i="33"/>
  <c r="D6" i="33" s="1"/>
  <c r="I4" i="28" l="1"/>
  <c r="I4" i="33" s="1"/>
  <c r="N69" i="31"/>
  <c r="E4" i="33"/>
  <c r="E6" i="33" s="1"/>
  <c r="J6" i="33" s="1"/>
  <c r="F4" i="33"/>
  <c r="F6" i="28"/>
  <c r="R4" i="33" l="1"/>
  <c r="N4" i="33"/>
  <c r="I6" i="33"/>
  <c r="T4" i="33"/>
  <c r="P4" i="33"/>
  <c r="I6" i="28"/>
  <c r="F6" i="33"/>
  <c r="R6" i="33" l="1"/>
  <c r="N6" i="33"/>
  <c r="T6" i="33"/>
  <c r="P6" i="33"/>
  <c r="X19" i="24"/>
  <c r="Z19" i="24" s="1"/>
  <c r="X20" i="24"/>
  <c r="Z20" i="24" s="1"/>
  <c r="X24" i="24"/>
  <c r="Y24" i="24" s="1"/>
  <c r="X32" i="24"/>
  <c r="Z32" i="24" s="1"/>
  <c r="X27" i="24"/>
  <c r="Z27" i="24" s="1"/>
  <c r="X31" i="24"/>
  <c r="Y31" i="24" s="1"/>
  <c r="X28" i="24"/>
  <c r="Z28" i="24" s="1"/>
  <c r="X23" i="24"/>
  <c r="Z23" i="24" s="1"/>
  <c r="AG19" i="24"/>
  <c r="AH19" i="24" s="1"/>
  <c r="AG31" i="24"/>
  <c r="AH31" i="24" s="1"/>
  <c r="AG20" i="24"/>
  <c r="AH20" i="24" s="1"/>
  <c r="AG32" i="24"/>
  <c r="AI32" i="24" s="1"/>
  <c r="AG23" i="24"/>
  <c r="AH23" i="24" s="1"/>
  <c r="AG28" i="24"/>
  <c r="AH28" i="24" s="1"/>
  <c r="AG27" i="24"/>
  <c r="AH27" i="24" s="1"/>
  <c r="AG24" i="24"/>
  <c r="AI24" i="24" s="1"/>
  <c r="Z11" i="24"/>
  <c r="Y11" i="24"/>
  <c r="AE8" i="24"/>
  <c r="X11" i="24"/>
  <c r="AI11" i="24"/>
  <c r="AG11" i="24"/>
  <c r="AN8" i="24"/>
  <c r="AH15" i="24"/>
  <c r="AH11" i="24"/>
  <c r="AG15" i="24"/>
  <c r="AI15" i="24"/>
  <c r="E11" i="33"/>
  <c r="G11" i="33"/>
  <c r="Z12" i="24"/>
  <c r="Y12" i="24"/>
  <c r="AE9" i="24"/>
  <c r="X12" i="24"/>
  <c r="AI12" i="24"/>
  <c r="AH12" i="24"/>
  <c r="AN9" i="24"/>
  <c r="AG12" i="24"/>
  <c r="AH16" i="24"/>
  <c r="AI16" i="24"/>
  <c r="AG16" i="24"/>
  <c r="E12" i="33"/>
  <c r="G12" i="33"/>
  <c r="Z31" i="24" l="1"/>
  <c r="Y20" i="24"/>
  <c r="AI28" i="24"/>
  <c r="Z24" i="24"/>
  <c r="AI31" i="24"/>
  <c r="Y32" i="24"/>
  <c r="AH32" i="24"/>
  <c r="Y23" i="24"/>
  <c r="AI27" i="24"/>
  <c r="AI20" i="24"/>
  <c r="Y28" i="24"/>
  <c r="AI23" i="24"/>
  <c r="AI19" i="24"/>
  <c r="Y27" i="24"/>
  <c r="Y19" i="24"/>
  <c r="AH24" i="24"/>
  <c r="E112" i="19" l="1"/>
  <c r="E118" i="19"/>
  <c r="E119" i="19"/>
  <c r="E113" i="19"/>
  <c r="E117" i="19" l="1"/>
  <c r="E123"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tc={9230BB9D-2083-402C-8881-41BD6C53B3EC}</author>
    <author>tc={01DC1C8C-6120-4B32-842F-B5005EB54D0B}</author>
  </authors>
  <commentList>
    <comment ref="F93" authorId="0" shapeId="0" xr:uid="{9230BB9D-2083-402C-8881-41BD6C53B3EC}">
      <text>
        <t>[Threaded comment]
Your version of Excel allows you to read this threaded comment; however, any edits to it will get removed if the file is opened in a newer version of Excel. Learn more: https://go.microsoft.com/fwlink/?linkid=870924
Comment:
    this should total 372</t>
      </text>
    </comment>
    <comment ref="F111" authorId="1" shapeId="0" xr:uid="{01DC1C8C-6120-4B32-842F-B5005EB54D0B}">
      <text>
        <t>[Threaded comment]
Your version of Excel allows you to read this threaded comment; however, any edits to it will get removed if the file is opened in a newer version of Excel. Learn more: https://go.microsoft.com/fwlink/?linkid=870924
Comment:
    this should total 372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tc={DF89125D-D83C-49DA-A6E7-73C491C327DE}</author>
  </authors>
  <commentList>
    <comment ref="V2" authorId="0" shapeId="0" xr:uid="{DF89125D-D83C-49DA-A6E7-73C491C327DE}">
      <text>
        <t>[Threaded comment]
Your version of Excel allows you to read this threaded comment; however, any edits to it will get removed if the file is opened in a newer version of Excel. Learn more: https://go.microsoft.com/fwlink/?linkid=870924
Comment:
    Updated % per email from Sarah Benish on 12/11/23</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tc={205C828D-3AC1-4129-9D8A-0709D27DA40F}</author>
  </authors>
  <commentList>
    <comment ref="V2" authorId="0" shapeId="0" xr:uid="{205C828D-3AC1-4129-9D8A-0709D27DA40F}">
      <text>
        <t>[Threaded comment]
Your version of Excel allows you to read this threaded comment; however, any edits to it will get removed if the file is opened in a newer version of Excel. Learn more: https://go.microsoft.com/fwlink/?linkid=870924
Comment:
    Updated % per email from Sarah Benish on 12/11/23</t>
      </text>
    </comment>
  </commentList>
</comments>
</file>

<file path=xl/sharedStrings.xml><?xml version="1.0" encoding="utf-8"?>
<sst xmlns="http://schemas.openxmlformats.org/spreadsheetml/2006/main" count="3432" uniqueCount="493">
  <si>
    <t>Overview - Number of Facilities and CEMS/CPMS Subject to ICR</t>
  </si>
  <si>
    <t>Cells highlighted in blue denote values updated by ERG. All other cells use values EPA provided from calculations for the previous ICR.</t>
  </si>
  <si>
    <t>Number of Facilities Subject to ICR</t>
  </si>
  <si>
    <t>Year 1</t>
  </si>
  <si>
    <t>Year 2</t>
  </si>
  <si>
    <t>Year 3</t>
  </si>
  <si>
    <t>Existing Facilities</t>
  </si>
  <si>
    <t>New Facilities</t>
  </si>
  <si>
    <t>Number of CEMS/CPMS Subject to ICR</t>
  </si>
  <si>
    <t>HAP</t>
  </si>
  <si>
    <t>A. Existing CEMS</t>
  </si>
  <si>
    <t>PM</t>
  </si>
  <si>
    <t>N/A</t>
  </si>
  <si>
    <t>Updated formulas to address changes to cells E70:M87 (changes to existing inventory per OAQPS)</t>
  </si>
  <si>
    <t>HCl</t>
  </si>
  <si>
    <t xml:space="preserve">Hg </t>
  </si>
  <si>
    <t>HF</t>
  </si>
  <si>
    <t>Total Existing CEMS/CPMS</t>
  </si>
  <si>
    <t>B. New CEMS</t>
  </si>
  <si>
    <t>Updated formulas to address changes to cells E70:M87 (no new sources)</t>
  </si>
  <si>
    <t>Hg</t>
  </si>
  <si>
    <t>Total New CEMS/CPMS</t>
  </si>
  <si>
    <t>C. Total CEMS in Operation</t>
  </si>
  <si>
    <t>Total CEMS/CPMS</t>
  </si>
  <si>
    <t>Average CEMS/CPMS per Facility</t>
  </si>
  <si>
    <t>Supporting Information</t>
  </si>
  <si>
    <t>ICR Year</t>
  </si>
  <si>
    <t>SO2</t>
  </si>
  <si>
    <t>Notes</t>
  </si>
  <si>
    <t>EGU Type</t>
  </si>
  <si>
    <t>New</t>
  </si>
  <si>
    <t>Existing</t>
  </si>
  <si>
    <t>M5, M202</t>
  </si>
  <si>
    <t>M29</t>
  </si>
  <si>
    <t>M320</t>
  </si>
  <si>
    <t>M6A</t>
  </si>
  <si>
    <t>M30B</t>
  </si>
  <si>
    <t>Calculations for 2137.06</t>
  </si>
  <si>
    <t>Coal-fired &gt;8,300</t>
  </si>
  <si>
    <t xml:space="preserve">M5 and M202 are most expensive for total PM; HCl testing more expensive than SO2; Hg testing is required </t>
  </si>
  <si>
    <t>Coal-fired &lt;8,300</t>
  </si>
  <si>
    <t>IGCC</t>
  </si>
  <si>
    <t>liq oil-fired</t>
  </si>
  <si>
    <t>All sources must use M29 for Hg; assumed would use for total HAP metals as well; M320 required for HF and HCl; no SO2 required</t>
  </si>
  <si>
    <t>solid oil-fired</t>
  </si>
  <si>
    <t>Total</t>
  </si>
  <si>
    <t>Calculations for 2137.07</t>
  </si>
  <si>
    <t>Calculations for 2137.08</t>
  </si>
  <si>
    <t>Updated existing unit counts based on data provided by OAQPS for RTR, with no new units for next 3 year prd</t>
  </si>
  <si>
    <t>Revised # of units with CEMS/CPMS based on data provided by OAQPS, see %CEMSCPMSvstesting tab</t>
  </si>
  <si>
    <t>Calculations for 2137.12 (2024)</t>
  </si>
  <si>
    <t>Not really new sources but units that are required to install PM CEMS divided by 3; all units must install PM CEMS over the course of this ICR (32% of units)</t>
  </si>
  <si>
    <t>For unit counts, assuming 96% of total 314 coal-fired units are &gt;8,300 and 4% are &lt;8,300</t>
  </si>
  <si>
    <t>For unit counts, assuming 88% of total 58 O/G steam units are liquid oil fired and 12% are solid oil-fired</t>
  </si>
  <si>
    <t>Calculations for 2137.12 (2025)</t>
  </si>
  <si>
    <t>Change in rule to no longer require the installation of PM CEMS</t>
  </si>
  <si>
    <t>PM CEMS Units</t>
  </si>
  <si>
    <t>Total facilities</t>
  </si>
  <si>
    <t>private</t>
  </si>
  <si>
    <t>public</t>
  </si>
  <si>
    <t>PM CEMS units per facility</t>
  </si>
  <si>
    <t>facilities</t>
  </si>
  <si>
    <t>new PM CEMS units</t>
  </si>
  <si>
    <t>new PM CEMS</t>
  </si>
  <si>
    <t>units</t>
  </si>
  <si>
    <t>Total facilities with new PM CEMS per year</t>
  </si>
  <si>
    <t>Total EGUs per year</t>
  </si>
  <si>
    <t xml:space="preserve">existing </t>
  </si>
  <si>
    <t>EGUs</t>
  </si>
  <si>
    <t xml:space="preserve">Table 1a: Annual Respondent Burden and Cost for Private Facilities – NESHAP for Coal- and Oil-Fired Electric Utility Steam Generating Units (40 CFR Part 63, Subpart UUUUU) </t>
  </si>
  <si>
    <t>Burden Item</t>
  </si>
  <si>
    <t>A</t>
  </si>
  <si>
    <t>B</t>
  </si>
  <si>
    <t>C</t>
  </si>
  <si>
    <t>D</t>
  </si>
  <si>
    <t>E</t>
  </si>
  <si>
    <t>F</t>
  </si>
  <si>
    <t>G</t>
  </si>
  <si>
    <t>H</t>
  </si>
  <si>
    <t>Technical person-hours per occurrence</t>
  </si>
  <si>
    <t>No. of occurrences per respondent per year</t>
  </si>
  <si>
    <t>Technical person-hours per respondent per year (AxB)</t>
  </si>
  <si>
    <r>
      <t xml:space="preserve">Respondents per year </t>
    </r>
    <r>
      <rPr>
        <b/>
        <vertAlign val="superscript"/>
        <sz val="10"/>
        <rFont val="Calibri"/>
        <family val="2"/>
        <scheme val="minor"/>
      </rPr>
      <t>a</t>
    </r>
  </si>
  <si>
    <t>Technical hours per year (CxD)</t>
  </si>
  <si>
    <t>Management hours per year  (Ex0.05)</t>
  </si>
  <si>
    <t>Clerical hours per year (Ex0.10)</t>
  </si>
  <si>
    <r>
      <t xml:space="preserve">Total cost per year ($) </t>
    </r>
    <r>
      <rPr>
        <b/>
        <vertAlign val="superscript"/>
        <sz val="10"/>
        <rFont val="Calibri"/>
        <family val="2"/>
        <scheme val="minor"/>
      </rPr>
      <t>b</t>
    </r>
  </si>
  <si>
    <t>relative response audit (RRA) and response correlation audit (RCA)</t>
  </si>
  <si>
    <t>1. Applications</t>
  </si>
  <si>
    <t>2. Surveys and studies</t>
  </si>
  <si>
    <t>3.  Acquisition, installation, and utilization of technology and systems</t>
  </si>
  <si>
    <t>4. Report requirements</t>
  </si>
  <si>
    <t>A. Familiarization with regulatory requirements</t>
  </si>
  <si>
    <t>facility</t>
  </si>
  <si>
    <t>B. Required activities</t>
  </si>
  <si>
    <t>Existing sources</t>
  </si>
  <si>
    <r>
      <t xml:space="preserve">Annual performance test (PM, Method 5) </t>
    </r>
    <r>
      <rPr>
        <vertAlign val="superscript"/>
        <sz val="10"/>
        <rFont val="Calibri"/>
        <family val="2"/>
        <scheme val="minor"/>
      </rPr>
      <t>c</t>
    </r>
  </si>
  <si>
    <t>EGU</t>
  </si>
  <si>
    <t>PM stack test</t>
  </si>
  <si>
    <r>
      <t xml:space="preserve">Annual performance test (HCl, Method 320) </t>
    </r>
    <r>
      <rPr>
        <vertAlign val="superscript"/>
        <sz val="10"/>
        <rFont val="Calibri"/>
        <family val="2"/>
        <scheme val="minor"/>
      </rPr>
      <t>c</t>
    </r>
  </si>
  <si>
    <r>
      <t xml:space="preserve">Annual performance test (Hg, Method 30B) </t>
    </r>
    <r>
      <rPr>
        <vertAlign val="superscript"/>
        <sz val="10"/>
        <rFont val="Calibri"/>
        <family val="2"/>
        <scheme val="minor"/>
      </rPr>
      <t>c</t>
    </r>
  </si>
  <si>
    <r>
      <t xml:space="preserve">CEMS quarterly inspections </t>
    </r>
    <r>
      <rPr>
        <vertAlign val="superscript"/>
        <sz val="10"/>
        <rFont val="Calibri"/>
        <family val="2"/>
        <scheme val="minor"/>
      </rPr>
      <t>d</t>
    </r>
  </si>
  <si>
    <r>
      <t xml:space="preserve">CEMS daily calibration drift tests </t>
    </r>
    <r>
      <rPr>
        <vertAlign val="superscript"/>
        <sz val="10"/>
        <rFont val="Calibri"/>
        <family val="2"/>
        <scheme val="minor"/>
      </rPr>
      <t>d</t>
    </r>
  </si>
  <si>
    <r>
      <t xml:space="preserve">CEMS daily monitoring </t>
    </r>
    <r>
      <rPr>
        <vertAlign val="superscript"/>
        <sz val="10"/>
        <rFont val="Calibri"/>
        <family val="2"/>
        <scheme val="minor"/>
      </rPr>
      <t>d</t>
    </r>
  </si>
  <si>
    <r>
      <t xml:space="preserve">All CEMS must follow appropriate performance specifications </t>
    </r>
    <r>
      <rPr>
        <vertAlign val="superscript"/>
        <sz val="10"/>
        <rFont val="Calibri"/>
        <family val="2"/>
        <scheme val="minor"/>
      </rPr>
      <t>d</t>
    </r>
  </si>
  <si>
    <t>New PM CEMS sources</t>
  </si>
  <si>
    <t>Initial performance test (PM, Method 5)</t>
  </si>
  <si>
    <t>Method 5 would only be used for initial correlations, RRAs and RCAs.</t>
  </si>
  <si>
    <t>Initial performance test (HCl, Method 320)</t>
  </si>
  <si>
    <t>Initial performance test  (Hg, Method 30B)</t>
  </si>
  <si>
    <t>CEMS quarterly inspections</t>
  </si>
  <si>
    <t>CEMS daily calibration drift tests</t>
  </si>
  <si>
    <t>CEMS daily monitoring</t>
  </si>
  <si>
    <t>All CEMS must follow appropriate performance specifications</t>
  </si>
  <si>
    <t>C. Create information</t>
  </si>
  <si>
    <t>See 4B</t>
  </si>
  <si>
    <t>D. Gather existing information</t>
  </si>
  <si>
    <t>See 4E</t>
  </si>
  <si>
    <t>E. Write Report</t>
  </si>
  <si>
    <t>Notification of CEMS demonstration</t>
  </si>
  <si>
    <t>Notification of initial performance test</t>
  </si>
  <si>
    <t>Performance test report</t>
  </si>
  <si>
    <t>Notification of compliance status</t>
  </si>
  <si>
    <t>Quality assurance program certification</t>
  </si>
  <si>
    <t>Startup, shutdown, and malfunction report (10% of respondents)</t>
  </si>
  <si>
    <t>Semiannual compliance report</t>
  </si>
  <si>
    <t>Site-specific performance evaluation test plan</t>
  </si>
  <si>
    <t>Request to use alternative monitoring procedure (10% of respondents)</t>
  </si>
  <si>
    <t>Initial notification</t>
  </si>
  <si>
    <t>Subtotal for Reporting Requirements</t>
  </si>
  <si>
    <t>5. Recordkeeping requirements</t>
  </si>
  <si>
    <t>See 4A</t>
  </si>
  <si>
    <t>B. Plan activities</t>
  </si>
  <si>
    <t>C. Implement activities</t>
  </si>
  <si>
    <t>D. Record data</t>
  </si>
  <si>
    <t>E. Time to transmit or disclose information</t>
  </si>
  <si>
    <t>Records of CEMS malfunctions (10% of respondents)</t>
  </si>
  <si>
    <t>Records of startups, shutdowns, malfunctions, etc.</t>
  </si>
  <si>
    <t>Records of monthly fuel use</t>
  </si>
  <si>
    <t>New sources</t>
  </si>
  <si>
    <t>F. Time to train personnel</t>
  </si>
  <si>
    <t>G. Time for audits</t>
  </si>
  <si>
    <t>Subtotal for Recordkeeping Requirements</t>
  </si>
  <si>
    <r>
      <t xml:space="preserve">TOTAL LABOR BURDEN AND COSTS (ROUNDED) </t>
    </r>
    <r>
      <rPr>
        <b/>
        <vertAlign val="superscript"/>
        <sz val="10"/>
        <rFont val="Calibri"/>
        <family val="2"/>
        <scheme val="minor"/>
      </rPr>
      <t>e</t>
    </r>
  </si>
  <si>
    <r>
      <t xml:space="preserve">TOTAL CAPITAL AND O&amp;M COST (ROUNDED) </t>
    </r>
    <r>
      <rPr>
        <b/>
        <vertAlign val="superscript"/>
        <sz val="10"/>
        <rFont val="Calibri"/>
        <family val="2"/>
        <scheme val="minor"/>
      </rPr>
      <t>e</t>
    </r>
  </si>
  <si>
    <r>
      <t xml:space="preserve">GRAND TOTAL (ROUNDED) </t>
    </r>
    <r>
      <rPr>
        <b/>
        <vertAlign val="superscript"/>
        <sz val="10"/>
        <rFont val="Calibri"/>
        <family val="2"/>
        <scheme val="minor"/>
      </rPr>
      <t>e</t>
    </r>
  </si>
  <si>
    <t>Footnotes:</t>
  </si>
  <si>
    <t>a EPA estimates an average of 372 units at 192 existing facilities per year will be subject to the NESHAP over the next 3 years. Of these, 83.3% are owned by private industry. 
83.3% of 192 facilities are private facilities = 160.
83.3% of 372 units are at private facilities = 310 units; 62% of 310 previously had PM CPMS or conducted PM stack tests = 192. The remaining 118 units had PM CEMS.</t>
  </si>
  <si>
    <t>b  This ICR uses the following labor rates: $157.25 (technical), $181.99 (managerial), and $75.31 (clerical).  These rates are from the United States Department of Labor, Bureau of Labor Statistics, December 2024, “Table 2. Civilian workers, by occupational and industry group.”  The rates are from column 1, “Total compensation.” https://www.bls.gov/news.release/ecec.t02.htm  They have been increased by 110 percent to account for the benefit packages available to those employed by private industry.</t>
  </si>
  <si>
    <t xml:space="preserve">c Estimates are based on the number privately-owned EGUs complying with annual testing requirements for PM, HCl, and Hg, in lieu of CEMS/CPMS monitoring for these pollutants and includes 192 EGUs conducting Method 5 testing, 53 EGUs conducting Method 320 testing, and 74 EGUs conducting Method 30B testing.   </t>
  </si>
  <si>
    <t xml:space="preserve">d Assumes that 309 EGUs use HCl or SO2 CEMs and 83.3% of those are privately-owned = 257. </t>
  </si>
  <si>
    <t>e Totals have been rounded to 3 significant figures. Figures may not add exactly due to rounding.</t>
  </si>
  <si>
    <t>Assumptions and calculation area:</t>
  </si>
  <si>
    <t>Respondent Labor Rates</t>
  </si>
  <si>
    <t>Loaded</t>
  </si>
  <si>
    <t>Unloaded</t>
  </si>
  <si>
    <t>Rate (110%)</t>
  </si>
  <si>
    <t>Technical (Management, professional, and related: Professional and related)</t>
  </si>
  <si>
    <t>Managerial (Management, professional, and related: Management, business and financial)</t>
  </si>
  <si>
    <t>Clerical (Sales and office: Office and administrative support)</t>
  </si>
  <si>
    <t>CRF</t>
  </si>
  <si>
    <t>I (1+i)^n</t>
  </si>
  <si>
    <t>7% interest and 15 year life</t>
  </si>
  <si>
    <t>Average Annual Capital Costs for Performance Testing</t>
  </si>
  <si>
    <t>(1+i)^n -1</t>
  </si>
  <si>
    <t>Test Method</t>
  </si>
  <si>
    <t>Cost per Test</t>
  </si>
  <si>
    <t>Number of Tests</t>
  </si>
  <si>
    <t>Total Cost</t>
  </si>
  <si>
    <t>PS-11 using M5</t>
  </si>
  <si>
    <t>Method 320</t>
  </si>
  <si>
    <t>Method 30B</t>
  </si>
  <si>
    <t>Average Annual Capital Costs for CEMS Installation
(Labor and Other Direct Costs)</t>
  </si>
  <si>
    <t>Equipment</t>
  </si>
  <si>
    <t>CEM</t>
  </si>
  <si>
    <t>Cost per Installation</t>
  </si>
  <si>
    <t>Number of Installations</t>
  </si>
  <si>
    <t>new FTIR CEMS</t>
  </si>
  <si>
    <t>new Hg CEMS</t>
  </si>
  <si>
    <t>Total Capital Cost:</t>
  </si>
  <si>
    <t>Average Annual Operation and Maintenance (O&amp;M) Costs</t>
  </si>
  <si>
    <t>Costs per Monitor</t>
  </si>
  <si>
    <t>Number of Monitors</t>
  </si>
  <si>
    <t>Total Annual Cost</t>
  </si>
  <si>
    <t>Labor</t>
  </si>
  <si>
    <t>Testing</t>
  </si>
  <si>
    <t>ODC's</t>
  </si>
  <si>
    <t>a EPA estimates an average of 372 units at 192 existing facilities per year will be subject to the NESHAP over the next 3 years. Of these, 83.3% are owned by private industry. 
83.3% of 192 facilities are private facilities = 160.
83.3% of 372 units are at private facilities = 310 units; 62% of 310 previously had PM CPMS or conducted PM stack tests each year = 192. The remaining 118 units had PM CEMS.</t>
  </si>
  <si>
    <t>Table 1b: Annual Respondent Burden and Cost for Public Facilities – NESHAP for Coal- and Oil-Fired Electric Utility Steam Generating Units (40 CFR Part 63, Subpart UUUUU)</t>
  </si>
  <si>
    <t>Initial performance test (PM, Methods 5 and 202)</t>
  </si>
  <si>
    <r>
      <t xml:space="preserve">TOTAL LABOR BURDEN AND COSTS (ROUNDED) </t>
    </r>
    <r>
      <rPr>
        <b/>
        <i/>
        <vertAlign val="superscript"/>
        <sz val="10"/>
        <rFont val="Calibri"/>
        <family val="2"/>
        <scheme val="minor"/>
      </rPr>
      <t>e</t>
    </r>
  </si>
  <si>
    <r>
      <t xml:space="preserve">TOTAL CAPITAL AND O&amp;M COST (ROUNDED) </t>
    </r>
    <r>
      <rPr>
        <b/>
        <i/>
        <vertAlign val="superscript"/>
        <sz val="10"/>
        <rFont val="Calibri"/>
        <family val="2"/>
        <scheme val="minor"/>
      </rPr>
      <t>e</t>
    </r>
  </si>
  <si>
    <r>
      <t xml:space="preserve">GRAND TOTAL (ROUNDED) </t>
    </r>
    <r>
      <rPr>
        <b/>
        <i/>
        <vertAlign val="superscript"/>
        <sz val="10"/>
        <rFont val="Calibri"/>
        <family val="2"/>
        <scheme val="minor"/>
      </rPr>
      <t>e</t>
    </r>
  </si>
  <si>
    <t>a EPA estimates an average of 372 units at 192 existing facilities per year will be subject to the NESHAP over the next 3 years. Of these, 16.7% are public facilities. 
16.7% of 192 facilities are public facilities = 32.
16.7% of 372 units at public facilities = 62; 62% of 62 previously had PM CPMS or conducted PM stack tests = 39. The remaining 24 units had PM CEMS.</t>
  </si>
  <si>
    <t>b  This ICR uses the following labor rates: $57.07 (technical), $76.91 (managerial), and $30.88 (clerical).  These rates are from the Office of Personnel Management (OPM), 2023 General Schedule, effective January 2023, which excludes locality rates of pay: https://www.opm.gov/policy-data-oversight/pay-leave/salaries-wages/salary-tables/pdf/2024/GS_h.pdf.  The rates have been increased by 60 percent to account for the benefit packages available to government employees.</t>
  </si>
  <si>
    <t xml:space="preserve">c Estimates are based on the number of publicly owned EGUs complying with annual testing requirements for PM, HCl, and Hg, in lieu of CEMS/CPMS monitoring for these pollutants and includes 39 EGUs conducting Method 5 testing, 11 EGUs conducting Method 320 testing, and 15 EGUs conducting Method 30B testing.   </t>
  </si>
  <si>
    <t xml:space="preserve">d Assumes that 309 EGUs use HCl or SO2 CEMs and 16.7% of those are publicly-owned = 52. </t>
  </si>
  <si>
    <t>Multiplier</t>
  </si>
  <si>
    <t>Updated to agency rates</t>
  </si>
  <si>
    <t>Technical (Grade 12, Step 1)</t>
  </si>
  <si>
    <t>Managerial (Grade 13, Step 5)</t>
  </si>
  <si>
    <t>Clerical (Grade 6, Step 3)</t>
  </si>
  <si>
    <t>new beta gauge PM CEMS</t>
  </si>
  <si>
    <t>a EPA estimates an average of 372 units at 192 existing facilities per year will be subject to the NESHAP over the next 3 years. Of these, 16.7% are public facilities. 
16.7% of 192 facilities are public facilities = 32.
16.7% of 372 units at public facilities = 63; 62% of 63 previously had PM CPMS or conducted PM stack tests = 39.</t>
  </si>
  <si>
    <t>b  This ICR uses the following labor rates: $57.07 (technical), $76.91 (managerial), and $30.88 (clerical).  These rates are from the Office of Personnel Management (OPM), 2023 General Schedule, effective January 2024, which excludes locality rates of pay: https://www.opm.gov/policy-data-oversight/pay-leave/salaries-wages/salary-tables/pdf/2024/GS_h.pdf.  The rates have been increased by 60 percent to account for the benefit packages available to government employees.</t>
  </si>
  <si>
    <t>Table 1c: Annual Respondent Burden and Cost Breakdown by Affected Sector – NESHAP for Coal- and Oil-Fired Electric Utility Steam Generating Units (40 CFR Part 63, Subpart UUUUU)</t>
  </si>
  <si>
    <t>Affected Sector</t>
  </si>
  <si>
    <t>Number of Responses</t>
  </si>
  <si>
    <t>Labor Hours</t>
  </si>
  <si>
    <t>Labor Cost</t>
  </si>
  <si>
    <t>Capital Cost</t>
  </si>
  <si>
    <t>O&amp;M Cost</t>
  </si>
  <si>
    <t>Reporting</t>
  </si>
  <si>
    <t>Recordkeeping</t>
  </si>
  <si>
    <t>Private</t>
  </si>
  <si>
    <t>Public (State/Local/Tribal)</t>
  </si>
  <si>
    <r>
      <t xml:space="preserve">Total </t>
    </r>
    <r>
      <rPr>
        <sz val="11"/>
        <rFont val="Times New Roman"/>
        <family val="1"/>
      </rPr>
      <t>(rounded)</t>
    </r>
  </si>
  <si>
    <t>hrs/response</t>
  </si>
  <si>
    <t>Totals have been rounded to 3 significant figures. Figures may not add exactly due to rounding.</t>
  </si>
  <si>
    <t>2011 Final Rule</t>
  </si>
  <si>
    <t>% by sector</t>
  </si>
  <si>
    <t>Current</t>
  </si>
  <si>
    <t>Total # facilities:</t>
  </si>
  <si>
    <t>Total # of facilities :</t>
  </si>
  <si>
    <t>Total private sector:</t>
  </si>
  <si>
    <t>Total private sector</t>
  </si>
  <si>
    <t>Total public sector:</t>
  </si>
  <si>
    <t>Total public sector</t>
  </si>
  <si>
    <t>Units per facility (footprint)</t>
  </si>
  <si>
    <t>Difference from 2137.12 (2024 version)</t>
  </si>
  <si>
    <t>Difference from 2137.10</t>
  </si>
  <si>
    <t>Capital and O&amp;M</t>
  </si>
  <si>
    <t xml:space="preserve">Total </t>
  </si>
  <si>
    <t xml:space="preserve">Table 2: Average Annual EPA Burden and Cost – NESHAP for Coal- and Oil-Fired Electric Utility Steam Generating Units (40 CFR Part 63, Subpart UUUUU) </t>
  </si>
  <si>
    <t>Technical 
person-hours 
per occurrence</t>
  </si>
  <si>
    <t>No. of occurrences 
per respondent 
per year</t>
  </si>
  <si>
    <t>Technical 
person-hours 
per respondent 
per year (AxB)</t>
  </si>
  <si>
    <r>
      <t xml:space="preserve">Respondents 
per year </t>
    </r>
    <r>
      <rPr>
        <b/>
        <vertAlign val="superscript"/>
        <sz val="10"/>
        <rFont val="Calibri"/>
        <family val="2"/>
        <scheme val="minor"/>
      </rPr>
      <t>a</t>
    </r>
  </si>
  <si>
    <t>Technical hours 
per year
(CxD)</t>
  </si>
  <si>
    <t>Management 
hours per year
(Ex0.05)</t>
  </si>
  <si>
    <t>Clerical hours 
per year
(Ex0.10)</t>
  </si>
  <si>
    <r>
      <t xml:space="preserve">Total cost 
per year 
($) </t>
    </r>
    <r>
      <rPr>
        <b/>
        <vertAlign val="superscript"/>
        <sz val="10"/>
        <rFont val="Calibri"/>
        <family val="2"/>
        <scheme val="minor"/>
      </rPr>
      <t>b</t>
    </r>
  </si>
  <si>
    <r>
      <t xml:space="preserve">Observe initial performance test </t>
    </r>
    <r>
      <rPr>
        <vertAlign val="superscript"/>
        <sz val="10"/>
        <rFont val="Calibri"/>
        <family val="2"/>
        <scheme val="minor"/>
      </rPr>
      <t>c</t>
    </r>
  </si>
  <si>
    <r>
      <t xml:space="preserve">Observe repeat performance test </t>
    </r>
    <r>
      <rPr>
        <vertAlign val="superscript"/>
        <sz val="10"/>
        <rFont val="Calibri"/>
        <family val="2"/>
        <scheme val="minor"/>
      </rPr>
      <t>d</t>
    </r>
  </si>
  <si>
    <t>Review initial notification</t>
  </si>
  <si>
    <t>Review notification of CEMS demonstration</t>
  </si>
  <si>
    <t>Review notification of initial performance test</t>
  </si>
  <si>
    <t>Review performance test report</t>
  </si>
  <si>
    <t>Review quality assurance program certification</t>
  </si>
  <si>
    <t>Review startup, shutdown, and malfunction report (10% of respondents)</t>
  </si>
  <si>
    <t>Review semiannual compliance report</t>
  </si>
  <si>
    <t>Review notification of compliance status</t>
  </si>
  <si>
    <t>Review site-specific performance evaluation test plan</t>
  </si>
  <si>
    <t>Review request to use alternative monitoring procedure (10% of respondents)</t>
  </si>
  <si>
    <r>
      <t xml:space="preserve">Travel Expenses </t>
    </r>
    <r>
      <rPr>
        <vertAlign val="superscript"/>
        <sz val="10"/>
        <rFont val="Calibri"/>
        <family val="2"/>
        <scheme val="minor"/>
      </rPr>
      <t>e</t>
    </r>
  </si>
  <si>
    <r>
      <t xml:space="preserve">TOTAL (ROUNDED) </t>
    </r>
    <r>
      <rPr>
        <b/>
        <vertAlign val="superscript"/>
        <sz val="10"/>
        <rFont val="Calibri"/>
        <family val="2"/>
        <scheme val="minor"/>
      </rPr>
      <t>f</t>
    </r>
  </si>
  <si>
    <t>a EPA estimates 372 existing EGUs will be subject to the NESHAP each year.</t>
  </si>
  <si>
    <t>c EPA estimates it will observe 20% of initial performance tests.</t>
  </si>
  <si>
    <t>d EPA assumes 20% of initial performance tests must be repeated due to failure.</t>
  </si>
  <si>
    <t>f Totals have been rounded to 3 significant figures. Figures may not add exactly due to rounding.</t>
  </si>
  <si>
    <t>Agency Labor Rates</t>
  </si>
  <si>
    <t>Unloaded Labor Rate</t>
  </si>
  <si>
    <t>Loaded Labor Rate</t>
  </si>
  <si>
    <t>GS-12 Step 1</t>
  </si>
  <si>
    <t>Technical</t>
  </si>
  <si>
    <t>GS-13 Step 5</t>
  </si>
  <si>
    <t>Managerial</t>
  </si>
  <si>
    <t>GS-06 Step 3</t>
  </si>
  <si>
    <t>Clerical</t>
  </si>
  <si>
    <t>Travel Expenses</t>
  </si>
  <si>
    <t>Travel Expenses* = (1 person x 1 plant/year x 3 days/plant x $50 per diem) + ($250 round trip/plant x 1 plant/year) = $400/year</t>
  </si>
  <si>
    <t xml:space="preserve">Travel Expenses* = </t>
  </si>
  <si>
    <t>SALARY TABLE 2011-GS</t>
  </si>
  <si>
    <t>Total Annual Responses</t>
  </si>
  <si>
    <t>(A) 
Information Collection Activity</t>
  </si>
  <si>
    <t>(B) 
Number of Respondents</t>
  </si>
  <si>
    <t>(C) 
Number of Responses per year</t>
  </si>
  <si>
    <t>(D) 
Number of Respondents That 
Keep Records But Do Not Submit Reports</t>
  </si>
  <si>
    <t>(E) 
Total Annual Responses 
E=(BxC)+D</t>
  </si>
  <si>
    <t>Existing Sources</t>
  </si>
  <si>
    <t>New PM CEMS Sources</t>
  </si>
  <si>
    <t>Hrs/Response =</t>
  </si>
  <si>
    <t>Summary of CEMS (Hg)</t>
  </si>
  <si>
    <t>Summary of CEMS (HCl)</t>
  </si>
  <si>
    <t>Summary of CEMS (PM)</t>
  </si>
  <si>
    <t>Update with new PM CEMS costs</t>
  </si>
  <si>
    <t>Analyzers</t>
  </si>
  <si>
    <t>BEFORE</t>
  </si>
  <si>
    <t>AFTER</t>
  </si>
  <si>
    <t xml:space="preserve">   CO</t>
  </si>
  <si>
    <t xml:space="preserve">   SO2</t>
  </si>
  <si>
    <t xml:space="preserve">   NOX</t>
  </si>
  <si>
    <t xml:space="preserve">   HCl</t>
  </si>
  <si>
    <t xml:space="preserve">   Mercury (and CO2/O2)</t>
  </si>
  <si>
    <t xml:space="preserve">   CO2</t>
  </si>
  <si>
    <t xml:space="preserve">   O2</t>
  </si>
  <si>
    <t xml:space="preserve">   THC</t>
  </si>
  <si>
    <t>Monitors</t>
  </si>
  <si>
    <t xml:space="preserve">   OPACITY</t>
  </si>
  <si>
    <t xml:space="preserve">   FLOW</t>
  </si>
  <si>
    <t xml:space="preserve">   PM (beta gauge)</t>
  </si>
  <si>
    <t xml:space="preserve">   PM (light scattering; insitu)</t>
  </si>
  <si>
    <t xml:space="preserve">   PM (light scattering; extractive)</t>
  </si>
  <si>
    <t>Bag leak detector</t>
  </si>
  <si>
    <t xml:space="preserve">   Number of fabric filters to be monitored=</t>
  </si>
  <si>
    <t xml:space="preserve">   Number of sensors=</t>
  </si>
  <si>
    <t>Summary of Costs</t>
  </si>
  <si>
    <t>First Costs</t>
  </si>
  <si>
    <t>Test</t>
  </si>
  <si>
    <t>ODCs</t>
  </si>
  <si>
    <t xml:space="preserve">    Planning</t>
  </si>
  <si>
    <t xml:space="preserve">    Select Equipment</t>
  </si>
  <si>
    <t xml:space="preserve">    Support Facilities</t>
  </si>
  <si>
    <t xml:space="preserve">    Purchase CEMS Hardware</t>
  </si>
  <si>
    <t xml:space="preserve">    Install and Check CEMS</t>
  </si>
  <si>
    <t xml:space="preserve">    Performance Specification Tests</t>
  </si>
  <si>
    <t xml:space="preserve">    QA/QC Plan</t>
  </si>
  <si>
    <t>Annual Costs</t>
  </si>
  <si>
    <t xml:space="preserve">    Day-to-Day Activities</t>
  </si>
  <si>
    <t xml:space="preserve">    Annual RATA</t>
  </si>
  <si>
    <t xml:space="preserve">    PM Monitor RCA</t>
  </si>
  <si>
    <t xml:space="preserve">    PM Monitor RRA</t>
  </si>
  <si>
    <t xml:space="preserve">    Cylinder Gas Audits (ACA/SVA for PM)</t>
  </si>
  <si>
    <t xml:space="preserve">    Recordkeeping and Reporting</t>
  </si>
  <si>
    <t xml:space="preserve">    Annual QA &amp; O&amp;M Review and Update</t>
  </si>
  <si>
    <t xml:space="preserve">    Capital Recovery</t>
  </si>
  <si>
    <t xml:space="preserve">    Total w/o capital recovery</t>
  </si>
  <si>
    <t xml:space="preserve">    Total with capital recovery</t>
  </si>
  <si>
    <t>No. Release Pts</t>
  </si>
  <si>
    <t>Hg Compliance Method</t>
  </si>
  <si>
    <t>PM Compliance Method</t>
  </si>
  <si>
    <t>AG Compliance Method</t>
  </si>
  <si>
    <t>3 years</t>
  </si>
  <si>
    <t>2 years</t>
  </si>
  <si>
    <t>This number of existing units will use each compliance method each year</t>
  </si>
  <si>
    <t>3 year compliance</t>
  </si>
  <si>
    <t>2 year compliance</t>
  </si>
  <si>
    <t>All</t>
  </si>
  <si>
    <t>Counts</t>
  </si>
  <si>
    <t>%</t>
  </si>
  <si>
    <t>All Units</t>
  </si>
  <si>
    <t>Hg CMS*</t>
  </si>
  <si>
    <t>PM CMS**</t>
  </si>
  <si>
    <t>HCl CEMS</t>
  </si>
  <si>
    <t>Average % Units Using CEMS</t>
  </si>
  <si>
    <t>PM CEMS</t>
  </si>
  <si>
    <t>SO2 CEMS</t>
  </si>
  <si>
    <t>PM CPMS</t>
  </si>
  <si>
    <t>Stack Test</t>
  </si>
  <si>
    <t>Average % Units Testing</t>
  </si>
  <si>
    <t xml:space="preserve">Coal: Bituminous Coal, Subbituminous Coal, Waste Coal - anthracite culm, bituminous gob, fine coal, lignite waste, waste coal
</t>
  </si>
  <si>
    <t>This number of new PM CEMS units each year</t>
  </si>
  <si>
    <t>Private new PM CEMS</t>
  </si>
  <si>
    <t>Public new PM CEMS</t>
  </si>
  <si>
    <t>Average % Units Testing from 2137.10</t>
  </si>
  <si>
    <t>Private PM CEMS</t>
  </si>
  <si>
    <t>Public PM CEMS</t>
  </si>
  <si>
    <t>Lignite Coal</t>
  </si>
  <si>
    <t>L</t>
  </si>
  <si>
    <t>Private PM stack test</t>
  </si>
  <si>
    <t>Public PM stack test</t>
  </si>
  <si>
    <t>private Hg CEMS</t>
  </si>
  <si>
    <t>PTC</t>
  </si>
  <si>
    <t>public Hg CEMS</t>
  </si>
  <si>
    <t>private HCl/SO2 stack test</t>
  </si>
  <si>
    <t>public HCl/SO2 stack test</t>
  </si>
  <si>
    <t>Oil: Oil, Diesel Oil, Residual Oil, Other Oil</t>
  </si>
  <si>
    <t>OIL</t>
  </si>
  <si>
    <t>private Hg stack test</t>
  </si>
  <si>
    <t>public Hg stack test</t>
  </si>
  <si>
    <t>Petroleum Coke</t>
  </si>
  <si>
    <t>private HCl/SO2 CEMS</t>
  </si>
  <si>
    <t>public HCl/SO2 CEMS</t>
  </si>
  <si>
    <t xml:space="preserve">* Hg CEMS or Hg sorbent traps </t>
  </si>
  <si>
    <t>** PM CEMS or PM CPMS</t>
  </si>
  <si>
    <t>Summary of CEMS</t>
  </si>
  <si>
    <t>Cost per Monitor</t>
  </si>
  <si>
    <t>HCl (based on CEMS cost model)</t>
  </si>
  <si>
    <t>PM CPMS (based on CEMS cost model--combination of PM, PM beta, and PM extractive monitors)</t>
  </si>
  <si>
    <r>
      <t xml:space="preserve">Hg CEMS (combination of CEMS cost model and NESCAUM; </t>
    </r>
    <r>
      <rPr>
        <b/>
        <sz val="10"/>
        <color rgb="FF00B050"/>
        <rFont val="Arial"/>
        <family val="2"/>
      </rPr>
      <t>NESCAUM data in green</t>
    </r>
    <r>
      <rPr>
        <b/>
        <sz val="10"/>
        <rFont val="Arial"/>
        <family val="2"/>
      </rPr>
      <t>)</t>
    </r>
  </si>
  <si>
    <t>w/cap. Recov</t>
  </si>
  <si>
    <t>labor and ODC</t>
  </si>
  <si>
    <t>Annual Costs (NESCAUM)</t>
  </si>
  <si>
    <t xml:space="preserve">HCl Monitors </t>
  </si>
  <si>
    <t xml:space="preserve">PM CPMS </t>
  </si>
  <si>
    <t>Hg CEMS</t>
  </si>
  <si>
    <t>SUMMARY</t>
  </si>
  <si>
    <t>monitors</t>
  </si>
  <si>
    <t>monitors/site</t>
  </si>
  <si>
    <t>ODC</t>
  </si>
  <si>
    <t>Planning</t>
  </si>
  <si>
    <t xml:space="preserve">    Review regulations</t>
  </si>
  <si>
    <t xml:space="preserve">    Resolve questions</t>
  </si>
  <si>
    <t xml:space="preserve">    Review drawing</t>
  </si>
  <si>
    <t xml:space="preserve">    Inspect source</t>
  </si>
  <si>
    <t xml:space="preserve">    Define constraints</t>
  </si>
  <si>
    <t xml:space="preserve">    Write engineering report</t>
  </si>
  <si>
    <t xml:space="preserve">           Subtotal</t>
  </si>
  <si>
    <t>Select Equipment</t>
  </si>
  <si>
    <t xml:space="preserve">    Decide on approach</t>
  </si>
  <si>
    <t xml:space="preserve">    Write specifications</t>
  </si>
  <si>
    <t xml:space="preserve">    Identify potential bidders</t>
  </si>
  <si>
    <t xml:space="preserve">    Write RFP's</t>
  </si>
  <si>
    <t xml:space="preserve">    Copy and mail RFP's</t>
  </si>
  <si>
    <t xml:space="preserve">    Respond to bidders</t>
  </si>
  <si>
    <t xml:space="preserve">    Review and evaluate proposals</t>
  </si>
  <si>
    <t xml:space="preserve">    Select winner(s) and negotiate contract(s)</t>
  </si>
  <si>
    <t xml:space="preserve">    Management</t>
  </si>
  <si>
    <t>Support Facilities</t>
  </si>
  <si>
    <t xml:space="preserve">    Sampling ports</t>
  </si>
  <si>
    <t xml:space="preserve">    Utilities</t>
  </si>
  <si>
    <t xml:space="preserve">    Platforms and ladders</t>
  </si>
  <si>
    <t xml:space="preserve">    Instrument room/shelter</t>
  </si>
  <si>
    <t xml:space="preserve">            Subtotal</t>
  </si>
  <si>
    <t>Purchase equipment</t>
  </si>
  <si>
    <t xml:space="preserve">    Opacity monitor</t>
  </si>
  <si>
    <t xml:space="preserve">    PM Monitor</t>
  </si>
  <si>
    <t xml:space="preserve">    non-Hg GAS CEM analyzer(s)</t>
  </si>
  <si>
    <t xml:space="preserve">    Sampling system(s)</t>
  </si>
  <si>
    <t xml:space="preserve">    PLC</t>
  </si>
  <si>
    <t xml:space="preserve">    DAS, including software</t>
  </si>
  <si>
    <t xml:space="preserve">    Flow monitors</t>
  </si>
  <si>
    <t xml:space="preserve">    Hg CEMS equipment (analyzer, sampling </t>
  </si>
  <si>
    <t xml:space="preserve">         line, data acquisition, software, etc)</t>
  </si>
  <si>
    <t xml:space="preserve">    Bag leak detection system</t>
  </si>
  <si>
    <t xml:space="preserve">    Taxes and shipping</t>
  </si>
  <si>
    <t>Install</t>
  </si>
  <si>
    <t xml:space="preserve">    Install equipment</t>
  </si>
  <si>
    <t xml:space="preserve">    Startup equipment</t>
  </si>
  <si>
    <t xml:space="preserve">    Training</t>
  </si>
  <si>
    <t>Performance test</t>
  </si>
  <si>
    <t xml:space="preserve">    Select test contractor</t>
  </si>
  <si>
    <t xml:space="preserve">    Pretest meeting</t>
  </si>
  <si>
    <t xml:space="preserve">    Drift tests</t>
  </si>
  <si>
    <t xml:space="preserve">    Analyzer RATA or PM ICT</t>
  </si>
  <si>
    <t xml:space="preserve">    Write PST test report</t>
  </si>
  <si>
    <t xml:space="preserve">    Review report</t>
  </si>
  <si>
    <t xml:space="preserve">    </t>
  </si>
  <si>
    <t>QA/QC plan (O&amp;M plan for BLD)</t>
  </si>
  <si>
    <t xml:space="preserve">    Review needs</t>
  </si>
  <si>
    <t xml:space="preserve">    Hire consultant</t>
  </si>
  <si>
    <t xml:space="preserve">    On-site meeting</t>
  </si>
  <si>
    <t xml:space="preserve">    Write draft plan</t>
  </si>
  <si>
    <t xml:space="preserve">    Review draft plan</t>
  </si>
  <si>
    <t xml:space="preserve">    Write final plan</t>
  </si>
  <si>
    <t xml:space="preserve">    Get Agency approval</t>
  </si>
  <si>
    <t xml:space="preserve">    Kick-off meeting</t>
  </si>
  <si>
    <t>Total first costs</t>
  </si>
  <si>
    <t>Grand total first costs</t>
  </si>
  <si>
    <t>Operation, Maintenance, and Repairs</t>
  </si>
  <si>
    <t xml:space="preserve">    Daily checks of COMS/PM/BLD</t>
  </si>
  <si>
    <t xml:space="preserve">    Daily checks of CEMS</t>
  </si>
  <si>
    <t xml:space="preserve">    Weekly checks of Beta PM monitors</t>
  </si>
  <si>
    <t xml:space="preserve">    Weekly check of CEMS</t>
  </si>
  <si>
    <t xml:space="preserve">    Monthly check of Beta PM/BLD</t>
  </si>
  <si>
    <t xml:space="preserve">    Monthly check of CEMS</t>
  </si>
  <si>
    <t xml:space="preserve">    Quarterly check of monitors</t>
  </si>
  <si>
    <t xml:space="preserve">    Consumables</t>
  </si>
  <si>
    <t>Annual RATA for gas analyzers</t>
  </si>
  <si>
    <t xml:space="preserve">    Pretest preparation</t>
  </si>
  <si>
    <t xml:space="preserve">    Hire testing team</t>
  </si>
  <si>
    <t xml:space="preserve">    Notify Agency</t>
  </si>
  <si>
    <t xml:space="preserve">    Do RATA</t>
  </si>
  <si>
    <t xml:space="preserve">    Take corrective action</t>
  </si>
  <si>
    <t xml:space="preserve">    Retest</t>
  </si>
  <si>
    <t xml:space="preserve">    Write report</t>
  </si>
  <si>
    <t xml:space="preserve">    Certify report and send</t>
  </si>
  <si>
    <t>PM Monitor RCA (every 3 years)</t>
  </si>
  <si>
    <t xml:space="preserve">    Notify agency</t>
  </si>
  <si>
    <t xml:space="preserve">    Conduct RCA</t>
  </si>
  <si>
    <t xml:space="preserve">    Recalibration calculations</t>
  </si>
  <si>
    <t xml:space="preserve">    Write test report</t>
  </si>
  <si>
    <t xml:space="preserve">    Certify and send report to agency</t>
  </si>
  <si>
    <t>PM Monitor RRA (annually)</t>
  </si>
  <si>
    <t xml:space="preserve">    Conduct RRA</t>
  </si>
  <si>
    <t>Cylinder Gas Audits (ACA/SVA for PM)</t>
  </si>
  <si>
    <t xml:space="preserve">    Do CGA's and/or ACA/SVA</t>
  </si>
  <si>
    <t xml:space="preserve">    Write, certify, and send report</t>
  </si>
  <si>
    <t>Recordkeeping and reporting</t>
  </si>
  <si>
    <t xml:space="preserve">    Daily data reduction</t>
  </si>
  <si>
    <t xml:space="preserve">    Monthly reduction and review</t>
  </si>
  <si>
    <t xml:space="preserve">    Quarterly (semiannual) emissions report</t>
  </si>
  <si>
    <t>Annual QA &amp; O&amp;M review and update</t>
  </si>
  <si>
    <t xml:space="preserve">    Meeting with plant technicians</t>
  </si>
  <si>
    <t xml:space="preserve">    Update QA plan (O&amp;M plan)</t>
  </si>
  <si>
    <t xml:space="preserve">    Update equipment inventory and repairs</t>
  </si>
  <si>
    <t xml:space="preserve">    Phone support</t>
  </si>
  <si>
    <t>Capital recovery (10 years; 7% interest rate)</t>
  </si>
  <si>
    <t>Annual costs</t>
  </si>
  <si>
    <t>Total annual costs</t>
  </si>
  <si>
    <t>Summary table</t>
  </si>
  <si>
    <t>2137.12 (2024)</t>
  </si>
  <si>
    <r>
      <t xml:space="preserve">Table 1b: Annual Respondent Burden and Cost for </t>
    </r>
    <r>
      <rPr>
        <b/>
        <sz val="12"/>
        <color rgb="FFFF0000"/>
        <rFont val="Calibri"/>
        <family val="2"/>
        <scheme val="minor"/>
      </rPr>
      <t>Public Facilities</t>
    </r>
    <r>
      <rPr>
        <b/>
        <sz val="12"/>
        <rFont val="Calibri"/>
        <family val="2"/>
        <scheme val="minor"/>
      </rPr>
      <t xml:space="preserve"> – NESHAP for Coal- and Oil-Fired Electric Utility Steam Generating Units (40 CFR Part 63, Subpart UUUUU)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</si>
</sst>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_([$$-409]* #,##0_);_([$$-409]* \(#,##0\);_([$$-409]* &quot;-&quot;??_);_(@_)"/>
    <numFmt numFmtId="167" formatCode="_(* #,##0.0_);_(* \(#,##0.0\);_(* &quot;-&quot;??_);_(@_)"/>
    <numFmt numFmtId="168" formatCode="_(* #,##0_);_(* \(#,##0\);_(* &quot;-&quot;??_);_(@_)"/>
    <numFmt numFmtId="169" formatCode="_(&quot;$&quot;* #,##0_);_(&quot;$&quot;* \(#,##0\);_(&quot;$&quot;* &quot;-&quot;??_);_(@_)"/>
    <numFmt numFmtId="170" formatCode="0.0"/>
    <numFmt numFmtId="171" formatCode="#,##0.0"/>
    <numFmt numFmtId="172" formatCode="0.0%"/>
    <numFmt numFmtId="173" formatCode="0.000"/>
    <numFmt numFmtId="174" formatCode="0.0000"/>
  </numFmts>
  <fonts count="62" x14ac:knownFonts="1">
    <font>
      <sz val="11"/>
      <color theme="1"/>
      <name val="Calibri"/>
      <family val="2"/>
      <scheme val="minor"/>
    </font>
    <font>
      <sz val="10"/>
      <name val="Arial"/>
      <family val="2"/>
    </font>
    <font>
      <sz val="11"/>
      <color indexed="8"/>
      <name val="Calibri"/>
      <family val="2"/>
    </font>
    <font>
      <sz val="10"/>
      <color indexed="8"/>
      <name val="Calibri"/>
      <family val="2"/>
    </font>
    <font>
      <sz val="8"/>
      <name val="Calibri"/>
      <family val="2"/>
    </font>
    <font>
      <b/>
      <sz val="10"/>
      <color indexed="8"/>
      <name val="Calibri"/>
      <family val="2"/>
    </font>
    <font>
      <sz val="10"/>
      <name val="Calibri"/>
      <family val="2"/>
    </font>
    <font>
      <sz val="11"/>
      <color rgb="FF006100"/>
      <name val="Calibri"/>
      <family val="2"/>
      <scheme val="minor"/>
    </font>
    <font>
      <u/>
      <sz val="8.25"/>
      <color theme="10"/>
      <name val="Calibri"/>
      <family val="2"/>
    </font>
    <font>
      <sz val="11"/>
      <name val="Calibri"/>
      <family val="2"/>
      <scheme val="minor"/>
    </font>
    <font>
      <sz val="10"/>
      <name val="Calibri"/>
      <family val="2"/>
      <scheme val="minor"/>
    </font>
    <font>
      <sz val="10"/>
      <color indexed="8"/>
      <name val="Calibri"/>
      <family val="2"/>
      <scheme val="minor"/>
    </font>
    <font>
      <sz val="10"/>
      <color theme="1"/>
      <name val="Calibri"/>
      <family val="2"/>
      <scheme val="minor"/>
    </font>
    <font>
      <sz val="11"/>
      <color theme="1"/>
      <name val="Calibri"/>
      <family val="2"/>
      <scheme val="minor"/>
    </font>
    <font>
      <u/>
      <sz val="10"/>
      <name val="Arial"/>
      <family val="2"/>
    </font>
    <font>
      <sz val="10"/>
      <color rgb="FFFF0000"/>
      <name val="Arial"/>
      <family val="2"/>
    </font>
    <font>
      <sz val="10"/>
      <color rgb="FF00B050"/>
      <name val="Arial"/>
      <family val="2"/>
    </font>
    <font>
      <b/>
      <sz val="10"/>
      <name val="Arial"/>
      <family val="2"/>
    </font>
    <font>
      <b/>
      <sz val="12"/>
      <name val="Arial"/>
      <family val="2"/>
    </font>
    <font>
      <b/>
      <sz val="10"/>
      <color rgb="FF00B050"/>
      <name val="Arial"/>
      <family val="2"/>
    </font>
    <font>
      <b/>
      <sz val="11"/>
      <name val="Calibri"/>
      <family val="2"/>
      <scheme val="minor"/>
    </font>
    <font>
      <b/>
      <sz val="10"/>
      <name val="Calibri"/>
      <family val="2"/>
      <scheme val="minor"/>
    </font>
    <font>
      <b/>
      <i/>
      <sz val="10"/>
      <color indexed="8"/>
      <name val="Calibri"/>
      <family val="2"/>
    </font>
    <font>
      <b/>
      <sz val="12"/>
      <color theme="1"/>
      <name val="Calibri"/>
      <family val="2"/>
      <scheme val="minor"/>
    </font>
    <font>
      <b/>
      <sz val="10"/>
      <name val="Calibri"/>
      <family val="2"/>
    </font>
    <font>
      <b/>
      <u/>
      <sz val="12"/>
      <color theme="1"/>
      <name val="Calibri"/>
      <family val="2"/>
      <scheme val="minor"/>
    </font>
    <font>
      <sz val="10"/>
      <color rgb="FFFF0000"/>
      <name val="Calibri"/>
      <family val="2"/>
      <scheme val="minor"/>
    </font>
    <font>
      <b/>
      <sz val="12"/>
      <name val="Calibri"/>
      <family val="2"/>
      <scheme val="minor"/>
    </font>
    <font>
      <b/>
      <vertAlign val="superscript"/>
      <sz val="10"/>
      <name val="Calibri"/>
      <family val="2"/>
      <scheme val="minor"/>
    </font>
    <font>
      <b/>
      <i/>
      <sz val="10"/>
      <name val="Calibri"/>
      <family val="2"/>
      <scheme val="minor"/>
    </font>
    <font>
      <sz val="12"/>
      <name val="Calibri"/>
      <family val="2"/>
      <scheme val="minor"/>
    </font>
    <font>
      <sz val="11"/>
      <color rgb="FFFF0000"/>
      <name val="Calibri"/>
      <family val="2"/>
      <scheme val="minor"/>
    </font>
    <font>
      <b/>
      <i/>
      <vertAlign val="superscript"/>
      <sz val="10"/>
      <name val="Calibri"/>
      <family val="2"/>
      <scheme val="minor"/>
    </font>
    <font>
      <b/>
      <sz val="11"/>
      <color theme="1"/>
      <name val="Calibri"/>
      <family val="2"/>
      <scheme val="minor"/>
    </font>
    <font>
      <b/>
      <sz val="11"/>
      <name val="Times New Roman"/>
      <family val="1"/>
    </font>
    <font>
      <sz val="11"/>
      <name val="Times New Roman"/>
      <family val="1"/>
    </font>
    <font>
      <b/>
      <i/>
      <sz val="11"/>
      <name val="Times New Roman"/>
      <family val="1"/>
    </font>
    <font>
      <sz val="11"/>
      <color rgb="FF00B050"/>
      <name val="Calibri"/>
      <family val="2"/>
      <scheme val="minor"/>
    </font>
    <font>
      <sz val="10"/>
      <color rgb="FF00B050"/>
      <name val="Calibri"/>
      <family val="2"/>
      <scheme val="minor"/>
    </font>
    <font>
      <b/>
      <sz val="11"/>
      <color rgb="FF000000"/>
      <name val="Arial"/>
      <family val="2"/>
    </font>
    <font>
      <b/>
      <sz val="11"/>
      <name val="Arial"/>
      <family val="2"/>
    </font>
    <font>
      <sz val="11"/>
      <color rgb="FF000000"/>
      <name val="Arial"/>
      <family val="2"/>
    </font>
    <font>
      <sz val="12"/>
      <color rgb="FFFF0000"/>
      <name val="Calibri"/>
      <family val="2"/>
      <scheme val="minor"/>
    </font>
    <font>
      <vertAlign val="superscript"/>
      <sz val="10"/>
      <name val="Calibri"/>
      <family val="2"/>
      <scheme val="minor"/>
    </font>
    <font>
      <b/>
      <u/>
      <sz val="12"/>
      <name val="Calibri"/>
      <family val="2"/>
      <scheme val="minor"/>
    </font>
    <font>
      <b/>
      <u/>
      <sz val="10"/>
      <name val="Calibri"/>
      <family val="2"/>
      <scheme val="minor"/>
    </font>
    <font>
      <u/>
      <sz val="10"/>
      <name val="Calibri"/>
      <family val="2"/>
      <scheme val="minor"/>
    </font>
    <font>
      <i/>
      <sz val="10"/>
      <name val="Calibri"/>
      <family val="2"/>
      <scheme val="minor"/>
    </font>
    <font>
      <sz val="12"/>
      <name val="Times New Roman"/>
      <family val="1"/>
    </font>
    <font>
      <sz val="10"/>
      <color rgb="FFFF0000"/>
      <name val="Calibri"/>
      <family val="2"/>
    </font>
    <font>
      <b/>
      <sz val="10"/>
      <color rgb="FFFF0000"/>
      <name val="Calibri"/>
      <family val="2"/>
    </font>
    <font>
      <b/>
      <sz val="11"/>
      <color rgb="FFFF0000"/>
      <name val="Calibri"/>
      <family val="2"/>
      <scheme val="minor"/>
    </font>
    <font>
      <b/>
      <sz val="11"/>
      <color rgb="FF00B050"/>
      <name val="Calibri"/>
      <family val="2"/>
      <scheme val="minor"/>
    </font>
    <font>
      <sz val="10"/>
      <color rgb="FF00B050"/>
      <name val="Calibri"/>
      <family val="2"/>
    </font>
    <font>
      <b/>
      <sz val="11"/>
      <color rgb="FF00B050"/>
      <name val="Arial"/>
      <family val="2"/>
    </font>
    <font>
      <sz val="11"/>
      <color rgb="FF00B050"/>
      <name val="Arial"/>
      <family val="2"/>
    </font>
    <font>
      <b/>
      <i/>
      <sz val="10"/>
      <color rgb="FFFF0000"/>
      <name val="Calibri"/>
      <family val="2"/>
    </font>
    <font>
      <b/>
      <sz val="10"/>
      <color rgb="FFFF0000"/>
      <name val="Calibri"/>
      <family val="2"/>
      <scheme val="minor"/>
    </font>
    <font>
      <sz val="11"/>
      <color rgb="FFFF0000"/>
      <name val="Arial"/>
      <family val="2"/>
    </font>
    <font>
      <b/>
      <sz val="11"/>
      <color rgb="FFFF0000"/>
      <name val="Arial"/>
      <family val="2"/>
    </font>
    <font>
      <b/>
      <i/>
      <sz val="10"/>
      <color rgb="FFFF0000"/>
      <name val="Calibri"/>
      <family val="2"/>
      <scheme val="minor"/>
    </font>
    <font>
      <b/>
      <sz val="12"/>
      <color rgb="FFFF0000"/>
      <name val="Calibri"/>
      <family val="2"/>
      <scheme val="minor"/>
    </font>
  </fonts>
  <fills count="12">
    <fill>
      <patternFill patternType="none"/>
    </fill>
    <fill>
      <patternFill patternType="gray125"/>
    </fill>
    <fill>
      <patternFill patternType="solid">
        <fgColor rgb="FFC6EFCE"/>
      </patternFill>
    </fill>
    <fill>
      <patternFill patternType="solid">
        <fgColor theme="0" tint="-0.249977111117893"/>
        <bgColor indexed="64"/>
      </patternFill>
    </fill>
    <fill>
      <patternFill patternType="solid">
        <fgColor rgb="FF00B0F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D9D9D9"/>
        <bgColor rgb="FF000000"/>
      </patternFill>
    </fill>
    <fill>
      <patternFill patternType="solid">
        <fgColor rgb="FFD9D9D9"/>
        <bgColor rgb="FFFFFFFF"/>
      </patternFill>
    </fill>
    <fill>
      <patternFill patternType="solid">
        <fgColor theme="4" tint="0.5999938962981048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bottom/>
      <diagonal/>
    </border>
  </borders>
  <cellStyleXfs count="44">
    <xf numFmtId="0" fontId="0" fillId="0" borderId="0"/>
    <xf numFmtId="43" fontId="2" fillId="0" borderId="0" applyFont="0" applyFill="0" applyBorder="0" applyAlignment="0" applyProtection="0"/>
    <xf numFmtId="44" fontId="2" fillId="0" borderId="0" applyFont="0" applyFill="0" applyBorder="0" applyAlignment="0" applyProtection="0"/>
    <xf numFmtId="0" fontId="7" fillId="2" borderId="0" applyNumberFormat="0" applyBorder="0" applyAlignment="0" applyProtection="0"/>
    <xf numFmtId="0" fontId="8"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9" fontId="13" fillId="0" borderId="0" applyFont="0" applyFill="0" applyBorder="0" applyAlignment="0" applyProtection="0"/>
  </cellStyleXfs>
  <cellXfs count="564">
    <xf numFmtId="0" fontId="0" fillId="0" borderId="0" xfId="0"/>
    <xf numFmtId="0" fontId="3" fillId="0" borderId="0" xfId="0" applyFont="1" applyAlignment="1">
      <alignment wrapText="1"/>
    </xf>
    <xf numFmtId="0" fontId="3" fillId="0" borderId="0" xfId="0" applyFont="1" applyBorder="1" applyAlignment="1">
      <alignment wrapText="1"/>
    </xf>
    <xf numFmtId="168" fontId="3" fillId="0" borderId="0" xfId="1" applyNumberFormat="1" applyFont="1" applyBorder="1" applyAlignment="1">
      <alignment wrapText="1"/>
    </xf>
    <xf numFmtId="169" fontId="3" fillId="0" borderId="0" xfId="2" applyNumberFormat="1" applyFont="1" applyBorder="1" applyAlignment="1">
      <alignment wrapText="1"/>
    </xf>
    <xf numFmtId="0" fontId="0" fillId="0" borderId="0" xfId="0" applyBorder="1"/>
    <xf numFmtId="0" fontId="0" fillId="0" borderId="0" xfId="0" applyFont="1"/>
    <xf numFmtId="0" fontId="3" fillId="0" borderId="0" xfId="0" applyFont="1" applyFill="1" applyBorder="1" applyAlignment="1" applyProtection="1">
      <alignment wrapText="1"/>
      <protection locked="0"/>
    </xf>
    <xf numFmtId="0" fontId="3" fillId="0" borderId="0" xfId="0" applyFont="1" applyAlignment="1"/>
    <xf numFmtId="166" fontId="3" fillId="0" borderId="0" xfId="1" applyNumberFormat="1" applyFont="1" applyBorder="1" applyAlignment="1">
      <alignment wrapText="1"/>
    </xf>
    <xf numFmtId="3" fontId="3" fillId="0" borderId="1" xfId="0" applyNumberFormat="1" applyFont="1" applyFill="1" applyBorder="1" applyAlignment="1" applyProtection="1">
      <alignment wrapText="1"/>
      <protection locked="0"/>
    </xf>
    <xf numFmtId="3" fontId="3" fillId="0" borderId="0" xfId="0" applyNumberFormat="1" applyFont="1" applyFill="1" applyBorder="1" applyAlignment="1" applyProtection="1">
      <alignment wrapText="1"/>
      <protection locked="0"/>
    </xf>
    <xf numFmtId="3" fontId="5" fillId="0" borderId="1" xfId="0" applyNumberFormat="1" applyFont="1" applyFill="1" applyBorder="1" applyAlignment="1" applyProtection="1">
      <alignment wrapText="1"/>
      <protection locked="0"/>
    </xf>
    <xf numFmtId="0" fontId="1" fillId="0" borderId="0" xfId="5"/>
    <xf numFmtId="0" fontId="14" fillId="0" borderId="0" xfId="5" applyFont="1"/>
    <xf numFmtId="0" fontId="1" fillId="0" borderId="0" xfId="5" applyAlignment="1">
      <alignment horizontal="right"/>
    </xf>
    <xf numFmtId="0" fontId="1" fillId="0" borderId="0" xfId="5" applyProtection="1">
      <protection locked="0"/>
    </xf>
    <xf numFmtId="0" fontId="1" fillId="0" borderId="0" xfId="5" applyAlignment="1">
      <alignment horizontal="center"/>
    </xf>
    <xf numFmtId="3" fontId="1" fillId="0" borderId="0" xfId="5" applyNumberFormat="1" applyFill="1"/>
    <xf numFmtId="3" fontId="1" fillId="0" borderId="0" xfId="5" applyNumberFormat="1"/>
    <xf numFmtId="3" fontId="14" fillId="0" borderId="0" xfId="5" applyNumberFormat="1" applyFont="1" applyFill="1"/>
    <xf numFmtId="3" fontId="14" fillId="0" borderId="0" xfId="5" applyNumberFormat="1" applyFont="1"/>
    <xf numFmtId="0" fontId="1" fillId="0" borderId="18" xfId="5" applyBorder="1"/>
    <xf numFmtId="0" fontId="1" fillId="0" borderId="0" xfId="5" applyFill="1" applyBorder="1" applyAlignment="1">
      <alignment horizontal="center"/>
    </xf>
    <xf numFmtId="0" fontId="1" fillId="0" borderId="0" xfId="5" applyBorder="1"/>
    <xf numFmtId="0" fontId="1" fillId="0" borderId="19" xfId="5" applyBorder="1"/>
    <xf numFmtId="3" fontId="1" fillId="0" borderId="0" xfId="5" applyNumberFormat="1" applyFill="1" applyBorder="1"/>
    <xf numFmtId="3" fontId="14" fillId="0" borderId="0" xfId="5" applyNumberFormat="1" applyFont="1" applyFill="1" applyBorder="1"/>
    <xf numFmtId="0" fontId="1" fillId="0" borderId="0" xfId="5" applyFill="1"/>
    <xf numFmtId="3" fontId="1" fillId="0" borderId="19" xfId="5" applyNumberFormat="1" applyFill="1" applyBorder="1"/>
    <xf numFmtId="0" fontId="1" fillId="0" borderId="0" xfId="5" applyFill="1" applyBorder="1"/>
    <xf numFmtId="0" fontId="1" fillId="0" borderId="0" xfId="6"/>
    <xf numFmtId="3" fontId="1" fillId="0" borderId="0" xfId="6" applyNumberFormat="1"/>
    <xf numFmtId="3" fontId="1" fillId="0" borderId="0" xfId="6" applyNumberFormat="1" applyFill="1"/>
    <xf numFmtId="3" fontId="1" fillId="0" borderId="0" xfId="5" applyNumberFormat="1" applyFont="1" applyFill="1" applyBorder="1"/>
    <xf numFmtId="0" fontId="5" fillId="0" borderId="1" xfId="0" applyFont="1" applyFill="1" applyBorder="1" applyAlignment="1" applyProtection="1">
      <alignment wrapText="1"/>
      <protection locked="0"/>
    </xf>
    <xf numFmtId="0" fontId="3" fillId="0" borderId="0" xfId="0" applyFont="1" applyBorder="1" applyAlignment="1" applyProtection="1">
      <alignment wrapText="1"/>
      <protection locked="0"/>
    </xf>
    <xf numFmtId="0" fontId="3" fillId="0" borderId="1" xfId="0" applyFont="1" applyFill="1" applyBorder="1" applyAlignment="1" applyProtection="1">
      <alignment wrapText="1"/>
      <protection locked="0"/>
    </xf>
    <xf numFmtId="0" fontId="10" fillId="0" borderId="0" xfId="3" applyFont="1" applyFill="1" applyBorder="1" applyAlignment="1" applyProtection="1">
      <protection locked="0"/>
    </xf>
    <xf numFmtId="0" fontId="18" fillId="0" borderId="0" xfId="5" applyFont="1"/>
    <xf numFmtId="0" fontId="15" fillId="0" borderId="0" xfId="5" applyFont="1"/>
    <xf numFmtId="0" fontId="17" fillId="3" borderId="3" xfId="5" applyFont="1" applyFill="1" applyBorder="1"/>
    <xf numFmtId="0" fontId="17" fillId="3" borderId="5" xfId="5" applyFont="1" applyFill="1" applyBorder="1"/>
    <xf numFmtId="0" fontId="17" fillId="3" borderId="4" xfId="5" applyFont="1" applyFill="1" applyBorder="1"/>
    <xf numFmtId="0" fontId="1" fillId="0" borderId="18" xfId="5" applyFill="1" applyBorder="1"/>
    <xf numFmtId="3" fontId="1" fillId="0" borderId="21" xfId="5" applyNumberFormat="1" applyFont="1" applyFill="1" applyBorder="1"/>
    <xf numFmtId="0" fontId="1" fillId="0" borderId="20" xfId="5" applyFill="1" applyBorder="1"/>
    <xf numFmtId="0" fontId="1" fillId="0" borderId="18" xfId="5" applyFont="1" applyFill="1" applyBorder="1" applyAlignment="1">
      <alignment horizontal="right"/>
    </xf>
    <xf numFmtId="0" fontId="1" fillId="0" borderId="19" xfId="5" applyFill="1" applyBorder="1" applyAlignment="1">
      <alignment horizontal="right"/>
    </xf>
    <xf numFmtId="3" fontId="14" fillId="0" borderId="19" xfId="5" applyNumberFormat="1" applyFont="1" applyFill="1" applyBorder="1"/>
    <xf numFmtId="0" fontId="1" fillId="0" borderId="19" xfId="5" applyFill="1" applyBorder="1"/>
    <xf numFmtId="0" fontId="1" fillId="0" borderId="15" xfId="5" applyFill="1" applyBorder="1"/>
    <xf numFmtId="0" fontId="1" fillId="0" borderId="16" xfId="5" applyFill="1" applyBorder="1"/>
    <xf numFmtId="0" fontId="1" fillId="0" borderId="17" xfId="5" applyFill="1" applyBorder="1"/>
    <xf numFmtId="3" fontId="1" fillId="0" borderId="21" xfId="5" applyNumberFormat="1" applyFill="1" applyBorder="1"/>
    <xf numFmtId="164" fontId="10" fillId="0" borderId="1" xfId="3" applyNumberFormat="1" applyFont="1" applyFill="1" applyBorder="1" applyAlignment="1" applyProtection="1">
      <alignment wrapText="1"/>
      <protection locked="0"/>
    </xf>
    <xf numFmtId="0" fontId="3" fillId="3" borderId="25" xfId="0" applyFont="1" applyFill="1" applyBorder="1" applyAlignment="1" applyProtection="1">
      <alignment horizontal="center"/>
      <protection locked="0"/>
    </xf>
    <xf numFmtId="0" fontId="5" fillId="3" borderId="25" xfId="0" applyFont="1" applyFill="1" applyBorder="1" applyAlignment="1" applyProtection="1">
      <alignment horizontal="center"/>
      <protection locked="0"/>
    </xf>
    <xf numFmtId="0" fontId="5" fillId="3" borderId="26" xfId="0" applyFont="1" applyFill="1" applyBorder="1" applyAlignment="1" applyProtection="1">
      <alignment horizontal="center"/>
      <protection locked="0"/>
    </xf>
    <xf numFmtId="0" fontId="21" fillId="3" borderId="1" xfId="3" applyFont="1" applyFill="1" applyBorder="1" applyAlignment="1" applyProtection="1">
      <alignment horizontal="center" wrapText="1"/>
      <protection locked="0"/>
    </xf>
    <xf numFmtId="0" fontId="5" fillId="3" borderId="16" xfId="0" applyFont="1" applyFill="1" applyBorder="1" applyAlignment="1" applyProtection="1">
      <alignment horizontal="center"/>
      <protection locked="0"/>
    </xf>
    <xf numFmtId="0" fontId="3" fillId="3" borderId="16" xfId="0" applyFont="1" applyFill="1" applyBorder="1" applyAlignment="1" applyProtection="1">
      <alignment horizontal="center"/>
      <protection locked="0"/>
    </xf>
    <xf numFmtId="0" fontId="5" fillId="3" borderId="13" xfId="0" applyFont="1" applyFill="1" applyBorder="1" applyAlignment="1" applyProtection="1">
      <alignment horizontal="center" wrapText="1"/>
      <protection locked="0"/>
    </xf>
    <xf numFmtId="0" fontId="23" fillId="0" borderId="0" xfId="0" applyFont="1"/>
    <xf numFmtId="0" fontId="21" fillId="3" borderId="3" xfId="3" applyFont="1" applyFill="1" applyBorder="1" applyAlignment="1" applyProtection="1">
      <alignment horizontal="center" wrapText="1"/>
      <protection locked="0"/>
    </xf>
    <xf numFmtId="0" fontId="5" fillId="3" borderId="14" xfId="0" applyFont="1" applyFill="1" applyBorder="1" applyAlignment="1" applyProtection="1">
      <alignment horizontal="center" wrapText="1"/>
      <protection locked="0"/>
    </xf>
    <xf numFmtId="3" fontId="0" fillId="0" borderId="0" xfId="0" applyNumberFormat="1"/>
    <xf numFmtId="0" fontId="25" fillId="0" borderId="0" xfId="0" applyFont="1"/>
    <xf numFmtId="0" fontId="0" fillId="0" borderId="0" xfId="0" applyFill="1"/>
    <xf numFmtId="3" fontId="1" fillId="4" borderId="16" xfId="5" applyNumberFormat="1" applyFill="1" applyBorder="1"/>
    <xf numFmtId="3" fontId="1" fillId="0" borderId="19" xfId="5" applyNumberFormat="1" applyFont="1" applyFill="1" applyBorder="1"/>
    <xf numFmtId="3" fontId="1" fillId="0" borderId="22" xfId="5" applyNumberFormat="1" applyFont="1" applyFill="1" applyBorder="1"/>
    <xf numFmtId="3" fontId="16" fillId="0" borderId="0" xfId="5" applyNumberFormat="1" applyFont="1" applyFill="1" applyBorder="1"/>
    <xf numFmtId="0" fontId="1" fillId="0" borderId="0" xfId="5" applyFont="1" applyFill="1"/>
    <xf numFmtId="0" fontId="1" fillId="0" borderId="21" xfId="5" applyFill="1" applyBorder="1"/>
    <xf numFmtId="3" fontId="15" fillId="0" borderId="19" xfId="5" applyNumberFormat="1" applyFont="1" applyFill="1" applyBorder="1"/>
    <xf numFmtId="0" fontId="1" fillId="0" borderId="19" xfId="5" applyFill="1" applyBorder="1" applyAlignment="1">
      <alignment horizontal="center"/>
    </xf>
    <xf numFmtId="3" fontId="1" fillId="0" borderId="22" xfId="5" applyNumberFormat="1" applyFill="1" applyBorder="1"/>
    <xf numFmtId="3" fontId="15" fillId="0" borderId="0" xfId="5" applyNumberFormat="1" applyFont="1" applyFill="1" applyBorder="1"/>
    <xf numFmtId="3" fontId="3" fillId="0" borderId="4" xfId="0" applyNumberFormat="1" applyFont="1" applyFill="1" applyBorder="1" applyAlignment="1" applyProtection="1">
      <alignment wrapText="1"/>
      <protection locked="0"/>
    </xf>
    <xf numFmtId="1" fontId="3" fillId="0" borderId="4" xfId="0" applyNumberFormat="1" applyFont="1" applyFill="1" applyBorder="1" applyAlignment="1" applyProtection="1">
      <alignment wrapText="1"/>
      <protection locked="0"/>
    </xf>
    <xf numFmtId="1" fontId="3" fillId="0" borderId="1" xfId="0" applyNumberFormat="1" applyFont="1" applyFill="1" applyBorder="1" applyAlignment="1" applyProtection="1">
      <alignment wrapText="1"/>
      <protection locked="0"/>
    </xf>
    <xf numFmtId="3" fontId="6" fillId="0" borderId="1" xfId="0" applyNumberFormat="1" applyFont="1" applyFill="1" applyBorder="1" applyAlignment="1" applyProtection="1">
      <alignment horizontal="right" wrapText="1"/>
      <protection locked="0"/>
    </xf>
    <xf numFmtId="3" fontId="24" fillId="0" borderId="1" xfId="0" applyNumberFormat="1" applyFont="1" applyFill="1" applyBorder="1" applyAlignment="1" applyProtection="1">
      <alignment horizontal="right" wrapText="1"/>
      <protection locked="0"/>
    </xf>
    <xf numFmtId="0" fontId="3" fillId="0" borderId="10" xfId="0" applyFont="1" applyFill="1" applyBorder="1" applyAlignment="1" applyProtection="1">
      <alignment horizontal="center" wrapText="1"/>
      <protection locked="0"/>
    </xf>
    <xf numFmtId="0" fontId="3" fillId="0" borderId="31" xfId="0" applyFont="1" applyFill="1" applyBorder="1" applyAlignment="1" applyProtection="1">
      <alignment horizontal="right" wrapText="1"/>
      <protection locked="0"/>
    </xf>
    <xf numFmtId="3" fontId="3" fillId="0" borderId="0" xfId="0" applyNumberFormat="1" applyFont="1" applyFill="1" applyBorder="1" applyAlignment="1" applyProtection="1">
      <alignment horizontal="right" wrapText="1"/>
      <protection locked="0"/>
    </xf>
    <xf numFmtId="3" fontId="9" fillId="0" borderId="9" xfId="3" applyNumberFormat="1" applyFont="1" applyFill="1" applyBorder="1" applyAlignment="1" applyProtection="1">
      <alignment horizontal="right" wrapText="1"/>
      <protection locked="0"/>
    </xf>
    <xf numFmtId="3" fontId="3" fillId="0" borderId="10" xfId="0" applyNumberFormat="1" applyFont="1" applyFill="1" applyBorder="1" applyAlignment="1" applyProtection="1">
      <alignment horizontal="right" wrapText="1"/>
      <protection locked="0"/>
    </xf>
    <xf numFmtId="3" fontId="3" fillId="0" borderId="31" xfId="0" applyNumberFormat="1" applyFont="1" applyFill="1" applyBorder="1" applyAlignment="1" applyProtection="1">
      <alignment horizontal="right" wrapText="1"/>
      <protection locked="0"/>
    </xf>
    <xf numFmtId="3" fontId="3" fillId="0" borderId="8" xfId="0" applyNumberFormat="1" applyFont="1" applyFill="1" applyBorder="1" applyAlignment="1" applyProtection="1">
      <alignment horizontal="right" wrapText="1"/>
      <protection locked="0"/>
    </xf>
    <xf numFmtId="0" fontId="3" fillId="0" borderId="0" xfId="0" applyFont="1" applyFill="1" applyBorder="1" applyAlignment="1" applyProtection="1">
      <alignment horizontal="center"/>
      <protection locked="0"/>
    </xf>
    <xf numFmtId="0" fontId="3" fillId="0" borderId="31" xfId="0" applyFont="1" applyFill="1" applyBorder="1" applyAlignment="1" applyProtection="1">
      <alignment horizontal="right"/>
      <protection locked="0"/>
    </xf>
    <xf numFmtId="3" fontId="3" fillId="0" borderId="0" xfId="0" applyNumberFormat="1" applyFont="1" applyFill="1" applyBorder="1" applyAlignment="1" applyProtection="1">
      <alignment horizontal="right"/>
      <protection locked="0"/>
    </xf>
    <xf numFmtId="3" fontId="9" fillId="0" borderId="24" xfId="3" applyNumberFormat="1" applyFont="1" applyFill="1" applyBorder="1" applyAlignment="1" applyProtection="1">
      <alignment horizontal="right"/>
      <protection locked="0"/>
    </xf>
    <xf numFmtId="3" fontId="3" fillId="0" borderId="31" xfId="0" applyNumberFormat="1" applyFont="1" applyFill="1" applyBorder="1" applyAlignment="1" applyProtection="1">
      <alignment horizontal="right"/>
      <protection locked="0"/>
    </xf>
    <xf numFmtId="0" fontId="3" fillId="0" borderId="0" xfId="0" applyFont="1" applyFill="1" applyBorder="1" applyAlignment="1" applyProtection="1">
      <alignment horizontal="center" wrapText="1"/>
      <protection locked="0"/>
    </xf>
    <xf numFmtId="3" fontId="9" fillId="0" borderId="24" xfId="3" applyNumberFormat="1" applyFont="1" applyFill="1" applyBorder="1" applyAlignment="1" applyProtection="1">
      <alignment horizontal="right" wrapText="1"/>
      <protection locked="0"/>
    </xf>
    <xf numFmtId="0" fontId="5" fillId="0" borderId="37" xfId="0" applyFont="1" applyFill="1" applyBorder="1" applyAlignment="1" applyProtection="1">
      <alignment horizontal="center" wrapText="1"/>
      <protection locked="0"/>
    </xf>
    <xf numFmtId="0" fontId="5" fillId="0" borderId="6" xfId="0" applyFont="1" applyFill="1" applyBorder="1" applyAlignment="1" applyProtection="1">
      <alignment horizontal="right" wrapText="1"/>
      <protection locked="0"/>
    </xf>
    <xf numFmtId="3" fontId="20" fillId="0" borderId="37" xfId="3" applyNumberFormat="1" applyFont="1" applyFill="1" applyBorder="1" applyAlignment="1" applyProtection="1">
      <alignment horizontal="right" wrapText="1"/>
      <protection locked="0"/>
    </xf>
    <xf numFmtId="3" fontId="20" fillId="0" borderId="33" xfId="3" applyNumberFormat="1" applyFont="1" applyFill="1" applyBorder="1" applyAlignment="1" applyProtection="1">
      <alignment horizontal="right" wrapText="1"/>
      <protection locked="0"/>
    </xf>
    <xf numFmtId="3" fontId="20" fillId="0" borderId="6" xfId="3" applyNumberFormat="1" applyFont="1" applyFill="1" applyBorder="1" applyAlignment="1" applyProtection="1">
      <alignment horizontal="right" wrapText="1"/>
      <protection locked="0"/>
    </xf>
    <xf numFmtId="3" fontId="3" fillId="0" borderId="30" xfId="0" applyNumberFormat="1" applyFont="1" applyFill="1" applyBorder="1" applyAlignment="1" applyProtection="1">
      <alignment horizontal="right" wrapText="1"/>
      <protection locked="0"/>
    </xf>
    <xf numFmtId="3" fontId="9" fillId="0" borderId="0" xfId="3" applyNumberFormat="1" applyFont="1" applyFill="1" applyBorder="1" applyAlignment="1" applyProtection="1">
      <alignment horizontal="right" wrapText="1"/>
      <protection locked="0"/>
    </xf>
    <xf numFmtId="3" fontId="3" fillId="0" borderId="30" xfId="0" applyNumberFormat="1" applyFont="1" applyFill="1" applyBorder="1" applyAlignment="1" applyProtection="1">
      <alignment horizontal="right"/>
      <protection locked="0"/>
    </xf>
    <xf numFmtId="3" fontId="9" fillId="0" borderId="0" xfId="3" applyNumberFormat="1" applyFont="1" applyFill="1" applyBorder="1" applyAlignment="1" applyProtection="1">
      <alignment horizontal="right"/>
      <protection locked="0"/>
    </xf>
    <xf numFmtId="3" fontId="20" fillId="0" borderId="34" xfId="3" applyNumberFormat="1" applyFont="1" applyFill="1" applyBorder="1" applyAlignment="1" applyProtection="1">
      <alignment horizontal="right" wrapText="1"/>
      <protection locked="0"/>
    </xf>
    <xf numFmtId="3" fontId="3" fillId="0" borderId="24" xfId="0" applyNumberFormat="1" applyFont="1" applyFill="1" applyBorder="1" applyAlignment="1" applyProtection="1">
      <alignment horizontal="right" wrapText="1"/>
      <protection locked="0"/>
    </xf>
    <xf numFmtId="3" fontId="3" fillId="0" borderId="30" xfId="0" applyNumberFormat="1" applyFont="1" applyFill="1" applyBorder="1" applyAlignment="1" applyProtection="1">
      <alignment horizontal="center" wrapText="1"/>
      <protection locked="0"/>
    </xf>
    <xf numFmtId="0" fontId="3" fillId="0" borderId="38" xfId="0" applyFont="1" applyFill="1" applyBorder="1" applyAlignment="1" applyProtection="1">
      <protection locked="0"/>
    </xf>
    <xf numFmtId="3" fontId="3" fillId="0" borderId="24" xfId="0" applyNumberFormat="1" applyFont="1" applyFill="1" applyBorder="1" applyAlignment="1" applyProtection="1">
      <alignment horizontal="right"/>
      <protection locked="0"/>
    </xf>
    <xf numFmtId="3" fontId="3" fillId="0" borderId="30" xfId="0" applyNumberFormat="1" applyFont="1" applyFill="1" applyBorder="1" applyAlignment="1" applyProtection="1">
      <alignment horizontal="center"/>
      <protection locked="0"/>
    </xf>
    <xf numFmtId="3" fontId="3" fillId="0" borderId="24" xfId="0" quotePrefix="1" applyNumberFormat="1" applyFont="1" applyFill="1" applyBorder="1" applyAlignment="1" applyProtection="1">
      <alignment horizontal="right" wrapText="1"/>
      <protection locked="0"/>
    </xf>
    <xf numFmtId="3" fontId="3" fillId="0" borderId="30" xfId="0" quotePrefix="1" applyNumberFormat="1" applyFont="1" applyFill="1" applyBorder="1" applyAlignment="1" applyProtection="1">
      <alignment horizontal="center" wrapText="1"/>
      <protection locked="0"/>
    </xf>
    <xf numFmtId="3" fontId="20" fillId="0" borderId="34" xfId="3" applyNumberFormat="1" applyFont="1" applyFill="1" applyBorder="1" applyAlignment="1" applyProtection="1">
      <alignment horizontal="center" wrapText="1"/>
      <protection locked="0"/>
    </xf>
    <xf numFmtId="0" fontId="5" fillId="0" borderId="7" xfId="0" applyFont="1" applyFill="1" applyBorder="1" applyAlignment="1" applyProtection="1">
      <alignment wrapText="1"/>
      <protection locked="0"/>
    </xf>
    <xf numFmtId="3" fontId="3" fillId="0" borderId="0" xfId="0" applyNumberFormat="1" applyFont="1" applyFill="1" applyBorder="1" applyAlignment="1" applyProtection="1">
      <alignment horizontal="center" wrapText="1"/>
      <protection locked="0"/>
    </xf>
    <xf numFmtId="3" fontId="3" fillId="0" borderId="0" xfId="0" applyNumberFormat="1" applyFont="1" applyFill="1" applyBorder="1" applyAlignment="1" applyProtection="1">
      <alignment horizontal="center"/>
      <protection locked="0"/>
    </xf>
    <xf numFmtId="3" fontId="3" fillId="0" borderId="0" xfId="0" quotePrefix="1" applyNumberFormat="1" applyFont="1" applyFill="1" applyBorder="1" applyAlignment="1" applyProtection="1">
      <alignment horizontal="center" wrapText="1"/>
      <protection locked="0"/>
    </xf>
    <xf numFmtId="3" fontId="20" fillId="0" borderId="37" xfId="3" applyNumberFormat="1" applyFont="1" applyFill="1" applyBorder="1" applyAlignment="1" applyProtection="1">
      <alignment horizontal="center" wrapText="1"/>
      <protection locked="0"/>
    </xf>
    <xf numFmtId="3" fontId="6" fillId="4" borderId="1" xfId="0" applyNumberFormat="1" applyFont="1" applyFill="1" applyBorder="1" applyAlignment="1" applyProtection="1">
      <alignment horizontal="right" wrapText="1"/>
      <protection locked="0"/>
    </xf>
    <xf numFmtId="3" fontId="24" fillId="4" borderId="1" xfId="0" applyNumberFormat="1" applyFont="1" applyFill="1" applyBorder="1" applyAlignment="1" applyProtection="1">
      <alignment horizontal="right" wrapText="1"/>
      <protection locked="0"/>
    </xf>
    <xf numFmtId="3" fontId="6" fillId="4" borderId="1" xfId="0" applyNumberFormat="1" applyFont="1" applyFill="1" applyBorder="1" applyAlignment="1" applyProtection="1">
      <alignment wrapText="1"/>
      <protection locked="0"/>
    </xf>
    <xf numFmtId="3" fontId="24" fillId="4" borderId="1" xfId="0" applyNumberFormat="1" applyFont="1" applyFill="1" applyBorder="1" applyAlignment="1" applyProtection="1">
      <alignment wrapText="1"/>
      <protection locked="0"/>
    </xf>
    <xf numFmtId="2" fontId="3" fillId="0" borderId="4" xfId="0" applyNumberFormat="1" applyFont="1" applyFill="1" applyBorder="1" applyAlignment="1" applyProtection="1">
      <alignment wrapText="1"/>
      <protection locked="0"/>
    </xf>
    <xf numFmtId="0" fontId="12" fillId="4" borderId="0" xfId="0" applyFont="1" applyFill="1"/>
    <xf numFmtId="0" fontId="0" fillId="4" borderId="0" xfId="0" applyFill="1"/>
    <xf numFmtId="3" fontId="10" fillId="0" borderId="1" xfId="3" applyNumberFormat="1" applyFont="1" applyFill="1" applyBorder="1" applyAlignment="1" applyProtection="1">
      <alignment wrapText="1"/>
      <protection locked="0"/>
    </xf>
    <xf numFmtId="0" fontId="1" fillId="4" borderId="0" xfId="5" applyFill="1"/>
    <xf numFmtId="0" fontId="11" fillId="0" borderId="0" xfId="0" applyFont="1" applyBorder="1" applyAlignment="1" applyProtection="1">
      <alignment wrapText="1"/>
      <protection locked="0"/>
    </xf>
    <xf numFmtId="3" fontId="11" fillId="0" borderId="0" xfId="0" applyNumberFormat="1" applyFont="1" applyFill="1" applyBorder="1" applyAlignment="1" applyProtection="1">
      <alignment wrapText="1"/>
      <protection locked="0"/>
    </xf>
    <xf numFmtId="164" fontId="21" fillId="0" borderId="1" xfId="0" applyNumberFormat="1" applyFont="1" applyFill="1" applyBorder="1" applyAlignment="1" applyProtection="1">
      <alignment horizontal="right" vertical="top" wrapText="1"/>
      <protection locked="0"/>
    </xf>
    <xf numFmtId="0" fontId="27" fillId="0" borderId="0" xfId="0" applyFont="1" applyFill="1"/>
    <xf numFmtId="0" fontId="10" fillId="0" borderId="0" xfId="0" applyFont="1"/>
    <xf numFmtId="0" fontId="10" fillId="0" borderId="0" xfId="0" applyFont="1" applyFill="1"/>
    <xf numFmtId="4" fontId="10" fillId="0" borderId="0" xfId="0" applyNumberFormat="1" applyFont="1" applyFill="1"/>
    <xf numFmtId="0" fontId="21" fillId="0" borderId="1" xfId="0" applyNumberFormat="1" applyFont="1" applyFill="1" applyBorder="1" applyAlignment="1">
      <alignment horizontal="center"/>
    </xf>
    <xf numFmtId="4" fontId="21" fillId="0" borderId="1" xfId="0" applyNumberFormat="1" applyFont="1" applyFill="1" applyBorder="1" applyAlignment="1">
      <alignment horizontal="center"/>
    </xf>
    <xf numFmtId="0" fontId="10" fillId="0" borderId="0" xfId="0" applyNumberFormat="1" applyFont="1" applyAlignment="1"/>
    <xf numFmtId="0" fontId="21" fillId="0" borderId="1" xfId="0" applyNumberFormat="1" applyFont="1" applyFill="1" applyBorder="1" applyAlignment="1">
      <alignment horizontal="center" wrapText="1"/>
    </xf>
    <xf numFmtId="4" fontId="21" fillId="0" borderId="1" xfId="0" applyNumberFormat="1" applyFont="1" applyFill="1" applyBorder="1" applyAlignment="1">
      <alignment horizontal="center" wrapText="1"/>
    </xf>
    <xf numFmtId="0" fontId="10" fillId="0" borderId="0" xfId="0" applyNumberFormat="1" applyFont="1" applyAlignment="1">
      <alignment wrapText="1"/>
    </xf>
    <xf numFmtId="170" fontId="10" fillId="0" borderId="1" xfId="0" applyNumberFormat="1" applyFont="1" applyFill="1" applyBorder="1" applyAlignment="1" applyProtection="1">
      <alignment wrapText="1"/>
      <protection locked="0"/>
    </xf>
    <xf numFmtId="2" fontId="10" fillId="0" borderId="1" xfId="0" applyNumberFormat="1" applyFont="1" applyFill="1" applyBorder="1" applyAlignment="1" applyProtection="1">
      <alignment wrapText="1"/>
      <protection locked="0"/>
    </xf>
    <xf numFmtId="1" fontId="10" fillId="0" borderId="1" xfId="0" applyNumberFormat="1" applyFont="1" applyFill="1" applyBorder="1" applyAlignment="1" applyProtection="1">
      <alignment wrapText="1"/>
      <protection locked="0"/>
    </xf>
    <xf numFmtId="0" fontId="29" fillId="0" borderId="1" xfId="0" applyFont="1" applyFill="1" applyBorder="1" applyAlignment="1">
      <alignment vertical="top"/>
    </xf>
    <xf numFmtId="0" fontId="29" fillId="0" borderId="0" xfId="0" applyFont="1" applyFill="1"/>
    <xf numFmtId="0" fontId="29" fillId="0" borderId="1" xfId="0" applyFont="1" applyFill="1" applyBorder="1" applyAlignment="1">
      <alignment horizontal="center" vertical="top" wrapText="1"/>
    </xf>
    <xf numFmtId="0" fontId="29" fillId="0" borderId="1" xfId="0" applyFont="1" applyFill="1" applyBorder="1"/>
    <xf numFmtId="0" fontId="29" fillId="0" borderId="5" xfId="0" applyFont="1" applyFill="1" applyBorder="1"/>
    <xf numFmtId="0" fontId="11" fillId="0" borderId="0" xfId="0" applyFont="1" applyFill="1" applyBorder="1" applyAlignment="1" applyProtection="1">
      <protection locked="0"/>
    </xf>
    <xf numFmtId="0" fontId="11" fillId="0" borderId="0" xfId="0" applyFont="1" applyBorder="1" applyAlignment="1" applyProtection="1">
      <protection locked="0"/>
    </xf>
    <xf numFmtId="0" fontId="10" fillId="0" borderId="0" xfId="0" applyNumberFormat="1" applyFont="1" applyFill="1" applyAlignment="1">
      <alignment horizontal="left"/>
    </xf>
    <xf numFmtId="0" fontId="26" fillId="0" borderId="0" xfId="0" applyFont="1" applyFill="1" applyBorder="1" applyAlignment="1" applyProtection="1">
      <protection locked="0"/>
    </xf>
    <xf numFmtId="0" fontId="21" fillId="0" borderId="0" xfId="0" applyFont="1" applyFill="1"/>
    <xf numFmtId="166" fontId="10" fillId="0" borderId="0" xfId="3" applyNumberFormat="1" applyFont="1" applyFill="1" applyBorder="1" applyAlignment="1" applyProtection="1">
      <protection locked="0"/>
    </xf>
    <xf numFmtId="166" fontId="10" fillId="0" borderId="0" xfId="3" applyNumberFormat="1" applyFont="1" applyFill="1" applyBorder="1" applyAlignment="1" applyProtection="1">
      <alignment wrapText="1"/>
      <protection locked="0"/>
    </xf>
    <xf numFmtId="0" fontId="10" fillId="0" borderId="0" xfId="3" applyFont="1" applyFill="1" applyBorder="1" applyAlignment="1" applyProtection="1">
      <alignment wrapText="1"/>
      <protection locked="0"/>
    </xf>
    <xf numFmtId="3" fontId="1" fillId="0" borderId="16" xfId="5" applyNumberFormat="1" applyFill="1" applyBorder="1"/>
    <xf numFmtId="0" fontId="21" fillId="0" borderId="1" xfId="0" applyNumberFormat="1" applyFont="1" applyFill="1" applyBorder="1" applyAlignment="1">
      <alignment horizontal="center" vertical="center"/>
    </xf>
    <xf numFmtId="0" fontId="30" fillId="0" borderId="0" xfId="0" applyFont="1"/>
    <xf numFmtId="0" fontId="30" fillId="0" borderId="0" xfId="0" applyFont="1" applyFill="1"/>
    <xf numFmtId="4" fontId="30" fillId="0" borderId="0" xfId="0" applyNumberFormat="1" applyFont="1" applyFill="1"/>
    <xf numFmtId="0" fontId="12" fillId="0" borderId="0" xfId="0" applyFont="1" applyFill="1"/>
    <xf numFmtId="0" fontId="3" fillId="0" borderId="0" xfId="0" applyFont="1" applyFill="1" applyAlignment="1">
      <alignment horizontal="right" wrapText="1"/>
    </xf>
    <xf numFmtId="0" fontId="5" fillId="3" borderId="1" xfId="0" applyFont="1" applyFill="1" applyBorder="1" applyAlignment="1">
      <alignment horizontal="center" wrapText="1"/>
    </xf>
    <xf numFmtId="166" fontId="5" fillId="3" borderId="1" xfId="0" applyNumberFormat="1" applyFont="1" applyFill="1" applyBorder="1" applyAlignment="1">
      <alignment horizontal="center" wrapText="1"/>
    </xf>
    <xf numFmtId="164" fontId="10" fillId="0" borderId="1" xfId="0" applyNumberFormat="1" applyFont="1" applyFill="1" applyBorder="1" applyAlignment="1" applyProtection="1">
      <alignment horizontal="right" vertical="top" wrapText="1"/>
      <protection locked="0"/>
    </xf>
    <xf numFmtId="5" fontId="10" fillId="0" borderId="1" xfId="2" applyNumberFormat="1" applyFont="1" applyFill="1" applyBorder="1" applyAlignment="1" applyProtection="1">
      <alignment wrapText="1"/>
      <protection locked="0"/>
    </xf>
    <xf numFmtId="164" fontId="11" fillId="0" borderId="0" xfId="0" applyNumberFormat="1" applyFont="1" applyBorder="1" applyAlignment="1" applyProtection="1">
      <alignment wrapText="1"/>
      <protection locked="0"/>
    </xf>
    <xf numFmtId="0" fontId="29" fillId="0" borderId="3" xfId="0" applyFont="1" applyFill="1" applyBorder="1" applyAlignment="1">
      <alignment vertical="top"/>
    </xf>
    <xf numFmtId="0" fontId="29" fillId="0" borderId="5" xfId="0" applyFont="1" applyFill="1" applyBorder="1" applyAlignment="1">
      <alignment horizontal="center" vertical="top" wrapText="1"/>
    </xf>
    <xf numFmtId="0" fontId="5" fillId="3" borderId="1" xfId="0" applyFont="1" applyFill="1" applyBorder="1" applyAlignment="1" applyProtection="1">
      <alignment horizontal="center" wrapText="1"/>
      <protection locked="0"/>
    </xf>
    <xf numFmtId="3" fontId="10" fillId="0" borderId="0" xfId="3" applyNumberFormat="1" applyFont="1" applyFill="1" applyBorder="1" applyAlignment="1" applyProtection="1">
      <protection locked="0"/>
    </xf>
    <xf numFmtId="3" fontId="3" fillId="4" borderId="4" xfId="0" applyNumberFormat="1" applyFont="1" applyFill="1" applyBorder="1" applyAlignment="1" applyProtection="1">
      <alignment wrapText="1"/>
      <protection locked="0"/>
    </xf>
    <xf numFmtId="1" fontId="3" fillId="4" borderId="1" xfId="0" applyNumberFormat="1" applyFont="1" applyFill="1" applyBorder="1" applyAlignment="1" applyProtection="1">
      <alignment wrapText="1"/>
      <protection locked="0"/>
    </xf>
    <xf numFmtId="0" fontId="31" fillId="0" borderId="0" xfId="0" applyFont="1"/>
    <xf numFmtId="2" fontId="0" fillId="4" borderId="1" xfId="0" applyNumberFormat="1" applyFill="1" applyBorder="1"/>
    <xf numFmtId="3" fontId="6" fillId="0" borderId="1" xfId="0" applyNumberFormat="1" applyFont="1" applyFill="1" applyBorder="1" applyAlignment="1" applyProtection="1">
      <alignment wrapText="1"/>
      <protection locked="0"/>
    </xf>
    <xf numFmtId="3" fontId="24" fillId="0" borderId="1" xfId="0" applyNumberFormat="1" applyFont="1" applyFill="1" applyBorder="1" applyAlignment="1" applyProtection="1">
      <alignment wrapText="1"/>
      <protection locked="0"/>
    </xf>
    <xf numFmtId="2" fontId="3" fillId="0" borderId="1" xfId="0" applyNumberFormat="1" applyFont="1" applyFill="1" applyBorder="1" applyAlignment="1" applyProtection="1">
      <alignment wrapText="1"/>
      <protection locked="0"/>
    </xf>
    <xf numFmtId="0" fontId="26" fillId="0" borderId="0" xfId="0" applyFont="1"/>
    <xf numFmtId="0" fontId="10" fillId="0" borderId="0" xfId="0" applyNumberFormat="1" applyFont="1" applyFill="1" applyAlignment="1">
      <alignment vertical="top" wrapText="1"/>
    </xf>
    <xf numFmtId="0" fontId="26" fillId="0" borderId="0" xfId="0" applyFont="1" applyBorder="1" applyAlignment="1" applyProtection="1">
      <protection locked="0"/>
    </xf>
    <xf numFmtId="0" fontId="30" fillId="0" borderId="0" xfId="0" applyFont="1" applyAlignment="1"/>
    <xf numFmtId="0" fontId="10" fillId="0" borderId="0" xfId="0" applyFont="1" applyAlignment="1"/>
    <xf numFmtId="0" fontId="10" fillId="0" borderId="0" xfId="0" applyFont="1" applyFill="1" applyAlignment="1"/>
    <xf numFmtId="0" fontId="26" fillId="0" borderId="24" xfId="0" applyFont="1" applyBorder="1" applyAlignment="1" applyProtection="1">
      <protection locked="0"/>
    </xf>
    <xf numFmtId="0" fontId="33" fillId="0" borderId="0" xfId="0" applyFont="1"/>
    <xf numFmtId="0" fontId="34" fillId="5" borderId="22" xfId="0" applyFont="1" applyFill="1" applyBorder="1" applyAlignment="1">
      <alignment horizontal="center" vertical="center"/>
    </xf>
    <xf numFmtId="0" fontId="35" fillId="0" borderId="23" xfId="0" applyFont="1" applyBorder="1" applyAlignment="1">
      <alignment vertical="center"/>
    </xf>
    <xf numFmtId="3" fontId="35" fillId="0" borderId="22" xfId="0" applyNumberFormat="1" applyFont="1" applyBorder="1" applyAlignment="1">
      <alignment horizontal="right" vertical="center"/>
    </xf>
    <xf numFmtId="0" fontId="36" fillId="0" borderId="23" xfId="0" applyFont="1" applyBorder="1" applyAlignment="1">
      <alignment vertical="center"/>
    </xf>
    <xf numFmtId="3" fontId="36" fillId="0" borderId="22" xfId="0" applyNumberFormat="1" applyFont="1" applyBorder="1" applyAlignment="1">
      <alignment horizontal="right" vertical="center"/>
    </xf>
    <xf numFmtId="0" fontId="0" fillId="0" borderId="1" xfId="0" applyBorder="1"/>
    <xf numFmtId="3" fontId="0" fillId="0" borderId="1" xfId="0" applyNumberFormat="1" applyBorder="1"/>
    <xf numFmtId="172" fontId="0" fillId="0" borderId="1" xfId="43" applyNumberFormat="1" applyFont="1" applyBorder="1"/>
    <xf numFmtId="1" fontId="0" fillId="0" borderId="1" xfId="0" applyNumberFormat="1" applyBorder="1"/>
    <xf numFmtId="3" fontId="35" fillId="0" borderId="22" xfId="0" applyNumberFormat="1" applyFont="1" applyFill="1" applyBorder="1" applyAlignment="1">
      <alignment horizontal="right" vertical="center"/>
    </xf>
    <xf numFmtId="6" fontId="35" fillId="0" borderId="22" xfId="0" applyNumberFormat="1" applyFont="1" applyFill="1" applyBorder="1" applyAlignment="1">
      <alignment horizontal="right" vertical="center"/>
    </xf>
    <xf numFmtId="3" fontId="36" fillId="0" borderId="22" xfId="0" applyNumberFormat="1" applyFont="1" applyFill="1" applyBorder="1" applyAlignment="1">
      <alignment horizontal="right" vertical="center"/>
    </xf>
    <xf numFmtId="6" fontId="36" fillId="0" borderId="22" xfId="0" applyNumberFormat="1" applyFont="1" applyFill="1" applyBorder="1" applyAlignment="1">
      <alignment horizontal="right" vertical="center"/>
    </xf>
    <xf numFmtId="1" fontId="35" fillId="0" borderId="22" xfId="0" applyNumberFormat="1" applyFont="1" applyBorder="1" applyAlignment="1">
      <alignment horizontal="right" vertical="center"/>
    </xf>
    <xf numFmtId="0" fontId="0" fillId="6" borderId="1" xfId="0" applyFill="1" applyBorder="1"/>
    <xf numFmtId="0" fontId="0" fillId="6" borderId="1" xfId="0" applyFill="1" applyBorder="1" applyAlignment="1">
      <alignment wrapText="1"/>
    </xf>
    <xf numFmtId="172" fontId="0" fillId="6" borderId="1" xfId="43" applyNumberFormat="1" applyFont="1" applyFill="1" applyBorder="1"/>
    <xf numFmtId="0" fontId="33" fillId="0" borderId="1" xfId="0" applyFont="1" applyBorder="1"/>
    <xf numFmtId="0" fontId="33" fillId="0" borderId="1" xfId="0" applyFont="1" applyBorder="1" applyAlignment="1">
      <alignment wrapText="1"/>
    </xf>
    <xf numFmtId="0" fontId="33" fillId="0" borderId="1" xfId="0" applyFont="1" applyFill="1" applyBorder="1"/>
    <xf numFmtId="2" fontId="10" fillId="0" borderId="0" xfId="3" applyNumberFormat="1" applyFont="1" applyFill="1" applyBorder="1" applyAlignment="1" applyProtection="1">
      <protection locked="0"/>
    </xf>
    <xf numFmtId="1" fontId="0" fillId="0" borderId="0" xfId="0" applyNumberFormat="1"/>
    <xf numFmtId="3" fontId="11" fillId="0" borderId="0" xfId="0" applyNumberFormat="1" applyFont="1" applyBorder="1" applyAlignment="1" applyProtection="1">
      <protection locked="0"/>
    </xf>
    <xf numFmtId="44" fontId="10" fillId="0" borderId="0" xfId="3" applyNumberFormat="1" applyFont="1" applyFill="1" applyBorder="1" applyAlignment="1" applyProtection="1">
      <alignment wrapText="1"/>
      <protection locked="0"/>
    </xf>
    <xf numFmtId="44" fontId="11" fillId="0" borderId="0" xfId="0" applyNumberFormat="1" applyFont="1" applyBorder="1" applyAlignment="1" applyProtection="1">
      <protection locked="0"/>
    </xf>
    <xf numFmtId="3" fontId="1" fillId="7" borderId="21" xfId="5" applyNumberFormat="1" applyFont="1" applyFill="1" applyBorder="1"/>
    <xf numFmtId="3" fontId="1" fillId="7" borderId="0" xfId="6" applyNumberFormat="1" applyFill="1"/>
    <xf numFmtId="3" fontId="1" fillId="7" borderId="21" xfId="5" applyNumberFormat="1" applyFill="1" applyBorder="1"/>
    <xf numFmtId="3" fontId="1" fillId="7" borderId="22" xfId="5" applyNumberFormat="1" applyFill="1" applyBorder="1"/>
    <xf numFmtId="0" fontId="14" fillId="0" borderId="0" xfId="0" applyFont="1" applyFill="1" applyBorder="1"/>
    <xf numFmtId="3" fontId="14" fillId="0" borderId="0" xfId="0" applyNumberFormat="1" applyFont="1" applyFill="1" applyBorder="1"/>
    <xf numFmtId="3" fontId="14" fillId="0" borderId="49" xfId="0" applyNumberFormat="1" applyFont="1" applyFill="1" applyBorder="1"/>
    <xf numFmtId="0" fontId="1" fillId="0" borderId="0" xfId="0" applyFont="1" applyFill="1" applyBorder="1"/>
    <xf numFmtId="0" fontId="21" fillId="0" borderId="4" xfId="0" applyFont="1" applyFill="1" applyBorder="1" applyAlignment="1">
      <alignment horizontal="center" vertical="top" wrapText="1"/>
    </xf>
    <xf numFmtId="0" fontId="21" fillId="0" borderId="1" xfId="0" applyFont="1" applyFill="1" applyBorder="1" applyAlignment="1">
      <alignment horizontal="center" vertical="top" wrapText="1"/>
    </xf>
    <xf numFmtId="3" fontId="21" fillId="0" borderId="1" xfId="0" applyNumberFormat="1" applyFont="1" applyFill="1" applyBorder="1" applyAlignment="1">
      <alignment horizontal="center" vertical="top" wrapText="1"/>
    </xf>
    <xf numFmtId="0" fontId="21" fillId="0" borderId="1" xfId="0" applyFont="1" applyFill="1" applyBorder="1"/>
    <xf numFmtId="0" fontId="21" fillId="0" borderId="3" xfId="0" applyFont="1" applyFill="1" applyBorder="1" applyAlignment="1">
      <alignment vertical="top"/>
    </xf>
    <xf numFmtId="0" fontId="21" fillId="0" borderId="5" xfId="0" applyFont="1" applyFill="1" applyBorder="1"/>
    <xf numFmtId="0" fontId="21" fillId="0" borderId="5" xfId="0" applyFont="1" applyFill="1" applyBorder="1" applyAlignment="1">
      <alignment horizontal="center" vertical="top" wrapText="1"/>
    </xf>
    <xf numFmtId="0" fontId="21" fillId="0" borderId="1" xfId="0" applyFont="1" applyFill="1" applyBorder="1" applyAlignment="1">
      <alignment vertical="top"/>
    </xf>
    <xf numFmtId="0" fontId="3" fillId="0" borderId="1" xfId="0" applyFont="1" applyFill="1" applyBorder="1" applyAlignment="1">
      <alignment horizontal="left" wrapText="1"/>
    </xf>
    <xf numFmtId="3" fontId="3" fillId="0" borderId="1" xfId="0" applyNumberFormat="1" applyFont="1" applyFill="1" applyBorder="1" applyAlignment="1">
      <alignment horizontal="right" wrapText="1"/>
    </xf>
    <xf numFmtId="171" fontId="3" fillId="0" borderId="1" xfId="0" applyNumberFormat="1" applyFont="1" applyFill="1" applyBorder="1" applyAlignment="1">
      <alignment horizontal="right" wrapText="1"/>
    </xf>
    <xf numFmtId="0" fontId="6" fillId="0" borderId="1" xfId="0" applyFont="1" applyFill="1" applyBorder="1" applyAlignment="1" applyProtection="1">
      <alignment wrapText="1"/>
      <protection locked="0"/>
    </xf>
    <xf numFmtId="168" fontId="3" fillId="0" borderId="1" xfId="1" applyNumberFormat="1" applyFont="1" applyFill="1" applyBorder="1" applyAlignment="1">
      <alignment horizontal="center" wrapText="1"/>
    </xf>
    <xf numFmtId="1" fontId="3" fillId="0" borderId="0" xfId="0" applyNumberFormat="1" applyFont="1" applyFill="1" applyAlignment="1">
      <alignment wrapText="1"/>
    </xf>
    <xf numFmtId="0" fontId="37" fillId="0" borderId="0" xfId="0" applyFont="1" applyFill="1"/>
    <xf numFmtId="3" fontId="11" fillId="0" borderId="0" xfId="0" applyNumberFormat="1" applyFont="1" applyBorder="1" applyAlignment="1" applyProtection="1">
      <alignment wrapText="1"/>
      <protection locked="0"/>
    </xf>
    <xf numFmtId="0" fontId="38" fillId="0" borderId="0" xfId="0" applyFont="1" applyBorder="1" applyAlignment="1" applyProtection="1">
      <protection locked="0"/>
    </xf>
    <xf numFmtId="4" fontId="11" fillId="0" borderId="0" xfId="0" applyNumberFormat="1" applyFont="1" applyBorder="1" applyAlignment="1" applyProtection="1">
      <alignment wrapText="1"/>
      <protection locked="0"/>
    </xf>
    <xf numFmtId="0" fontId="0" fillId="0" borderId="0" xfId="0" applyFill="1" applyBorder="1"/>
    <xf numFmtId="0" fontId="5" fillId="0" borderId="0" xfId="0" applyFont="1" applyFill="1" applyBorder="1" applyAlignment="1" applyProtection="1">
      <alignment horizontal="center" wrapText="1"/>
      <protection locked="0"/>
    </xf>
    <xf numFmtId="0" fontId="39" fillId="9" borderId="1" xfId="0" applyFont="1" applyFill="1" applyBorder="1" applyAlignment="1">
      <alignment horizontal="center"/>
    </xf>
    <xf numFmtId="0" fontId="41" fillId="0" borderId="0" xfId="0" applyFont="1" applyFill="1" applyBorder="1"/>
    <xf numFmtId="0" fontId="39" fillId="0" borderId="0" xfId="0" applyFont="1" applyFill="1" applyBorder="1" applyAlignment="1">
      <alignment horizontal="center"/>
    </xf>
    <xf numFmtId="3" fontId="40" fillId="10" borderId="2" xfId="0" applyNumberFormat="1" applyFont="1" applyFill="1" applyBorder="1" applyAlignment="1">
      <alignment horizontal="center" wrapText="1"/>
    </xf>
    <xf numFmtId="173" fontId="0" fillId="0" borderId="0" xfId="0" applyNumberFormat="1"/>
    <xf numFmtId="0" fontId="37" fillId="0" borderId="0" xfId="0" applyFont="1"/>
    <xf numFmtId="0" fontId="26" fillId="0" borderId="1" xfId="0" applyFont="1" applyFill="1" applyBorder="1" applyAlignment="1" applyProtection="1">
      <alignment wrapText="1"/>
      <protection locked="0"/>
    </xf>
    <xf numFmtId="0" fontId="42" fillId="0" borderId="0" xfId="0" applyFont="1"/>
    <xf numFmtId="0" fontId="10" fillId="0" borderId="1" xfId="0" applyFont="1" applyFill="1" applyBorder="1" applyAlignment="1" applyProtection="1">
      <alignment horizontal="center" wrapText="1"/>
      <protection locked="0"/>
    </xf>
    <xf numFmtId="3" fontId="10" fillId="0" borderId="1" xfId="0" applyNumberFormat="1" applyFont="1" applyFill="1" applyBorder="1" applyAlignment="1" applyProtection="1">
      <alignment wrapText="1"/>
      <protection locked="0"/>
    </xf>
    <xf numFmtId="167" fontId="10" fillId="0" borderId="1" xfId="1" applyNumberFormat="1" applyFont="1" applyFill="1" applyBorder="1" applyAlignment="1" applyProtection="1">
      <alignment wrapText="1"/>
      <protection locked="0"/>
    </xf>
    <xf numFmtId="0" fontId="10" fillId="0" borderId="4" xfId="0" applyFont="1" applyFill="1" applyBorder="1" applyAlignment="1" applyProtection="1">
      <protection locked="0"/>
    </xf>
    <xf numFmtId="0" fontId="10" fillId="0" borderId="0" xfId="0" applyFont="1" applyFill="1" applyBorder="1" applyAlignment="1" applyProtection="1">
      <alignment wrapText="1"/>
      <protection locked="0"/>
    </xf>
    <xf numFmtId="3" fontId="10" fillId="0" borderId="1" xfId="1" applyNumberFormat="1" applyFont="1" applyFill="1" applyBorder="1" applyAlignment="1" applyProtection="1">
      <alignment wrapText="1"/>
      <protection locked="0"/>
    </xf>
    <xf numFmtId="3" fontId="10" fillId="0" borderId="1" xfId="0" applyNumberFormat="1" applyFont="1" applyFill="1" applyBorder="1"/>
    <xf numFmtId="0" fontId="10" fillId="0" borderId="1" xfId="0" applyFont="1" applyFill="1" applyBorder="1"/>
    <xf numFmtId="0" fontId="10" fillId="0" borderId="0" xfId="0" applyFont="1" applyFill="1" applyBorder="1" applyAlignment="1" applyProtection="1">
      <protection locked="0"/>
    </xf>
    <xf numFmtId="3" fontId="10" fillId="0" borderId="0" xfId="0" applyNumberFormat="1" applyFont="1" applyFill="1" applyBorder="1" applyAlignment="1" applyProtection="1">
      <protection locked="0"/>
    </xf>
    <xf numFmtId="0" fontId="21" fillId="0" borderId="0" xfId="0" applyFont="1" applyFill="1" applyBorder="1" applyAlignment="1" applyProtection="1">
      <protection locked="0"/>
    </xf>
    <xf numFmtId="0" fontId="21" fillId="0" borderId="0" xfId="0" applyFont="1" applyFill="1" applyBorder="1" applyAlignment="1" applyProtection="1">
      <alignment wrapText="1"/>
      <protection locked="0"/>
    </xf>
    <xf numFmtId="171" fontId="10" fillId="0" borderId="1" xfId="0" applyNumberFormat="1" applyFont="1" applyFill="1" applyBorder="1" applyAlignment="1" applyProtection="1">
      <alignment wrapText="1"/>
      <protection locked="0"/>
    </xf>
    <xf numFmtId="44" fontId="10" fillId="0" borderId="0" xfId="2" applyFont="1" applyFill="1" applyBorder="1" applyAlignment="1" applyProtection="1">
      <alignment wrapText="1"/>
      <protection locked="0"/>
    </xf>
    <xf numFmtId="2" fontId="10" fillId="0" borderId="0" xfId="0" applyNumberFormat="1" applyFont="1" applyFill="1" applyBorder="1" applyAlignment="1" applyProtection="1">
      <alignment wrapText="1"/>
      <protection locked="0"/>
    </xf>
    <xf numFmtId="165" fontId="10" fillId="0" borderId="0" xfId="0" applyNumberFormat="1" applyFont="1" applyFill="1" applyBorder="1" applyAlignment="1" applyProtection="1">
      <alignment wrapText="1"/>
      <protection locked="0"/>
    </xf>
    <xf numFmtId="0" fontId="46" fillId="0" borderId="0" xfId="4" applyFont="1" applyFill="1" applyBorder="1" applyAlignment="1" applyProtection="1">
      <alignment wrapText="1"/>
      <protection locked="0"/>
    </xf>
    <xf numFmtId="168" fontId="10" fillId="0" borderId="0" xfId="1" applyNumberFormat="1" applyFont="1" applyFill="1" applyBorder="1" applyAlignment="1" applyProtection="1">
      <alignment wrapText="1"/>
      <protection locked="0"/>
    </xf>
    <xf numFmtId="3" fontId="10" fillId="0" borderId="0" xfId="0" applyNumberFormat="1" applyFont="1" applyFill="1" applyBorder="1" applyAlignment="1" applyProtection="1">
      <alignment wrapText="1"/>
      <protection locked="0"/>
    </xf>
    <xf numFmtId="0" fontId="47" fillId="0" borderId="0" xfId="0" applyFont="1" applyFill="1" applyBorder="1" applyAlignment="1" applyProtection="1">
      <alignment horizontal="left"/>
      <protection locked="0"/>
    </xf>
    <xf numFmtId="168" fontId="10" fillId="0" borderId="0" xfId="1" applyNumberFormat="1" applyFont="1" applyFill="1" applyBorder="1" applyAlignment="1" applyProtection="1">
      <protection locked="0"/>
    </xf>
    <xf numFmtId="0" fontId="21" fillId="0" borderId="1" xfId="0" applyFont="1" applyFill="1" applyBorder="1" applyAlignment="1" applyProtection="1">
      <alignment wrapText="1"/>
      <protection locked="0"/>
    </xf>
    <xf numFmtId="5" fontId="21" fillId="0" borderId="1" xfId="0" applyNumberFormat="1" applyFont="1" applyFill="1" applyBorder="1" applyAlignment="1" applyProtection="1">
      <alignment wrapText="1"/>
      <protection locked="0"/>
    </xf>
    <xf numFmtId="0" fontId="47" fillId="0" borderId="24" xfId="0" applyFont="1" applyFill="1" applyBorder="1" applyAlignment="1" applyProtection="1">
      <alignment horizontal="left"/>
      <protection locked="0"/>
    </xf>
    <xf numFmtId="3" fontId="10" fillId="0" borderId="30" xfId="0" applyNumberFormat="1" applyFont="1" applyFill="1" applyBorder="1" applyAlignment="1" applyProtection="1">
      <alignment wrapText="1"/>
      <protection locked="0"/>
    </xf>
    <xf numFmtId="164" fontId="10" fillId="0" borderId="1" xfId="2" applyNumberFormat="1" applyFont="1" applyFill="1" applyBorder="1" applyAlignment="1" applyProtection="1">
      <alignment wrapText="1"/>
      <protection locked="0"/>
    </xf>
    <xf numFmtId="164" fontId="21" fillId="0" borderId="1" xfId="0" applyNumberFormat="1" applyFont="1" applyFill="1" applyBorder="1" applyAlignment="1" applyProtection="1">
      <alignment wrapText="1"/>
      <protection locked="0"/>
    </xf>
    <xf numFmtId="0" fontId="10" fillId="0" borderId="24" xfId="0" applyFont="1" applyFill="1" applyBorder="1" applyAlignment="1" applyProtection="1">
      <alignment wrapText="1"/>
      <protection locked="0"/>
    </xf>
    <xf numFmtId="169" fontId="10" fillId="0" borderId="0" xfId="0" applyNumberFormat="1" applyFont="1" applyFill="1" applyBorder="1" applyAlignment="1" applyProtection="1">
      <alignment wrapText="1"/>
      <protection locked="0"/>
    </xf>
    <xf numFmtId="168" fontId="10" fillId="0" borderId="0" xfId="0" applyNumberFormat="1" applyFont="1" applyFill="1" applyBorder="1" applyAlignment="1" applyProtection="1">
      <alignment wrapText="1"/>
      <protection locked="0"/>
    </xf>
    <xf numFmtId="164" fontId="21" fillId="0" borderId="4" xfId="0" applyNumberFormat="1" applyFont="1" applyFill="1" applyBorder="1" applyAlignment="1" applyProtection="1">
      <alignment wrapText="1"/>
      <protection locked="0"/>
    </xf>
    <xf numFmtId="0" fontId="10" fillId="0" borderId="1" xfId="0" applyFont="1" applyFill="1" applyBorder="1" applyAlignment="1" applyProtection="1">
      <alignment vertical="top" wrapText="1"/>
      <protection locked="0"/>
    </xf>
    <xf numFmtId="0" fontId="21" fillId="0" borderId="1" xfId="0" applyFont="1" applyFill="1" applyBorder="1" applyAlignment="1" applyProtection="1">
      <alignment vertical="top" wrapText="1"/>
      <protection locked="0"/>
    </xf>
    <xf numFmtId="6" fontId="10" fillId="0" borderId="0" xfId="0" applyNumberFormat="1" applyFont="1" applyFill="1" applyBorder="1" applyAlignment="1" applyProtection="1">
      <alignment wrapText="1"/>
      <protection locked="0"/>
    </xf>
    <xf numFmtId="171" fontId="10" fillId="0" borderId="1" xfId="1" applyNumberFormat="1" applyFont="1" applyFill="1" applyBorder="1" applyAlignment="1" applyProtection="1">
      <alignment wrapText="1"/>
      <protection locked="0"/>
    </xf>
    <xf numFmtId="165" fontId="10" fillId="0" borderId="1" xfId="3" applyNumberFormat="1" applyFont="1" applyFill="1" applyBorder="1" applyAlignment="1" applyProtection="1">
      <alignment wrapText="1"/>
      <protection locked="0"/>
    </xf>
    <xf numFmtId="4" fontId="10" fillId="0" borderId="1" xfId="1" applyNumberFormat="1" applyFont="1" applyFill="1" applyBorder="1" applyAlignment="1" applyProtection="1">
      <alignment wrapText="1"/>
      <protection locked="0"/>
    </xf>
    <xf numFmtId="164" fontId="29" fillId="0" borderId="1" xfId="0" applyNumberFormat="1" applyFont="1" applyFill="1" applyBorder="1" applyAlignment="1">
      <alignment horizontal="right" vertical="top" wrapText="1"/>
    </xf>
    <xf numFmtId="164" fontId="21" fillId="0" borderId="1" xfId="0" applyNumberFormat="1" applyFont="1" applyFill="1" applyBorder="1" applyAlignment="1">
      <alignment horizontal="right" vertical="top" wrapText="1"/>
    </xf>
    <xf numFmtId="0" fontId="44" fillId="0" borderId="0" xfId="0" applyFont="1" applyFill="1" applyBorder="1" applyAlignment="1" applyProtection="1">
      <alignment horizontal="right"/>
      <protection locked="0"/>
    </xf>
    <xf numFmtId="0" fontId="45" fillId="0" borderId="0" xfId="0" applyFont="1" applyFill="1" applyBorder="1" applyAlignment="1" applyProtection="1">
      <protection locked="0"/>
    </xf>
    <xf numFmtId="3" fontId="21" fillId="0" borderId="1" xfId="0" applyNumberFormat="1" applyFont="1" applyFill="1" applyBorder="1" applyAlignment="1" applyProtection="1">
      <alignment horizontal="center" wrapText="1"/>
      <protection locked="0"/>
    </xf>
    <xf numFmtId="165" fontId="10" fillId="0" borderId="1" xfId="0" applyNumberFormat="1" applyFont="1" applyFill="1" applyBorder="1" applyAlignment="1" applyProtection="1">
      <alignment wrapText="1"/>
      <protection locked="0"/>
    </xf>
    <xf numFmtId="0" fontId="10" fillId="0" borderId="0" xfId="0" applyFont="1" applyFill="1" applyBorder="1" applyAlignment="1" applyProtection="1">
      <alignment horizontal="left"/>
      <protection locked="0"/>
    </xf>
    <xf numFmtId="0" fontId="21" fillId="0" borderId="0" xfId="0" applyFont="1" applyFill="1" applyBorder="1" applyAlignment="1" applyProtection="1">
      <alignment horizontal="right" wrapText="1"/>
      <protection locked="0"/>
    </xf>
    <xf numFmtId="0" fontId="10" fillId="0" borderId="0" xfId="0" applyFont="1" applyFill="1" applyBorder="1" applyAlignment="1" applyProtection="1">
      <alignment horizontal="right" wrapText="1"/>
      <protection locked="0"/>
    </xf>
    <xf numFmtId="164" fontId="10" fillId="0" borderId="1" xfId="1" applyNumberFormat="1" applyFont="1" applyFill="1" applyBorder="1" applyAlignment="1" applyProtection="1">
      <protection locked="0"/>
    </xf>
    <xf numFmtId="37" fontId="10" fillId="0" borderId="1" xfId="1" applyNumberFormat="1" applyFont="1" applyFill="1" applyBorder="1" applyAlignment="1" applyProtection="1">
      <alignment wrapText="1"/>
      <protection locked="0"/>
    </xf>
    <xf numFmtId="164" fontId="10" fillId="0" borderId="1" xfId="1" applyNumberFormat="1" applyFont="1" applyFill="1" applyBorder="1" applyAlignment="1" applyProtection="1">
      <alignment wrapText="1"/>
      <protection locked="0"/>
    </xf>
    <xf numFmtId="37" fontId="21" fillId="0" borderId="1" xfId="0" applyNumberFormat="1" applyFont="1" applyFill="1" applyBorder="1" applyAlignment="1" applyProtection="1">
      <alignment wrapText="1"/>
      <protection locked="0"/>
    </xf>
    <xf numFmtId="164" fontId="10" fillId="0" borderId="0" xfId="0" applyNumberFormat="1" applyFont="1" applyFill="1" applyBorder="1" applyAlignment="1" applyProtection="1">
      <alignment wrapText="1"/>
      <protection locked="0"/>
    </xf>
    <xf numFmtId="0" fontId="47" fillId="0" borderId="0" xfId="0" applyFont="1" applyFill="1" applyBorder="1" applyAlignment="1" applyProtection="1">
      <protection locked="0"/>
    </xf>
    <xf numFmtId="169" fontId="10" fillId="0" borderId="0" xfId="0" applyNumberFormat="1" applyFont="1" applyFill="1" applyBorder="1" applyAlignment="1" applyProtection="1">
      <protection locked="0"/>
    </xf>
    <xf numFmtId="3" fontId="21" fillId="0" borderId="1" xfId="0" applyNumberFormat="1" applyFont="1" applyFill="1" applyBorder="1" applyAlignment="1" applyProtection="1">
      <alignment horizontal="right" vertical="top" wrapText="1"/>
      <protection locked="0"/>
    </xf>
    <xf numFmtId="0" fontId="48" fillId="0" borderId="0" xfId="0" applyFont="1" applyFill="1"/>
    <xf numFmtId="3" fontId="26" fillId="0" borderId="1" xfId="0" applyNumberFormat="1" applyFont="1" applyFill="1" applyBorder="1"/>
    <xf numFmtId="3" fontId="26" fillId="0" borderId="1" xfId="0" applyNumberFormat="1" applyFont="1" applyFill="1" applyBorder="1" applyAlignment="1" applyProtection="1">
      <alignment wrapText="1"/>
      <protection locked="0"/>
    </xf>
    <xf numFmtId="0" fontId="30" fillId="0" borderId="0" xfId="0" applyFont="1" applyFill="1" applyAlignment="1"/>
    <xf numFmtId="0" fontId="10" fillId="0" borderId="0" xfId="0" applyNumberFormat="1" applyFont="1" applyFill="1" applyAlignment="1"/>
    <xf numFmtId="0" fontId="10" fillId="0" borderId="24" xfId="0" applyFont="1" applyFill="1" applyBorder="1" applyAlignment="1" applyProtection="1">
      <protection locked="0"/>
    </xf>
    <xf numFmtId="0" fontId="10" fillId="0" borderId="1" xfId="0" applyFont="1" applyFill="1" applyBorder="1" applyAlignment="1">
      <alignment wrapText="1"/>
    </xf>
    <xf numFmtId="165" fontId="10" fillId="0" borderId="1" xfId="0" applyNumberFormat="1" applyFont="1" applyFill="1" applyBorder="1" applyAlignment="1" applyProtection="1">
      <alignment horizontal="right" vertical="top" wrapText="1"/>
      <protection locked="0"/>
    </xf>
    <xf numFmtId="44" fontId="10" fillId="0" borderId="0" xfId="0" applyNumberFormat="1" applyFont="1" applyFill="1" applyBorder="1" applyAlignment="1" applyProtection="1">
      <protection locked="0"/>
    </xf>
    <xf numFmtId="0" fontId="26" fillId="0" borderId="0" xfId="0" applyFont="1" applyFill="1" applyAlignment="1"/>
    <xf numFmtId="0" fontId="10" fillId="0" borderId="2" xfId="0" applyFont="1" applyFill="1" applyBorder="1"/>
    <xf numFmtId="164" fontId="10" fillId="0" borderId="2" xfId="2" applyNumberFormat="1" applyFont="1" applyFill="1" applyBorder="1"/>
    <xf numFmtId="169" fontId="10" fillId="0" borderId="1" xfId="2" applyNumberFormat="1" applyFont="1" applyFill="1" applyBorder="1" applyAlignment="1">
      <alignment wrapText="1"/>
    </xf>
    <xf numFmtId="164" fontId="10" fillId="0" borderId="0" xfId="0" applyNumberFormat="1" applyFont="1" applyFill="1"/>
    <xf numFmtId="0" fontId="9" fillId="0" borderId="0" xfId="0" applyFont="1" applyFill="1"/>
    <xf numFmtId="1" fontId="10" fillId="0" borderId="2" xfId="0" applyNumberFormat="1" applyFont="1" applyFill="1" applyBorder="1"/>
    <xf numFmtId="3" fontId="10" fillId="0" borderId="2" xfId="0" applyNumberFormat="1" applyFont="1" applyFill="1" applyBorder="1"/>
    <xf numFmtId="3" fontId="10" fillId="0" borderId="2" xfId="2" applyNumberFormat="1" applyFont="1" applyFill="1" applyBorder="1"/>
    <xf numFmtId="171" fontId="10" fillId="0" borderId="2" xfId="0" applyNumberFormat="1" applyFont="1" applyFill="1" applyBorder="1"/>
    <xf numFmtId="4" fontId="10" fillId="0" borderId="2" xfId="0" applyNumberFormat="1" applyFont="1" applyFill="1" applyBorder="1"/>
    <xf numFmtId="0" fontId="21" fillId="0" borderId="1" xfId="0" applyFont="1" applyFill="1" applyBorder="1" applyAlignment="1">
      <alignment vertical="top" wrapText="1"/>
    </xf>
    <xf numFmtId="164" fontId="21" fillId="0" borderId="2" xfId="2" applyNumberFormat="1" applyFont="1" applyFill="1" applyBorder="1"/>
    <xf numFmtId="0" fontId="45" fillId="0" borderId="0" xfId="0" applyFont="1" applyFill="1" applyBorder="1" applyAlignment="1" applyProtection="1">
      <alignment horizontal="right"/>
      <protection locked="0"/>
    </xf>
    <xf numFmtId="0" fontId="10" fillId="0" borderId="1" xfId="0" applyFont="1" applyFill="1" applyBorder="1" applyAlignment="1">
      <alignment horizontal="right"/>
    </xf>
    <xf numFmtId="165" fontId="10" fillId="0" borderId="1" xfId="0" applyNumberFormat="1" applyFont="1" applyFill="1" applyBorder="1" applyAlignment="1">
      <alignment wrapText="1"/>
    </xf>
    <xf numFmtId="0" fontId="46" fillId="0" borderId="1" xfId="4" applyFont="1" applyFill="1" applyBorder="1" applyAlignment="1" applyProtection="1"/>
    <xf numFmtId="0" fontId="26" fillId="0" borderId="0" xfId="0" applyFont="1" applyFill="1"/>
    <xf numFmtId="0" fontId="26" fillId="0" borderId="0" xfId="0" applyNumberFormat="1" applyFont="1" applyFill="1" applyAlignment="1">
      <alignment vertical="top"/>
    </xf>
    <xf numFmtId="0" fontId="49" fillId="0" borderId="0" xfId="0" applyFont="1" applyAlignment="1"/>
    <xf numFmtId="3" fontId="49" fillId="0" borderId="0" xfId="0" applyNumberFormat="1" applyFont="1" applyFill="1" applyBorder="1" applyAlignment="1" applyProtection="1">
      <alignment horizontal="right" wrapText="1"/>
      <protection locked="0"/>
    </xf>
    <xf numFmtId="3" fontId="49" fillId="0" borderId="0" xfId="0" applyNumberFormat="1" applyFont="1" applyFill="1" applyBorder="1" applyAlignment="1" applyProtection="1">
      <alignment horizontal="right"/>
      <protection locked="0"/>
    </xf>
    <xf numFmtId="1" fontId="31" fillId="0" borderId="0" xfId="0" applyNumberFormat="1" applyFont="1"/>
    <xf numFmtId="9" fontId="0" fillId="0" borderId="0" xfId="43" applyFont="1"/>
    <xf numFmtId="0" fontId="26" fillId="0" borderId="0" xfId="0" applyFont="1" applyBorder="1" applyAlignment="1" applyProtection="1">
      <alignment wrapText="1"/>
      <protection locked="0"/>
    </xf>
    <xf numFmtId="3" fontId="51" fillId="8" borderId="1" xfId="0" applyNumberFormat="1" applyFont="1" applyFill="1" applyBorder="1"/>
    <xf numFmtId="0" fontId="31" fillId="0" borderId="0" xfId="0" applyFont="1" applyFill="1"/>
    <xf numFmtId="0" fontId="52" fillId="0" borderId="0" xfId="0" applyFont="1"/>
    <xf numFmtId="173" fontId="52" fillId="0" borderId="0" xfId="0" applyNumberFormat="1" applyFont="1"/>
    <xf numFmtId="0" fontId="41" fillId="0" borderId="1" xfId="0" applyFont="1" applyBorder="1"/>
    <xf numFmtId="0" fontId="41" fillId="0" borderId="1" xfId="0" applyFont="1" applyBorder="1" applyAlignment="1">
      <alignment horizontal="center"/>
    </xf>
    <xf numFmtId="1" fontId="41" fillId="0" borderId="1" xfId="0" applyNumberFormat="1" applyFont="1" applyBorder="1" applyAlignment="1">
      <alignment horizontal="center"/>
    </xf>
    <xf numFmtId="0" fontId="41" fillId="0" borderId="0" xfId="0" applyFont="1"/>
    <xf numFmtId="0" fontId="41" fillId="0" borderId="4" xfId="0" applyFont="1" applyBorder="1" applyAlignment="1">
      <alignment horizontal="center"/>
    </xf>
    <xf numFmtId="0" fontId="41" fillId="0" borderId="0" xfId="0" applyFont="1" applyAlignment="1">
      <alignment horizontal="center"/>
    </xf>
    <xf numFmtId="0" fontId="41" fillId="0" borderId="3" xfId="0" applyFont="1" applyBorder="1"/>
    <xf numFmtId="0" fontId="41" fillId="0" borderId="5" xfId="0" applyFont="1" applyBorder="1" applyAlignment="1">
      <alignment horizontal="center"/>
    </xf>
    <xf numFmtId="1" fontId="41" fillId="0" borderId="5" xfId="0" applyNumberFormat="1" applyFont="1" applyBorder="1" applyAlignment="1">
      <alignment horizontal="center"/>
    </xf>
    <xf numFmtId="0" fontId="41" fillId="0" borderId="5" xfId="0" applyFont="1" applyBorder="1"/>
    <xf numFmtId="1" fontId="41" fillId="0" borderId="4" xfId="0" applyNumberFormat="1" applyFont="1" applyBorder="1" applyAlignment="1">
      <alignment horizontal="center"/>
    </xf>
    <xf numFmtId="1" fontId="5" fillId="0" borderId="6" xfId="0" applyNumberFormat="1" applyFont="1" applyFill="1" applyBorder="1" applyAlignment="1" applyProtection="1">
      <alignment horizontal="right" wrapText="1"/>
      <protection locked="0"/>
    </xf>
    <xf numFmtId="1" fontId="53" fillId="0" borderId="31" xfId="0" applyNumberFormat="1" applyFont="1" applyFill="1" applyBorder="1" applyAlignment="1" applyProtection="1">
      <alignment horizontal="right" wrapText="1"/>
      <protection locked="0"/>
    </xf>
    <xf numFmtId="1" fontId="54" fillId="0" borderId="0" xfId="0" applyNumberFormat="1" applyFont="1" applyFill="1" applyBorder="1" applyAlignment="1">
      <alignment horizontal="center"/>
    </xf>
    <xf numFmtId="1" fontId="55" fillId="0" borderId="1" xfId="0" applyNumberFormat="1" applyFont="1" applyBorder="1" applyAlignment="1">
      <alignment horizontal="center"/>
    </xf>
    <xf numFmtId="0" fontId="55" fillId="0" borderId="4" xfId="0" applyFont="1" applyBorder="1" applyAlignment="1">
      <alignment horizontal="center"/>
    </xf>
    <xf numFmtId="1" fontId="55" fillId="0" borderId="4" xfId="0" applyNumberFormat="1" applyFont="1" applyBorder="1" applyAlignment="1">
      <alignment horizontal="center"/>
    </xf>
    <xf numFmtId="3" fontId="38" fillId="0" borderId="1" xfId="0" applyNumberFormat="1" applyFont="1" applyFill="1" applyBorder="1" applyAlignment="1" applyProtection="1">
      <alignment horizontal="right" vertical="top" wrapText="1"/>
      <protection locked="0"/>
    </xf>
    <xf numFmtId="1" fontId="37" fillId="0" borderId="0" xfId="0" applyNumberFormat="1" applyFont="1"/>
    <xf numFmtId="3" fontId="52" fillId="0" borderId="0" xfId="0" applyNumberFormat="1" applyFont="1"/>
    <xf numFmtId="1" fontId="52" fillId="0" borderId="0" xfId="0" applyNumberFormat="1" applyFont="1"/>
    <xf numFmtId="0" fontId="0" fillId="0" borderId="0" xfId="0" applyAlignment="1">
      <alignment wrapText="1"/>
    </xf>
    <xf numFmtId="0" fontId="5" fillId="0" borderId="1" xfId="0" applyFont="1" applyFill="1" applyBorder="1" applyAlignment="1" applyProtection="1">
      <alignment horizontal="center" wrapText="1"/>
      <protection locked="0"/>
    </xf>
    <xf numFmtId="2" fontId="0" fillId="0" borderId="1" xfId="0" applyNumberFormat="1" applyFill="1" applyBorder="1"/>
    <xf numFmtId="0" fontId="26" fillId="0" borderId="4" xfId="0" applyFont="1" applyFill="1" applyBorder="1" applyAlignment="1" applyProtection="1">
      <protection locked="0"/>
    </xf>
    <xf numFmtId="1" fontId="10" fillId="0" borderId="0" xfId="0" applyNumberFormat="1" applyFont="1" applyFill="1"/>
    <xf numFmtId="168" fontId="35" fillId="0" borderId="22" xfId="1" applyNumberFormat="1" applyFont="1" applyBorder="1" applyAlignment="1">
      <alignment horizontal="right" vertical="center"/>
    </xf>
    <xf numFmtId="169" fontId="35" fillId="0" borderId="22" xfId="2" applyNumberFormat="1" applyFont="1" applyBorder="1" applyAlignment="1">
      <alignment horizontal="right" vertical="center"/>
    </xf>
    <xf numFmtId="168" fontId="36" fillId="0" borderId="22" xfId="1" applyNumberFormat="1" applyFont="1" applyBorder="1" applyAlignment="1">
      <alignment horizontal="right" vertical="center"/>
    </xf>
    <xf numFmtId="168" fontId="26" fillId="0" borderId="1" xfId="1" applyNumberFormat="1" applyFont="1" applyFill="1" applyBorder="1" applyAlignment="1" applyProtection="1">
      <protection locked="0"/>
    </xf>
    <xf numFmtId="37" fontId="26" fillId="0" borderId="1" xfId="1" applyNumberFormat="1" applyFont="1" applyFill="1" applyBorder="1" applyAlignment="1" applyProtection="1">
      <alignment wrapText="1"/>
      <protection locked="0"/>
    </xf>
    <xf numFmtId="37" fontId="57" fillId="0" borderId="1" xfId="0" applyNumberFormat="1" applyFont="1" applyFill="1" applyBorder="1" applyAlignment="1" applyProtection="1">
      <alignment wrapText="1"/>
      <protection locked="0"/>
    </xf>
    <xf numFmtId="3" fontId="26" fillId="0" borderId="1" xfId="0" applyNumberFormat="1" applyFont="1" applyFill="1" applyBorder="1" applyAlignment="1" applyProtection="1">
      <alignment horizontal="right" vertical="top" wrapText="1"/>
      <protection locked="0"/>
    </xf>
    <xf numFmtId="165" fontId="26" fillId="0" borderId="1" xfId="0" applyNumberFormat="1" applyFont="1" applyFill="1" applyBorder="1" applyAlignment="1" applyProtection="1">
      <alignment wrapText="1"/>
      <protection locked="0"/>
    </xf>
    <xf numFmtId="165" fontId="26" fillId="0" borderId="1" xfId="0" applyNumberFormat="1" applyFont="1" applyFill="1" applyBorder="1" applyAlignment="1">
      <alignment wrapText="1"/>
    </xf>
    <xf numFmtId="171" fontId="26" fillId="0" borderId="1" xfId="0" applyNumberFormat="1" applyFont="1" applyFill="1" applyBorder="1" applyAlignment="1" applyProtection="1">
      <alignment wrapText="1"/>
      <protection locked="0"/>
    </xf>
    <xf numFmtId="2" fontId="52" fillId="0" borderId="0" xfId="0" applyNumberFormat="1" applyFont="1"/>
    <xf numFmtId="164" fontId="10" fillId="0" borderId="0" xfId="0" applyNumberFormat="1" applyFont="1"/>
    <xf numFmtId="3" fontId="10" fillId="0" borderId="0" xfId="0" applyNumberFormat="1" applyFont="1" applyAlignment="1"/>
    <xf numFmtId="3" fontId="10" fillId="0" borderId="0" xfId="0" applyNumberFormat="1" applyFont="1"/>
    <xf numFmtId="169" fontId="36" fillId="0" borderId="22" xfId="0" applyNumberFormat="1" applyFont="1" applyFill="1" applyBorder="1" applyAlignment="1">
      <alignment horizontal="right" vertical="center"/>
    </xf>
    <xf numFmtId="0" fontId="38" fillId="0" borderId="0" xfId="0" applyFont="1" applyFill="1"/>
    <xf numFmtId="0" fontId="26" fillId="0" borderId="0" xfId="0" applyFont="1" applyFill="1" applyBorder="1" applyAlignment="1" applyProtection="1">
      <alignment wrapText="1"/>
      <protection locked="0"/>
    </xf>
    <xf numFmtId="0" fontId="38" fillId="0" borderId="0" xfId="0" applyFont="1" applyBorder="1" applyAlignment="1" applyProtection="1">
      <alignment wrapText="1"/>
      <protection locked="0"/>
    </xf>
    <xf numFmtId="0" fontId="11" fillId="0" borderId="0" xfId="0" applyFont="1" applyFill="1" applyBorder="1" applyAlignment="1" applyProtection="1">
      <alignment wrapText="1"/>
      <protection locked="0"/>
    </xf>
    <xf numFmtId="1" fontId="26" fillId="0" borderId="2" xfId="0" applyNumberFormat="1" applyFont="1" applyFill="1" applyBorder="1"/>
    <xf numFmtId="1" fontId="26" fillId="0" borderId="1" xfId="0" applyNumberFormat="1" applyFont="1" applyFill="1" applyBorder="1"/>
    <xf numFmtId="3" fontId="29" fillId="0" borderId="1" xfId="0" applyNumberFormat="1" applyFont="1" applyFill="1" applyBorder="1" applyAlignment="1">
      <alignment horizontal="right" vertical="top" wrapText="1"/>
    </xf>
    <xf numFmtId="0" fontId="59" fillId="0" borderId="0" xfId="0" applyFont="1" applyFill="1" applyBorder="1" applyAlignment="1">
      <alignment horizontal="center"/>
    </xf>
    <xf numFmtId="0" fontId="51" fillId="0" borderId="0" xfId="0" applyFont="1"/>
    <xf numFmtId="3" fontId="59" fillId="10" borderId="0" xfId="0" applyNumberFormat="1" applyFont="1" applyFill="1" applyAlignment="1">
      <alignment horizontal="center" wrapText="1"/>
    </xf>
    <xf numFmtId="174" fontId="31" fillId="0" borderId="0" xfId="0" applyNumberFormat="1" applyFont="1"/>
    <xf numFmtId="173" fontId="31" fillId="0" borderId="0" xfId="0" applyNumberFormat="1" applyFont="1"/>
    <xf numFmtId="172" fontId="58" fillId="8" borderId="1" xfId="43" applyNumberFormat="1" applyFont="1" applyFill="1" applyBorder="1" applyAlignment="1">
      <alignment horizontal="center"/>
    </xf>
    <xf numFmtId="9" fontId="58" fillId="8" borderId="1" xfId="43" applyFont="1" applyFill="1" applyBorder="1" applyAlignment="1">
      <alignment horizontal="center"/>
    </xf>
    <xf numFmtId="165" fontId="11" fillId="0" borderId="0" xfId="0" applyNumberFormat="1" applyFont="1" applyBorder="1" applyAlignment="1" applyProtection="1">
      <protection locked="0"/>
    </xf>
    <xf numFmtId="0" fontId="11" fillId="0" borderId="0" xfId="0" applyFont="1" applyBorder="1" applyAlignment="1" applyProtection="1">
      <alignment horizontal="center"/>
      <protection locked="0"/>
    </xf>
    <xf numFmtId="169" fontId="34" fillId="0" borderId="22" xfId="2" applyNumberFormat="1" applyFont="1" applyBorder="1" applyAlignment="1">
      <alignment horizontal="right" vertical="center"/>
    </xf>
    <xf numFmtId="172" fontId="0" fillId="0" borderId="1" xfId="43" applyNumberFormat="1" applyFont="1" applyFill="1" applyBorder="1"/>
    <xf numFmtId="6" fontId="35" fillId="0" borderId="22" xfId="0" applyNumberFormat="1" applyFont="1" applyBorder="1" applyAlignment="1">
      <alignment horizontal="right" vertical="center"/>
    </xf>
    <xf numFmtId="0" fontId="10" fillId="0" borderId="1" xfId="0" applyFont="1" applyBorder="1" applyAlignment="1" applyProtection="1">
      <alignment wrapText="1"/>
      <protection locked="0"/>
    </xf>
    <xf numFmtId="169" fontId="34" fillId="0" borderId="22" xfId="0" applyNumberFormat="1" applyFont="1" applyFill="1" applyBorder="1" applyAlignment="1">
      <alignment horizontal="right" vertical="center"/>
    </xf>
    <xf numFmtId="0" fontId="59" fillId="0" borderId="0" xfId="0" applyFont="1" applyAlignment="1">
      <alignment horizontal="center"/>
    </xf>
    <xf numFmtId="0" fontId="39" fillId="0" borderId="0" xfId="0" applyFont="1" applyAlignment="1">
      <alignment horizontal="center"/>
    </xf>
    <xf numFmtId="1" fontId="54" fillId="0" borderId="0" xfId="0" applyNumberFormat="1" applyFont="1" applyAlignment="1">
      <alignment horizontal="center"/>
    </xf>
    <xf numFmtId="170" fontId="10" fillId="0" borderId="1" xfId="0" applyNumberFormat="1" applyFont="1" applyFill="1" applyBorder="1"/>
    <xf numFmtId="1" fontId="10" fillId="0" borderId="1" xfId="0" applyNumberFormat="1" applyFont="1" applyFill="1" applyBorder="1"/>
    <xf numFmtId="2" fontId="10" fillId="0" borderId="0" xfId="0" applyNumberFormat="1" applyFont="1" applyFill="1" applyAlignment="1">
      <alignment vertical="top" wrapText="1"/>
    </xf>
    <xf numFmtId="2" fontId="26" fillId="0" borderId="0" xfId="0" applyNumberFormat="1" applyFont="1" applyFill="1" applyAlignment="1">
      <alignment vertical="top" wrapText="1"/>
    </xf>
    <xf numFmtId="3" fontId="10" fillId="0" borderId="1" xfId="0" applyNumberFormat="1" applyFont="1" applyFill="1" applyBorder="1" applyAlignment="1" applyProtection="1">
      <alignment horizontal="right" vertical="top" wrapText="1"/>
      <protection locked="0"/>
    </xf>
    <xf numFmtId="168" fontId="10" fillId="0" borderId="1" xfId="1" applyNumberFormat="1" applyFont="1" applyFill="1" applyBorder="1" applyAlignment="1" applyProtection="1">
      <protection locked="0"/>
    </xf>
    <xf numFmtId="168" fontId="26" fillId="0" borderId="0" xfId="1" applyNumberFormat="1" applyFont="1" applyFill="1" applyBorder="1" applyAlignment="1" applyProtection="1">
      <alignment wrapText="1"/>
      <protection locked="0"/>
    </xf>
    <xf numFmtId="164" fontId="10" fillId="0" borderId="0" xfId="0" applyNumberFormat="1" applyFont="1" applyFill="1" applyBorder="1" applyAlignment="1" applyProtection="1">
      <protection locked="0"/>
    </xf>
    <xf numFmtId="169" fontId="0" fillId="0" borderId="0" xfId="0" applyNumberFormat="1"/>
    <xf numFmtId="0" fontId="5" fillId="3" borderId="3" xfId="0" applyFont="1" applyFill="1" applyBorder="1" applyAlignment="1" applyProtection="1">
      <alignment horizontal="center" wrapText="1"/>
      <protection locked="0"/>
    </xf>
    <xf numFmtId="0" fontId="5" fillId="3" borderId="4" xfId="0" applyFont="1" applyFill="1" applyBorder="1" applyAlignment="1" applyProtection="1">
      <alignment horizontal="center" wrapText="1"/>
      <protection locked="0"/>
    </xf>
    <xf numFmtId="0" fontId="5" fillId="3" borderId="2" xfId="0" applyFont="1" applyFill="1" applyBorder="1" applyAlignment="1" applyProtection="1">
      <alignment horizontal="center" wrapText="1"/>
      <protection locked="0"/>
    </xf>
    <xf numFmtId="0" fontId="21" fillId="0" borderId="1" xfId="0" applyFont="1" applyFill="1" applyBorder="1" applyAlignment="1" applyProtection="1">
      <alignment horizontal="center" wrapText="1"/>
      <protection locked="0"/>
    </xf>
    <xf numFmtId="3" fontId="29" fillId="0" borderId="1" xfId="0" applyNumberFormat="1" applyFont="1" applyFill="1" applyBorder="1" applyAlignment="1">
      <alignment horizontal="center" vertical="top" wrapText="1"/>
    </xf>
    <xf numFmtId="0" fontId="10" fillId="0" borderId="4" xfId="0" applyFont="1" applyFill="1" applyBorder="1" applyAlignment="1" applyProtection="1">
      <alignment wrapText="1"/>
      <protection locked="0"/>
    </xf>
    <xf numFmtId="0" fontId="10" fillId="0" borderId="1" xfId="0" applyFont="1" applyFill="1" applyBorder="1" applyAlignment="1" applyProtection="1">
      <alignment wrapText="1"/>
      <protection locked="0"/>
    </xf>
    <xf numFmtId="0" fontId="10" fillId="0" borderId="3" xfId="0" applyFont="1" applyFill="1" applyBorder="1" applyAlignment="1" applyProtection="1">
      <alignment wrapText="1"/>
      <protection locked="0"/>
    </xf>
    <xf numFmtId="0" fontId="10" fillId="0" borderId="5" xfId="0" applyFont="1" applyFill="1" applyBorder="1" applyAlignment="1" applyProtection="1">
      <alignment wrapText="1"/>
      <protection locked="0"/>
    </xf>
    <xf numFmtId="3" fontId="40" fillId="10" borderId="1" xfId="0" applyNumberFormat="1" applyFont="1" applyFill="1" applyBorder="1" applyAlignment="1">
      <alignment horizontal="center" wrapText="1"/>
    </xf>
    <xf numFmtId="0" fontId="1" fillId="0" borderId="49" xfId="0" applyFont="1" applyFill="1" applyBorder="1"/>
    <xf numFmtId="0" fontId="1" fillId="0" borderId="0" xfId="0" applyFont="1" applyFill="1" applyBorder="1" applyAlignment="1">
      <alignment horizontal="right"/>
    </xf>
    <xf numFmtId="0" fontId="1" fillId="0" borderId="0" xfId="0" applyFont="1" applyFill="1" applyBorder="1" applyProtection="1">
      <protection locked="0"/>
    </xf>
    <xf numFmtId="0" fontId="1" fillId="0" borderId="0" xfId="0" applyFont="1" applyFill="1" applyBorder="1" applyAlignment="1">
      <alignment horizontal="center"/>
    </xf>
    <xf numFmtId="0" fontId="1" fillId="0" borderId="49" xfId="0" applyFont="1" applyFill="1" applyBorder="1" applyAlignment="1">
      <alignment horizontal="right"/>
    </xf>
    <xf numFmtId="3" fontId="1" fillId="0" borderId="0" xfId="0" applyNumberFormat="1" applyFont="1" applyFill="1" applyBorder="1"/>
    <xf numFmtId="3" fontId="1" fillId="0" borderId="49" xfId="0" applyNumberFormat="1" applyFont="1" applyFill="1" applyBorder="1"/>
    <xf numFmtId="3" fontId="1" fillId="11" borderId="0" xfId="0" applyNumberFormat="1" applyFont="1" applyFill="1" applyBorder="1"/>
    <xf numFmtId="3" fontId="1" fillId="11" borderId="49" xfId="0" applyNumberFormat="1" applyFont="1" applyFill="1" applyBorder="1"/>
    <xf numFmtId="0" fontId="57" fillId="0" borderId="1" xfId="0" applyFont="1" applyFill="1" applyBorder="1" applyAlignment="1" applyProtection="1">
      <alignment vertical="top" wrapText="1"/>
      <protection locked="0"/>
    </xf>
    <xf numFmtId="164" fontId="57" fillId="0" borderId="1" xfId="0" applyNumberFormat="1" applyFont="1" applyFill="1" applyBorder="1" applyAlignment="1" applyProtection="1">
      <alignment horizontal="right" vertical="top" wrapText="1"/>
      <protection locked="0"/>
    </xf>
    <xf numFmtId="3" fontId="57" fillId="0" borderId="1" xfId="0" applyNumberFormat="1" applyFont="1" applyFill="1" applyBorder="1" applyAlignment="1" applyProtection="1">
      <alignment horizontal="right" vertical="top" wrapText="1"/>
      <protection locked="0"/>
    </xf>
    <xf numFmtId="164" fontId="57" fillId="0" borderId="4" xfId="0" applyNumberFormat="1" applyFont="1" applyFill="1" applyBorder="1" applyAlignment="1" applyProtection="1">
      <alignment wrapText="1"/>
      <protection locked="0"/>
    </xf>
    <xf numFmtId="168" fontId="49" fillId="0" borderId="1" xfId="1" applyNumberFormat="1" applyFont="1" applyFill="1" applyBorder="1" applyAlignment="1">
      <alignment horizontal="center" wrapText="1"/>
    </xf>
    <xf numFmtId="168" fontId="50" fillId="0" borderId="1" xfId="1" applyNumberFormat="1" applyFont="1" applyFill="1" applyBorder="1" applyAlignment="1">
      <alignment horizontal="center" wrapText="1"/>
    </xf>
    <xf numFmtId="0" fontId="50" fillId="0" borderId="39" xfId="0" applyFont="1" applyFill="1" applyBorder="1" applyAlignment="1" applyProtection="1">
      <alignment horizontal="center" vertical="top" wrapText="1"/>
      <protection locked="0"/>
    </xf>
    <xf numFmtId="0" fontId="50" fillId="0" borderId="40" xfId="0" applyFont="1" applyFill="1" applyBorder="1" applyAlignment="1" applyProtection="1">
      <alignment horizontal="center" vertical="top" wrapText="1"/>
      <protection locked="0"/>
    </xf>
    <xf numFmtId="0" fontId="50" fillId="0" borderId="23" xfId="0" applyFont="1" applyFill="1" applyBorder="1" applyAlignment="1" applyProtection="1">
      <alignment horizontal="center" vertical="top" wrapText="1"/>
      <protection locked="0"/>
    </xf>
    <xf numFmtId="0" fontId="5" fillId="0" borderId="41" xfId="0" applyFont="1" applyFill="1" applyBorder="1" applyAlignment="1" applyProtection="1">
      <alignment horizontal="center" vertical="top" wrapText="1"/>
      <protection locked="0"/>
    </xf>
    <xf numFmtId="0" fontId="5" fillId="0" borderId="42" xfId="0" applyFont="1" applyFill="1" applyBorder="1" applyAlignment="1" applyProtection="1">
      <alignment horizontal="center" vertical="top" wrapText="1"/>
      <protection locked="0"/>
    </xf>
    <xf numFmtId="0" fontId="5" fillId="0" borderId="32" xfId="0" applyFont="1" applyFill="1" applyBorder="1" applyAlignment="1" applyProtection="1">
      <alignment horizontal="center" vertical="top" wrapText="1"/>
      <protection locked="0"/>
    </xf>
    <xf numFmtId="0" fontId="5" fillId="0" borderId="44" xfId="0" applyFont="1" applyFill="1" applyBorder="1" applyAlignment="1" applyProtection="1">
      <alignment horizontal="center" vertical="top" wrapText="1"/>
      <protection locked="0"/>
    </xf>
    <xf numFmtId="0" fontId="5" fillId="3" borderId="27" xfId="0" applyFont="1" applyFill="1" applyBorder="1" applyAlignment="1" applyProtection="1">
      <alignment horizontal="center"/>
      <protection locked="0"/>
    </xf>
    <xf numFmtId="0" fontId="5" fillId="3" borderId="29" xfId="0" applyFont="1" applyFill="1" applyBorder="1" applyAlignment="1" applyProtection="1">
      <alignment horizontal="center"/>
      <protection locked="0"/>
    </xf>
    <xf numFmtId="0" fontId="21" fillId="3" borderId="27" xfId="3" applyFont="1" applyFill="1" applyBorder="1" applyAlignment="1" applyProtection="1">
      <alignment horizontal="center"/>
      <protection locked="0"/>
    </xf>
    <xf numFmtId="0" fontId="21" fillId="3" borderId="28" xfId="3" applyFont="1" applyFill="1" applyBorder="1" applyAlignment="1" applyProtection="1">
      <alignment horizontal="center"/>
      <protection locked="0"/>
    </xf>
    <xf numFmtId="0" fontId="21" fillId="3" borderId="29" xfId="3" applyFont="1" applyFill="1" applyBorder="1" applyAlignment="1" applyProtection="1">
      <alignment horizontal="center"/>
      <protection locked="0"/>
    </xf>
    <xf numFmtId="0" fontId="5" fillId="0" borderId="39" xfId="0" applyFont="1" applyFill="1" applyBorder="1" applyAlignment="1" applyProtection="1">
      <alignment horizontal="center" vertical="top" wrapText="1"/>
      <protection locked="0"/>
    </xf>
    <xf numFmtId="0" fontId="5" fillId="0" borderId="40" xfId="0" applyFont="1" applyFill="1" applyBorder="1" applyAlignment="1" applyProtection="1">
      <alignment horizontal="center" vertical="top" wrapText="1"/>
      <protection locked="0"/>
    </xf>
    <xf numFmtId="0" fontId="5" fillId="0" borderId="23" xfId="0" applyFont="1" applyFill="1" applyBorder="1" applyAlignment="1" applyProtection="1">
      <alignment horizontal="center" vertical="top" wrapText="1"/>
      <protection locked="0"/>
    </xf>
    <xf numFmtId="0" fontId="5" fillId="3" borderId="35" xfId="0" applyFont="1" applyFill="1" applyBorder="1" applyAlignment="1" applyProtection="1">
      <alignment horizontal="left" wrapText="1"/>
      <protection locked="0"/>
    </xf>
    <xf numFmtId="0" fontId="5" fillId="3" borderId="36" xfId="0" applyFont="1" applyFill="1" applyBorder="1" applyAlignment="1" applyProtection="1">
      <alignment horizontal="left" wrapText="1"/>
      <protection locked="0"/>
    </xf>
    <xf numFmtId="0" fontId="5" fillId="3" borderId="8" xfId="0" applyFont="1" applyFill="1" applyBorder="1" applyAlignment="1" applyProtection="1">
      <alignment horizontal="left" wrapText="1"/>
      <protection locked="0"/>
    </xf>
    <xf numFmtId="0" fontId="5" fillId="3" borderId="2" xfId="0" applyFont="1" applyFill="1" applyBorder="1" applyAlignment="1" applyProtection="1">
      <alignment horizontal="left" wrapText="1"/>
      <protection locked="0"/>
    </xf>
    <xf numFmtId="0" fontId="50" fillId="0" borderId="8" xfId="0" applyFont="1" applyFill="1" applyBorder="1" applyAlignment="1" applyProtection="1">
      <alignment horizontal="left" vertical="top" wrapText="1"/>
      <protection locked="0"/>
    </xf>
    <xf numFmtId="0" fontId="50" fillId="0" borderId="31" xfId="0" applyFont="1" applyFill="1" applyBorder="1" applyAlignment="1" applyProtection="1">
      <alignment horizontal="left" vertical="top" wrapText="1"/>
      <protection locked="0"/>
    </xf>
    <xf numFmtId="0" fontId="50" fillId="0" borderId="2" xfId="0" applyFont="1" applyFill="1" applyBorder="1" applyAlignment="1" applyProtection="1">
      <alignment horizontal="left" vertical="top" wrapText="1"/>
      <protection locked="0"/>
    </xf>
    <xf numFmtId="0" fontId="5" fillId="3" borderId="43" xfId="0" applyFont="1" applyFill="1" applyBorder="1" applyAlignment="1" applyProtection="1">
      <alignment horizontal="center"/>
      <protection locked="0"/>
    </xf>
    <xf numFmtId="0" fontId="5" fillId="3" borderId="32" xfId="0" applyFont="1" applyFill="1" applyBorder="1" applyAlignment="1" applyProtection="1">
      <alignment horizontal="center"/>
      <protection locked="0"/>
    </xf>
    <xf numFmtId="0" fontId="5" fillId="3" borderId="3" xfId="0" applyFont="1" applyFill="1" applyBorder="1" applyAlignment="1" applyProtection="1">
      <alignment horizontal="center" wrapText="1"/>
      <protection locked="0"/>
    </xf>
    <xf numFmtId="0" fontId="5" fillId="3" borderId="5" xfId="0" applyFont="1" applyFill="1" applyBorder="1" applyAlignment="1" applyProtection="1">
      <alignment horizontal="center" wrapText="1"/>
      <protection locked="0"/>
    </xf>
    <xf numFmtId="0" fontId="5" fillId="3" borderId="4" xfId="0" applyFont="1" applyFill="1" applyBorder="1" applyAlignment="1" applyProtection="1">
      <alignment horizontal="center" wrapText="1"/>
      <protection locked="0"/>
    </xf>
    <xf numFmtId="0" fontId="5" fillId="3" borderId="3" xfId="0" quotePrefix="1" applyFont="1" applyFill="1" applyBorder="1" applyAlignment="1" applyProtection="1">
      <alignment horizontal="center" wrapText="1"/>
      <protection locked="0"/>
    </xf>
    <xf numFmtId="0" fontId="5" fillId="0" borderId="3" xfId="0" applyFont="1" applyFill="1" applyBorder="1" applyAlignment="1" applyProtection="1">
      <alignment horizontal="center" wrapText="1"/>
      <protection locked="0"/>
    </xf>
    <xf numFmtId="0" fontId="5" fillId="0" borderId="5" xfId="0" applyFont="1" applyFill="1" applyBorder="1" applyAlignment="1" applyProtection="1">
      <alignment horizontal="center" wrapText="1"/>
      <protection locked="0"/>
    </xf>
    <xf numFmtId="0" fontId="5" fillId="0" borderId="4" xfId="0" applyFont="1" applyFill="1" applyBorder="1" applyAlignment="1" applyProtection="1">
      <alignment horizontal="center" wrapText="1"/>
      <protection locked="0"/>
    </xf>
    <xf numFmtId="0" fontId="5" fillId="0" borderId="3" xfId="0"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top" wrapText="1"/>
      <protection locked="0"/>
    </xf>
    <xf numFmtId="0" fontId="5" fillId="3" borderId="8" xfId="0" applyFont="1" applyFill="1" applyBorder="1" applyAlignment="1" applyProtection="1">
      <alignment horizontal="center" wrapText="1"/>
      <protection locked="0"/>
    </xf>
    <xf numFmtId="0" fontId="5" fillId="3" borderId="2" xfId="0" applyFont="1" applyFill="1" applyBorder="1" applyAlignment="1" applyProtection="1">
      <alignment horizontal="center" wrapText="1"/>
      <protection locked="0"/>
    </xf>
    <xf numFmtId="0" fontId="5" fillId="3" borderId="1" xfId="0" applyFont="1" applyFill="1" applyBorder="1" applyAlignment="1" applyProtection="1">
      <alignment horizontal="left" wrapText="1"/>
      <protection locked="0"/>
    </xf>
    <xf numFmtId="0" fontId="10" fillId="0" borderId="0" xfId="0" applyFont="1" applyFill="1" applyAlignment="1">
      <alignment horizontal="left" wrapText="1"/>
    </xf>
    <xf numFmtId="0" fontId="21" fillId="0" borderId="3" xfId="0" applyFont="1" applyFill="1" applyBorder="1" applyAlignment="1" applyProtection="1">
      <alignment horizontal="center" wrapText="1"/>
      <protection locked="0"/>
    </xf>
    <xf numFmtId="0" fontId="21" fillId="0" borderId="5" xfId="0" applyFont="1" applyFill="1" applyBorder="1" applyAlignment="1" applyProtection="1">
      <alignment horizontal="center" wrapText="1"/>
      <protection locked="0"/>
    </xf>
    <xf numFmtId="0" fontId="21" fillId="0" borderId="4" xfId="0" applyFont="1" applyFill="1" applyBorder="1" applyAlignment="1" applyProtection="1">
      <alignment horizontal="center" wrapText="1"/>
      <protection locked="0"/>
    </xf>
    <xf numFmtId="0" fontId="21" fillId="0" borderId="5" xfId="0" applyFont="1" applyFill="1" applyBorder="1" applyAlignment="1" applyProtection="1">
      <alignment horizontal="right"/>
      <protection locked="0"/>
    </xf>
    <xf numFmtId="0" fontId="9" fillId="0" borderId="5" xfId="0" applyFont="1" applyFill="1" applyBorder="1" applyAlignment="1"/>
    <xf numFmtId="0" fontId="9" fillId="0" borderId="4" xfId="0" applyFont="1" applyFill="1" applyBorder="1" applyAlignment="1"/>
    <xf numFmtId="0" fontId="21" fillId="0" borderId="8" xfId="0" applyFont="1" applyFill="1" applyBorder="1" applyAlignment="1" applyProtection="1">
      <alignment horizontal="center" wrapText="1"/>
      <protection locked="0"/>
    </xf>
    <xf numFmtId="0" fontId="21" fillId="0" borderId="2" xfId="0" applyFont="1" applyFill="1" applyBorder="1" applyAlignment="1" applyProtection="1">
      <alignment horizontal="center" wrapText="1"/>
      <protection locked="0"/>
    </xf>
    <xf numFmtId="0" fontId="21" fillId="0" borderId="9" xfId="0" applyFont="1" applyFill="1" applyBorder="1" applyAlignment="1" applyProtection="1">
      <alignment horizontal="center" wrapText="1"/>
      <protection locked="0"/>
    </xf>
    <xf numFmtId="0" fontId="21" fillId="0" borderId="12" xfId="0" applyFont="1" applyFill="1" applyBorder="1" applyAlignment="1" applyProtection="1">
      <alignment horizontal="center" wrapText="1"/>
      <protection locked="0"/>
    </xf>
    <xf numFmtId="0" fontId="21" fillId="0" borderId="1" xfId="0" applyFont="1" applyFill="1" applyBorder="1" applyAlignment="1" applyProtection="1">
      <alignment horizontal="center" wrapText="1"/>
      <protection locked="0"/>
    </xf>
    <xf numFmtId="3" fontId="29" fillId="0" borderId="1" xfId="0" applyNumberFormat="1" applyFont="1" applyFill="1" applyBorder="1" applyAlignment="1">
      <alignment horizontal="center" vertical="top" wrapText="1"/>
    </xf>
    <xf numFmtId="0" fontId="10" fillId="0" borderId="4" xfId="0" applyFont="1" applyFill="1" applyBorder="1" applyAlignment="1" applyProtection="1">
      <alignment wrapText="1"/>
      <protection locked="0"/>
    </xf>
    <xf numFmtId="0" fontId="10" fillId="0" borderId="1" xfId="0" applyFont="1" applyFill="1" applyBorder="1" applyAlignment="1" applyProtection="1">
      <alignment wrapText="1"/>
      <protection locked="0"/>
    </xf>
    <xf numFmtId="3" fontId="21" fillId="0" borderId="3" xfId="0" applyNumberFormat="1" applyFont="1" applyFill="1" applyBorder="1" applyAlignment="1">
      <alignment horizontal="center" vertical="top" wrapText="1"/>
    </xf>
    <xf numFmtId="3" fontId="21" fillId="0" borderId="5" xfId="0" applyNumberFormat="1" applyFont="1" applyFill="1" applyBorder="1" applyAlignment="1">
      <alignment horizontal="center" vertical="top" wrapText="1"/>
    </xf>
    <xf numFmtId="3" fontId="21" fillId="0" borderId="4" xfId="0" applyNumberFormat="1" applyFont="1" applyFill="1" applyBorder="1" applyAlignment="1">
      <alignment horizontal="center" vertical="top" wrapText="1"/>
    </xf>
    <xf numFmtId="0" fontId="26" fillId="0" borderId="0" xfId="0" applyNumberFormat="1" applyFont="1" applyFill="1" applyAlignment="1">
      <alignment horizontal="left" vertical="top" wrapText="1"/>
    </xf>
    <xf numFmtId="2" fontId="26" fillId="0" borderId="0" xfId="0" applyNumberFormat="1" applyFont="1" applyFill="1" applyAlignment="1">
      <alignment horizontal="left" vertical="top" wrapText="1"/>
    </xf>
    <xf numFmtId="0" fontId="10" fillId="0" borderId="3" xfId="0" applyFont="1" applyFill="1" applyBorder="1" applyAlignment="1" applyProtection="1">
      <alignment wrapText="1"/>
      <protection locked="0"/>
    </xf>
    <xf numFmtId="0" fontId="10" fillId="0" borderId="5" xfId="0" applyFont="1" applyFill="1" applyBorder="1" applyAlignment="1" applyProtection="1">
      <alignment wrapText="1"/>
      <protection locked="0"/>
    </xf>
    <xf numFmtId="0" fontId="26" fillId="0" borderId="0" xfId="0" applyFont="1" applyFill="1" applyAlignment="1">
      <alignment horizontal="left" wrapText="1"/>
    </xf>
    <xf numFmtId="0" fontId="21" fillId="0" borderId="9" xfId="0" applyNumberFormat="1" applyFont="1" applyFill="1" applyBorder="1" applyAlignment="1">
      <alignment horizontal="left" wrapText="1"/>
    </xf>
    <xf numFmtId="0" fontId="21" fillId="0" borderId="10" xfId="0" applyNumberFormat="1" applyFont="1" applyFill="1" applyBorder="1" applyAlignment="1">
      <alignment horizontal="left" wrapText="1"/>
    </xf>
    <xf numFmtId="0" fontId="21" fillId="0" borderId="11" xfId="0" applyNumberFormat="1" applyFont="1" applyFill="1" applyBorder="1" applyAlignment="1">
      <alignment horizontal="left" wrapText="1"/>
    </xf>
    <xf numFmtId="0" fontId="21" fillId="0" borderId="12" xfId="0" applyNumberFormat="1" applyFont="1" applyFill="1" applyBorder="1" applyAlignment="1">
      <alignment horizontal="left" wrapText="1"/>
    </xf>
    <xf numFmtId="0" fontId="21" fillId="0" borderId="13" xfId="0" applyNumberFormat="1" applyFont="1" applyFill="1" applyBorder="1" applyAlignment="1">
      <alignment horizontal="left" wrapText="1"/>
    </xf>
    <xf numFmtId="0" fontId="21" fillId="0" borderId="14" xfId="0" applyNumberFormat="1" applyFont="1" applyFill="1" applyBorder="1" applyAlignment="1">
      <alignment horizontal="left" wrapText="1"/>
    </xf>
    <xf numFmtId="0" fontId="10" fillId="0" borderId="1" xfId="0" applyFont="1" applyFill="1" applyBorder="1" applyAlignment="1" applyProtection="1">
      <alignment horizontal="left" wrapText="1"/>
      <protection locked="0"/>
    </xf>
    <xf numFmtId="0" fontId="26" fillId="0" borderId="0" xfId="0" applyFont="1" applyAlignment="1">
      <alignment horizontal="left" vertical="top" wrapText="1"/>
    </xf>
    <xf numFmtId="0" fontId="57" fillId="0" borderId="5" xfId="0" applyFont="1" applyFill="1" applyBorder="1" applyAlignment="1" applyProtection="1">
      <alignment horizontal="right"/>
      <protection locked="0"/>
    </xf>
    <xf numFmtId="0" fontId="57" fillId="0" borderId="3" xfId="0" applyFont="1" applyFill="1" applyBorder="1" applyAlignment="1" applyProtection="1">
      <alignment horizontal="center" wrapText="1"/>
      <protection locked="0"/>
    </xf>
    <xf numFmtId="0" fontId="31" fillId="0" borderId="5" xfId="0" applyFont="1" applyFill="1" applyBorder="1" applyAlignment="1"/>
    <xf numFmtId="0" fontId="31" fillId="0" borderId="4" xfId="0" applyFont="1" applyFill="1" applyBorder="1" applyAlignment="1"/>
    <xf numFmtId="0" fontId="34" fillId="5" borderId="45" xfId="0" applyFont="1" applyFill="1" applyBorder="1" applyAlignment="1">
      <alignment horizontal="center" vertical="center"/>
    </xf>
    <xf numFmtId="0" fontId="34" fillId="5" borderId="23" xfId="0" applyFont="1" applyFill="1" applyBorder="1" applyAlignment="1">
      <alignment horizontal="center" vertical="center"/>
    </xf>
    <xf numFmtId="0" fontId="34" fillId="5" borderId="45" xfId="0" applyFont="1" applyFill="1" applyBorder="1" applyAlignment="1">
      <alignment horizontal="center" vertical="center" wrapText="1"/>
    </xf>
    <xf numFmtId="0" fontId="34" fillId="5" borderId="23" xfId="0" applyFont="1" applyFill="1" applyBorder="1" applyAlignment="1">
      <alignment horizontal="center" vertical="center" wrapText="1"/>
    </xf>
    <xf numFmtId="0" fontId="0" fillId="6" borderId="3" xfId="0" applyFill="1" applyBorder="1" applyAlignment="1">
      <alignment horizontal="center"/>
    </xf>
    <xf numFmtId="0" fontId="0" fillId="6" borderId="4" xfId="0" applyFill="1" applyBorder="1" applyAlignment="1">
      <alignment horizontal="center"/>
    </xf>
    <xf numFmtId="0" fontId="33" fillId="0" borderId="3" xfId="0" applyFont="1" applyBorder="1" applyAlignment="1">
      <alignment horizontal="center"/>
    </xf>
    <xf numFmtId="0" fontId="33" fillId="0" borderId="4" xfId="0" applyFont="1" applyBorder="1" applyAlignment="1">
      <alignment horizontal="center"/>
    </xf>
    <xf numFmtId="0" fontId="34" fillId="5" borderId="46" xfId="0" applyFont="1" applyFill="1" applyBorder="1" applyAlignment="1">
      <alignment horizontal="center" vertical="center"/>
    </xf>
    <xf numFmtId="0" fontId="34" fillId="5" borderId="47" xfId="0" applyFont="1" applyFill="1" applyBorder="1" applyAlignment="1">
      <alignment horizontal="center" vertical="center"/>
    </xf>
    <xf numFmtId="0" fontId="34" fillId="5" borderId="48" xfId="0" applyFont="1" applyFill="1" applyBorder="1" applyAlignment="1">
      <alignment horizontal="center" vertical="center"/>
    </xf>
    <xf numFmtId="0" fontId="10" fillId="0" borderId="0" xfId="0" applyFont="1" applyAlignment="1">
      <alignment horizontal="left" vertical="top" wrapText="1"/>
    </xf>
    <xf numFmtId="0" fontId="21" fillId="0" borderId="1" xfId="0" applyFont="1" applyFill="1" applyBorder="1" applyAlignment="1">
      <alignment horizontal="center"/>
    </xf>
    <xf numFmtId="0" fontId="10" fillId="0" borderId="0" xfId="0" applyFont="1" applyFill="1" applyAlignment="1">
      <alignment horizontal="right"/>
    </xf>
    <xf numFmtId="0" fontId="21" fillId="0" borderId="1" xfId="0" applyNumberFormat="1" applyFont="1" applyFill="1" applyBorder="1" applyAlignment="1">
      <alignment horizontal="left" wrapText="1"/>
    </xf>
    <xf numFmtId="3" fontId="21" fillId="0" borderId="3" xfId="0" applyNumberFormat="1" applyFont="1" applyFill="1" applyBorder="1" applyAlignment="1">
      <alignment horizontal="center"/>
    </xf>
    <xf numFmtId="3" fontId="21" fillId="0" borderId="5" xfId="0" applyNumberFormat="1" applyFont="1" applyFill="1" applyBorder="1" applyAlignment="1">
      <alignment horizontal="center"/>
    </xf>
    <xf numFmtId="3" fontId="21" fillId="0" borderId="4" xfId="0" applyNumberFormat="1" applyFont="1" applyFill="1" applyBorder="1" applyAlignment="1">
      <alignment horizontal="center"/>
    </xf>
    <xf numFmtId="0" fontId="10" fillId="0" borderId="0" xfId="0" applyFont="1" applyFill="1" applyAlignment="1">
      <alignment horizontal="left" vertical="top" wrapText="1"/>
    </xf>
    <xf numFmtId="168" fontId="5" fillId="3" borderId="3" xfId="1" applyNumberFormat="1" applyFont="1" applyFill="1" applyBorder="1" applyAlignment="1">
      <alignment horizontal="center" wrapText="1"/>
    </xf>
    <xf numFmtId="168" fontId="5" fillId="3" borderId="5" xfId="1" applyNumberFormat="1" applyFont="1" applyFill="1" applyBorder="1" applyAlignment="1">
      <alignment horizontal="center" wrapText="1"/>
    </xf>
    <xf numFmtId="168" fontId="5" fillId="3" borderId="4" xfId="1" applyNumberFormat="1" applyFont="1" applyFill="1" applyBorder="1" applyAlignment="1">
      <alignment horizontal="center" wrapText="1"/>
    </xf>
    <xf numFmtId="0" fontId="22" fillId="0" borderId="3" xfId="0" applyFont="1" applyFill="1" applyBorder="1" applyAlignment="1">
      <alignment horizontal="left" wrapText="1"/>
    </xf>
    <xf numFmtId="0" fontId="22" fillId="0" borderId="5" xfId="0" applyFont="1" applyFill="1" applyBorder="1" applyAlignment="1">
      <alignment horizontal="left" wrapText="1"/>
    </xf>
    <xf numFmtId="0" fontId="22" fillId="0" borderId="4" xfId="0" applyFont="1" applyFill="1" applyBorder="1" applyAlignment="1">
      <alignment horizontal="left" wrapText="1"/>
    </xf>
    <xf numFmtId="0" fontId="56" fillId="0" borderId="3" xfId="0" applyFont="1" applyFill="1" applyBorder="1" applyAlignment="1">
      <alignment horizontal="left" wrapText="1"/>
    </xf>
    <xf numFmtId="0" fontId="56" fillId="0" borderId="5" xfId="0" applyFont="1" applyFill="1" applyBorder="1" applyAlignment="1">
      <alignment horizontal="left" wrapText="1"/>
    </xf>
    <xf numFmtId="0" fontId="56" fillId="0" borderId="4" xfId="0" applyFont="1" applyFill="1" applyBorder="1" applyAlignment="1">
      <alignment horizontal="left" wrapText="1"/>
    </xf>
    <xf numFmtId="0" fontId="50" fillId="0" borderId="3" xfId="0" applyFont="1" applyFill="1" applyBorder="1" applyAlignment="1">
      <alignment horizontal="left" wrapText="1"/>
    </xf>
    <xf numFmtId="0" fontId="50" fillId="0" borderId="5" xfId="0" applyFont="1" applyFill="1" applyBorder="1" applyAlignment="1">
      <alignment horizontal="left" wrapText="1"/>
    </xf>
    <xf numFmtId="0" fontId="50" fillId="0" borderId="4" xfId="0" applyFont="1" applyFill="1" applyBorder="1" applyAlignment="1">
      <alignment horizontal="left" wrapText="1"/>
    </xf>
    <xf numFmtId="0" fontId="5" fillId="0" borderId="3" xfId="0" applyFont="1" applyFill="1" applyBorder="1" applyAlignment="1">
      <alignment horizontal="left" wrapText="1"/>
    </xf>
    <xf numFmtId="0" fontId="5" fillId="0" borderId="5" xfId="0" applyFont="1" applyFill="1" applyBorder="1" applyAlignment="1">
      <alignment horizontal="left" wrapText="1"/>
    </xf>
    <xf numFmtId="0" fontId="5" fillId="0" borderId="4" xfId="0" applyFont="1" applyFill="1" applyBorder="1" applyAlignment="1">
      <alignment horizontal="left" wrapText="1"/>
    </xf>
    <xf numFmtId="0" fontId="31" fillId="0" borderId="0" xfId="0" applyFont="1" applyAlignment="1">
      <alignment horizontal="center"/>
    </xf>
    <xf numFmtId="0" fontId="39" fillId="9" borderId="1" xfId="0" applyFont="1" applyFill="1" applyBorder="1" applyAlignment="1">
      <alignment horizontal="left"/>
    </xf>
    <xf numFmtId="3" fontId="40" fillId="10" borderId="1" xfId="0" applyNumberFormat="1" applyFont="1" applyFill="1" applyBorder="1" applyAlignment="1">
      <alignment horizontal="center" wrapText="1"/>
    </xf>
    <xf numFmtId="0" fontId="39" fillId="9" borderId="3" xfId="0" applyFont="1" applyFill="1" applyBorder="1" applyAlignment="1">
      <alignment horizontal="left"/>
    </xf>
    <xf numFmtId="0" fontId="39" fillId="9" borderId="5" xfId="0" applyFont="1" applyFill="1" applyBorder="1" applyAlignment="1">
      <alignment horizontal="left"/>
    </xf>
    <xf numFmtId="0" fontId="39" fillId="9" borderId="4" xfId="0" applyFont="1" applyFill="1" applyBorder="1" applyAlignment="1">
      <alignment horizontal="left"/>
    </xf>
    <xf numFmtId="0" fontId="60" fillId="0" borderId="0" xfId="0" applyFont="1" applyFill="1"/>
    <xf numFmtId="0" fontId="60" fillId="0" borderId="1" xfId="0" applyFont="1" applyFill="1" applyBorder="1" applyAlignment="1">
      <alignment horizontal="center" vertical="top" wrapText="1"/>
    </xf>
    <xf numFmtId="0" fontId="29" fillId="8" borderId="1" xfId="0" applyFont="1" applyFill="1" applyBorder="1" applyAlignment="1">
      <alignment horizontal="center" vertical="top" wrapText="1"/>
    </xf>
    <xf numFmtId="3" fontId="29" fillId="8" borderId="1" xfId="0" applyNumberFormat="1" applyFont="1" applyFill="1" applyBorder="1" applyAlignment="1">
      <alignment horizontal="center" vertical="top" wrapText="1"/>
    </xf>
    <xf numFmtId="0" fontId="29" fillId="8" borderId="1" xfId="0" applyFont="1" applyFill="1" applyBorder="1"/>
    <xf numFmtId="164" fontId="29" fillId="8" borderId="1" xfId="0" applyNumberFormat="1" applyFont="1" applyFill="1" applyBorder="1" applyAlignment="1">
      <alignment horizontal="right" vertical="top" wrapText="1"/>
    </xf>
    <xf numFmtId="0" fontId="60" fillId="8" borderId="1" xfId="0" applyFont="1" applyFill="1" applyBorder="1" applyAlignment="1">
      <alignment horizontal="center" vertical="top" wrapText="1"/>
    </xf>
    <xf numFmtId="3" fontId="60" fillId="8" borderId="1" xfId="0" applyNumberFormat="1" applyFont="1" applyFill="1" applyBorder="1" applyAlignment="1">
      <alignment horizontal="center" vertical="top" wrapText="1"/>
    </xf>
    <xf numFmtId="0" fontId="60" fillId="8" borderId="1" xfId="0" applyFont="1" applyFill="1" applyBorder="1"/>
    <xf numFmtId="3" fontId="29" fillId="8" borderId="1" xfId="0" applyNumberFormat="1" applyFont="1" applyFill="1" applyBorder="1" applyAlignment="1">
      <alignment horizontal="center" vertical="top" wrapText="1"/>
    </xf>
    <xf numFmtId="3" fontId="29" fillId="8" borderId="1" xfId="0" applyNumberFormat="1" applyFont="1" applyFill="1" applyBorder="1" applyAlignment="1">
      <alignment horizontal="right" vertical="top" wrapText="1"/>
    </xf>
  </cellXfs>
  <cellStyles count="44">
    <cellStyle name="Comma" xfId="1" builtinId="3"/>
    <cellStyle name="Currency" xfId="2" builtinId="4"/>
    <cellStyle name="Good" xfId="3" builtinId="26"/>
    <cellStyle name="Hyperlink" xfId="4" builtinId="8"/>
    <cellStyle name="Normal" xfId="0" builtinId="0"/>
    <cellStyle name="Normal 10" xfId="6" xr:uid="{00000000-0005-0000-0000-000005000000}"/>
    <cellStyle name="Normal 11" xfId="7" xr:uid="{00000000-0005-0000-0000-000006000000}"/>
    <cellStyle name="Normal 12" xfId="8" xr:uid="{00000000-0005-0000-0000-000007000000}"/>
    <cellStyle name="Normal 13" xfId="9" xr:uid="{00000000-0005-0000-0000-000008000000}"/>
    <cellStyle name="Normal 14" xfId="10" xr:uid="{00000000-0005-0000-0000-000009000000}"/>
    <cellStyle name="Normal 15" xfId="11" xr:uid="{00000000-0005-0000-0000-00000A000000}"/>
    <cellStyle name="Normal 16" xfId="12" xr:uid="{00000000-0005-0000-0000-00000B000000}"/>
    <cellStyle name="Normal 17" xfId="13" xr:uid="{00000000-0005-0000-0000-00000C000000}"/>
    <cellStyle name="Normal 18" xfId="14" xr:uid="{00000000-0005-0000-0000-00000D000000}"/>
    <cellStyle name="Normal 19" xfId="15" xr:uid="{00000000-0005-0000-0000-00000E000000}"/>
    <cellStyle name="Normal 2" xfId="5" xr:uid="{00000000-0005-0000-0000-00000F000000}"/>
    <cellStyle name="Normal 2 2" xfId="16" xr:uid="{00000000-0005-0000-0000-000010000000}"/>
    <cellStyle name="Normal 2 3" xfId="17" xr:uid="{00000000-0005-0000-0000-000011000000}"/>
    <cellStyle name="Normal 2 4" xfId="18" xr:uid="{00000000-0005-0000-0000-000012000000}"/>
    <cellStyle name="Normal 2 5" xfId="19" xr:uid="{00000000-0005-0000-0000-000013000000}"/>
    <cellStyle name="Normal 20" xfId="20" xr:uid="{00000000-0005-0000-0000-000014000000}"/>
    <cellStyle name="Normal 21" xfId="21" xr:uid="{00000000-0005-0000-0000-000015000000}"/>
    <cellStyle name="Normal 22" xfId="22" xr:uid="{00000000-0005-0000-0000-000016000000}"/>
    <cellStyle name="Normal 23" xfId="23" xr:uid="{00000000-0005-0000-0000-000017000000}"/>
    <cellStyle name="Normal 24" xfId="24" xr:uid="{00000000-0005-0000-0000-000018000000}"/>
    <cellStyle name="Normal 25" xfId="25" xr:uid="{00000000-0005-0000-0000-000019000000}"/>
    <cellStyle name="Normal 26" xfId="26" xr:uid="{00000000-0005-0000-0000-00001A000000}"/>
    <cellStyle name="Normal 27" xfId="27" xr:uid="{00000000-0005-0000-0000-00001B000000}"/>
    <cellStyle name="Normal 28" xfId="28" xr:uid="{00000000-0005-0000-0000-00001C000000}"/>
    <cellStyle name="Normal 29" xfId="29" xr:uid="{00000000-0005-0000-0000-00001D000000}"/>
    <cellStyle name="Normal 3" xfId="30" xr:uid="{00000000-0005-0000-0000-00001E000000}"/>
    <cellStyle name="Normal 30" xfId="31" xr:uid="{00000000-0005-0000-0000-00001F000000}"/>
    <cellStyle name="Normal 31" xfId="32" xr:uid="{00000000-0005-0000-0000-000020000000}"/>
    <cellStyle name="Normal 32" xfId="33" xr:uid="{00000000-0005-0000-0000-000021000000}"/>
    <cellStyle name="Normal 33" xfId="34" xr:uid="{00000000-0005-0000-0000-000022000000}"/>
    <cellStyle name="Normal 34" xfId="35" xr:uid="{00000000-0005-0000-0000-000023000000}"/>
    <cellStyle name="Normal 36" xfId="42" xr:uid="{00000000-0005-0000-0000-000024000000}"/>
    <cellStyle name="Normal 4" xfId="36" xr:uid="{00000000-0005-0000-0000-000025000000}"/>
    <cellStyle name="Normal 5" xfId="37" xr:uid="{00000000-0005-0000-0000-000026000000}"/>
    <cellStyle name="Normal 6" xfId="38" xr:uid="{00000000-0005-0000-0000-000027000000}"/>
    <cellStyle name="Normal 7" xfId="39" xr:uid="{00000000-0005-0000-0000-000028000000}"/>
    <cellStyle name="Normal 8" xfId="40" xr:uid="{00000000-0005-0000-0000-000029000000}"/>
    <cellStyle name="Normal 9" xfId="41" xr:uid="{00000000-0005-0000-0000-00002A000000}"/>
    <cellStyle name="Percent" xfId="43" builtinId="5"/>
  </cellStyles>
  <dxfs count="0"/>
  <tableStyles count="0" defaultTableStyle="TableStyleMedium9" defaultPivotStyle="PivotStyleLight16"/>
  <colors>
    <mruColors>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theme" Target="theme/theme1.xml"/><Relationship Id="rId42"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microsoft.com/office/2017/10/relationships/person" Target="persons/person.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tifile02\ehe\Projects\0217382-EPA_MME\0217382.032-EGUs_CTs\Data_and_Tools\MATS\RTR_Proposal\ICR_Burden_Supprt_Stmnt\2137t12_final_v1_3-29-24_CORRECTED.xlsx" TargetMode="External"/><Relationship Id="rId1" Type="http://schemas.openxmlformats.org/officeDocument/2006/relationships/externalLinkPath" Target="2137t12_final_v1_3-29-24_CORRECTE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tifile02\ehe\Projects\0217382-EPA_MME\0217382.032-EGUs_CTs\Data_and_Tools\MATS\RTR_Proposal\ICR_Burden_Supprt_Stmnt\2137t12_final_v1_3-29-24.xlsx" TargetMode="External"/><Relationship Id="rId1" Type="http://schemas.openxmlformats.org/officeDocument/2006/relationships/externalLinkPath" Target="2137t12_final_v1_3-29-2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rtifile02\ehe\Projects\0217382-EPA_MME\0217382.032-EGUs_CTs\Data_and_Tools\MATS\RTR_Proposal\ICR_Burden_Supprt_Stmnt\2137t10_new.xlsx" TargetMode="External"/><Relationship Id="rId1" Type="http://schemas.openxmlformats.org/officeDocument/2006/relationships/externalLinkPath" Target="2137t10_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ulated Sources_Overview"/>
      <sheetName val="Table 1a-Year 1"/>
      <sheetName val="Table 1a-Year 2"/>
      <sheetName val="Table 1a-Year 3"/>
      <sheetName val="Table 1a-Avg"/>
      <sheetName val="Table 1b-Year 1"/>
      <sheetName val="Table 1b-Year 2"/>
      <sheetName val="Table 1b-Year 3"/>
      <sheetName val="Table 1b-Avg"/>
      <sheetName val="Table 1c-Year 1"/>
      <sheetName val="Table 1c-Year 2"/>
      <sheetName val="Table 1c-Year 3"/>
      <sheetName val="Table 1c-Avg"/>
      <sheetName val="Table 2-Year 1"/>
      <sheetName val="Table 2-Year 2"/>
      <sheetName val="Table 2-Year 3"/>
      <sheetName val="Table 2-Avg"/>
      <sheetName val="Annual Responses-Year 1"/>
      <sheetName val="Annual Responses-Year 2"/>
      <sheetName val="Annual Responses-Year 3"/>
      <sheetName val="Annual Responses-Avg"/>
      <sheetName val="Summary of CEMS Costs_2018"/>
      <sheetName val="%CEMSCPMSvs.testing"/>
      <sheetName val="Summary Info_2015"/>
      <sheetName val="Hg 1 monitor_2015"/>
      <sheetName val="HCl 1 monitor_2015"/>
      <sheetName val="PM 1 monitor_2015"/>
      <sheetName val="PM beta 1 monitor_2015"/>
      <sheetName val="PM extractive_2015"/>
    </sheetNames>
    <sheetDataSet>
      <sheetData sheetId="0" refreshError="1"/>
      <sheetData sheetId="1">
        <row r="92">
          <cell r="H92">
            <v>661840.39248879743</v>
          </cell>
        </row>
      </sheetData>
      <sheetData sheetId="2">
        <row r="92">
          <cell r="H92">
            <v>330920.19624439883</v>
          </cell>
        </row>
      </sheetData>
      <sheetData sheetId="3">
        <row r="92">
          <cell r="H92">
            <v>0</v>
          </cell>
        </row>
        <row r="93">
          <cell r="H93">
            <v>1077037.9078704</v>
          </cell>
        </row>
        <row r="94">
          <cell r="H94">
            <v>1487928.6795130435</v>
          </cell>
        </row>
        <row r="95">
          <cell r="H95">
            <v>2564966.5873834435</v>
          </cell>
        </row>
      </sheetData>
      <sheetData sheetId="4">
        <row r="92">
          <cell r="H92">
            <v>330920.19624439883</v>
          </cell>
        </row>
      </sheetData>
      <sheetData sheetId="5" refreshError="1"/>
      <sheetData sheetId="6" refreshError="1"/>
      <sheetData sheetId="7" refreshError="1"/>
      <sheetData sheetId="8" refreshError="1"/>
      <sheetData sheetId="9" refreshError="1"/>
      <sheetData sheetId="10" refreshError="1"/>
      <sheetData sheetId="11" refreshError="1"/>
      <sheetData sheetId="12">
        <row r="4">
          <cell r="F4">
            <v>49100000</v>
          </cell>
        </row>
        <row r="11">
          <cell r="F11">
            <v>0.83304347826086955</v>
          </cell>
        </row>
        <row r="12">
          <cell r="F12">
            <v>0.16695652173913045</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ulated Sources_Overview"/>
      <sheetName val="Table 1a-Year 1"/>
      <sheetName val="Table 1a-Year 2"/>
      <sheetName val="Table 1a-Year 3"/>
      <sheetName val="Table 1a-Avg"/>
      <sheetName val="Table 1b-Year 1"/>
      <sheetName val="Table 1b-Year 2"/>
      <sheetName val="Table 1b-Year 3"/>
      <sheetName val="Table 1b-Avg"/>
      <sheetName val="Table 1c-Year 1"/>
      <sheetName val="Table 1c-Year 2"/>
      <sheetName val="Table 1c-Year 3"/>
      <sheetName val="Table 1c-Avg"/>
      <sheetName val="Table 2-Year 1"/>
      <sheetName val="Table 2-Year 2"/>
      <sheetName val="Table 2-Year 3"/>
      <sheetName val="Table 2-Avg"/>
      <sheetName val="Annual Responses-Year 1"/>
      <sheetName val="Annual Responses-Year 2"/>
      <sheetName val="Annual Responses-Year 3"/>
      <sheetName val="Annual Responses-Avg"/>
      <sheetName val="Summary of CEMS Costs_2018"/>
      <sheetName val="%CEMSCPMSvs.testing"/>
      <sheetName val="Summary Info_2015"/>
      <sheetName val="Hg 1 monitor_2015"/>
      <sheetName val="HCl 1 monitor_2015"/>
      <sheetName val="PM 1 monitor_2015"/>
      <sheetName val="PM beta 1 monitor_2015"/>
      <sheetName val="PM extractive_201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F4">
            <v>49100000</v>
          </cell>
          <cell r="G4">
            <v>3400000</v>
          </cell>
          <cell r="H4">
            <v>41100000</v>
          </cell>
          <cell r="I4">
            <v>93600000</v>
          </cell>
        </row>
        <row r="5">
          <cell r="F5">
            <v>4000000</v>
          </cell>
          <cell r="G5">
            <v>700000</v>
          </cell>
          <cell r="H5">
            <v>8200000</v>
          </cell>
          <cell r="I5">
            <v>13000000</v>
          </cell>
        </row>
        <row r="6">
          <cell r="F6">
            <v>53100000</v>
          </cell>
          <cell r="G6">
            <v>4100000</v>
          </cell>
          <cell r="H6">
            <v>49300000</v>
          </cell>
          <cell r="I6">
            <v>106600000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ulated Sources_Overview"/>
      <sheetName val="Table 1a "/>
      <sheetName val="Table 1b"/>
      <sheetName val="Table 1c"/>
      <sheetName val="Table 2"/>
      <sheetName val="Annual Responses"/>
      <sheetName val="Summary of CEMS Costs_2018"/>
      <sheetName val="%CEMSCPMSvs.testing"/>
      <sheetName val="Summary Info_2015"/>
      <sheetName val="Hg 1 monitor_2015"/>
      <sheetName val="HCl 1 monitor_2015"/>
      <sheetName val="PM 1 monitor_2015"/>
      <sheetName val="PM beta 1 monitor_2015"/>
      <sheetName val="PM extractive_2015"/>
    </sheetNames>
    <sheetDataSet>
      <sheetData sheetId="0" refreshError="1"/>
      <sheetData sheetId="1" refreshError="1"/>
      <sheetData sheetId="2" refreshError="1"/>
      <sheetData sheetId="3">
        <row r="4">
          <cell r="F4">
            <v>24700000</v>
          </cell>
          <cell r="G4">
            <v>84800000</v>
          </cell>
          <cell r="H4">
            <v>110000000</v>
          </cell>
        </row>
        <row r="5">
          <cell r="F5">
            <v>2100000</v>
          </cell>
          <cell r="G5">
            <v>17000000</v>
          </cell>
          <cell r="H5">
            <v>19100000</v>
          </cell>
        </row>
        <row r="6">
          <cell r="F6">
            <v>26800000</v>
          </cell>
          <cell r="G6">
            <v>102000000</v>
          </cell>
          <cell r="H6">
            <v>129000000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persons/person.xml><?xml version="1.0" encoding="utf-8"?>
<personList xmlns="http://schemas.microsoft.com/office/spreadsheetml/2018/threadedcomments" xmlns:x="http://schemas.openxmlformats.org/spreadsheetml/2006/main">
  <person displayName="Icenhour, Melissa" id="{8077191F-9CC6-4DBC-A197-BC5D6FBC9B60}" userId="S::mkicenhour@rti.org::243f0250-7ee9-4adf-bff9-7a1df8ee06e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93" dT="2024-03-29T18:43:43.21" personId="{8077191F-9CC6-4DBC-A197-BC5D6FBC9B60}" id="{9230BB9D-2083-402C-8881-41BD6C53B3EC}">
    <text>this should total 372</text>
  </threadedComment>
  <threadedComment ref="F111" dT="2024-03-29T18:43:43.21" personId="{8077191F-9CC6-4DBC-A197-BC5D6FBC9B60}" id="{01DC1C8C-6120-4B32-842F-B5005EB54D0B}">
    <text>this should total 372</text>
  </threadedComment>
</ThreadedComments>
</file>

<file path=xl/threadedComments/threadedComment2.xml><?xml version="1.0" encoding="utf-8"?>
<ThreadedComments xmlns="http://schemas.microsoft.com/office/spreadsheetml/2018/threadedcomments" xmlns:x="http://schemas.openxmlformats.org/spreadsheetml/2006/main">
  <threadedComment ref="V2" dT="2023-12-11T18:52:56.71" personId="{8077191F-9CC6-4DBC-A197-BC5D6FBC9B60}" id="{DF89125D-D83C-49DA-A6E7-73C491C327DE}">
    <text>Updated % per email from Sarah Benish on 12/11/23</text>
  </threadedComment>
</ThreadedComments>
</file>

<file path=xl/threadedComments/threadedComment3.xml><?xml version="1.0" encoding="utf-8"?>
<ThreadedComments xmlns="http://schemas.microsoft.com/office/spreadsheetml/2018/threadedcomments" xmlns:x="http://schemas.openxmlformats.org/spreadsheetml/2006/main">
  <threadedComment ref="V2" dT="2023-12-11T18:52:56.71" personId="{8077191F-9CC6-4DBC-A197-BC5D6FBC9B60}" id="{205C828D-3AC1-4129-9D8A-0709D27DA40F}">
    <text>Updated % per email from Sarah Benish on 12/11/23</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3.bin"/><Relationship Id="rId4" Type="http://schemas.microsoft.com/office/2017/10/relationships/threadedComment" Target="../threadedComments/threadedComment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4.bin"/><Relationship Id="rId4" Type="http://schemas.microsoft.com/office/2017/10/relationships/threadedComment" Target="../threadedComments/threadedComment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50"/>
  <sheetViews>
    <sheetView topLeftCell="A36" zoomScale="115" zoomScaleNormal="115" workbookViewId="0">
      <selection activeCell="E30" sqref="E30"/>
    </sheetView>
  </sheetViews>
  <sheetFormatPr defaultRowHeight="14.5" x14ac:dyDescent="0.35"/>
  <cols>
    <col min="1" max="1" width="1.1796875" customWidth="1"/>
    <col min="2" max="2" width="19.7265625" customWidth="1"/>
    <col min="3" max="3" width="10.54296875" customWidth="1"/>
    <col min="4" max="4" width="21.81640625" customWidth="1"/>
    <col min="5" max="6" width="12.7265625" customWidth="1"/>
    <col min="7" max="7" width="15" bestFit="1" customWidth="1"/>
    <col min="8" max="8" width="8.7265625" customWidth="1"/>
    <col min="9" max="9" width="10" customWidth="1"/>
    <col min="10" max="10" width="12.453125" bestFit="1" customWidth="1"/>
    <col min="11" max="11" width="10.81640625" customWidth="1"/>
    <col min="12" max="12" width="11.7265625" bestFit="1" customWidth="1"/>
    <col min="13" max="13" width="7.1796875" customWidth="1"/>
    <col min="14" max="14" width="9" hidden="1" customWidth="1"/>
    <col min="15" max="15" width="8.81640625" hidden="1" customWidth="1"/>
    <col min="16" max="16" width="8.1796875" hidden="1" customWidth="1"/>
    <col min="17" max="17" width="11.81640625" hidden="1" customWidth="1"/>
    <col min="18" max="18" width="103.54296875" customWidth="1"/>
  </cols>
  <sheetData>
    <row r="1" spans="1:21" s="6" customFormat="1" ht="15.5" x14ac:dyDescent="0.35">
      <c r="A1" s="63" t="s">
        <v>0</v>
      </c>
    </row>
    <row r="2" spans="1:21" x14ac:dyDescent="0.35">
      <c r="A2" s="126" t="s">
        <v>1</v>
      </c>
      <c r="B2" s="127"/>
      <c r="C2" s="127"/>
      <c r="D2" s="127"/>
      <c r="E2" s="127"/>
      <c r="F2" s="127"/>
      <c r="G2" s="127"/>
      <c r="H2" s="127"/>
      <c r="I2" s="127"/>
      <c r="J2" s="127"/>
      <c r="K2" s="127"/>
      <c r="L2" s="127"/>
      <c r="M2" s="68"/>
    </row>
    <row r="3" spans="1:21" s="68" customFormat="1" x14ac:dyDescent="0.35">
      <c r="A3" s="164"/>
    </row>
    <row r="4" spans="1:21" ht="15" customHeight="1" x14ac:dyDescent="0.35">
      <c r="B4" s="477" t="s">
        <v>2</v>
      </c>
      <c r="C4" s="477"/>
      <c r="D4" s="466">
        <v>2137.06</v>
      </c>
      <c r="E4" s="467"/>
      <c r="F4" s="468"/>
      <c r="G4" s="466">
        <v>2137.0700000000002</v>
      </c>
      <c r="H4" s="467"/>
      <c r="I4" s="468"/>
      <c r="J4" s="466">
        <v>2137.08</v>
      </c>
      <c r="K4" s="467"/>
      <c r="L4" s="468"/>
      <c r="S4" s="469" t="s">
        <v>491</v>
      </c>
      <c r="T4" s="467"/>
      <c r="U4" s="468"/>
    </row>
    <row r="5" spans="1:21" x14ac:dyDescent="0.35">
      <c r="B5" s="477"/>
      <c r="C5" s="477"/>
      <c r="D5" s="173" t="s">
        <v>3</v>
      </c>
      <c r="E5" s="173" t="s">
        <v>4</v>
      </c>
      <c r="F5" s="173" t="s">
        <v>5</v>
      </c>
      <c r="G5" s="173" t="s">
        <v>3</v>
      </c>
      <c r="H5" s="173" t="s">
        <v>4</v>
      </c>
      <c r="I5" s="173" t="s">
        <v>5</v>
      </c>
      <c r="J5" s="173" t="s">
        <v>3</v>
      </c>
      <c r="K5" s="173" t="s">
        <v>4</v>
      </c>
      <c r="L5" s="173" t="s">
        <v>5</v>
      </c>
      <c r="S5" s="173" t="s">
        <v>3</v>
      </c>
      <c r="T5" s="173" t="s">
        <v>4</v>
      </c>
      <c r="U5" s="173" t="s">
        <v>5</v>
      </c>
    </row>
    <row r="6" spans="1:21" x14ac:dyDescent="0.35">
      <c r="B6" s="473" t="s">
        <v>6</v>
      </c>
      <c r="C6" s="474"/>
      <c r="D6" s="79">
        <f>F39</f>
        <v>1244</v>
      </c>
      <c r="E6" s="79">
        <f>F45</f>
        <v>1246</v>
      </c>
      <c r="F6" s="79">
        <f>F51</f>
        <v>1248</v>
      </c>
      <c r="G6" s="79">
        <f>F57</f>
        <v>1250</v>
      </c>
      <c r="H6" s="79">
        <f>F63</f>
        <v>1252</v>
      </c>
      <c r="I6" s="79">
        <f>F69</f>
        <v>1254</v>
      </c>
      <c r="J6" s="175">
        <f>F75</f>
        <v>727</v>
      </c>
      <c r="K6" s="175">
        <f>F81</f>
        <v>727</v>
      </c>
      <c r="L6" s="175">
        <f>F87</f>
        <v>727</v>
      </c>
      <c r="M6" s="66"/>
      <c r="N6" s="66"/>
      <c r="S6" s="79">
        <f>F93</f>
        <v>372</v>
      </c>
      <c r="T6" s="79">
        <f>S6</f>
        <v>372</v>
      </c>
      <c r="U6" s="79">
        <f>T6</f>
        <v>372</v>
      </c>
    </row>
    <row r="7" spans="1:21" x14ac:dyDescent="0.35">
      <c r="B7" s="473" t="s">
        <v>7</v>
      </c>
      <c r="C7" s="474"/>
      <c r="D7" s="80">
        <f>E39</f>
        <v>2</v>
      </c>
      <c r="E7" s="81">
        <f>E45</f>
        <v>2</v>
      </c>
      <c r="F7" s="81">
        <f>E51</f>
        <v>2</v>
      </c>
      <c r="G7" s="81">
        <f>E57</f>
        <v>2</v>
      </c>
      <c r="H7" s="81">
        <f>E63</f>
        <v>2</v>
      </c>
      <c r="I7" s="81">
        <f>E69</f>
        <v>2</v>
      </c>
      <c r="J7" s="176">
        <f>E75</f>
        <v>0</v>
      </c>
      <c r="K7" s="176">
        <f>E81</f>
        <v>0</v>
      </c>
      <c r="L7" s="176">
        <f>E87</f>
        <v>0</v>
      </c>
      <c r="S7" s="81">
        <f>N75</f>
        <v>0</v>
      </c>
      <c r="T7" s="81">
        <f>N81</f>
        <v>0</v>
      </c>
      <c r="U7" s="81">
        <f>N87</f>
        <v>0</v>
      </c>
    </row>
    <row r="8" spans="1:21" x14ac:dyDescent="0.35">
      <c r="S8" s="68"/>
      <c r="T8" s="68"/>
      <c r="U8" s="68"/>
    </row>
    <row r="9" spans="1:21" ht="15" customHeight="1" x14ac:dyDescent="0.35">
      <c r="B9" s="459" t="s">
        <v>8</v>
      </c>
      <c r="C9" s="475" t="s">
        <v>9</v>
      </c>
      <c r="D9" s="466">
        <v>2137.06</v>
      </c>
      <c r="E9" s="467"/>
      <c r="F9" s="468"/>
      <c r="G9" s="466">
        <v>2137.0700000000002</v>
      </c>
      <c r="H9" s="467"/>
      <c r="I9" s="468"/>
      <c r="J9" s="466">
        <v>2137.08</v>
      </c>
      <c r="K9" s="467"/>
      <c r="L9" s="468"/>
      <c r="S9" s="470" t="s">
        <v>491</v>
      </c>
      <c r="T9" s="471"/>
      <c r="U9" s="472"/>
    </row>
    <row r="10" spans="1:21" ht="33.75" customHeight="1" x14ac:dyDescent="0.35">
      <c r="B10" s="460"/>
      <c r="C10" s="476"/>
      <c r="D10" s="173" t="s">
        <v>3</v>
      </c>
      <c r="E10" s="173" t="s">
        <v>4</v>
      </c>
      <c r="F10" s="173" t="s">
        <v>5</v>
      </c>
      <c r="G10" s="173" t="s">
        <v>3</v>
      </c>
      <c r="H10" s="173" t="s">
        <v>4</v>
      </c>
      <c r="I10" s="173" t="s">
        <v>5</v>
      </c>
      <c r="J10" s="173" t="s">
        <v>3</v>
      </c>
      <c r="K10" s="173" t="s">
        <v>4</v>
      </c>
      <c r="L10" s="173" t="s">
        <v>5</v>
      </c>
      <c r="S10" s="365" t="s">
        <v>3</v>
      </c>
      <c r="T10" s="365" t="s">
        <v>4</v>
      </c>
      <c r="U10" s="365" t="s">
        <v>5</v>
      </c>
    </row>
    <row r="11" spans="1:21" ht="26.25" customHeight="1" x14ac:dyDescent="0.35">
      <c r="B11" s="461" t="s">
        <v>10</v>
      </c>
      <c r="C11" s="37" t="s">
        <v>11</v>
      </c>
      <c r="D11" s="82" t="s">
        <v>12</v>
      </c>
      <c r="E11" s="82" t="s">
        <v>12</v>
      </c>
      <c r="F11" s="82" t="s">
        <v>12</v>
      </c>
      <c r="G11" s="82">
        <f>F21</f>
        <v>1250</v>
      </c>
      <c r="H11" s="82">
        <f>G21</f>
        <v>1252</v>
      </c>
      <c r="I11" s="82">
        <f>H21</f>
        <v>1254</v>
      </c>
      <c r="J11" s="121">
        <f>G75</f>
        <v>722.58</v>
      </c>
      <c r="K11" s="121">
        <f>G81</f>
        <v>722.58</v>
      </c>
      <c r="L11" s="121">
        <f>G87</f>
        <v>722.58</v>
      </c>
      <c r="R11" s="177" t="s">
        <v>13</v>
      </c>
      <c r="S11" s="82">
        <f>G93</f>
        <v>0</v>
      </c>
      <c r="T11" s="82">
        <f>G99</f>
        <v>0</v>
      </c>
      <c r="U11" s="82">
        <f>G105</f>
        <v>0</v>
      </c>
    </row>
    <row r="12" spans="1:21" x14ac:dyDescent="0.35">
      <c r="B12" s="462"/>
      <c r="C12" s="37" t="s">
        <v>14</v>
      </c>
      <c r="D12" s="82" t="s">
        <v>12</v>
      </c>
      <c r="E12" s="82" t="s">
        <v>12</v>
      </c>
      <c r="F12" s="82" t="s">
        <v>12</v>
      </c>
      <c r="G12" s="82">
        <f t="shared" ref="G12:G14" si="0">F22</f>
        <v>259</v>
      </c>
      <c r="H12" s="82">
        <f t="shared" ref="H12:I14" si="1">G22</f>
        <v>261</v>
      </c>
      <c r="I12" s="82">
        <f t="shared" si="1"/>
        <v>263</v>
      </c>
      <c r="J12" s="121">
        <f>J75</f>
        <v>606.52</v>
      </c>
      <c r="K12" s="121">
        <f>J81</f>
        <v>606.52</v>
      </c>
      <c r="L12" s="121">
        <f>J87</f>
        <v>606.52</v>
      </c>
      <c r="R12" s="177" t="s">
        <v>13</v>
      </c>
      <c r="S12" s="82">
        <f>J93</f>
        <v>0</v>
      </c>
      <c r="T12" s="82">
        <f>J99</f>
        <v>0</v>
      </c>
      <c r="U12" s="82">
        <f>J105</f>
        <v>0</v>
      </c>
    </row>
    <row r="13" spans="1:21" x14ac:dyDescent="0.35">
      <c r="B13" s="462"/>
      <c r="C13" s="37" t="s">
        <v>15</v>
      </c>
      <c r="D13" s="10">
        <v>700</v>
      </c>
      <c r="E13" s="10">
        <f>D13</f>
        <v>700</v>
      </c>
      <c r="F13" s="10">
        <f>D13</f>
        <v>700</v>
      </c>
      <c r="G13" s="82">
        <f t="shared" si="0"/>
        <v>1101</v>
      </c>
      <c r="H13" s="82">
        <f>G23</f>
        <v>1103</v>
      </c>
      <c r="I13" s="82">
        <f t="shared" si="1"/>
        <v>1105</v>
      </c>
      <c r="J13" s="121">
        <f>L75</f>
        <v>554.78000000000009</v>
      </c>
      <c r="K13" s="121">
        <f>L81</f>
        <v>554.78000000000009</v>
      </c>
      <c r="L13" s="121">
        <f>L87</f>
        <v>554.78000000000009</v>
      </c>
      <c r="R13" s="177" t="s">
        <v>13</v>
      </c>
      <c r="S13" s="82">
        <f>L93</f>
        <v>0</v>
      </c>
      <c r="T13" s="82">
        <f>L99</f>
        <v>0</v>
      </c>
      <c r="U13" s="82">
        <f>L99</f>
        <v>0</v>
      </c>
    </row>
    <row r="14" spans="1:21" x14ac:dyDescent="0.35">
      <c r="B14" s="462"/>
      <c r="C14" s="37" t="s">
        <v>16</v>
      </c>
      <c r="D14" s="82" t="s">
        <v>12</v>
      </c>
      <c r="E14" s="82" t="s">
        <v>12</v>
      </c>
      <c r="F14" s="82" t="s">
        <v>12</v>
      </c>
      <c r="G14" s="82">
        <f t="shared" si="0"/>
        <v>0</v>
      </c>
      <c r="H14" s="82">
        <f t="shared" si="1"/>
        <v>0</v>
      </c>
      <c r="I14" s="82">
        <f t="shared" si="1"/>
        <v>0</v>
      </c>
      <c r="J14" s="121">
        <f>M75</f>
        <v>0</v>
      </c>
      <c r="K14" s="121">
        <f>M81</f>
        <v>0</v>
      </c>
      <c r="L14" s="121">
        <f>M87</f>
        <v>0</v>
      </c>
      <c r="R14" s="177" t="s">
        <v>13</v>
      </c>
      <c r="S14" s="82">
        <f>M93</f>
        <v>0</v>
      </c>
      <c r="T14" s="82">
        <f>M99</f>
        <v>0</v>
      </c>
      <c r="U14" s="82">
        <f>M105</f>
        <v>0</v>
      </c>
    </row>
    <row r="15" spans="1:21" ht="39.5" x14ac:dyDescent="0.35">
      <c r="B15" s="463"/>
      <c r="C15" s="35" t="s">
        <v>17</v>
      </c>
      <c r="D15" s="83">
        <f>D13</f>
        <v>700</v>
      </c>
      <c r="E15" s="83">
        <f t="shared" ref="E15:F15" si="2">E13</f>
        <v>700</v>
      </c>
      <c r="F15" s="83">
        <f t="shared" si="2"/>
        <v>700</v>
      </c>
      <c r="G15" s="83">
        <f>SUM(G11:G14)</f>
        <v>2610</v>
      </c>
      <c r="H15" s="83">
        <f t="shared" ref="H15:I15" si="3">SUM(H11:H14)</f>
        <v>2616</v>
      </c>
      <c r="I15" s="83">
        <f t="shared" si="3"/>
        <v>2622</v>
      </c>
      <c r="J15" s="122">
        <f>SUM(J11:J14)</f>
        <v>1883.88</v>
      </c>
      <c r="K15" s="122">
        <f t="shared" ref="K15:L15" si="4">SUM(K11:K14)</f>
        <v>1883.88</v>
      </c>
      <c r="L15" s="122">
        <f t="shared" si="4"/>
        <v>1883.88</v>
      </c>
      <c r="S15" s="83">
        <f>SUM(S11:S14)</f>
        <v>0</v>
      </c>
      <c r="T15" s="83">
        <f t="shared" ref="T15:U15" si="5">SUM(T11:T14)</f>
        <v>0</v>
      </c>
      <c r="U15" s="83">
        <f t="shared" si="5"/>
        <v>0</v>
      </c>
    </row>
    <row r="16" spans="1:21" x14ac:dyDescent="0.35">
      <c r="B16" s="461" t="s">
        <v>18</v>
      </c>
      <c r="C16" s="37" t="s">
        <v>11</v>
      </c>
      <c r="D16" s="10">
        <f>G39</f>
        <v>1246</v>
      </c>
      <c r="E16" s="10">
        <f>G45</f>
        <v>1248</v>
      </c>
      <c r="F16" s="10">
        <f>G51</f>
        <v>1250</v>
      </c>
      <c r="G16" s="179">
        <f>G57-G51</f>
        <v>2</v>
      </c>
      <c r="H16" s="179">
        <f>G63-G57</f>
        <v>2</v>
      </c>
      <c r="I16" s="179">
        <f>G69-G63</f>
        <v>2</v>
      </c>
      <c r="J16" s="123">
        <f>E75</f>
        <v>0</v>
      </c>
      <c r="K16" s="123">
        <f>E81</f>
        <v>0</v>
      </c>
      <c r="L16" s="123">
        <f>E87</f>
        <v>0</v>
      </c>
      <c r="R16" s="177" t="s">
        <v>19</v>
      </c>
      <c r="S16" s="179">
        <f>N75</f>
        <v>0</v>
      </c>
      <c r="T16" s="179">
        <f>N81</f>
        <v>0</v>
      </c>
      <c r="U16" s="179">
        <f>N87</f>
        <v>0</v>
      </c>
    </row>
    <row r="17" spans="2:21" x14ac:dyDescent="0.35">
      <c r="B17" s="462"/>
      <c r="C17" s="37" t="s">
        <v>14</v>
      </c>
      <c r="D17" s="10">
        <f>J39</f>
        <v>255</v>
      </c>
      <c r="E17" s="10">
        <f>J45</f>
        <v>257</v>
      </c>
      <c r="F17" s="10">
        <f>J51</f>
        <v>259</v>
      </c>
      <c r="G17" s="179">
        <f>J57-J51</f>
        <v>2</v>
      </c>
      <c r="H17" s="179">
        <f>J63-J57</f>
        <v>2</v>
      </c>
      <c r="I17" s="179">
        <f>J69-J63</f>
        <v>2</v>
      </c>
      <c r="J17" s="123">
        <f>E75</f>
        <v>0</v>
      </c>
      <c r="K17" s="123">
        <f>E81</f>
        <v>0</v>
      </c>
      <c r="L17" s="123">
        <f>E87</f>
        <v>0</v>
      </c>
      <c r="R17" s="177" t="s">
        <v>19</v>
      </c>
      <c r="S17" s="179">
        <f>N75</f>
        <v>0</v>
      </c>
      <c r="T17" s="179">
        <f>N81</f>
        <v>0</v>
      </c>
      <c r="U17" s="179">
        <f>N87</f>
        <v>0</v>
      </c>
    </row>
    <row r="18" spans="2:21" x14ac:dyDescent="0.35">
      <c r="B18" s="462"/>
      <c r="C18" s="37" t="s">
        <v>20</v>
      </c>
      <c r="D18" s="10">
        <f>L39-D13</f>
        <v>397</v>
      </c>
      <c r="E18" s="10">
        <f>L45-E13</f>
        <v>399</v>
      </c>
      <c r="F18" s="10">
        <f>L51-F13</f>
        <v>401</v>
      </c>
      <c r="G18" s="179">
        <f>L57-L51</f>
        <v>2</v>
      </c>
      <c r="H18" s="179">
        <f>L63-L57</f>
        <v>2</v>
      </c>
      <c r="I18" s="179">
        <f>L69-L63</f>
        <v>2</v>
      </c>
      <c r="J18" s="123">
        <f>E75</f>
        <v>0</v>
      </c>
      <c r="K18" s="123">
        <f>E81</f>
        <v>0</v>
      </c>
      <c r="L18" s="123">
        <f>E87</f>
        <v>0</v>
      </c>
      <c r="R18" s="177" t="s">
        <v>19</v>
      </c>
      <c r="S18" s="179">
        <f>N75</f>
        <v>0</v>
      </c>
      <c r="T18" s="179">
        <f>N81</f>
        <v>0</v>
      </c>
      <c r="U18" s="179">
        <f>N87</f>
        <v>0</v>
      </c>
    </row>
    <row r="19" spans="2:21" x14ac:dyDescent="0.35">
      <c r="B19" s="462"/>
      <c r="C19" s="37" t="s">
        <v>16</v>
      </c>
      <c r="D19" s="10">
        <f>M39</f>
        <v>0</v>
      </c>
      <c r="E19" s="10">
        <f>M45</f>
        <v>0</v>
      </c>
      <c r="F19" s="10">
        <f>M51</f>
        <v>0</v>
      </c>
      <c r="G19" s="179">
        <f>M57-M51</f>
        <v>0</v>
      </c>
      <c r="H19" s="179">
        <f>M63-M57</f>
        <v>0</v>
      </c>
      <c r="I19" s="179">
        <f>M69-M63</f>
        <v>0</v>
      </c>
      <c r="J19" s="123">
        <f>E75</f>
        <v>0</v>
      </c>
      <c r="K19" s="123">
        <f>E81</f>
        <v>0</v>
      </c>
      <c r="L19" s="123">
        <f>E87</f>
        <v>0</v>
      </c>
      <c r="R19" s="177" t="s">
        <v>19</v>
      </c>
      <c r="S19" s="179">
        <f>N75</f>
        <v>0</v>
      </c>
      <c r="T19" s="179">
        <f>N81</f>
        <v>0</v>
      </c>
      <c r="U19" s="179">
        <f>N87</f>
        <v>0</v>
      </c>
    </row>
    <row r="20" spans="2:21" ht="26.5" x14ac:dyDescent="0.35">
      <c r="B20" s="463"/>
      <c r="C20" s="35" t="s">
        <v>21</v>
      </c>
      <c r="D20" s="12">
        <f t="shared" ref="D20:L20" si="6">SUM(D16:D19)</f>
        <v>1898</v>
      </c>
      <c r="E20" s="12">
        <f t="shared" si="6"/>
        <v>1904</v>
      </c>
      <c r="F20" s="12">
        <f t="shared" si="6"/>
        <v>1910</v>
      </c>
      <c r="G20" s="180">
        <f t="shared" si="6"/>
        <v>6</v>
      </c>
      <c r="H20" s="180">
        <f t="shared" si="6"/>
        <v>6</v>
      </c>
      <c r="I20" s="180">
        <f t="shared" si="6"/>
        <v>6</v>
      </c>
      <c r="J20" s="124">
        <f t="shared" si="6"/>
        <v>0</v>
      </c>
      <c r="K20" s="124">
        <f t="shared" si="6"/>
        <v>0</v>
      </c>
      <c r="L20" s="124">
        <f t="shared" si="6"/>
        <v>0</v>
      </c>
      <c r="S20" s="180">
        <f t="shared" ref="S20:U20" si="7">SUM(S16:S19)</f>
        <v>0</v>
      </c>
      <c r="T20" s="180">
        <f t="shared" si="7"/>
        <v>0</v>
      </c>
      <c r="U20" s="180">
        <f t="shared" si="7"/>
        <v>0</v>
      </c>
    </row>
    <row r="21" spans="2:21" x14ac:dyDescent="0.35">
      <c r="B21" s="461" t="s">
        <v>22</v>
      </c>
      <c r="C21" s="37" t="s">
        <v>11</v>
      </c>
      <c r="D21" s="10">
        <f t="shared" ref="D21:F22" si="8">D16</f>
        <v>1246</v>
      </c>
      <c r="E21" s="10">
        <f t="shared" si="8"/>
        <v>1248</v>
      </c>
      <c r="F21" s="10">
        <f t="shared" si="8"/>
        <v>1250</v>
      </c>
      <c r="G21" s="179">
        <f t="shared" ref="G21:L24" si="9">G11+G16</f>
        <v>1252</v>
      </c>
      <c r="H21" s="179">
        <f t="shared" si="9"/>
        <v>1254</v>
      </c>
      <c r="I21" s="179">
        <f t="shared" si="9"/>
        <v>1256</v>
      </c>
      <c r="J21" s="123">
        <f>J11+J16</f>
        <v>722.58</v>
      </c>
      <c r="K21" s="123">
        <f t="shared" si="9"/>
        <v>722.58</v>
      </c>
      <c r="L21" s="123">
        <f t="shared" si="9"/>
        <v>722.58</v>
      </c>
      <c r="M21" s="68"/>
      <c r="N21" s="68"/>
      <c r="O21" s="68"/>
      <c r="S21" s="179">
        <f>S11+S16</f>
        <v>0</v>
      </c>
      <c r="T21" s="179">
        <f t="shared" ref="T21:U21" si="10">T11+T16</f>
        <v>0</v>
      </c>
      <c r="U21" s="179">
        <f t="shared" si="10"/>
        <v>0</v>
      </c>
    </row>
    <row r="22" spans="2:21" x14ac:dyDescent="0.35">
      <c r="B22" s="462"/>
      <c r="C22" s="37" t="s">
        <v>14</v>
      </c>
      <c r="D22" s="10">
        <f t="shared" si="8"/>
        <v>255</v>
      </c>
      <c r="E22" s="10">
        <f t="shared" si="8"/>
        <v>257</v>
      </c>
      <c r="F22" s="10">
        <f t="shared" si="8"/>
        <v>259</v>
      </c>
      <c r="G22" s="179">
        <f t="shared" si="9"/>
        <v>261</v>
      </c>
      <c r="H22" s="179">
        <f t="shared" si="9"/>
        <v>263</v>
      </c>
      <c r="I22" s="179">
        <f t="shared" si="9"/>
        <v>265</v>
      </c>
      <c r="J22" s="123">
        <f t="shared" si="9"/>
        <v>606.52</v>
      </c>
      <c r="K22" s="123">
        <f t="shared" si="9"/>
        <v>606.52</v>
      </c>
      <c r="L22" s="123">
        <f t="shared" si="9"/>
        <v>606.52</v>
      </c>
      <c r="S22" s="179">
        <f t="shared" ref="S22:U22" si="11">S12+S17</f>
        <v>0</v>
      </c>
      <c r="T22" s="179">
        <f t="shared" si="11"/>
        <v>0</v>
      </c>
      <c r="U22" s="179">
        <f t="shared" si="11"/>
        <v>0</v>
      </c>
    </row>
    <row r="23" spans="2:21" x14ac:dyDescent="0.35">
      <c r="B23" s="462"/>
      <c r="C23" s="37" t="s">
        <v>20</v>
      </c>
      <c r="D23" s="10">
        <f>D18+D13</f>
        <v>1097</v>
      </c>
      <c r="E23" s="10">
        <f>E18+E13</f>
        <v>1099</v>
      </c>
      <c r="F23" s="10">
        <f>F18+F13</f>
        <v>1101</v>
      </c>
      <c r="G23" s="179">
        <f t="shared" si="9"/>
        <v>1103</v>
      </c>
      <c r="H23" s="179">
        <f t="shared" si="9"/>
        <v>1105</v>
      </c>
      <c r="I23" s="179">
        <f t="shared" si="9"/>
        <v>1107</v>
      </c>
      <c r="J23" s="123">
        <f t="shared" si="9"/>
        <v>554.78000000000009</v>
      </c>
      <c r="K23" s="123">
        <f t="shared" si="9"/>
        <v>554.78000000000009</v>
      </c>
      <c r="L23" s="123">
        <f t="shared" si="9"/>
        <v>554.78000000000009</v>
      </c>
      <c r="S23" s="179">
        <f t="shared" ref="S23:U23" si="12">S13+S18</f>
        <v>0</v>
      </c>
      <c r="T23" s="179">
        <f t="shared" si="12"/>
        <v>0</v>
      </c>
      <c r="U23" s="179">
        <f t="shared" si="12"/>
        <v>0</v>
      </c>
    </row>
    <row r="24" spans="2:21" x14ac:dyDescent="0.35">
      <c r="B24" s="462"/>
      <c r="C24" s="37" t="s">
        <v>16</v>
      </c>
      <c r="D24" s="10">
        <f>D19</f>
        <v>0</v>
      </c>
      <c r="E24" s="10">
        <f>E19</f>
        <v>0</v>
      </c>
      <c r="F24" s="10">
        <f>M51</f>
        <v>0</v>
      </c>
      <c r="G24" s="179">
        <f t="shared" si="9"/>
        <v>0</v>
      </c>
      <c r="H24" s="179">
        <f t="shared" si="9"/>
        <v>0</v>
      </c>
      <c r="I24" s="179">
        <f t="shared" si="9"/>
        <v>0</v>
      </c>
      <c r="J24" s="123">
        <f t="shared" si="9"/>
        <v>0</v>
      </c>
      <c r="K24" s="123">
        <f t="shared" si="9"/>
        <v>0</v>
      </c>
      <c r="L24" s="123">
        <f t="shared" si="9"/>
        <v>0</v>
      </c>
      <c r="S24" s="179">
        <f t="shared" ref="S24:U24" si="13">S14+S19</f>
        <v>0</v>
      </c>
      <c r="T24" s="179">
        <f t="shared" si="13"/>
        <v>0</v>
      </c>
      <c r="U24" s="179">
        <f t="shared" si="13"/>
        <v>0</v>
      </c>
    </row>
    <row r="25" spans="2:21" ht="31.5" customHeight="1" x14ac:dyDescent="0.35">
      <c r="B25" s="463"/>
      <c r="C25" s="35" t="s">
        <v>23</v>
      </c>
      <c r="D25" s="12">
        <f>SUM(D21:D24)</f>
        <v>2598</v>
      </c>
      <c r="E25" s="12">
        <f t="shared" ref="E25:F25" si="14">SUM(E21:E24)</f>
        <v>2604</v>
      </c>
      <c r="F25" s="12">
        <f t="shared" si="14"/>
        <v>2610</v>
      </c>
      <c r="G25" s="180">
        <f>SUM(G21:G24)</f>
        <v>2616</v>
      </c>
      <c r="H25" s="180">
        <f t="shared" ref="H25" si="15">SUM(H21:H24)</f>
        <v>2622</v>
      </c>
      <c r="I25" s="180">
        <f t="shared" ref="I25" si="16">SUM(I21:I24)</f>
        <v>2628</v>
      </c>
      <c r="J25" s="124">
        <f>SUM(J21:J24)</f>
        <v>1883.88</v>
      </c>
      <c r="K25" s="124">
        <f t="shared" ref="K25:L25" si="17">SUM(K21:K24)</f>
        <v>1883.88</v>
      </c>
      <c r="L25" s="124">
        <f t="shared" si="17"/>
        <v>1883.88</v>
      </c>
      <c r="S25" s="180">
        <f>SUM(S21:S24)</f>
        <v>0</v>
      </c>
      <c r="T25" s="180">
        <f t="shared" ref="T25:U25" si="18">SUM(T21:T24)</f>
        <v>0</v>
      </c>
      <c r="U25" s="180">
        <f t="shared" si="18"/>
        <v>0</v>
      </c>
    </row>
    <row r="26" spans="2:21" x14ac:dyDescent="0.35">
      <c r="B26" s="36"/>
      <c r="C26" s="36"/>
      <c r="D26" s="36"/>
      <c r="E26" s="7"/>
      <c r="F26" s="11"/>
      <c r="G26" s="68"/>
      <c r="H26" s="68"/>
      <c r="I26" s="68"/>
      <c r="S26" s="68"/>
      <c r="T26" s="68"/>
      <c r="U26" s="68"/>
    </row>
    <row r="27" spans="2:21" ht="31.5" customHeight="1" x14ac:dyDescent="0.35">
      <c r="B27" s="473" t="s">
        <v>24</v>
      </c>
      <c r="C27" s="474"/>
      <c r="D27" s="125">
        <f t="shared" ref="D27:I27" si="19">ROUND(D25/SUM(D6:D7),2)</f>
        <v>2.09</v>
      </c>
      <c r="E27" s="125">
        <f t="shared" si="19"/>
        <v>2.09</v>
      </c>
      <c r="F27" s="125">
        <f t="shared" si="19"/>
        <v>2.09</v>
      </c>
      <c r="G27" s="181">
        <f t="shared" si="19"/>
        <v>2.09</v>
      </c>
      <c r="H27" s="181">
        <f t="shared" si="19"/>
        <v>2.09</v>
      </c>
      <c r="I27" s="181">
        <f t="shared" si="19"/>
        <v>2.09</v>
      </c>
      <c r="J27" s="178">
        <f>ROUND(J25/SUM(J6:J7),2)</f>
        <v>2.59</v>
      </c>
      <c r="K27" s="178">
        <f>ROUND(K25/SUM(K6:K7),2)</f>
        <v>2.59</v>
      </c>
      <c r="L27" s="178">
        <f>ROUND(L25/SUM(L6:L7),2)</f>
        <v>2.59</v>
      </c>
      <c r="S27" s="366">
        <f>ROUND(S25/SUM(S6:S7),2)</f>
        <v>0</v>
      </c>
      <c r="T27" s="366">
        <f>ROUND(T25/SUM(T6:T7),2)</f>
        <v>0</v>
      </c>
      <c r="U27" s="366">
        <f>ROUND(U25/SUM(U6:U7),2)</f>
        <v>0</v>
      </c>
    </row>
    <row r="28" spans="2:21" x14ac:dyDescent="0.35">
      <c r="S28" s="68"/>
      <c r="T28" s="68"/>
      <c r="U28" s="68"/>
    </row>
    <row r="30" spans="2:21" ht="15.5" x14ac:dyDescent="0.35">
      <c r="B30" s="67" t="s">
        <v>25</v>
      </c>
    </row>
    <row r="31" spans="2:21" ht="15" thickBot="1" x14ac:dyDescent="0.4"/>
    <row r="32" spans="2:21" x14ac:dyDescent="0.35">
      <c r="C32" s="464" t="s">
        <v>26</v>
      </c>
      <c r="D32" s="61"/>
      <c r="E32" s="56"/>
      <c r="F32" s="56"/>
      <c r="G32" s="451" t="s">
        <v>11</v>
      </c>
      <c r="H32" s="452"/>
      <c r="I32" s="453"/>
      <c r="J32" s="57" t="s">
        <v>14</v>
      </c>
      <c r="K32" s="57" t="s">
        <v>27</v>
      </c>
      <c r="L32" s="57" t="s">
        <v>20</v>
      </c>
      <c r="M32" s="60" t="s">
        <v>16</v>
      </c>
      <c r="N32" s="449" t="s">
        <v>11</v>
      </c>
      <c r="O32" s="450"/>
      <c r="P32" s="58" t="s">
        <v>14</v>
      </c>
      <c r="Q32" s="58" t="s">
        <v>27</v>
      </c>
      <c r="R32" s="457" t="s">
        <v>28</v>
      </c>
    </row>
    <row r="33" spans="1:20" x14ac:dyDescent="0.35">
      <c r="C33" s="465"/>
      <c r="D33" s="62" t="s">
        <v>29</v>
      </c>
      <c r="E33" s="419" t="s">
        <v>30</v>
      </c>
      <c r="F33" s="65" t="s">
        <v>31</v>
      </c>
      <c r="G33" s="59" t="s">
        <v>32</v>
      </c>
      <c r="H33" s="59" t="s">
        <v>33</v>
      </c>
      <c r="I33" s="417" t="s">
        <v>33</v>
      </c>
      <c r="J33" s="173" t="s">
        <v>34</v>
      </c>
      <c r="K33" s="418" t="s">
        <v>35</v>
      </c>
      <c r="L33" s="173" t="s">
        <v>36</v>
      </c>
      <c r="M33" s="417" t="s">
        <v>34</v>
      </c>
      <c r="N33" s="64" t="s">
        <v>32</v>
      </c>
      <c r="O33" s="59" t="s">
        <v>33</v>
      </c>
      <c r="P33" s="418" t="s">
        <v>34</v>
      </c>
      <c r="Q33" s="418" t="s">
        <v>35</v>
      </c>
      <c r="R33" s="458"/>
    </row>
    <row r="34" spans="1:20" x14ac:dyDescent="0.35">
      <c r="A34" s="5"/>
      <c r="B34" s="454" t="s">
        <v>37</v>
      </c>
      <c r="C34" s="445" t="s">
        <v>3</v>
      </c>
      <c r="D34" s="84" t="s">
        <v>38</v>
      </c>
      <c r="E34" s="85">
        <v>2</v>
      </c>
      <c r="F34" s="86">
        <v>1046</v>
      </c>
      <c r="G34" s="87">
        <f>F34+E34</f>
        <v>1048</v>
      </c>
      <c r="H34" s="88">
        <f>G34</f>
        <v>1048</v>
      </c>
      <c r="I34" s="88">
        <v>0</v>
      </c>
      <c r="J34" s="89">
        <f>253+E34</f>
        <v>255</v>
      </c>
      <c r="K34" s="86">
        <v>0</v>
      </c>
      <c r="L34" s="90">
        <f>H34</f>
        <v>1048</v>
      </c>
      <c r="M34" s="86"/>
      <c r="N34" s="108">
        <v>1061</v>
      </c>
      <c r="O34" s="89">
        <v>1061</v>
      </c>
      <c r="P34" s="90">
        <v>1061</v>
      </c>
      <c r="Q34" s="109">
        <v>0</v>
      </c>
      <c r="R34" s="110" t="s">
        <v>39</v>
      </c>
    </row>
    <row r="35" spans="1:20" x14ac:dyDescent="0.35">
      <c r="A35" s="5"/>
      <c r="B35" s="455"/>
      <c r="C35" s="446"/>
      <c r="D35" s="91" t="s">
        <v>40</v>
      </c>
      <c r="E35" s="92">
        <v>0</v>
      </c>
      <c r="F35" s="93">
        <v>36</v>
      </c>
      <c r="G35" s="94">
        <f>F35</f>
        <v>36</v>
      </c>
      <c r="H35" s="93">
        <f>G35</f>
        <v>36</v>
      </c>
      <c r="I35" s="93">
        <v>0</v>
      </c>
      <c r="J35" s="95">
        <v>0</v>
      </c>
      <c r="K35" s="93">
        <v>0</v>
      </c>
      <c r="L35" s="95">
        <f>H35</f>
        <v>36</v>
      </c>
      <c r="M35" s="93"/>
      <c r="N35" s="111">
        <v>30</v>
      </c>
      <c r="O35" s="95">
        <v>30</v>
      </c>
      <c r="P35" s="95">
        <v>30</v>
      </c>
      <c r="Q35" s="112">
        <v>0</v>
      </c>
      <c r="R35" s="110" t="s">
        <v>39</v>
      </c>
    </row>
    <row r="36" spans="1:20" x14ac:dyDescent="0.35">
      <c r="A36" s="5"/>
      <c r="B36" s="455"/>
      <c r="C36" s="446"/>
      <c r="D36" s="96" t="s">
        <v>41</v>
      </c>
      <c r="E36" s="85">
        <v>0</v>
      </c>
      <c r="F36" s="86">
        <v>2</v>
      </c>
      <c r="G36" s="97">
        <f>F36</f>
        <v>2</v>
      </c>
      <c r="H36" s="86">
        <f>G36</f>
        <v>2</v>
      </c>
      <c r="I36" s="86"/>
      <c r="J36" s="89">
        <v>0</v>
      </c>
      <c r="K36" s="86"/>
      <c r="L36" s="89">
        <f>H36</f>
        <v>2</v>
      </c>
      <c r="M36" s="86"/>
      <c r="N36" s="108">
        <v>2</v>
      </c>
      <c r="O36" s="89">
        <v>2</v>
      </c>
      <c r="P36" s="89">
        <v>2</v>
      </c>
      <c r="Q36" s="109">
        <v>0</v>
      </c>
      <c r="R36" s="110" t="s">
        <v>39</v>
      </c>
    </row>
    <row r="37" spans="1:20" x14ac:dyDescent="0.35">
      <c r="A37" s="5"/>
      <c r="B37" s="455"/>
      <c r="C37" s="446"/>
      <c r="D37" s="96" t="s">
        <v>42</v>
      </c>
      <c r="E37" s="85">
        <v>0</v>
      </c>
      <c r="F37" s="86">
        <v>149</v>
      </c>
      <c r="G37" s="97">
        <f>F37</f>
        <v>149</v>
      </c>
      <c r="H37" s="86">
        <v>0</v>
      </c>
      <c r="I37" s="86">
        <v>0</v>
      </c>
      <c r="J37" s="89">
        <v>0</v>
      </c>
      <c r="K37" s="86"/>
      <c r="L37" s="89">
        <v>0</v>
      </c>
      <c r="M37" s="86"/>
      <c r="N37" s="113">
        <v>0</v>
      </c>
      <c r="O37" s="89">
        <v>154</v>
      </c>
      <c r="P37" s="89">
        <v>154</v>
      </c>
      <c r="Q37" s="114">
        <v>0</v>
      </c>
      <c r="R37" s="110" t="s">
        <v>43</v>
      </c>
    </row>
    <row r="38" spans="1:20" x14ac:dyDescent="0.35">
      <c r="A38" s="5"/>
      <c r="B38" s="455"/>
      <c r="C38" s="446"/>
      <c r="D38" s="96" t="s">
        <v>44</v>
      </c>
      <c r="E38" s="85">
        <v>0</v>
      </c>
      <c r="F38" s="86">
        <v>11</v>
      </c>
      <c r="G38" s="97">
        <f>F38</f>
        <v>11</v>
      </c>
      <c r="H38" s="86">
        <f>G38</f>
        <v>11</v>
      </c>
      <c r="I38" s="86">
        <v>0</v>
      </c>
      <c r="J38" s="89">
        <v>0</v>
      </c>
      <c r="K38" s="86">
        <v>0</v>
      </c>
      <c r="L38" s="89">
        <f>H38</f>
        <v>11</v>
      </c>
      <c r="M38" s="86"/>
      <c r="N38" s="108">
        <v>10</v>
      </c>
      <c r="O38" s="89">
        <v>10</v>
      </c>
      <c r="P38" s="89">
        <v>10</v>
      </c>
      <c r="Q38" s="109">
        <v>0</v>
      </c>
      <c r="R38" s="110" t="s">
        <v>39</v>
      </c>
      <c r="T38">
        <f>F34/(F34+F35)</f>
        <v>0.96672828096118302</v>
      </c>
    </row>
    <row r="39" spans="1:20" ht="15" thickBot="1" x14ac:dyDescent="0.4">
      <c r="A39" s="5"/>
      <c r="B39" s="455"/>
      <c r="C39" s="447"/>
      <c r="D39" s="98" t="s">
        <v>45</v>
      </c>
      <c r="E39" s="99">
        <f t="shared" ref="E39:P39" si="20">SUM(E34:E38)</f>
        <v>2</v>
      </c>
      <c r="F39" s="100">
        <f t="shared" si="20"/>
        <v>1244</v>
      </c>
      <c r="G39" s="101">
        <f t="shared" si="20"/>
        <v>1246</v>
      </c>
      <c r="H39" s="100">
        <f t="shared" si="20"/>
        <v>1097</v>
      </c>
      <c r="I39" s="100">
        <f t="shared" si="20"/>
        <v>0</v>
      </c>
      <c r="J39" s="102">
        <f t="shared" si="20"/>
        <v>255</v>
      </c>
      <c r="K39" s="100">
        <f t="shared" si="20"/>
        <v>0</v>
      </c>
      <c r="L39" s="102">
        <f t="shared" si="20"/>
        <v>1097</v>
      </c>
      <c r="M39" s="100">
        <f t="shared" si="20"/>
        <v>0</v>
      </c>
      <c r="N39" s="101">
        <f t="shared" si="20"/>
        <v>1103</v>
      </c>
      <c r="O39" s="102">
        <f t="shared" si="20"/>
        <v>1257</v>
      </c>
      <c r="P39" s="102">
        <f t="shared" si="20"/>
        <v>1257</v>
      </c>
      <c r="Q39" s="115">
        <f t="shared" ref="Q39" si="21">SUM(Q34:Q38)</f>
        <v>0</v>
      </c>
      <c r="R39" s="116"/>
    </row>
    <row r="40" spans="1:20" x14ac:dyDescent="0.35">
      <c r="A40" s="5"/>
      <c r="B40" s="455"/>
      <c r="C40" s="445" t="s">
        <v>4</v>
      </c>
      <c r="D40" s="96" t="s">
        <v>38</v>
      </c>
      <c r="E40" s="85">
        <v>2</v>
      </c>
      <c r="F40" s="103">
        <f>F34+E40</f>
        <v>1048</v>
      </c>
      <c r="G40" s="104">
        <f>F40+E40</f>
        <v>1050</v>
      </c>
      <c r="H40" s="86">
        <f t="shared" ref="G40:H42" si="22">G40</f>
        <v>1050</v>
      </c>
      <c r="I40" s="86">
        <v>0</v>
      </c>
      <c r="J40" s="89">
        <f>J34+E40</f>
        <v>257</v>
      </c>
      <c r="K40" s="86">
        <v>0</v>
      </c>
      <c r="L40" s="89">
        <f>H40</f>
        <v>1050</v>
      </c>
      <c r="M40" s="86"/>
      <c r="N40" s="108">
        <v>1061</v>
      </c>
      <c r="O40" s="89">
        <v>1061</v>
      </c>
      <c r="P40" s="89">
        <v>1061</v>
      </c>
      <c r="Q40" s="117">
        <v>0</v>
      </c>
      <c r="R40" s="110" t="s">
        <v>39</v>
      </c>
    </row>
    <row r="41" spans="1:20" x14ac:dyDescent="0.35">
      <c r="A41" s="5"/>
      <c r="B41" s="455"/>
      <c r="C41" s="446"/>
      <c r="D41" s="91" t="s">
        <v>40</v>
      </c>
      <c r="E41" s="92">
        <v>0</v>
      </c>
      <c r="F41" s="105">
        <f>F35</f>
        <v>36</v>
      </c>
      <c r="G41" s="106">
        <f t="shared" si="22"/>
        <v>36</v>
      </c>
      <c r="H41" s="93">
        <f t="shared" si="22"/>
        <v>36</v>
      </c>
      <c r="I41" s="93">
        <v>0</v>
      </c>
      <c r="J41" s="95">
        <v>0</v>
      </c>
      <c r="K41" s="93">
        <v>0</v>
      </c>
      <c r="L41" s="95">
        <f>H41</f>
        <v>36</v>
      </c>
      <c r="M41" s="93"/>
      <c r="N41" s="111">
        <v>30</v>
      </c>
      <c r="O41" s="95">
        <v>30</v>
      </c>
      <c r="P41" s="95">
        <v>30</v>
      </c>
      <c r="Q41" s="118">
        <v>0</v>
      </c>
      <c r="R41" s="110" t="s">
        <v>39</v>
      </c>
    </row>
    <row r="42" spans="1:20" x14ac:dyDescent="0.35">
      <c r="A42" s="5"/>
      <c r="B42" s="455"/>
      <c r="C42" s="446"/>
      <c r="D42" s="96" t="s">
        <v>41</v>
      </c>
      <c r="E42" s="85">
        <v>0</v>
      </c>
      <c r="F42" s="103">
        <f>F36</f>
        <v>2</v>
      </c>
      <c r="G42" s="104">
        <f t="shared" si="22"/>
        <v>2</v>
      </c>
      <c r="H42" s="86">
        <f t="shared" si="22"/>
        <v>2</v>
      </c>
      <c r="I42" s="86"/>
      <c r="J42" s="89">
        <v>0</v>
      </c>
      <c r="K42" s="86"/>
      <c r="L42" s="89">
        <f>H42</f>
        <v>2</v>
      </c>
      <c r="M42" s="86"/>
      <c r="N42" s="108">
        <v>2</v>
      </c>
      <c r="O42" s="89">
        <v>2</v>
      </c>
      <c r="P42" s="89">
        <v>2</v>
      </c>
      <c r="Q42" s="117">
        <v>0</v>
      </c>
      <c r="R42" s="110" t="s">
        <v>39</v>
      </c>
    </row>
    <row r="43" spans="1:20" x14ac:dyDescent="0.35">
      <c r="A43" s="5"/>
      <c r="B43" s="455"/>
      <c r="C43" s="446"/>
      <c r="D43" s="96" t="s">
        <v>42</v>
      </c>
      <c r="E43" s="85">
        <v>0</v>
      </c>
      <c r="F43" s="103">
        <f>F37</f>
        <v>149</v>
      </c>
      <c r="G43" s="104">
        <f>F43</f>
        <v>149</v>
      </c>
      <c r="H43" s="86">
        <v>0</v>
      </c>
      <c r="I43" s="86">
        <v>0</v>
      </c>
      <c r="J43" s="89">
        <v>0</v>
      </c>
      <c r="K43" s="86"/>
      <c r="L43" s="89">
        <v>0</v>
      </c>
      <c r="M43" s="86"/>
      <c r="N43" s="113">
        <v>0</v>
      </c>
      <c r="O43" s="89">
        <v>154</v>
      </c>
      <c r="P43" s="89">
        <v>154</v>
      </c>
      <c r="Q43" s="119">
        <v>0</v>
      </c>
      <c r="R43" s="110" t="s">
        <v>43</v>
      </c>
    </row>
    <row r="44" spans="1:20" x14ac:dyDescent="0.35">
      <c r="A44" s="5"/>
      <c r="B44" s="455"/>
      <c r="C44" s="446"/>
      <c r="D44" s="96" t="s">
        <v>44</v>
      </c>
      <c r="E44" s="85">
        <v>0</v>
      </c>
      <c r="F44" s="103">
        <f>F38</f>
        <v>11</v>
      </c>
      <c r="G44" s="104">
        <f>F44</f>
        <v>11</v>
      </c>
      <c r="H44" s="86">
        <f>G44</f>
        <v>11</v>
      </c>
      <c r="I44" s="86">
        <v>0</v>
      </c>
      <c r="J44" s="89">
        <v>0</v>
      </c>
      <c r="K44" s="86">
        <v>0</v>
      </c>
      <c r="L44" s="89">
        <f>H44</f>
        <v>11</v>
      </c>
      <c r="M44" s="86"/>
      <c r="N44" s="108">
        <v>10</v>
      </c>
      <c r="O44" s="89">
        <v>10</v>
      </c>
      <c r="P44" s="89">
        <v>10</v>
      </c>
      <c r="Q44" s="117">
        <v>0</v>
      </c>
      <c r="R44" s="110" t="s">
        <v>39</v>
      </c>
    </row>
    <row r="45" spans="1:20" ht="15" thickBot="1" x14ac:dyDescent="0.4">
      <c r="A45" s="5"/>
      <c r="B45" s="455"/>
      <c r="C45" s="447"/>
      <c r="D45" s="98" t="s">
        <v>45</v>
      </c>
      <c r="E45" s="99">
        <f>SUM(E40:E44)</f>
        <v>2</v>
      </c>
      <c r="F45" s="107">
        <f t="shared" ref="F45:Q45" si="23">SUM(F40:F44)</f>
        <v>1246</v>
      </c>
      <c r="G45" s="100">
        <f t="shared" si="23"/>
        <v>1248</v>
      </c>
      <c r="H45" s="100">
        <f t="shared" si="23"/>
        <v>1099</v>
      </c>
      <c r="I45" s="100">
        <f t="shared" si="23"/>
        <v>0</v>
      </c>
      <c r="J45" s="102">
        <f>SUM(J40:J44)</f>
        <v>257</v>
      </c>
      <c r="K45" s="100">
        <f t="shared" si="23"/>
        <v>0</v>
      </c>
      <c r="L45" s="102">
        <f t="shared" si="23"/>
        <v>1099</v>
      </c>
      <c r="M45" s="100">
        <f t="shared" si="23"/>
        <v>0</v>
      </c>
      <c r="N45" s="101">
        <f t="shared" si="23"/>
        <v>1103</v>
      </c>
      <c r="O45" s="102">
        <f t="shared" si="23"/>
        <v>1257</v>
      </c>
      <c r="P45" s="102">
        <f t="shared" si="23"/>
        <v>1257</v>
      </c>
      <c r="Q45" s="120">
        <f t="shared" si="23"/>
        <v>0</v>
      </c>
      <c r="R45" s="116"/>
    </row>
    <row r="46" spans="1:20" x14ac:dyDescent="0.35">
      <c r="A46" s="5"/>
      <c r="B46" s="455"/>
      <c r="C46" s="445" t="s">
        <v>5</v>
      </c>
      <c r="D46" s="96" t="s">
        <v>38</v>
      </c>
      <c r="E46" s="85">
        <v>2</v>
      </c>
      <c r="F46" s="103">
        <f>F40+E46</f>
        <v>1050</v>
      </c>
      <c r="G46" s="104">
        <f>F46+E46</f>
        <v>1052</v>
      </c>
      <c r="H46" s="86">
        <f t="shared" ref="G46:H48" si="24">G46</f>
        <v>1052</v>
      </c>
      <c r="I46" s="86">
        <v>0</v>
      </c>
      <c r="J46" s="89">
        <f>J40+E46</f>
        <v>259</v>
      </c>
      <c r="K46" s="86">
        <v>0</v>
      </c>
      <c r="L46" s="89">
        <f>H46</f>
        <v>1052</v>
      </c>
      <c r="M46" s="86"/>
      <c r="N46" s="108">
        <v>1061</v>
      </c>
      <c r="O46" s="89">
        <v>1061</v>
      </c>
      <c r="P46" s="89">
        <v>1061</v>
      </c>
      <c r="Q46" s="117">
        <v>0</v>
      </c>
      <c r="R46" s="110" t="s">
        <v>39</v>
      </c>
    </row>
    <row r="47" spans="1:20" x14ac:dyDescent="0.35">
      <c r="A47" s="5"/>
      <c r="B47" s="455"/>
      <c r="C47" s="446"/>
      <c r="D47" s="91" t="s">
        <v>40</v>
      </c>
      <c r="E47" s="92">
        <v>0</v>
      </c>
      <c r="F47" s="105">
        <f>F35</f>
        <v>36</v>
      </c>
      <c r="G47" s="106">
        <f t="shared" si="24"/>
        <v>36</v>
      </c>
      <c r="H47" s="93">
        <f t="shared" si="24"/>
        <v>36</v>
      </c>
      <c r="I47" s="93">
        <v>0</v>
      </c>
      <c r="J47" s="95">
        <v>0</v>
      </c>
      <c r="K47" s="93">
        <v>0</v>
      </c>
      <c r="L47" s="95">
        <f>H47</f>
        <v>36</v>
      </c>
      <c r="M47" s="93"/>
      <c r="N47" s="111">
        <v>30</v>
      </c>
      <c r="O47" s="95">
        <v>30</v>
      </c>
      <c r="P47" s="95">
        <v>30</v>
      </c>
      <c r="Q47" s="118">
        <v>0</v>
      </c>
      <c r="R47" s="110" t="s">
        <v>39</v>
      </c>
    </row>
    <row r="48" spans="1:20" x14ac:dyDescent="0.35">
      <c r="A48" s="5"/>
      <c r="B48" s="455"/>
      <c r="C48" s="446"/>
      <c r="D48" s="96" t="s">
        <v>41</v>
      </c>
      <c r="E48" s="85">
        <v>0</v>
      </c>
      <c r="F48" s="103">
        <f>F36</f>
        <v>2</v>
      </c>
      <c r="G48" s="104">
        <f t="shared" si="24"/>
        <v>2</v>
      </c>
      <c r="H48" s="86">
        <f t="shared" si="24"/>
        <v>2</v>
      </c>
      <c r="I48" s="86"/>
      <c r="J48" s="89">
        <v>0</v>
      </c>
      <c r="K48" s="86"/>
      <c r="L48" s="89">
        <f>H48</f>
        <v>2</v>
      </c>
      <c r="M48" s="86"/>
      <c r="N48" s="108">
        <v>2</v>
      </c>
      <c r="O48" s="89">
        <v>2</v>
      </c>
      <c r="P48" s="89">
        <v>2</v>
      </c>
      <c r="Q48" s="117">
        <v>0</v>
      </c>
      <c r="R48" s="110" t="s">
        <v>39</v>
      </c>
    </row>
    <row r="49" spans="1:23" x14ac:dyDescent="0.35">
      <c r="A49" s="5"/>
      <c r="B49" s="455"/>
      <c r="C49" s="446"/>
      <c r="D49" s="96" t="s">
        <v>42</v>
      </c>
      <c r="E49" s="85">
        <v>0</v>
      </c>
      <c r="F49" s="103">
        <f>F37</f>
        <v>149</v>
      </c>
      <c r="G49" s="104">
        <f>F49</f>
        <v>149</v>
      </c>
      <c r="H49" s="86">
        <v>0</v>
      </c>
      <c r="I49" s="86">
        <v>0</v>
      </c>
      <c r="J49" s="89">
        <v>0</v>
      </c>
      <c r="K49" s="86"/>
      <c r="L49" s="89">
        <v>0</v>
      </c>
      <c r="M49" s="86"/>
      <c r="N49" s="113">
        <v>0</v>
      </c>
      <c r="O49" s="89">
        <v>154</v>
      </c>
      <c r="P49" s="89">
        <v>154</v>
      </c>
      <c r="Q49" s="119">
        <v>0</v>
      </c>
      <c r="R49" s="110" t="s">
        <v>43</v>
      </c>
    </row>
    <row r="50" spans="1:23" x14ac:dyDescent="0.35">
      <c r="A50" s="5"/>
      <c r="B50" s="455"/>
      <c r="C50" s="446"/>
      <c r="D50" s="96" t="s">
        <v>44</v>
      </c>
      <c r="E50" s="85">
        <v>0</v>
      </c>
      <c r="F50" s="103">
        <f>F38</f>
        <v>11</v>
      </c>
      <c r="G50" s="104">
        <f>F50</f>
        <v>11</v>
      </c>
      <c r="H50" s="86">
        <f>G50</f>
        <v>11</v>
      </c>
      <c r="I50" s="86">
        <v>0</v>
      </c>
      <c r="J50" s="89">
        <v>0</v>
      </c>
      <c r="K50" s="86">
        <v>0</v>
      </c>
      <c r="L50" s="89">
        <f>H50</f>
        <v>11</v>
      </c>
      <c r="M50" s="86"/>
      <c r="N50" s="108">
        <v>10</v>
      </c>
      <c r="O50" s="89">
        <v>10</v>
      </c>
      <c r="P50" s="89">
        <v>10</v>
      </c>
      <c r="Q50" s="117">
        <v>0</v>
      </c>
      <c r="R50" s="110" t="s">
        <v>39</v>
      </c>
    </row>
    <row r="51" spans="1:23" ht="15" thickBot="1" x14ac:dyDescent="0.4">
      <c r="A51" s="5"/>
      <c r="B51" s="456"/>
      <c r="C51" s="448"/>
      <c r="D51" s="98" t="s">
        <v>45</v>
      </c>
      <c r="E51" s="99">
        <f>SUM(E46:E50)</f>
        <v>2</v>
      </c>
      <c r="F51" s="107">
        <f t="shared" ref="F51:Q51" si="25">SUM(F46:F50)</f>
        <v>1248</v>
      </c>
      <c r="G51" s="101">
        <f t="shared" si="25"/>
        <v>1250</v>
      </c>
      <c r="H51" s="100">
        <f t="shared" si="25"/>
        <v>1101</v>
      </c>
      <c r="I51" s="100">
        <f t="shared" si="25"/>
        <v>0</v>
      </c>
      <c r="J51" s="102">
        <f>SUM(J46:J50)</f>
        <v>259</v>
      </c>
      <c r="K51" s="100">
        <f t="shared" si="25"/>
        <v>0</v>
      </c>
      <c r="L51" s="102">
        <f t="shared" si="25"/>
        <v>1101</v>
      </c>
      <c r="M51" s="100">
        <f t="shared" si="25"/>
        <v>0</v>
      </c>
      <c r="N51" s="101">
        <f t="shared" si="25"/>
        <v>1103</v>
      </c>
      <c r="O51" s="102">
        <f t="shared" si="25"/>
        <v>1257</v>
      </c>
      <c r="P51" s="102">
        <f t="shared" si="25"/>
        <v>1257</v>
      </c>
      <c r="Q51" s="120">
        <f t="shared" si="25"/>
        <v>0</v>
      </c>
      <c r="R51" s="116"/>
    </row>
    <row r="52" spans="1:23" ht="15" customHeight="1" x14ac:dyDescent="0.35">
      <c r="B52" s="454" t="s">
        <v>46</v>
      </c>
      <c r="C52" s="445" t="s">
        <v>3</v>
      </c>
      <c r="D52" s="84" t="s">
        <v>38</v>
      </c>
      <c r="E52" s="85">
        <v>2</v>
      </c>
      <c r="F52" s="86">
        <f>F46+E52</f>
        <v>1052</v>
      </c>
      <c r="G52" s="87">
        <f>F52+E52</f>
        <v>1054</v>
      </c>
      <c r="H52" s="88">
        <f>G52</f>
        <v>1054</v>
      </c>
      <c r="I52" s="88">
        <v>0</v>
      </c>
      <c r="J52" s="89">
        <f>J46+E52</f>
        <v>261</v>
      </c>
      <c r="K52" s="86">
        <v>0</v>
      </c>
      <c r="L52" s="89">
        <f>H52</f>
        <v>1054</v>
      </c>
      <c r="M52" s="86"/>
      <c r="N52" s="108"/>
      <c r="O52" s="89"/>
      <c r="P52" s="89"/>
      <c r="Q52" s="109"/>
      <c r="R52" s="110"/>
      <c r="W52" s="336"/>
    </row>
    <row r="53" spans="1:23" x14ac:dyDescent="0.35">
      <c r="B53" s="455"/>
      <c r="C53" s="446"/>
      <c r="D53" s="91" t="s">
        <v>40</v>
      </c>
      <c r="E53" s="92">
        <v>0</v>
      </c>
      <c r="F53" s="93">
        <v>36</v>
      </c>
      <c r="G53" s="94">
        <f>F53</f>
        <v>36</v>
      </c>
      <c r="H53" s="93">
        <f>G53</f>
        <v>36</v>
      </c>
      <c r="I53" s="93">
        <v>0</v>
      </c>
      <c r="J53" s="95">
        <v>0</v>
      </c>
      <c r="K53" s="93">
        <v>0</v>
      </c>
      <c r="L53" s="95">
        <f>H53</f>
        <v>36</v>
      </c>
      <c r="M53" s="93"/>
      <c r="N53" s="111"/>
      <c r="O53" s="95"/>
      <c r="P53" s="95"/>
      <c r="Q53" s="112"/>
      <c r="R53" s="110"/>
      <c r="W53" s="336"/>
    </row>
    <row r="54" spans="1:23" x14ac:dyDescent="0.35">
      <c r="B54" s="455"/>
      <c r="C54" s="446"/>
      <c r="D54" s="96" t="s">
        <v>41</v>
      </c>
      <c r="E54" s="85">
        <v>0</v>
      </c>
      <c r="F54" s="86">
        <v>2</v>
      </c>
      <c r="G54" s="97">
        <f>F54</f>
        <v>2</v>
      </c>
      <c r="H54" s="86">
        <f>G54</f>
        <v>2</v>
      </c>
      <c r="I54" s="86"/>
      <c r="J54" s="89">
        <v>0</v>
      </c>
      <c r="K54" s="86"/>
      <c r="L54" s="89">
        <f>H54</f>
        <v>2</v>
      </c>
      <c r="M54" s="86"/>
      <c r="N54" s="108"/>
      <c r="O54" s="89"/>
      <c r="P54" s="89"/>
      <c r="Q54" s="109"/>
      <c r="R54" s="110"/>
      <c r="W54" s="336"/>
    </row>
    <row r="55" spans="1:23" x14ac:dyDescent="0.35">
      <c r="B55" s="455"/>
      <c r="C55" s="446"/>
      <c r="D55" s="96" t="s">
        <v>42</v>
      </c>
      <c r="E55" s="85">
        <v>0</v>
      </c>
      <c r="F55" s="86">
        <v>149</v>
      </c>
      <c r="G55" s="97">
        <f>F55</f>
        <v>149</v>
      </c>
      <c r="H55" s="86">
        <v>0</v>
      </c>
      <c r="I55" s="86">
        <v>0</v>
      </c>
      <c r="J55" s="89">
        <v>0</v>
      </c>
      <c r="K55" s="86"/>
      <c r="L55" s="89">
        <v>0</v>
      </c>
      <c r="M55" s="86"/>
      <c r="N55" s="113"/>
      <c r="O55" s="89"/>
      <c r="P55" s="89"/>
      <c r="Q55" s="114"/>
      <c r="R55" s="110"/>
      <c r="W55" s="336"/>
    </row>
    <row r="56" spans="1:23" x14ac:dyDescent="0.35">
      <c r="B56" s="455"/>
      <c r="C56" s="446"/>
      <c r="D56" s="96" t="s">
        <v>44</v>
      </c>
      <c r="E56" s="85">
        <v>0</v>
      </c>
      <c r="F56" s="86">
        <v>11</v>
      </c>
      <c r="G56" s="97">
        <f>F56</f>
        <v>11</v>
      </c>
      <c r="H56" s="86">
        <f>G56</f>
        <v>11</v>
      </c>
      <c r="I56" s="86">
        <v>0</v>
      </c>
      <c r="J56" s="89">
        <v>0</v>
      </c>
      <c r="K56" s="86">
        <v>0</v>
      </c>
      <c r="L56" s="89">
        <f>H56</f>
        <v>11</v>
      </c>
      <c r="M56" s="86"/>
      <c r="N56" s="108"/>
      <c r="O56" s="89"/>
      <c r="P56" s="89"/>
      <c r="Q56" s="109"/>
      <c r="R56" s="110"/>
      <c r="T56">
        <f>F52/(F52+F53)</f>
        <v>0.96691176470588236</v>
      </c>
      <c r="W56" s="336"/>
    </row>
    <row r="57" spans="1:23" ht="15" thickBot="1" x14ac:dyDescent="0.4">
      <c r="B57" s="455"/>
      <c r="C57" s="447"/>
      <c r="D57" s="98" t="s">
        <v>45</v>
      </c>
      <c r="E57" s="99">
        <f t="shared" ref="E57:M57" si="26">SUM(E52:E56)</f>
        <v>2</v>
      </c>
      <c r="F57" s="100">
        <f t="shared" si="26"/>
        <v>1250</v>
      </c>
      <c r="G57" s="101">
        <f t="shared" si="26"/>
        <v>1252</v>
      </c>
      <c r="H57" s="100">
        <f t="shared" si="26"/>
        <v>1103</v>
      </c>
      <c r="I57" s="100">
        <f t="shared" si="26"/>
        <v>0</v>
      </c>
      <c r="J57" s="102">
        <f t="shared" si="26"/>
        <v>261</v>
      </c>
      <c r="K57" s="100">
        <f t="shared" si="26"/>
        <v>0</v>
      </c>
      <c r="L57" s="102">
        <f t="shared" si="26"/>
        <v>1103</v>
      </c>
      <c r="M57" s="100">
        <f t="shared" si="26"/>
        <v>0</v>
      </c>
      <c r="N57" s="101"/>
      <c r="O57" s="102"/>
      <c r="P57" s="102"/>
      <c r="Q57" s="115"/>
      <c r="R57" s="116"/>
    </row>
    <row r="58" spans="1:23" x14ac:dyDescent="0.35">
      <c r="B58" s="455"/>
      <c r="C58" s="445" t="s">
        <v>4</v>
      </c>
      <c r="D58" s="96" t="s">
        <v>38</v>
      </c>
      <c r="E58" s="85">
        <v>2</v>
      </c>
      <c r="F58" s="86">
        <f>F52+E58</f>
        <v>1054</v>
      </c>
      <c r="G58" s="104">
        <f>F58+E58</f>
        <v>1056</v>
      </c>
      <c r="H58" s="86">
        <f t="shared" ref="H58:H60" si="27">G58</f>
        <v>1056</v>
      </c>
      <c r="I58" s="86">
        <v>0</v>
      </c>
      <c r="J58" s="89">
        <f>J52+E58</f>
        <v>263</v>
      </c>
      <c r="K58" s="86">
        <v>0</v>
      </c>
      <c r="L58" s="89">
        <f>H58</f>
        <v>1056</v>
      </c>
      <c r="M58" s="86"/>
      <c r="N58" s="108"/>
      <c r="O58" s="89"/>
      <c r="P58" s="89"/>
      <c r="Q58" s="117"/>
      <c r="R58" s="110"/>
    </row>
    <row r="59" spans="1:23" x14ac:dyDescent="0.35">
      <c r="B59" s="455"/>
      <c r="C59" s="446"/>
      <c r="D59" s="91" t="s">
        <v>40</v>
      </c>
      <c r="E59" s="92">
        <v>0</v>
      </c>
      <c r="F59" s="105">
        <f>F53</f>
        <v>36</v>
      </c>
      <c r="G59" s="106">
        <f t="shared" ref="G59:G60" si="28">F59</f>
        <v>36</v>
      </c>
      <c r="H59" s="93">
        <f t="shared" si="27"/>
        <v>36</v>
      </c>
      <c r="I59" s="93">
        <v>0</v>
      </c>
      <c r="J59" s="95">
        <v>0</v>
      </c>
      <c r="K59" s="93">
        <v>0</v>
      </c>
      <c r="L59" s="95">
        <f>H59</f>
        <v>36</v>
      </c>
      <c r="M59" s="93"/>
      <c r="N59" s="111"/>
      <c r="O59" s="95"/>
      <c r="P59" s="95"/>
      <c r="Q59" s="118"/>
      <c r="R59" s="110"/>
    </row>
    <row r="60" spans="1:23" x14ac:dyDescent="0.35">
      <c r="B60" s="455"/>
      <c r="C60" s="446"/>
      <c r="D60" s="96" t="s">
        <v>41</v>
      </c>
      <c r="E60" s="85">
        <v>0</v>
      </c>
      <c r="F60" s="103">
        <f>F54</f>
        <v>2</v>
      </c>
      <c r="G60" s="104">
        <f t="shared" si="28"/>
        <v>2</v>
      </c>
      <c r="H60" s="86">
        <f t="shared" si="27"/>
        <v>2</v>
      </c>
      <c r="I60" s="86"/>
      <c r="J60" s="89">
        <v>0</v>
      </c>
      <c r="K60" s="86"/>
      <c r="L60" s="89">
        <f>H60</f>
        <v>2</v>
      </c>
      <c r="M60" s="86"/>
      <c r="N60" s="108"/>
      <c r="O60" s="89"/>
      <c r="P60" s="89"/>
      <c r="Q60" s="117"/>
      <c r="R60" s="110"/>
    </row>
    <row r="61" spans="1:23" x14ac:dyDescent="0.35">
      <c r="B61" s="455"/>
      <c r="C61" s="446"/>
      <c r="D61" s="96" t="s">
        <v>42</v>
      </c>
      <c r="E61" s="85">
        <v>0</v>
      </c>
      <c r="F61" s="103">
        <f>F55</f>
        <v>149</v>
      </c>
      <c r="G61" s="104">
        <f>F61</f>
        <v>149</v>
      </c>
      <c r="H61" s="86">
        <v>0</v>
      </c>
      <c r="I61" s="86">
        <v>0</v>
      </c>
      <c r="J61" s="89">
        <v>0</v>
      </c>
      <c r="K61" s="86"/>
      <c r="L61" s="89">
        <v>0</v>
      </c>
      <c r="M61" s="86"/>
      <c r="N61" s="113"/>
      <c r="O61" s="89"/>
      <c r="P61" s="89"/>
      <c r="Q61" s="119"/>
      <c r="R61" s="110"/>
    </row>
    <row r="62" spans="1:23" x14ac:dyDescent="0.35">
      <c r="B62" s="455"/>
      <c r="C62" s="446"/>
      <c r="D62" s="96" t="s">
        <v>44</v>
      </c>
      <c r="E62" s="85">
        <v>0</v>
      </c>
      <c r="F62" s="103">
        <f>F56</f>
        <v>11</v>
      </c>
      <c r="G62" s="104">
        <f>F62</f>
        <v>11</v>
      </c>
      <c r="H62" s="86">
        <f>G62</f>
        <v>11</v>
      </c>
      <c r="I62" s="86">
        <v>0</v>
      </c>
      <c r="J62" s="89">
        <v>0</v>
      </c>
      <c r="K62" s="86">
        <v>0</v>
      </c>
      <c r="L62" s="89">
        <f>H62</f>
        <v>11</v>
      </c>
      <c r="M62" s="86"/>
      <c r="N62" s="108"/>
      <c r="O62" s="89"/>
      <c r="P62" s="89"/>
      <c r="Q62" s="117"/>
      <c r="R62" s="110"/>
    </row>
    <row r="63" spans="1:23" ht="15" thickBot="1" x14ac:dyDescent="0.4">
      <c r="B63" s="455"/>
      <c r="C63" s="447"/>
      <c r="D63" s="98" t="s">
        <v>45</v>
      </c>
      <c r="E63" s="99">
        <f>SUM(E58:E62)</f>
        <v>2</v>
      </c>
      <c r="F63" s="107">
        <f t="shared" ref="F63:M63" si="29">SUM(F58:F62)</f>
        <v>1252</v>
      </c>
      <c r="G63" s="100">
        <f>SUM(G58:G62)</f>
        <v>1254</v>
      </c>
      <c r="H63" s="100">
        <f t="shared" si="29"/>
        <v>1105</v>
      </c>
      <c r="I63" s="100">
        <f t="shared" si="29"/>
        <v>0</v>
      </c>
      <c r="J63" s="102">
        <f t="shared" si="29"/>
        <v>263</v>
      </c>
      <c r="K63" s="100">
        <f t="shared" si="29"/>
        <v>0</v>
      </c>
      <c r="L63" s="102">
        <f t="shared" si="29"/>
        <v>1105</v>
      </c>
      <c r="M63" s="100">
        <f t="shared" si="29"/>
        <v>0</v>
      </c>
      <c r="N63" s="101"/>
      <c r="O63" s="102"/>
      <c r="P63" s="102"/>
      <c r="Q63" s="120"/>
      <c r="R63" s="116"/>
    </row>
    <row r="64" spans="1:23" x14ac:dyDescent="0.35">
      <c r="B64" s="455"/>
      <c r="C64" s="445" t="s">
        <v>5</v>
      </c>
      <c r="D64" s="96" t="s">
        <v>38</v>
      </c>
      <c r="E64" s="85">
        <v>2</v>
      </c>
      <c r="F64" s="103">
        <f>F58+E64</f>
        <v>1056</v>
      </c>
      <c r="G64" s="104">
        <f>F64+E64</f>
        <v>1058</v>
      </c>
      <c r="H64" s="86">
        <f t="shared" ref="H64:H66" si="30">G64</f>
        <v>1058</v>
      </c>
      <c r="I64" s="86">
        <v>0</v>
      </c>
      <c r="J64" s="89">
        <f>J58+E64</f>
        <v>265</v>
      </c>
      <c r="K64" s="86">
        <v>0</v>
      </c>
      <c r="L64" s="89">
        <f>H64</f>
        <v>1058</v>
      </c>
      <c r="M64" s="86"/>
      <c r="N64" s="108"/>
      <c r="O64" s="89"/>
      <c r="P64" s="89"/>
      <c r="Q64" s="117"/>
      <c r="R64" s="110"/>
    </row>
    <row r="65" spans="2:23" x14ac:dyDescent="0.35">
      <c r="B65" s="455"/>
      <c r="C65" s="446"/>
      <c r="D65" s="91" t="s">
        <v>40</v>
      </c>
      <c r="E65" s="92">
        <v>0</v>
      </c>
      <c r="F65" s="105">
        <f>F53</f>
        <v>36</v>
      </c>
      <c r="G65" s="106">
        <f t="shared" ref="G65:G66" si="31">F65</f>
        <v>36</v>
      </c>
      <c r="H65" s="93">
        <f t="shared" si="30"/>
        <v>36</v>
      </c>
      <c r="I65" s="93">
        <v>0</v>
      </c>
      <c r="J65" s="95">
        <v>0</v>
      </c>
      <c r="K65" s="93">
        <v>0</v>
      </c>
      <c r="L65" s="95">
        <f>H65</f>
        <v>36</v>
      </c>
      <c r="M65" s="93"/>
      <c r="N65" s="111"/>
      <c r="O65" s="95"/>
      <c r="P65" s="95"/>
      <c r="Q65" s="118"/>
      <c r="R65" s="110"/>
    </row>
    <row r="66" spans="2:23" x14ac:dyDescent="0.35">
      <c r="B66" s="455"/>
      <c r="C66" s="446"/>
      <c r="D66" s="96" t="s">
        <v>41</v>
      </c>
      <c r="E66" s="85">
        <v>0</v>
      </c>
      <c r="F66" s="103">
        <f>F54</f>
        <v>2</v>
      </c>
      <c r="G66" s="104">
        <f t="shared" si="31"/>
        <v>2</v>
      </c>
      <c r="H66" s="86">
        <f t="shared" si="30"/>
        <v>2</v>
      </c>
      <c r="I66" s="86"/>
      <c r="J66" s="89">
        <v>0</v>
      </c>
      <c r="K66" s="86"/>
      <c r="L66" s="89">
        <f>H66</f>
        <v>2</v>
      </c>
      <c r="M66" s="86"/>
      <c r="N66" s="108"/>
      <c r="O66" s="89"/>
      <c r="P66" s="89"/>
      <c r="Q66" s="117"/>
      <c r="R66" s="110"/>
    </row>
    <row r="67" spans="2:23" x14ac:dyDescent="0.35">
      <c r="B67" s="455"/>
      <c r="C67" s="446"/>
      <c r="D67" s="96" t="s">
        <v>42</v>
      </c>
      <c r="E67" s="85">
        <v>0</v>
      </c>
      <c r="F67" s="103">
        <f>F55</f>
        <v>149</v>
      </c>
      <c r="G67" s="104">
        <f>F67</f>
        <v>149</v>
      </c>
      <c r="H67" s="86">
        <v>0</v>
      </c>
      <c r="I67" s="86">
        <v>0</v>
      </c>
      <c r="J67" s="89">
        <v>0</v>
      </c>
      <c r="K67" s="86"/>
      <c r="L67" s="89">
        <v>0</v>
      </c>
      <c r="M67" s="86"/>
      <c r="N67" s="113"/>
      <c r="O67" s="89"/>
      <c r="P67" s="89"/>
      <c r="Q67" s="119"/>
      <c r="R67" s="110"/>
    </row>
    <row r="68" spans="2:23" x14ac:dyDescent="0.35">
      <c r="B68" s="455"/>
      <c r="C68" s="446"/>
      <c r="D68" s="96" t="s">
        <v>44</v>
      </c>
      <c r="E68" s="85">
        <v>0</v>
      </c>
      <c r="F68" s="103">
        <f>F56</f>
        <v>11</v>
      </c>
      <c r="G68" s="104">
        <f>F68</f>
        <v>11</v>
      </c>
      <c r="H68" s="86">
        <f>G68</f>
        <v>11</v>
      </c>
      <c r="I68" s="86">
        <v>0</v>
      </c>
      <c r="J68" s="89">
        <v>0</v>
      </c>
      <c r="K68" s="86">
        <v>0</v>
      </c>
      <c r="L68" s="89">
        <f>H68</f>
        <v>11</v>
      </c>
      <c r="M68" s="86"/>
      <c r="N68" s="108"/>
      <c r="O68" s="89"/>
      <c r="P68" s="89"/>
      <c r="Q68" s="117"/>
      <c r="R68" s="110"/>
    </row>
    <row r="69" spans="2:23" ht="15" thickBot="1" x14ac:dyDescent="0.4">
      <c r="B69" s="456"/>
      <c r="C69" s="448"/>
      <c r="D69" s="98" t="s">
        <v>45</v>
      </c>
      <c r="E69" s="99">
        <f>SUM(E64:E68)</f>
        <v>2</v>
      </c>
      <c r="F69" s="107">
        <f t="shared" ref="F69:M69" si="32">SUM(F64:F68)</f>
        <v>1254</v>
      </c>
      <c r="G69" s="101">
        <f t="shared" si="32"/>
        <v>1256</v>
      </c>
      <c r="H69" s="100">
        <f t="shared" si="32"/>
        <v>1107</v>
      </c>
      <c r="I69" s="100">
        <f t="shared" si="32"/>
        <v>0</v>
      </c>
      <c r="J69" s="102">
        <f t="shared" si="32"/>
        <v>265</v>
      </c>
      <c r="K69" s="100">
        <f t="shared" si="32"/>
        <v>0</v>
      </c>
      <c r="L69" s="102">
        <f t="shared" si="32"/>
        <v>1107</v>
      </c>
      <c r="M69" s="100">
        <f t="shared" si="32"/>
        <v>0</v>
      </c>
      <c r="N69" s="101"/>
      <c r="O69" s="102"/>
      <c r="P69" s="102"/>
      <c r="Q69" s="120"/>
      <c r="R69" s="116"/>
    </row>
    <row r="70" spans="2:23" x14ac:dyDescent="0.35">
      <c r="B70" s="454" t="s">
        <v>47</v>
      </c>
      <c r="C70" s="445" t="s">
        <v>3</v>
      </c>
      <c r="D70" s="84" t="s">
        <v>38</v>
      </c>
      <c r="E70" s="85">
        <v>0</v>
      </c>
      <c r="F70" s="86">
        <v>630</v>
      </c>
      <c r="G70" s="87">
        <f>(F70+E70)*'%CEMSCPMSvs.testing_2137.13'!H9/100</f>
        <v>630</v>
      </c>
      <c r="H70" s="88">
        <f>G70</f>
        <v>630</v>
      </c>
      <c r="I70" s="88">
        <v>0</v>
      </c>
      <c r="J70" s="89">
        <f>(F70+E70)*('%CEMSCPMSvs.testing_2137.13'!L9+'%CEMSCPMSvs.testing_2137.13'!L10)/100</f>
        <v>579.6</v>
      </c>
      <c r="K70" s="86">
        <v>0</v>
      </c>
      <c r="L70" s="89">
        <f>(F70+E70)*'%CEMSCPMSvs.testing_2137.13'!D9/100</f>
        <v>529.20000000000005</v>
      </c>
      <c r="M70" s="86"/>
      <c r="R70" s="177" t="s">
        <v>48</v>
      </c>
      <c r="T70" s="66">
        <f>F70-J70</f>
        <v>50.399999999999977</v>
      </c>
      <c r="V70" s="337">
        <f>T70/F70</f>
        <v>7.999999999999996E-2</v>
      </c>
      <c r="W70" s="336"/>
    </row>
    <row r="71" spans="2:23" x14ac:dyDescent="0.35">
      <c r="B71" s="455"/>
      <c r="C71" s="446"/>
      <c r="D71" s="91" t="s">
        <v>40</v>
      </c>
      <c r="E71" s="92">
        <v>0</v>
      </c>
      <c r="F71" s="93">
        <v>26</v>
      </c>
      <c r="G71" s="94">
        <f>F71*'%CEMSCPMSvs.testing_2137.13'!D15/100</f>
        <v>21.58</v>
      </c>
      <c r="H71" s="93">
        <f>G71</f>
        <v>21.58</v>
      </c>
      <c r="I71" s="93">
        <v>0</v>
      </c>
      <c r="J71" s="95">
        <f>F71*'%CEMSCPMSvs.testing_2137.13'!L16/100</f>
        <v>20.28</v>
      </c>
      <c r="K71" s="93">
        <v>0</v>
      </c>
      <c r="L71" s="95">
        <f>F71*'%CEMSCPMSvs.testing_2137.13'!D15/100</f>
        <v>21.58</v>
      </c>
      <c r="M71" s="93"/>
      <c r="R71" s="248" t="s">
        <v>49</v>
      </c>
      <c r="W71" s="336"/>
    </row>
    <row r="72" spans="2:23" x14ac:dyDescent="0.35">
      <c r="B72" s="455"/>
      <c r="C72" s="446"/>
      <c r="D72" s="96" t="s">
        <v>41</v>
      </c>
      <c r="E72" s="85">
        <v>0</v>
      </c>
      <c r="F72" s="86">
        <v>3</v>
      </c>
      <c r="G72" s="97">
        <f>F72*'%CEMSCPMSvs.testing_2137.13'!H21/100</f>
        <v>3</v>
      </c>
      <c r="H72" s="86">
        <f>G72</f>
        <v>3</v>
      </c>
      <c r="I72" s="86"/>
      <c r="J72" s="89">
        <f>F72*'%CEMSCPMSvs.testing_2137.13'!L21/100</f>
        <v>0</v>
      </c>
      <c r="K72" s="86"/>
      <c r="L72" s="89">
        <f>F72*'%CEMSCPMSvs.testing_2137.13'!D21/100</f>
        <v>0</v>
      </c>
      <c r="M72" s="86"/>
      <c r="W72" s="336"/>
    </row>
    <row r="73" spans="2:23" x14ac:dyDescent="0.35">
      <c r="B73" s="455"/>
      <c r="C73" s="446"/>
      <c r="D73" s="96" t="s">
        <v>42</v>
      </c>
      <c r="E73" s="85">
        <v>0</v>
      </c>
      <c r="F73" s="86">
        <v>60</v>
      </c>
      <c r="G73" s="97">
        <f>F73*'%CEMSCPMSvs.testing_2137.13'!H27/100</f>
        <v>60</v>
      </c>
      <c r="H73" s="86">
        <v>0</v>
      </c>
      <c r="I73" s="86">
        <v>0</v>
      </c>
      <c r="J73" s="89">
        <f>F73*('%CEMSCPMSvs.testing_2137.13'!L27/100)</f>
        <v>0</v>
      </c>
      <c r="K73" s="86"/>
      <c r="L73" s="89">
        <f>F73*'%CEMSCPMSvs.testing_2137.13'!D27/100</f>
        <v>0</v>
      </c>
      <c r="M73" s="86"/>
      <c r="W73" s="336"/>
    </row>
    <row r="74" spans="2:23" x14ac:dyDescent="0.35">
      <c r="B74" s="455"/>
      <c r="C74" s="446"/>
      <c r="D74" s="96" t="s">
        <v>44</v>
      </c>
      <c r="E74" s="85">
        <v>0</v>
      </c>
      <c r="F74" s="86">
        <v>8</v>
      </c>
      <c r="G74" s="97">
        <f>F74*'%CEMSCPMSvs.testing_2137.13'!H33/100</f>
        <v>8</v>
      </c>
      <c r="H74" s="86">
        <f>G74</f>
        <v>8</v>
      </c>
      <c r="I74" s="86">
        <v>0</v>
      </c>
      <c r="J74" s="89">
        <f>F74*('%CEMSCPMSvs.testing_2137.13'!L33+'%CEMSCPMSvs.testing_2137.13'!L34)/100</f>
        <v>6.64</v>
      </c>
      <c r="K74" s="86">
        <v>0</v>
      </c>
      <c r="L74" s="89">
        <f>F74*'%CEMSCPMSvs.testing_2137.13'!D33/100</f>
        <v>4</v>
      </c>
      <c r="M74" s="86"/>
      <c r="T74">
        <f>F70/(F70+F71)</f>
        <v>0.96036585365853655</v>
      </c>
      <c r="W74" s="336"/>
    </row>
    <row r="75" spans="2:23" ht="15" thickBot="1" x14ac:dyDescent="0.4">
      <c r="B75" s="455"/>
      <c r="C75" s="447"/>
      <c r="D75" s="98" t="s">
        <v>45</v>
      </c>
      <c r="E75" s="99">
        <f t="shared" ref="E75:M75" si="33">SUM(E70:E74)</f>
        <v>0</v>
      </c>
      <c r="F75" s="100">
        <f t="shared" si="33"/>
        <v>727</v>
      </c>
      <c r="G75" s="101">
        <f t="shared" si="33"/>
        <v>722.58</v>
      </c>
      <c r="H75" s="100">
        <f t="shared" si="33"/>
        <v>662.58</v>
      </c>
      <c r="I75" s="100">
        <f t="shared" si="33"/>
        <v>0</v>
      </c>
      <c r="J75" s="102">
        <f t="shared" si="33"/>
        <v>606.52</v>
      </c>
      <c r="K75" s="100">
        <f t="shared" si="33"/>
        <v>0</v>
      </c>
      <c r="L75" s="102">
        <f t="shared" si="33"/>
        <v>554.78000000000009</v>
      </c>
      <c r="M75" s="100">
        <f t="shared" si="33"/>
        <v>0</v>
      </c>
      <c r="S75">
        <f>T75*358</f>
        <v>1.4773039889958732</v>
      </c>
      <c r="T75">
        <f>F72/F75</f>
        <v>4.1265474552957355E-3</v>
      </c>
    </row>
    <row r="76" spans="2:23" x14ac:dyDescent="0.35">
      <c r="B76" s="455"/>
      <c r="C76" s="445" t="s">
        <v>4</v>
      </c>
      <c r="D76" s="96" t="s">
        <v>38</v>
      </c>
      <c r="E76" s="85">
        <v>0</v>
      </c>
      <c r="F76" s="86">
        <f>F70+E76</f>
        <v>630</v>
      </c>
      <c r="G76" s="104">
        <f>G70+E76</f>
        <v>630</v>
      </c>
      <c r="H76" s="86">
        <f t="shared" ref="H76:H80" si="34">G76</f>
        <v>630</v>
      </c>
      <c r="I76" s="86">
        <v>0</v>
      </c>
      <c r="J76" s="89">
        <f>J70+E76</f>
        <v>579.6</v>
      </c>
      <c r="K76" s="86">
        <v>0</v>
      </c>
      <c r="L76" s="89">
        <f>L70+E76</f>
        <v>529.20000000000005</v>
      </c>
      <c r="M76" s="86"/>
      <c r="T76">
        <f>F73/(F73+F74)</f>
        <v>0.88235294117647056</v>
      </c>
    </row>
    <row r="77" spans="2:23" x14ac:dyDescent="0.35">
      <c r="B77" s="455"/>
      <c r="C77" s="446"/>
      <c r="D77" s="91" t="s">
        <v>40</v>
      </c>
      <c r="E77" s="92">
        <v>0</v>
      </c>
      <c r="F77" s="105">
        <f>F71</f>
        <v>26</v>
      </c>
      <c r="G77" s="104">
        <f>G71+E77</f>
        <v>21.58</v>
      </c>
      <c r="H77" s="93">
        <f t="shared" si="34"/>
        <v>21.58</v>
      </c>
      <c r="I77" s="93">
        <v>0</v>
      </c>
      <c r="J77" s="89">
        <f>J71+E77</f>
        <v>20.28</v>
      </c>
      <c r="K77" s="93">
        <v>0</v>
      </c>
      <c r="L77" s="89">
        <f>L71+E77</f>
        <v>21.58</v>
      </c>
      <c r="M77" s="93"/>
    </row>
    <row r="78" spans="2:23" x14ac:dyDescent="0.35">
      <c r="B78" s="455"/>
      <c r="C78" s="446"/>
      <c r="D78" s="96" t="s">
        <v>41</v>
      </c>
      <c r="E78" s="85">
        <v>0</v>
      </c>
      <c r="F78" s="103">
        <f>F72</f>
        <v>3</v>
      </c>
      <c r="G78" s="104">
        <f>G72+E78</f>
        <v>3</v>
      </c>
      <c r="H78" s="93">
        <f t="shared" si="34"/>
        <v>3</v>
      </c>
      <c r="I78" s="93">
        <v>0</v>
      </c>
      <c r="J78" s="89">
        <f>J72+E78</f>
        <v>0</v>
      </c>
      <c r="K78" s="86"/>
      <c r="L78" s="89">
        <f>L72+E78</f>
        <v>0</v>
      </c>
      <c r="M78" s="86"/>
    </row>
    <row r="79" spans="2:23" x14ac:dyDescent="0.35">
      <c r="B79" s="455"/>
      <c r="C79" s="446"/>
      <c r="D79" s="96" t="s">
        <v>42</v>
      </c>
      <c r="E79" s="85">
        <v>0</v>
      </c>
      <c r="F79" s="103">
        <f>F73</f>
        <v>60</v>
      </c>
      <c r="G79" s="104">
        <f>G73+E79</f>
        <v>60</v>
      </c>
      <c r="H79" s="93">
        <f t="shared" si="34"/>
        <v>60</v>
      </c>
      <c r="I79" s="86">
        <v>0</v>
      </c>
      <c r="J79" s="89">
        <f>J73+E79</f>
        <v>0</v>
      </c>
      <c r="K79" s="86"/>
      <c r="L79" s="89">
        <f>L73+E79</f>
        <v>0</v>
      </c>
      <c r="M79" s="86"/>
    </row>
    <row r="80" spans="2:23" x14ac:dyDescent="0.35">
      <c r="B80" s="455"/>
      <c r="C80" s="446"/>
      <c r="D80" s="96" t="s">
        <v>44</v>
      </c>
      <c r="E80" s="85">
        <v>0</v>
      </c>
      <c r="F80" s="103">
        <f>F74</f>
        <v>8</v>
      </c>
      <c r="G80" s="104">
        <f>G74+E80</f>
        <v>8</v>
      </c>
      <c r="H80" s="93">
        <f t="shared" si="34"/>
        <v>8</v>
      </c>
      <c r="I80" s="86">
        <v>0</v>
      </c>
      <c r="J80" s="89">
        <f>J74+E80</f>
        <v>6.64</v>
      </c>
      <c r="K80" s="86">
        <v>0</v>
      </c>
      <c r="L80" s="89">
        <f>L74+E80</f>
        <v>4</v>
      </c>
      <c r="M80" s="86"/>
    </row>
    <row r="81" spans="2:22" ht="15" thickBot="1" x14ac:dyDescent="0.4">
      <c r="B81" s="455"/>
      <c r="C81" s="447"/>
      <c r="D81" s="98" t="s">
        <v>45</v>
      </c>
      <c r="E81" s="99">
        <f>SUM(E76:E80)</f>
        <v>0</v>
      </c>
      <c r="F81" s="107">
        <f t="shared" ref="F81" si="35">SUM(F76:F80)</f>
        <v>727</v>
      </c>
      <c r="G81" s="100">
        <f>SUM(G76:G80)</f>
        <v>722.58</v>
      </c>
      <c r="H81" s="100">
        <f t="shared" ref="H81:M81" si="36">SUM(H76:H80)</f>
        <v>722.58</v>
      </c>
      <c r="I81" s="100">
        <f t="shared" si="36"/>
        <v>0</v>
      </c>
      <c r="J81" s="102">
        <f t="shared" si="36"/>
        <v>606.52</v>
      </c>
      <c r="K81" s="100">
        <f t="shared" si="36"/>
        <v>0</v>
      </c>
      <c r="L81" s="102">
        <f t="shared" si="36"/>
        <v>554.78000000000009</v>
      </c>
      <c r="M81" s="100">
        <f t="shared" si="36"/>
        <v>0</v>
      </c>
    </row>
    <row r="82" spans="2:22" x14ac:dyDescent="0.35">
      <c r="B82" s="455"/>
      <c r="C82" s="445" t="s">
        <v>5</v>
      </c>
      <c r="D82" s="96" t="s">
        <v>38</v>
      </c>
      <c r="E82" s="85">
        <v>0</v>
      </c>
      <c r="F82" s="103">
        <f>F76+E82</f>
        <v>630</v>
      </c>
      <c r="G82" s="104">
        <f>G76+E82</f>
        <v>630</v>
      </c>
      <c r="H82" s="86">
        <f t="shared" ref="H82:H86" si="37">G82</f>
        <v>630</v>
      </c>
      <c r="I82" s="86">
        <v>0</v>
      </c>
      <c r="J82" s="89">
        <f>J76+E82</f>
        <v>579.6</v>
      </c>
      <c r="K82" s="86">
        <v>0</v>
      </c>
      <c r="L82" s="89">
        <f>L76+E82</f>
        <v>529.20000000000005</v>
      </c>
      <c r="M82" s="86"/>
    </row>
    <row r="83" spans="2:22" x14ac:dyDescent="0.35">
      <c r="B83" s="455"/>
      <c r="C83" s="446"/>
      <c r="D83" s="91" t="s">
        <v>40</v>
      </c>
      <c r="E83" s="92">
        <v>0</v>
      </c>
      <c r="F83" s="105">
        <f>F71</f>
        <v>26</v>
      </c>
      <c r="G83" s="104">
        <f>G77+E83</f>
        <v>21.58</v>
      </c>
      <c r="H83" s="86">
        <f t="shared" si="37"/>
        <v>21.58</v>
      </c>
      <c r="I83" s="93">
        <v>0</v>
      </c>
      <c r="J83" s="89">
        <f>J77+E83</f>
        <v>20.28</v>
      </c>
      <c r="K83" s="93">
        <v>0</v>
      </c>
      <c r="L83" s="89">
        <f>L77+E83</f>
        <v>21.58</v>
      </c>
      <c r="M83" s="93"/>
    </row>
    <row r="84" spans="2:22" x14ac:dyDescent="0.35">
      <c r="B84" s="455"/>
      <c r="C84" s="446"/>
      <c r="D84" s="96" t="s">
        <v>41</v>
      </c>
      <c r="E84" s="85">
        <v>0</v>
      </c>
      <c r="F84" s="103">
        <f>F72</f>
        <v>3</v>
      </c>
      <c r="G84" s="104">
        <f>G78+E84</f>
        <v>3</v>
      </c>
      <c r="H84" s="86">
        <f t="shared" si="37"/>
        <v>3</v>
      </c>
      <c r="I84" s="86"/>
      <c r="J84" s="89">
        <f>J78+E84</f>
        <v>0</v>
      </c>
      <c r="K84" s="86"/>
      <c r="L84" s="89">
        <f>L78+E84</f>
        <v>0</v>
      </c>
      <c r="M84" s="86"/>
    </row>
    <row r="85" spans="2:22" x14ac:dyDescent="0.35">
      <c r="B85" s="455"/>
      <c r="C85" s="446"/>
      <c r="D85" s="96" t="s">
        <v>42</v>
      </c>
      <c r="E85" s="85">
        <v>0</v>
      </c>
      <c r="F85" s="103">
        <f>F73</f>
        <v>60</v>
      </c>
      <c r="G85" s="104">
        <f>G79+E85</f>
        <v>60</v>
      </c>
      <c r="H85" s="86">
        <f t="shared" si="37"/>
        <v>60</v>
      </c>
      <c r="I85" s="86">
        <v>0</v>
      </c>
      <c r="J85" s="89">
        <f>J79+E85</f>
        <v>0</v>
      </c>
      <c r="K85" s="86"/>
      <c r="L85" s="89">
        <f>L79+E85</f>
        <v>0</v>
      </c>
      <c r="M85" s="86"/>
    </row>
    <row r="86" spans="2:22" x14ac:dyDescent="0.35">
      <c r="B86" s="455"/>
      <c r="C86" s="446"/>
      <c r="D86" s="96" t="s">
        <v>44</v>
      </c>
      <c r="E86" s="85">
        <v>0</v>
      </c>
      <c r="F86" s="103">
        <f>F74</f>
        <v>8</v>
      </c>
      <c r="G86" s="104">
        <f>G80+E86</f>
        <v>8</v>
      </c>
      <c r="H86" s="86">
        <f t="shared" si="37"/>
        <v>8</v>
      </c>
      <c r="I86" s="86">
        <v>0</v>
      </c>
      <c r="J86" s="89">
        <f>J80+E86</f>
        <v>6.64</v>
      </c>
      <c r="K86" s="86">
        <v>0</v>
      </c>
      <c r="L86" s="89">
        <f>L80+E86</f>
        <v>4</v>
      </c>
      <c r="M86" s="86"/>
    </row>
    <row r="87" spans="2:22" ht="15" thickBot="1" x14ac:dyDescent="0.4">
      <c r="B87" s="456"/>
      <c r="C87" s="448"/>
      <c r="D87" s="98" t="s">
        <v>45</v>
      </c>
      <c r="E87" s="99">
        <f>SUM(E82:E86)</f>
        <v>0</v>
      </c>
      <c r="F87" s="107">
        <f t="shared" ref="F87:M87" si="38">SUM(F82:F86)</f>
        <v>727</v>
      </c>
      <c r="G87" s="101">
        <f t="shared" si="38"/>
        <v>722.58</v>
      </c>
      <c r="H87" s="100">
        <f t="shared" si="38"/>
        <v>722.58</v>
      </c>
      <c r="I87" s="100">
        <f t="shared" si="38"/>
        <v>0</v>
      </c>
      <c r="J87" s="102">
        <f t="shared" si="38"/>
        <v>606.52</v>
      </c>
      <c r="K87" s="100">
        <f t="shared" si="38"/>
        <v>0</v>
      </c>
      <c r="L87" s="102">
        <f t="shared" si="38"/>
        <v>554.78000000000009</v>
      </c>
      <c r="M87" s="100">
        <f t="shared" si="38"/>
        <v>0</v>
      </c>
    </row>
    <row r="88" spans="2:22" x14ac:dyDescent="0.35">
      <c r="B88" s="442" t="s">
        <v>50</v>
      </c>
      <c r="C88" s="445" t="s">
        <v>3</v>
      </c>
      <c r="D88" s="84" t="s">
        <v>38</v>
      </c>
      <c r="E88" s="355">
        <f>$E$93*F88/$F$93</f>
        <v>62.297599999999996</v>
      </c>
      <c r="F88" s="334">
        <f>0.96*T89</f>
        <v>301.44</v>
      </c>
      <c r="G88" s="87"/>
      <c r="H88" s="88"/>
      <c r="I88" s="88"/>
      <c r="J88" s="89"/>
      <c r="K88" s="86"/>
      <c r="L88" s="89"/>
      <c r="M88" s="86"/>
      <c r="R88" s="248" t="s">
        <v>51</v>
      </c>
      <c r="T88" s="336"/>
      <c r="V88" s="177"/>
    </row>
    <row r="89" spans="2:22" x14ac:dyDescent="0.35">
      <c r="B89" s="443"/>
      <c r="C89" s="446"/>
      <c r="D89" s="91" t="s">
        <v>40</v>
      </c>
      <c r="E89" s="355">
        <f>$E$93*F89/$F$93</f>
        <v>2.5957333333333334</v>
      </c>
      <c r="F89" s="335">
        <f>0.04*T89</f>
        <v>12.56</v>
      </c>
      <c r="G89" s="94"/>
      <c r="H89" s="93"/>
      <c r="I89" s="93"/>
      <c r="J89" s="89"/>
      <c r="K89" s="93"/>
      <c r="L89" s="95"/>
      <c r="M89" s="93"/>
      <c r="R89" s="177" t="s">
        <v>52</v>
      </c>
      <c r="T89" s="336">
        <v>314</v>
      </c>
    </row>
    <row r="90" spans="2:22" x14ac:dyDescent="0.35">
      <c r="B90" s="443"/>
      <c r="C90" s="446"/>
      <c r="D90" s="96" t="s">
        <v>41</v>
      </c>
      <c r="E90" s="355">
        <f>$E$93*F90/$F$93</f>
        <v>0</v>
      </c>
      <c r="F90" s="334">
        <v>0</v>
      </c>
      <c r="G90" s="97"/>
      <c r="H90" s="86"/>
      <c r="I90" s="86"/>
      <c r="J90" s="89"/>
      <c r="K90" s="86"/>
      <c r="L90" s="89"/>
      <c r="M90" s="86"/>
      <c r="R90" s="177"/>
      <c r="T90" s="336"/>
    </row>
    <row r="91" spans="2:22" x14ac:dyDescent="0.35">
      <c r="B91" s="443"/>
      <c r="C91" s="446"/>
      <c r="D91" s="96" t="s">
        <v>42</v>
      </c>
      <c r="E91" s="355">
        <f>$E$93*F91/$F$93</f>
        <v>10.548266666666667</v>
      </c>
      <c r="F91" s="334">
        <f>0.88*T91</f>
        <v>51.04</v>
      </c>
      <c r="G91" s="97"/>
      <c r="H91" s="86"/>
      <c r="I91" s="86"/>
      <c r="J91" s="89"/>
      <c r="K91" s="86"/>
      <c r="L91" s="89"/>
      <c r="M91" s="86"/>
      <c r="R91" s="177" t="s">
        <v>53</v>
      </c>
      <c r="T91" s="336">
        <v>58</v>
      </c>
    </row>
    <row r="92" spans="2:22" x14ac:dyDescent="0.35">
      <c r="B92" s="443"/>
      <c r="C92" s="446"/>
      <c r="D92" s="96" t="s">
        <v>44</v>
      </c>
      <c r="E92" s="355">
        <f>$E$93*F92/$F$93</f>
        <v>1.4383999999999999</v>
      </c>
      <c r="F92" s="334">
        <f>0.12*T91</f>
        <v>6.96</v>
      </c>
      <c r="G92" s="97"/>
      <c r="H92" s="86"/>
      <c r="I92" s="86"/>
      <c r="J92" s="89"/>
      <c r="K92" s="86"/>
      <c r="L92" s="89"/>
      <c r="M92" s="86"/>
      <c r="T92" s="336"/>
    </row>
    <row r="93" spans="2:22" ht="15" thickBot="1" x14ac:dyDescent="0.4">
      <c r="B93" s="443"/>
      <c r="C93" s="447"/>
      <c r="D93" s="98" t="s">
        <v>45</v>
      </c>
      <c r="E93" s="354">
        <f>'%CEMSCPMSvs.testing_2137.12'!X8</f>
        <v>76.88</v>
      </c>
      <c r="F93" s="100">
        <f t="shared" ref="F93:M93" si="39">SUM(F88:F92)</f>
        <v>372</v>
      </c>
      <c r="G93" s="101"/>
      <c r="H93" s="100"/>
      <c r="I93" s="100"/>
      <c r="J93" s="102"/>
      <c r="K93" s="100"/>
      <c r="L93" s="102"/>
      <c r="M93" s="100">
        <f t="shared" si="39"/>
        <v>0</v>
      </c>
      <c r="R93" s="66">
        <f>G93-J93</f>
        <v>0</v>
      </c>
      <c r="S93" s="211">
        <f>F93-L93</f>
        <v>372</v>
      </c>
    </row>
    <row r="94" spans="2:22" x14ac:dyDescent="0.35">
      <c r="B94" s="443"/>
      <c r="C94" s="445" t="s">
        <v>4</v>
      </c>
      <c r="D94" s="96" t="s">
        <v>38</v>
      </c>
      <c r="E94" s="355">
        <f t="shared" ref="E94:E98" si="40">E88</f>
        <v>62.297599999999996</v>
      </c>
      <c r="F94" s="334">
        <f>F88</f>
        <v>301.44</v>
      </c>
      <c r="G94" s="89"/>
      <c r="H94" s="86"/>
      <c r="I94" s="86"/>
      <c r="J94" s="89"/>
      <c r="K94" s="86"/>
      <c r="L94" s="89"/>
      <c r="M94" s="86"/>
      <c r="R94">
        <f>R93*'Table 1c-Year 1'!F11</f>
        <v>0</v>
      </c>
    </row>
    <row r="95" spans="2:22" x14ac:dyDescent="0.35">
      <c r="B95" s="443"/>
      <c r="C95" s="446"/>
      <c r="D95" s="91" t="s">
        <v>40</v>
      </c>
      <c r="E95" s="355">
        <f t="shared" si="40"/>
        <v>2.5957333333333334</v>
      </c>
      <c r="F95" s="334">
        <f>F89</f>
        <v>12.56</v>
      </c>
      <c r="G95" s="89"/>
      <c r="H95" s="93"/>
      <c r="I95" s="93"/>
      <c r="J95" s="95"/>
      <c r="K95" s="93"/>
      <c r="L95" s="89"/>
      <c r="M95" s="93"/>
      <c r="R95">
        <f>R93*'Table 1c-Year 1'!F12</f>
        <v>0</v>
      </c>
    </row>
    <row r="96" spans="2:22" x14ac:dyDescent="0.35">
      <c r="B96" s="443"/>
      <c r="C96" s="446"/>
      <c r="D96" s="96" t="s">
        <v>41</v>
      </c>
      <c r="E96" s="355">
        <f t="shared" si="40"/>
        <v>0</v>
      </c>
      <c r="F96" s="334">
        <f>F90</f>
        <v>0</v>
      </c>
      <c r="G96" s="89"/>
      <c r="H96" s="93"/>
      <c r="I96" s="93"/>
      <c r="J96" s="95"/>
      <c r="K96" s="86"/>
      <c r="L96" s="89"/>
      <c r="M96" s="86"/>
    </row>
    <row r="97" spans="2:20" x14ac:dyDescent="0.35">
      <c r="B97" s="443"/>
      <c r="C97" s="446"/>
      <c r="D97" s="96" t="s">
        <v>42</v>
      </c>
      <c r="E97" s="355">
        <f t="shared" si="40"/>
        <v>10.548266666666667</v>
      </c>
      <c r="F97" s="334">
        <f>F91</f>
        <v>51.04</v>
      </c>
      <c r="G97" s="89"/>
      <c r="H97" s="93"/>
      <c r="I97" s="86"/>
      <c r="J97" s="95"/>
      <c r="K97" s="86"/>
      <c r="L97" s="89"/>
      <c r="M97" s="86"/>
    </row>
    <row r="98" spans="2:20" x14ac:dyDescent="0.35">
      <c r="B98" s="443"/>
      <c r="C98" s="446"/>
      <c r="D98" s="96" t="s">
        <v>44</v>
      </c>
      <c r="E98" s="355">
        <f t="shared" si="40"/>
        <v>1.4383999999999999</v>
      </c>
      <c r="F98" s="334">
        <f>F92</f>
        <v>6.96</v>
      </c>
      <c r="G98" s="89"/>
      <c r="H98" s="93"/>
      <c r="I98" s="86"/>
      <c r="J98" s="95"/>
      <c r="K98" s="86"/>
      <c r="L98" s="89"/>
      <c r="M98" s="86"/>
    </row>
    <row r="99" spans="2:20" ht="15" thickBot="1" x14ac:dyDescent="0.4">
      <c r="B99" s="443"/>
      <c r="C99" s="447"/>
      <c r="D99" s="98" t="s">
        <v>45</v>
      </c>
      <c r="E99" s="354">
        <f t="shared" ref="E99" si="41">SUM(E94:E98)</f>
        <v>76.88</v>
      </c>
      <c r="F99" s="107">
        <f t="shared" ref="F99" si="42">SUM(F94:F98)</f>
        <v>372</v>
      </c>
      <c r="G99" s="100"/>
      <c r="H99" s="100"/>
      <c r="I99" s="100"/>
      <c r="J99" s="102"/>
      <c r="K99" s="100"/>
      <c r="L99" s="102"/>
      <c r="M99" s="100">
        <f t="shared" ref="M99" si="43">SUM(M94:M98)</f>
        <v>0</v>
      </c>
      <c r="R99" s="66">
        <f>G99-J99</f>
        <v>0</v>
      </c>
      <c r="S99" s="211">
        <f>F99-L99</f>
        <v>372</v>
      </c>
    </row>
    <row r="100" spans="2:20" x14ac:dyDescent="0.35">
      <c r="B100" s="443"/>
      <c r="C100" s="445" t="s">
        <v>5</v>
      </c>
      <c r="D100" s="96" t="s">
        <v>38</v>
      </c>
      <c r="E100" s="355">
        <f t="shared" ref="E100:F104" si="44">E88</f>
        <v>62.297599999999996</v>
      </c>
      <c r="F100" s="334">
        <f t="shared" si="44"/>
        <v>301.44</v>
      </c>
      <c r="G100" s="89"/>
      <c r="H100" s="86"/>
      <c r="I100" s="86"/>
      <c r="J100" s="95"/>
      <c r="K100" s="86"/>
      <c r="L100" s="95"/>
      <c r="M100" s="86"/>
      <c r="R100">
        <f>R99*'Table 1c-Year 1'!F11</f>
        <v>0</v>
      </c>
    </row>
    <row r="101" spans="2:20" x14ac:dyDescent="0.35">
      <c r="B101" s="443"/>
      <c r="C101" s="446"/>
      <c r="D101" s="91" t="s">
        <v>40</v>
      </c>
      <c r="E101" s="355">
        <f t="shared" si="44"/>
        <v>2.5957333333333334</v>
      </c>
      <c r="F101" s="334">
        <f t="shared" si="44"/>
        <v>12.56</v>
      </c>
      <c r="G101" s="89"/>
      <c r="H101" s="86"/>
      <c r="I101" s="93"/>
      <c r="J101" s="95"/>
      <c r="K101" s="93"/>
      <c r="L101" s="95"/>
      <c r="M101" s="93"/>
      <c r="R101">
        <f>R93*'Table 1c-Year 1'!F11</f>
        <v>0</v>
      </c>
    </row>
    <row r="102" spans="2:20" x14ac:dyDescent="0.35">
      <c r="B102" s="443"/>
      <c r="C102" s="446"/>
      <c r="D102" s="96" t="s">
        <v>41</v>
      </c>
      <c r="E102" s="355">
        <f t="shared" si="44"/>
        <v>0</v>
      </c>
      <c r="F102" s="334">
        <f t="shared" si="44"/>
        <v>0</v>
      </c>
      <c r="G102" s="89"/>
      <c r="H102" s="86"/>
      <c r="I102" s="86"/>
      <c r="J102" s="95"/>
      <c r="K102" s="86"/>
      <c r="L102" s="95"/>
      <c r="M102" s="86"/>
    </row>
    <row r="103" spans="2:20" x14ac:dyDescent="0.35">
      <c r="B103" s="443"/>
      <c r="C103" s="446"/>
      <c r="D103" s="96" t="s">
        <v>42</v>
      </c>
      <c r="E103" s="355">
        <f t="shared" si="44"/>
        <v>10.548266666666667</v>
      </c>
      <c r="F103" s="334">
        <f t="shared" si="44"/>
        <v>51.04</v>
      </c>
      <c r="G103" s="89"/>
      <c r="H103" s="86"/>
      <c r="I103" s="86"/>
      <c r="J103" s="95"/>
      <c r="K103" s="86"/>
      <c r="L103" s="95"/>
      <c r="M103" s="86"/>
    </row>
    <row r="104" spans="2:20" x14ac:dyDescent="0.35">
      <c r="B104" s="443"/>
      <c r="C104" s="446"/>
      <c r="D104" s="96" t="s">
        <v>44</v>
      </c>
      <c r="E104" s="355">
        <f t="shared" si="44"/>
        <v>1.4383999999999999</v>
      </c>
      <c r="F104" s="334">
        <f t="shared" si="44"/>
        <v>6.96</v>
      </c>
      <c r="G104" s="89"/>
      <c r="H104" s="86"/>
      <c r="I104" s="86"/>
      <c r="J104" s="95"/>
      <c r="K104" s="86"/>
      <c r="L104" s="95"/>
      <c r="M104" s="86"/>
    </row>
    <row r="105" spans="2:20" ht="15" thickBot="1" x14ac:dyDescent="0.4">
      <c r="B105" s="444"/>
      <c r="C105" s="448"/>
      <c r="D105" s="98" t="s">
        <v>45</v>
      </c>
      <c r="E105" s="354">
        <f t="shared" ref="E105" si="45">SUM(E100:E104)</f>
        <v>76.88</v>
      </c>
      <c r="F105" s="107">
        <f t="shared" ref="F105:M105" si="46">SUM(F100:F104)</f>
        <v>372</v>
      </c>
      <c r="G105" s="101"/>
      <c r="H105" s="100"/>
      <c r="I105" s="100"/>
      <c r="J105" s="102"/>
      <c r="K105" s="100"/>
      <c r="L105" s="102"/>
      <c r="M105" s="100">
        <f t="shared" si="46"/>
        <v>0</v>
      </c>
    </row>
    <row r="106" spans="2:20" x14ac:dyDescent="0.35">
      <c r="B106" s="442" t="s">
        <v>54</v>
      </c>
      <c r="C106" s="445" t="s">
        <v>3</v>
      </c>
      <c r="D106" s="84" t="s">
        <v>38</v>
      </c>
      <c r="E106" s="355">
        <v>0</v>
      </c>
      <c r="F106" s="334">
        <f>0.96*T89</f>
        <v>301.44</v>
      </c>
      <c r="G106" s="87"/>
      <c r="H106" s="88"/>
      <c r="I106" s="88"/>
      <c r="J106" s="89"/>
      <c r="K106" s="86"/>
      <c r="L106" s="89"/>
      <c r="M106" s="86"/>
      <c r="R106" s="248" t="s">
        <v>55</v>
      </c>
      <c r="T106" s="336"/>
    </row>
    <row r="107" spans="2:20" x14ac:dyDescent="0.35">
      <c r="B107" s="443"/>
      <c r="C107" s="446"/>
      <c r="D107" s="91" t="s">
        <v>40</v>
      </c>
      <c r="E107" s="355">
        <v>0</v>
      </c>
      <c r="F107" s="335">
        <f>0.04*T107</f>
        <v>12.56</v>
      </c>
      <c r="G107" s="94"/>
      <c r="H107" s="93"/>
      <c r="I107" s="93"/>
      <c r="J107" s="89"/>
      <c r="K107" s="93"/>
      <c r="L107" s="95"/>
      <c r="M107" s="93"/>
      <c r="R107" s="177" t="s">
        <v>52</v>
      </c>
      <c r="T107" s="336">
        <v>314</v>
      </c>
    </row>
    <row r="108" spans="2:20" x14ac:dyDescent="0.35">
      <c r="B108" s="443"/>
      <c r="C108" s="446"/>
      <c r="D108" s="96" t="s">
        <v>41</v>
      </c>
      <c r="E108" s="355">
        <v>0</v>
      </c>
      <c r="F108" s="334">
        <v>0</v>
      </c>
      <c r="G108" s="97"/>
      <c r="H108" s="86"/>
      <c r="I108" s="86"/>
      <c r="J108" s="89"/>
      <c r="K108" s="86"/>
      <c r="L108" s="89"/>
      <c r="M108" s="86"/>
      <c r="R108" s="177"/>
      <c r="T108" s="336"/>
    </row>
    <row r="109" spans="2:20" x14ac:dyDescent="0.35">
      <c r="B109" s="443"/>
      <c r="C109" s="446"/>
      <c r="D109" s="96" t="s">
        <v>42</v>
      </c>
      <c r="E109" s="355">
        <v>0</v>
      </c>
      <c r="F109" s="334">
        <f>0.88*T109</f>
        <v>51.04</v>
      </c>
      <c r="G109" s="97"/>
      <c r="H109" s="86"/>
      <c r="I109" s="86"/>
      <c r="J109" s="89"/>
      <c r="K109" s="86"/>
      <c r="L109" s="89"/>
      <c r="M109" s="86"/>
      <c r="R109" s="177" t="s">
        <v>53</v>
      </c>
      <c r="T109" s="336">
        <v>58</v>
      </c>
    </row>
    <row r="110" spans="2:20" x14ac:dyDescent="0.35">
      <c r="B110" s="443"/>
      <c r="C110" s="446"/>
      <c r="D110" s="96" t="s">
        <v>44</v>
      </c>
      <c r="E110" s="355">
        <v>0</v>
      </c>
      <c r="F110" s="334">
        <f>0.12*T109</f>
        <v>6.96</v>
      </c>
      <c r="G110" s="97"/>
      <c r="H110" s="86"/>
      <c r="I110" s="86"/>
      <c r="J110" s="89"/>
      <c r="K110" s="86"/>
      <c r="L110" s="89"/>
      <c r="M110" s="86"/>
      <c r="T110" s="336"/>
    </row>
    <row r="111" spans="2:20" ht="15" thickBot="1" x14ac:dyDescent="0.4">
      <c r="B111" s="443"/>
      <c r="C111" s="447"/>
      <c r="D111" s="98" t="s">
        <v>45</v>
      </c>
      <c r="E111" s="354">
        <f>'%CEMSCPMSvs.testing_2137.13'!X8</f>
        <v>0</v>
      </c>
      <c r="F111" s="100">
        <f t="shared" ref="F111" si="47">SUM(F106:F110)</f>
        <v>372</v>
      </c>
      <c r="G111" s="101"/>
      <c r="H111" s="100"/>
      <c r="I111" s="100"/>
      <c r="J111" s="102"/>
      <c r="K111" s="100"/>
      <c r="L111" s="102"/>
      <c r="M111" s="100">
        <f t="shared" ref="M111" si="48">SUM(M106:M110)</f>
        <v>0</v>
      </c>
      <c r="R111" s="66">
        <f>G111-J111</f>
        <v>0</v>
      </c>
      <c r="S111" s="211">
        <f>F111-L111</f>
        <v>372</v>
      </c>
    </row>
    <row r="112" spans="2:20" x14ac:dyDescent="0.35">
      <c r="B112" s="443"/>
      <c r="C112" s="445" t="s">
        <v>4</v>
      </c>
      <c r="D112" s="96" t="s">
        <v>38</v>
      </c>
      <c r="E112" s="355">
        <f t="shared" ref="E112:E116" si="49">E106</f>
        <v>0</v>
      </c>
      <c r="F112" s="334">
        <f>F106</f>
        <v>301.44</v>
      </c>
      <c r="G112" s="89"/>
      <c r="H112" s="86"/>
      <c r="I112" s="86"/>
      <c r="J112" s="89"/>
      <c r="K112" s="86"/>
      <c r="L112" s="89"/>
      <c r="M112" s="86"/>
      <c r="R112">
        <f>R111*'Table 1c-Year 1'!F29</f>
        <v>0</v>
      </c>
    </row>
    <row r="113" spans="2:19" x14ac:dyDescent="0.35">
      <c r="B113" s="443"/>
      <c r="C113" s="446"/>
      <c r="D113" s="91" t="s">
        <v>40</v>
      </c>
      <c r="E113" s="355">
        <f t="shared" si="49"/>
        <v>0</v>
      </c>
      <c r="F113" s="334">
        <f>F107</f>
        <v>12.56</v>
      </c>
      <c r="G113" s="89"/>
      <c r="H113" s="93"/>
      <c r="I113" s="93"/>
      <c r="J113" s="95"/>
      <c r="K113" s="93"/>
      <c r="L113" s="89"/>
      <c r="M113" s="93"/>
      <c r="R113">
        <f>R111*'Table 1c-Year 1'!F30</f>
        <v>0</v>
      </c>
    </row>
    <row r="114" spans="2:19" x14ac:dyDescent="0.35">
      <c r="B114" s="443"/>
      <c r="C114" s="446"/>
      <c r="D114" s="96" t="s">
        <v>41</v>
      </c>
      <c r="E114" s="355">
        <f t="shared" si="49"/>
        <v>0</v>
      </c>
      <c r="F114" s="334">
        <f>F108</f>
        <v>0</v>
      </c>
      <c r="G114" s="89"/>
      <c r="H114" s="93"/>
      <c r="I114" s="93"/>
      <c r="J114" s="95"/>
      <c r="K114" s="86"/>
      <c r="L114" s="89"/>
      <c r="M114" s="86"/>
    </row>
    <row r="115" spans="2:19" x14ac:dyDescent="0.35">
      <c r="B115" s="443"/>
      <c r="C115" s="446"/>
      <c r="D115" s="96" t="s">
        <v>42</v>
      </c>
      <c r="E115" s="355">
        <f t="shared" si="49"/>
        <v>0</v>
      </c>
      <c r="F115" s="334">
        <f>F109</f>
        <v>51.04</v>
      </c>
      <c r="G115" s="89"/>
      <c r="H115" s="93"/>
      <c r="I115" s="86"/>
      <c r="J115" s="95"/>
      <c r="K115" s="86"/>
      <c r="L115" s="89"/>
      <c r="M115" s="86"/>
    </row>
    <row r="116" spans="2:19" x14ac:dyDescent="0.35">
      <c r="B116" s="443"/>
      <c r="C116" s="446"/>
      <c r="D116" s="96" t="s">
        <v>44</v>
      </c>
      <c r="E116" s="355">
        <f t="shared" si="49"/>
        <v>0</v>
      </c>
      <c r="F116" s="334">
        <f>F110</f>
        <v>6.96</v>
      </c>
      <c r="G116" s="89"/>
      <c r="H116" s="93"/>
      <c r="I116" s="86"/>
      <c r="J116" s="95"/>
      <c r="K116" s="86"/>
      <c r="L116" s="89"/>
      <c r="M116" s="86"/>
    </row>
    <row r="117" spans="2:19" ht="15" thickBot="1" x14ac:dyDescent="0.4">
      <c r="B117" s="443"/>
      <c r="C117" s="447"/>
      <c r="D117" s="98" t="s">
        <v>45</v>
      </c>
      <c r="E117" s="354">
        <f t="shared" ref="E117" si="50">SUM(E112:E116)</f>
        <v>0</v>
      </c>
      <c r="F117" s="107">
        <f t="shared" ref="F117" si="51">SUM(F112:F116)</f>
        <v>372</v>
      </c>
      <c r="G117" s="100"/>
      <c r="H117" s="100"/>
      <c r="I117" s="100"/>
      <c r="J117" s="102"/>
      <c r="K117" s="100"/>
      <c r="L117" s="102"/>
      <c r="M117" s="100">
        <f t="shared" ref="M117" si="52">SUM(M112:M116)</f>
        <v>0</v>
      </c>
      <c r="R117" s="66">
        <f>G117-J117</f>
        <v>0</v>
      </c>
      <c r="S117" s="211">
        <f>F117-L117</f>
        <v>372</v>
      </c>
    </row>
    <row r="118" spans="2:19" x14ac:dyDescent="0.35">
      <c r="B118" s="443"/>
      <c r="C118" s="445" t="s">
        <v>5</v>
      </c>
      <c r="D118" s="96" t="s">
        <v>38</v>
      </c>
      <c r="E118" s="355">
        <f t="shared" ref="E118:F118" si="53">E106</f>
        <v>0</v>
      </c>
      <c r="F118" s="334">
        <f t="shared" si="53"/>
        <v>301.44</v>
      </c>
      <c r="G118" s="89"/>
      <c r="H118" s="86"/>
      <c r="I118" s="86"/>
      <c r="J118" s="95"/>
      <c r="K118" s="86"/>
      <c r="L118" s="95"/>
      <c r="M118" s="86"/>
      <c r="R118">
        <f>R117*'Table 1c-Year 1'!F29</f>
        <v>0</v>
      </c>
    </row>
    <row r="119" spans="2:19" x14ac:dyDescent="0.35">
      <c r="B119" s="443"/>
      <c r="C119" s="446"/>
      <c r="D119" s="91" t="s">
        <v>40</v>
      </c>
      <c r="E119" s="355">
        <f t="shared" ref="E119:F119" si="54">E107</f>
        <v>0</v>
      </c>
      <c r="F119" s="334">
        <f t="shared" si="54"/>
        <v>12.56</v>
      </c>
      <c r="G119" s="89"/>
      <c r="H119" s="86"/>
      <c r="I119" s="93"/>
      <c r="J119" s="95"/>
      <c r="K119" s="93"/>
      <c r="L119" s="95"/>
      <c r="M119" s="93"/>
      <c r="R119">
        <f>R111*'Table 1c-Year 1'!F29</f>
        <v>0</v>
      </c>
    </row>
    <row r="120" spans="2:19" x14ac:dyDescent="0.35">
      <c r="B120" s="443"/>
      <c r="C120" s="446"/>
      <c r="D120" s="96" t="s">
        <v>41</v>
      </c>
      <c r="E120" s="355">
        <f t="shared" ref="E120:F120" si="55">E108</f>
        <v>0</v>
      </c>
      <c r="F120" s="334">
        <f t="shared" si="55"/>
        <v>0</v>
      </c>
      <c r="G120" s="89"/>
      <c r="H120" s="86"/>
      <c r="I120" s="86"/>
      <c r="J120" s="95"/>
      <c r="K120" s="86"/>
      <c r="L120" s="95"/>
      <c r="M120" s="86"/>
    </row>
    <row r="121" spans="2:19" x14ac:dyDescent="0.35">
      <c r="B121" s="443"/>
      <c r="C121" s="446"/>
      <c r="D121" s="96" t="s">
        <v>42</v>
      </c>
      <c r="E121" s="355">
        <f t="shared" ref="E121:F121" si="56">E109</f>
        <v>0</v>
      </c>
      <c r="F121" s="334">
        <f t="shared" si="56"/>
        <v>51.04</v>
      </c>
      <c r="G121" s="89"/>
      <c r="H121" s="86"/>
      <c r="I121" s="86"/>
      <c r="J121" s="95"/>
      <c r="K121" s="86"/>
      <c r="L121" s="95"/>
      <c r="M121" s="86"/>
    </row>
    <row r="122" spans="2:19" x14ac:dyDescent="0.35">
      <c r="B122" s="443"/>
      <c r="C122" s="446"/>
      <c r="D122" s="96" t="s">
        <v>44</v>
      </c>
      <c r="E122" s="355">
        <f t="shared" ref="E122:F122" si="57">E110</f>
        <v>0</v>
      </c>
      <c r="F122" s="334">
        <f t="shared" si="57"/>
        <v>6.96</v>
      </c>
      <c r="G122" s="89"/>
      <c r="H122" s="86"/>
      <c r="I122" s="86"/>
      <c r="J122" s="95"/>
      <c r="K122" s="86"/>
      <c r="L122" s="95"/>
      <c r="M122" s="86"/>
    </row>
    <row r="123" spans="2:19" ht="15" thickBot="1" x14ac:dyDescent="0.4">
      <c r="B123" s="444"/>
      <c r="C123" s="448"/>
      <c r="D123" s="98" t="s">
        <v>45</v>
      </c>
      <c r="E123" s="354">
        <f t="shared" ref="E123" si="58">SUM(E118:E122)</f>
        <v>0</v>
      </c>
      <c r="F123" s="107">
        <f t="shared" ref="F123" si="59">SUM(F118:F122)</f>
        <v>372</v>
      </c>
      <c r="G123" s="101"/>
      <c r="H123" s="100"/>
      <c r="I123" s="100"/>
      <c r="J123" s="102"/>
      <c r="K123" s="100"/>
      <c r="L123" s="102"/>
      <c r="M123" s="100">
        <f t="shared" ref="M123" si="60">SUM(M118:M122)</f>
        <v>0</v>
      </c>
    </row>
    <row r="125" spans="2:19" x14ac:dyDescent="0.35">
      <c r="E125" t="s">
        <v>3</v>
      </c>
      <c r="F125" t="s">
        <v>56</v>
      </c>
      <c r="G125" s="66">
        <f>'Table 1a-Year 1'!J112+'Table 1b-Year 1'!J110</f>
        <v>141.36000000000001</v>
      </c>
      <c r="J125" s="66">
        <f>'Table 1a-Year 1'!J113+'Table 1b-Year 1'!J111</f>
        <v>308.76000000000005</v>
      </c>
      <c r="L125" s="66">
        <f>'Table 1a-Year 1'!J114+'Table 1b-Year 1'!J112</f>
        <v>282.72000000000003</v>
      </c>
    </row>
    <row r="127" spans="2:19" x14ac:dyDescent="0.35">
      <c r="F127" t="s">
        <v>57</v>
      </c>
      <c r="G127" s="362">
        <f>'Table 1c-Year 1'!E10</f>
        <v>192</v>
      </c>
      <c r="I127" s="361">
        <f>G127*'Table 1c-Year 2'!$F$11</f>
        <v>159.94434782608695</v>
      </c>
      <c r="J127" s="248" t="s">
        <v>58</v>
      </c>
    </row>
    <row r="128" spans="2:19" x14ac:dyDescent="0.35">
      <c r="I128" s="361">
        <f>G127*'Table 1c-Year 2'!$F$12</f>
        <v>32.055652173913046</v>
      </c>
      <c r="J128" s="248" t="s">
        <v>59</v>
      </c>
    </row>
    <row r="129" spans="3:12" x14ac:dyDescent="0.35">
      <c r="F129" t="s">
        <v>60</v>
      </c>
      <c r="G129" s="379">
        <f>F93/G127</f>
        <v>1.9375</v>
      </c>
      <c r="J129" t="s">
        <v>61</v>
      </c>
    </row>
    <row r="131" spans="3:12" ht="29" x14ac:dyDescent="0.35">
      <c r="C131" s="364" t="s">
        <v>62</v>
      </c>
      <c r="D131" s="361">
        <f>E111</f>
        <v>0</v>
      </c>
    </row>
    <row r="132" spans="3:12" x14ac:dyDescent="0.35">
      <c r="D132" s="248"/>
    </row>
    <row r="133" spans="3:12" x14ac:dyDescent="0.35">
      <c r="D133" s="361">
        <f>D131*'Table 1c-Year 2'!$F$11</f>
        <v>0</v>
      </c>
      <c r="E133" t="s">
        <v>58</v>
      </c>
      <c r="G133" s="361"/>
      <c r="J133" s="361"/>
      <c r="L133" s="361"/>
    </row>
    <row r="134" spans="3:12" x14ac:dyDescent="0.35">
      <c r="D134" s="361">
        <f>D131*'Table 1c-Year 2'!$F$12</f>
        <v>0</v>
      </c>
      <c r="E134" t="s">
        <v>59</v>
      </c>
      <c r="G134" s="361"/>
      <c r="J134" s="361"/>
      <c r="L134" s="361"/>
    </row>
    <row r="135" spans="3:12" x14ac:dyDescent="0.35">
      <c r="D135" t="s">
        <v>63</v>
      </c>
      <c r="E135" t="s">
        <v>64</v>
      </c>
    </row>
    <row r="137" spans="3:12" x14ac:dyDescent="0.35">
      <c r="G137" s="361"/>
      <c r="J137" s="361"/>
      <c r="L137" s="361"/>
    </row>
    <row r="138" spans="3:12" x14ac:dyDescent="0.35">
      <c r="G138" s="361"/>
      <c r="J138" s="361"/>
      <c r="L138" s="361"/>
    </row>
    <row r="139" spans="3:12" ht="72.5" x14ac:dyDescent="0.35">
      <c r="C139" s="364" t="s">
        <v>65</v>
      </c>
      <c r="D139" s="363">
        <f>E123/G129</f>
        <v>0</v>
      </c>
    </row>
    <row r="141" spans="3:12" x14ac:dyDescent="0.35">
      <c r="D141" s="361">
        <f>D139*'Table 1c-Year 2'!$F$11</f>
        <v>0</v>
      </c>
      <c r="E141" s="248" t="s">
        <v>58</v>
      </c>
      <c r="G141" s="361"/>
      <c r="J141" s="361"/>
      <c r="L141" s="361"/>
    </row>
    <row r="142" spans="3:12" x14ac:dyDescent="0.35">
      <c r="D142" s="361">
        <f>D139*'Table 1c-Year 2'!$F$12</f>
        <v>0</v>
      </c>
      <c r="E142" s="248" t="s">
        <v>59</v>
      </c>
      <c r="G142" s="361"/>
      <c r="J142" s="361"/>
      <c r="L142" s="361"/>
    </row>
    <row r="143" spans="3:12" x14ac:dyDescent="0.35">
      <c r="D143" t="s">
        <v>63</v>
      </c>
      <c r="E143" t="s">
        <v>61</v>
      </c>
    </row>
    <row r="146" spans="3:5" ht="29" x14ac:dyDescent="0.35">
      <c r="C146" s="364" t="s">
        <v>66</v>
      </c>
      <c r="D146" s="363">
        <f>F93</f>
        <v>372</v>
      </c>
    </row>
    <row r="148" spans="3:5" x14ac:dyDescent="0.35">
      <c r="D148" s="361">
        <f>D146*'Table 1c-Year 2'!$F$11</f>
        <v>309.89217391304345</v>
      </c>
      <c r="E148" s="248" t="s">
        <v>58</v>
      </c>
    </row>
    <row r="149" spans="3:5" x14ac:dyDescent="0.35">
      <c r="D149" s="361">
        <f>D146*'Table 1c-Year 2'!$F$12</f>
        <v>62.107826086956528</v>
      </c>
      <c r="E149" s="248" t="s">
        <v>59</v>
      </c>
    </row>
    <row r="150" spans="3:5" x14ac:dyDescent="0.35">
      <c r="D150" t="s">
        <v>67</v>
      </c>
      <c r="E150" t="s">
        <v>68</v>
      </c>
    </row>
  </sheetData>
  <mergeCells count="41">
    <mergeCell ref="C64:C69"/>
    <mergeCell ref="B34:B51"/>
    <mergeCell ref="B52:B69"/>
    <mergeCell ref="B7:C7"/>
    <mergeCell ref="C46:C51"/>
    <mergeCell ref="C34:C39"/>
    <mergeCell ref="C40:C45"/>
    <mergeCell ref="S4:U4"/>
    <mergeCell ref="S9:U9"/>
    <mergeCell ref="J9:L9"/>
    <mergeCell ref="B21:B25"/>
    <mergeCell ref="B27:C27"/>
    <mergeCell ref="D9:F9"/>
    <mergeCell ref="C9:C10"/>
    <mergeCell ref="J4:L4"/>
    <mergeCell ref="G4:I4"/>
    <mergeCell ref="D4:F4"/>
    <mergeCell ref="B4:C5"/>
    <mergeCell ref="B6:C6"/>
    <mergeCell ref="B11:B15"/>
    <mergeCell ref="R32:R33"/>
    <mergeCell ref="B9:B10"/>
    <mergeCell ref="B16:B20"/>
    <mergeCell ref="C32:C33"/>
    <mergeCell ref="G9:I9"/>
    <mergeCell ref="B106:B123"/>
    <mergeCell ref="C106:C111"/>
    <mergeCell ref="C112:C117"/>
    <mergeCell ref="C118:C123"/>
    <mergeCell ref="N32:O32"/>
    <mergeCell ref="G32:I32"/>
    <mergeCell ref="B88:B105"/>
    <mergeCell ref="C88:C93"/>
    <mergeCell ref="C94:C99"/>
    <mergeCell ref="C100:C105"/>
    <mergeCell ref="B70:B87"/>
    <mergeCell ref="C70:C75"/>
    <mergeCell ref="C76:C81"/>
    <mergeCell ref="C82:C87"/>
    <mergeCell ref="C52:C57"/>
    <mergeCell ref="C58:C63"/>
  </mergeCell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812CC-EC87-4B0D-A9C8-EAC9B8EB2A53}">
  <dimension ref="A1:S20"/>
  <sheetViews>
    <sheetView workbookViewId="0">
      <selection activeCell="E12" sqref="E12"/>
    </sheetView>
  </sheetViews>
  <sheetFormatPr defaultRowHeight="14.5" x14ac:dyDescent="0.35"/>
  <cols>
    <col min="1" max="1" width="23.453125" customWidth="1"/>
    <col min="2" max="2" width="12.26953125" customWidth="1"/>
    <col min="3" max="3" width="10.453125" bestFit="1" customWidth="1"/>
    <col min="4" max="4" width="18.1796875" customWidth="1"/>
    <col min="5" max="5" width="11.26953125" customWidth="1"/>
    <col min="6" max="6" width="15" customWidth="1"/>
    <col min="7" max="8" width="16.453125" customWidth="1"/>
    <col min="9" max="9" width="14.54296875" customWidth="1"/>
  </cols>
  <sheetData>
    <row r="1" spans="1:19" ht="16" thickBot="1" x14ac:dyDescent="0.4">
      <c r="A1" s="133" t="s">
        <v>205</v>
      </c>
      <c r="S1" s="250"/>
    </row>
    <row r="2" spans="1:19" ht="41.25" customHeight="1" thickBot="1" x14ac:dyDescent="0.4">
      <c r="A2" s="513" t="s">
        <v>206</v>
      </c>
      <c r="B2" s="515" t="s">
        <v>207</v>
      </c>
      <c r="C2" s="521" t="s">
        <v>208</v>
      </c>
      <c r="D2" s="522"/>
      <c r="E2" s="523"/>
      <c r="F2" s="513" t="s">
        <v>209</v>
      </c>
      <c r="G2" s="515" t="s">
        <v>210</v>
      </c>
      <c r="H2" s="515" t="s">
        <v>211</v>
      </c>
      <c r="I2" s="515" t="s">
        <v>168</v>
      </c>
      <c r="J2" s="189"/>
      <c r="S2" s="182"/>
    </row>
    <row r="3" spans="1:19" ht="15" thickBot="1" x14ac:dyDescent="0.4">
      <c r="A3" s="514"/>
      <c r="B3" s="516"/>
      <c r="C3" s="190" t="s">
        <v>212</v>
      </c>
      <c r="D3" s="190" t="s">
        <v>213</v>
      </c>
      <c r="E3" s="190" t="s">
        <v>45</v>
      </c>
      <c r="F3" s="514"/>
      <c r="G3" s="516"/>
      <c r="H3" s="516"/>
      <c r="I3" s="516"/>
    </row>
    <row r="4" spans="1:19" ht="15" thickBot="1" x14ac:dyDescent="0.4">
      <c r="A4" s="191" t="s">
        <v>214</v>
      </c>
      <c r="B4" s="192">
        <f>$F$11*'Annual Responses-Year 1'!F26</f>
        <v>1310.8438956521738</v>
      </c>
      <c r="C4" s="192">
        <f>SUM('Table 1a-Year 1'!I51:K51)</f>
        <v>141570.23379600004</v>
      </c>
      <c r="D4" s="192">
        <f>SUM('Table 1a-Year 1'!I68:K68)</f>
        <v>9408.3263999999981</v>
      </c>
      <c r="E4" s="199">
        <f>(+D4+C4)</f>
        <v>150978.56019600003</v>
      </c>
      <c r="F4" s="200">
        <f>'Table 1a-Year 1'!L69</f>
        <v>22800000</v>
      </c>
      <c r="G4" s="402">
        <f>'Table 1a-Year 1'!H104</f>
        <v>3557727.1761166397</v>
      </c>
      <c r="H4" s="200">
        <f>('Table 1a-Year 1'!K115)</f>
        <v>37553039.296698608</v>
      </c>
      <c r="I4" s="200">
        <f>SUM(F4:H4)</f>
        <v>63910766.472815245</v>
      </c>
      <c r="M4" s="177"/>
    </row>
    <row r="5" spans="1:19" ht="15" thickBot="1" x14ac:dyDescent="0.4">
      <c r="A5" s="191" t="s">
        <v>215</v>
      </c>
      <c r="B5" s="203">
        <f>$F$12*'Annual Responses-Year 1'!F26</f>
        <v>262.7161043478261</v>
      </c>
      <c r="C5" s="192">
        <f>SUM('Table 1b-Year 1'!I51:K51)</f>
        <v>28373.15750400001</v>
      </c>
      <c r="D5" s="192">
        <f>SUM('Table 1b-Year 1'!I68:K68)</f>
        <v>1885.5936000000004</v>
      </c>
      <c r="E5" s="199">
        <f>(+D5+C5)</f>
        <v>30258.75110400001</v>
      </c>
      <c r="F5" s="200">
        <f>'Table 1b-Year 1'!L69</f>
        <v>1700000</v>
      </c>
      <c r="G5" s="402">
        <f>'Table 1b-Year 1'!H102</f>
        <v>713030.91629895079</v>
      </c>
      <c r="H5" s="200">
        <f>'Table 1b-Year 1'!K113</f>
        <v>7526287.6252256082</v>
      </c>
      <c r="I5" s="200">
        <f>SUM(F5:H5)</f>
        <v>9939318.5415245593</v>
      </c>
      <c r="M5" s="177"/>
    </row>
    <row r="6" spans="1:19" ht="15" thickBot="1" x14ac:dyDescent="0.4">
      <c r="A6" s="193" t="s">
        <v>216</v>
      </c>
      <c r="B6" s="371">
        <f>+B4+B5</f>
        <v>1573.56</v>
      </c>
      <c r="C6" s="371">
        <f>+C4+C5</f>
        <v>169943.39130000005</v>
      </c>
      <c r="D6" s="371">
        <f>+D4+D5</f>
        <v>11293.919999999998</v>
      </c>
      <c r="E6" s="371">
        <f>+E4+E5</f>
        <v>181237.31130000006</v>
      </c>
      <c r="F6" s="202">
        <f t="shared" ref="F6:I6" si="0">+F4+F5</f>
        <v>24500000</v>
      </c>
      <c r="G6" s="202">
        <f t="shared" si="0"/>
        <v>4270758.0924155908</v>
      </c>
      <c r="H6" s="202">
        <f t="shared" si="0"/>
        <v>45079326.921924219</v>
      </c>
      <c r="I6" s="202">
        <f t="shared" si="0"/>
        <v>73850085.014339805</v>
      </c>
      <c r="J6" s="211">
        <f>E6/B6</f>
        <v>115.17661309387634</v>
      </c>
      <c r="K6" t="s">
        <v>217</v>
      </c>
      <c r="M6" s="177"/>
    </row>
    <row r="7" spans="1:19" x14ac:dyDescent="0.35">
      <c r="A7" t="s">
        <v>218</v>
      </c>
    </row>
    <row r="9" spans="1:19" x14ac:dyDescent="0.35">
      <c r="A9" s="517" t="s">
        <v>219</v>
      </c>
      <c r="B9" s="518"/>
      <c r="C9" s="204" t="s">
        <v>220</v>
      </c>
      <c r="D9" s="519" t="s">
        <v>221</v>
      </c>
      <c r="E9" s="520"/>
      <c r="F9" s="207" t="s">
        <v>220</v>
      </c>
    </row>
    <row r="10" spans="1:19" x14ac:dyDescent="0.35">
      <c r="A10" s="205" t="s">
        <v>222</v>
      </c>
      <c r="B10" s="204">
        <f>575</f>
        <v>575</v>
      </c>
      <c r="C10" s="204"/>
      <c r="D10" s="208" t="s">
        <v>223</v>
      </c>
      <c r="E10" s="339">
        <f>157+35</f>
        <v>192</v>
      </c>
      <c r="F10" s="209"/>
      <c r="G10" s="237">
        <f>314+58</f>
        <v>372</v>
      </c>
      <c r="H10" s="237"/>
      <c r="I10" s="340"/>
      <c r="J10" s="68"/>
      <c r="L10">
        <f>322/709</f>
        <v>0.45416078984485192</v>
      </c>
      <c r="M10">
        <f>L10*422</f>
        <v>191.65585331452752</v>
      </c>
    </row>
    <row r="11" spans="1:19" x14ac:dyDescent="0.35">
      <c r="A11" s="204" t="s">
        <v>224</v>
      </c>
      <c r="B11" s="204">
        <f>B10-B12</f>
        <v>479</v>
      </c>
      <c r="C11" s="206">
        <f>B11/B10</f>
        <v>0.83304347826086955</v>
      </c>
      <c r="D11" s="195" t="s">
        <v>225</v>
      </c>
      <c r="E11" s="196">
        <f>E10*F11</f>
        <v>159.94434782608695</v>
      </c>
      <c r="F11" s="197">
        <v>0.83304347826086955</v>
      </c>
      <c r="G11" s="211">
        <f>F11*G10</f>
        <v>309.89217391304345</v>
      </c>
      <c r="H11" s="211"/>
    </row>
    <row r="12" spans="1:19" x14ac:dyDescent="0.35">
      <c r="A12" s="204" t="s">
        <v>226</v>
      </c>
      <c r="B12" s="204">
        <v>96</v>
      </c>
      <c r="C12" s="206">
        <f>B12/B10</f>
        <v>0.16695652173913045</v>
      </c>
      <c r="D12" s="195" t="s">
        <v>227</v>
      </c>
      <c r="E12" s="198">
        <f>E10*F12</f>
        <v>32.055652173913046</v>
      </c>
      <c r="F12" s="197">
        <v>0.16695652173913045</v>
      </c>
      <c r="G12" s="211">
        <f>G10*F12</f>
        <v>62.107826086956528</v>
      </c>
      <c r="H12" s="211"/>
    </row>
    <row r="14" spans="1:19" x14ac:dyDescent="0.35">
      <c r="A14" s="91"/>
      <c r="B14" s="241"/>
      <c r="C14" s="241"/>
      <c r="D14" s="241"/>
      <c r="E14" s="241">
        <f>G10/E10</f>
        <v>1.9375</v>
      </c>
      <c r="F14" s="241" t="s">
        <v>228</v>
      </c>
    </row>
    <row r="15" spans="1:19" x14ac:dyDescent="0.35">
      <c r="A15" s="242"/>
      <c r="B15" s="241"/>
      <c r="C15" s="241"/>
      <c r="D15" s="241"/>
      <c r="E15" s="241"/>
      <c r="F15" s="241"/>
    </row>
    <row r="16" spans="1:19" x14ac:dyDescent="0.35">
      <c r="A16" s="96"/>
      <c r="B16" s="241"/>
      <c r="C16" s="241"/>
      <c r="D16" s="241"/>
      <c r="E16" s="241"/>
      <c r="F16" s="241"/>
    </row>
    <row r="17" spans="1:6" x14ac:dyDescent="0.35">
      <c r="A17" s="91"/>
      <c r="B17" s="241"/>
      <c r="C17" s="241"/>
      <c r="D17" s="241"/>
      <c r="E17" s="241"/>
      <c r="F17" s="241"/>
    </row>
    <row r="18" spans="1:6" x14ac:dyDescent="0.35">
      <c r="A18" s="96"/>
      <c r="B18" s="241"/>
      <c r="C18" s="241"/>
      <c r="D18" s="241"/>
      <c r="E18" s="241"/>
      <c r="F18" s="241"/>
    </row>
    <row r="19" spans="1:6" x14ac:dyDescent="0.35">
      <c r="A19" s="96"/>
      <c r="B19" s="241"/>
      <c r="C19" s="241"/>
      <c r="D19" s="241"/>
      <c r="E19" s="241"/>
      <c r="F19" s="241"/>
    </row>
    <row r="20" spans="1:6" x14ac:dyDescent="0.35">
      <c r="A20" s="96"/>
      <c r="B20" s="241"/>
      <c r="C20" s="241"/>
      <c r="D20" s="241"/>
      <c r="E20" s="241"/>
      <c r="F20" s="241"/>
    </row>
  </sheetData>
  <mergeCells count="9">
    <mergeCell ref="F2:F3"/>
    <mergeCell ref="G2:G3"/>
    <mergeCell ref="I2:I3"/>
    <mergeCell ref="A9:B9"/>
    <mergeCell ref="D9:E9"/>
    <mergeCell ref="A2:A3"/>
    <mergeCell ref="B2:B3"/>
    <mergeCell ref="C2:E2"/>
    <mergeCell ref="H2:H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0"/>
  <sheetViews>
    <sheetView workbookViewId="0">
      <selection activeCell="G6" sqref="G6"/>
    </sheetView>
  </sheetViews>
  <sheetFormatPr defaultRowHeight="14.5" x14ac:dyDescent="0.35"/>
  <cols>
    <col min="1" max="1" width="23.453125" customWidth="1"/>
    <col min="2" max="2" width="12.26953125" customWidth="1"/>
    <col min="3" max="3" width="11" bestFit="1" customWidth="1"/>
    <col min="4" max="4" width="18.1796875" customWidth="1"/>
    <col min="5" max="5" width="11.26953125" customWidth="1"/>
    <col min="6" max="6" width="15" customWidth="1"/>
    <col min="7" max="8" width="16.453125" customWidth="1"/>
    <col min="9" max="9" width="14.54296875" customWidth="1"/>
  </cols>
  <sheetData>
    <row r="1" spans="1:19" ht="16" thickBot="1" x14ac:dyDescent="0.4">
      <c r="A1" s="133" t="s">
        <v>205</v>
      </c>
      <c r="S1" s="250"/>
    </row>
    <row r="2" spans="1:19" ht="41.25" customHeight="1" thickBot="1" x14ac:dyDescent="0.4">
      <c r="A2" s="513" t="s">
        <v>206</v>
      </c>
      <c r="B2" s="515" t="s">
        <v>207</v>
      </c>
      <c r="C2" s="521" t="s">
        <v>208</v>
      </c>
      <c r="D2" s="522"/>
      <c r="E2" s="523"/>
      <c r="F2" s="513" t="s">
        <v>209</v>
      </c>
      <c r="G2" s="515" t="s">
        <v>210</v>
      </c>
      <c r="H2" s="515" t="s">
        <v>211</v>
      </c>
      <c r="I2" s="515" t="s">
        <v>168</v>
      </c>
      <c r="J2" s="189"/>
      <c r="S2" s="182"/>
    </row>
    <row r="3" spans="1:19" ht="15" thickBot="1" x14ac:dyDescent="0.4">
      <c r="A3" s="514"/>
      <c r="B3" s="516"/>
      <c r="C3" s="190" t="s">
        <v>212</v>
      </c>
      <c r="D3" s="190" t="s">
        <v>213</v>
      </c>
      <c r="E3" s="190" t="s">
        <v>45</v>
      </c>
      <c r="F3" s="514"/>
      <c r="G3" s="516"/>
      <c r="H3" s="516"/>
      <c r="I3" s="516"/>
    </row>
    <row r="4" spans="1:19" ht="15" thickBot="1" x14ac:dyDescent="0.4">
      <c r="A4" s="191" t="s">
        <v>214</v>
      </c>
      <c r="B4" s="192">
        <f>$F$11*'Annual Responses-Year 2'!F26</f>
        <v>1310.8438956521738</v>
      </c>
      <c r="C4" s="192">
        <f>(SUM('Table 1a-Year 2'!I51:K51))</f>
        <v>141570.23379600004</v>
      </c>
      <c r="D4" s="192">
        <f>SUM('Table 1a-Year 2'!I68:K68)</f>
        <v>9408.3263999999981</v>
      </c>
      <c r="E4" s="199">
        <f>(+D4+C4)</f>
        <v>150978.56019600003</v>
      </c>
      <c r="F4" s="200">
        <f>'Table 1a-Year 2'!L69</f>
        <v>22800000</v>
      </c>
      <c r="G4" s="200">
        <f>'Table 1a-Year 2'!H104</f>
        <v>3557727.1761166397</v>
      </c>
      <c r="H4" s="200">
        <f>'Table 1a-Year 2'!K115</f>
        <v>37553039.296698608</v>
      </c>
      <c r="I4" s="200">
        <f>SUM(F4:H4)</f>
        <v>63910766.472815245</v>
      </c>
      <c r="M4" s="177"/>
    </row>
    <row r="5" spans="1:19" ht="15" thickBot="1" x14ac:dyDescent="0.4">
      <c r="A5" s="191" t="s">
        <v>215</v>
      </c>
      <c r="B5" s="203">
        <f>$F$12*'Annual Responses-Year 2'!F26</f>
        <v>262.7161043478261</v>
      </c>
      <c r="C5" s="192">
        <f>(SUM('Table 1b-Year 2'!I51:K51))</f>
        <v>28373.15750400001</v>
      </c>
      <c r="D5" s="192">
        <f>SUM('Table 1b-Year 2'!I68:K68)</f>
        <v>1885.5936000000004</v>
      </c>
      <c r="E5" s="199">
        <f>(+D5+C5)</f>
        <v>30258.75110400001</v>
      </c>
      <c r="F5" s="200">
        <f>'Table 1b-Year 2'!L69</f>
        <v>1700000</v>
      </c>
      <c r="G5" s="200">
        <f>'Table 1b-Year 2'!H102</f>
        <v>713030.91629895079</v>
      </c>
      <c r="H5" s="200">
        <f>'Table 1b-Year 2'!K113</f>
        <v>7526287.6252256082</v>
      </c>
      <c r="I5" s="200">
        <f>SUM(F5:H5)</f>
        <v>9939318.5415245593</v>
      </c>
      <c r="M5" s="177"/>
    </row>
    <row r="6" spans="1:19" ht="15" thickBot="1" x14ac:dyDescent="0.4">
      <c r="A6" s="193" t="s">
        <v>216</v>
      </c>
      <c r="B6" s="371">
        <f>+B4+B5</f>
        <v>1573.56</v>
      </c>
      <c r="C6" s="371">
        <f>+C4+C5</f>
        <v>169943.39130000005</v>
      </c>
      <c r="D6" s="371">
        <f>+D4+D5</f>
        <v>11293.919999999998</v>
      </c>
      <c r="E6" s="371">
        <f>+E4+E5</f>
        <v>181237.31130000006</v>
      </c>
      <c r="F6" s="202">
        <f t="shared" ref="F6:I6" si="0">+F4+F5</f>
        <v>24500000</v>
      </c>
      <c r="G6" s="202">
        <f t="shared" si="0"/>
        <v>4270758.0924155908</v>
      </c>
      <c r="H6" s="202">
        <f t="shared" si="0"/>
        <v>45079326.921924219</v>
      </c>
      <c r="I6" s="202">
        <f t="shared" si="0"/>
        <v>73850085.014339805</v>
      </c>
      <c r="J6" s="211">
        <f>E6/B6</f>
        <v>115.17661309387634</v>
      </c>
      <c r="K6" t="s">
        <v>217</v>
      </c>
      <c r="M6" s="177"/>
    </row>
    <row r="7" spans="1:19" x14ac:dyDescent="0.35">
      <c r="A7" t="s">
        <v>218</v>
      </c>
    </row>
    <row r="9" spans="1:19" x14ac:dyDescent="0.35">
      <c r="A9" s="517" t="s">
        <v>219</v>
      </c>
      <c r="B9" s="518"/>
      <c r="C9" s="204" t="s">
        <v>220</v>
      </c>
      <c r="D9" s="519" t="s">
        <v>221</v>
      </c>
      <c r="E9" s="520"/>
      <c r="F9" s="207" t="s">
        <v>220</v>
      </c>
    </row>
    <row r="10" spans="1:19" x14ac:dyDescent="0.35">
      <c r="A10" s="205" t="s">
        <v>222</v>
      </c>
      <c r="B10" s="204">
        <f>575</f>
        <v>575</v>
      </c>
      <c r="C10" s="204"/>
      <c r="D10" s="208" t="s">
        <v>223</v>
      </c>
      <c r="E10" s="339">
        <f>157+35</f>
        <v>192</v>
      </c>
      <c r="F10" s="209"/>
      <c r="G10" s="237">
        <f>314+58</f>
        <v>372</v>
      </c>
      <c r="H10" s="237"/>
      <c r="I10" s="340"/>
      <c r="J10" s="68"/>
      <c r="L10">
        <f>322/709</f>
        <v>0.45416078984485192</v>
      </c>
      <c r="M10">
        <f>L10*422</f>
        <v>191.65585331452752</v>
      </c>
    </row>
    <row r="11" spans="1:19" x14ac:dyDescent="0.35">
      <c r="A11" s="204" t="s">
        <v>224</v>
      </c>
      <c r="B11" s="204">
        <f>B10-B12</f>
        <v>479</v>
      </c>
      <c r="C11" s="206">
        <f>B11/B10</f>
        <v>0.83304347826086955</v>
      </c>
      <c r="D11" s="195" t="s">
        <v>225</v>
      </c>
      <c r="E11" s="196">
        <f>E10*F11</f>
        <v>159.94434782608695</v>
      </c>
      <c r="F11" s="197">
        <v>0.83304347826086955</v>
      </c>
      <c r="G11" s="211">
        <f>F11*G10</f>
        <v>309.89217391304345</v>
      </c>
      <c r="H11" s="211"/>
    </row>
    <row r="12" spans="1:19" x14ac:dyDescent="0.35">
      <c r="A12" s="204" t="s">
        <v>226</v>
      </c>
      <c r="B12" s="204">
        <v>96</v>
      </c>
      <c r="C12" s="206">
        <f>B12/B10</f>
        <v>0.16695652173913045</v>
      </c>
      <c r="D12" s="195" t="s">
        <v>227</v>
      </c>
      <c r="E12" s="198">
        <f>E10*F12</f>
        <v>32.055652173913046</v>
      </c>
      <c r="F12" s="197">
        <v>0.16695652173913045</v>
      </c>
      <c r="G12" s="211">
        <f>G10*F12</f>
        <v>62.107826086956528</v>
      </c>
      <c r="H12" s="211"/>
    </row>
    <row r="14" spans="1:19" x14ac:dyDescent="0.35">
      <c r="A14" s="91"/>
      <c r="B14" s="241"/>
      <c r="C14" s="241"/>
      <c r="D14" s="241"/>
      <c r="E14" s="241">
        <f>G10/E10</f>
        <v>1.9375</v>
      </c>
      <c r="F14" s="241" t="s">
        <v>228</v>
      </c>
    </row>
    <row r="15" spans="1:19" x14ac:dyDescent="0.35">
      <c r="A15" s="242"/>
      <c r="B15" s="241"/>
      <c r="C15" s="241"/>
      <c r="D15" s="241"/>
      <c r="E15" s="241"/>
      <c r="F15" s="241"/>
    </row>
    <row r="16" spans="1:19" x14ac:dyDescent="0.35">
      <c r="A16" s="96"/>
      <c r="B16" s="241"/>
      <c r="C16" s="241"/>
      <c r="D16" s="241"/>
      <c r="E16" s="241"/>
      <c r="F16" s="241"/>
    </row>
    <row r="17" spans="1:6" x14ac:dyDescent="0.35">
      <c r="A17" s="91"/>
      <c r="B17" s="241"/>
      <c r="C17" s="241"/>
      <c r="D17" s="241"/>
      <c r="E17" s="241"/>
      <c r="F17" s="241"/>
    </row>
    <row r="18" spans="1:6" x14ac:dyDescent="0.35">
      <c r="A18" s="96"/>
      <c r="B18" s="241"/>
      <c r="C18" s="241"/>
      <c r="D18" s="241"/>
      <c r="E18" s="241"/>
      <c r="F18" s="241"/>
    </row>
    <row r="19" spans="1:6" x14ac:dyDescent="0.35">
      <c r="A19" s="96"/>
      <c r="B19" s="241"/>
      <c r="C19" s="241"/>
      <c r="D19" s="241"/>
      <c r="E19" s="241"/>
      <c r="F19" s="241"/>
    </row>
    <row r="20" spans="1:6" x14ac:dyDescent="0.35">
      <c r="A20" s="96"/>
      <c r="B20" s="241"/>
      <c r="C20" s="241"/>
      <c r="D20" s="241"/>
      <c r="E20" s="241"/>
      <c r="F20" s="241"/>
    </row>
  </sheetData>
  <mergeCells count="9">
    <mergeCell ref="I2:I3"/>
    <mergeCell ref="F2:F3"/>
    <mergeCell ref="G2:G3"/>
    <mergeCell ref="A9:B9"/>
    <mergeCell ref="D9:E9"/>
    <mergeCell ref="A2:A3"/>
    <mergeCell ref="B2:B3"/>
    <mergeCell ref="C2:E2"/>
    <mergeCell ref="H2:H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B4789-93CA-4CE8-9FC5-6C5AB62384F2}">
  <dimension ref="A1:S20"/>
  <sheetViews>
    <sheetView workbookViewId="0">
      <selection activeCell="G6" sqref="G6"/>
    </sheetView>
  </sheetViews>
  <sheetFormatPr defaultRowHeight="14.5" x14ac:dyDescent="0.35"/>
  <cols>
    <col min="1" max="1" width="23.453125" customWidth="1"/>
    <col min="2" max="2" width="12.26953125" customWidth="1"/>
    <col min="3" max="3" width="10.453125" bestFit="1" customWidth="1"/>
    <col min="4" max="4" width="18.1796875" customWidth="1"/>
    <col min="5" max="5" width="11.26953125" customWidth="1"/>
    <col min="6" max="6" width="15" customWidth="1"/>
    <col min="7" max="8" width="16.453125" customWidth="1"/>
    <col min="9" max="9" width="14.54296875" customWidth="1"/>
  </cols>
  <sheetData>
    <row r="1" spans="1:19" ht="16" thickBot="1" x14ac:dyDescent="0.4">
      <c r="A1" s="133" t="s">
        <v>205</v>
      </c>
      <c r="S1" s="250"/>
    </row>
    <row r="2" spans="1:19" ht="41.25" customHeight="1" thickBot="1" x14ac:dyDescent="0.4">
      <c r="A2" s="513" t="s">
        <v>206</v>
      </c>
      <c r="B2" s="515" t="s">
        <v>207</v>
      </c>
      <c r="C2" s="521" t="s">
        <v>208</v>
      </c>
      <c r="D2" s="522"/>
      <c r="E2" s="523"/>
      <c r="F2" s="513" t="s">
        <v>209</v>
      </c>
      <c r="G2" s="515" t="s">
        <v>210</v>
      </c>
      <c r="H2" s="515" t="s">
        <v>211</v>
      </c>
      <c r="I2" s="515" t="s">
        <v>168</v>
      </c>
      <c r="J2" s="189"/>
      <c r="S2" s="182"/>
    </row>
    <row r="3" spans="1:19" ht="15" thickBot="1" x14ac:dyDescent="0.4">
      <c r="A3" s="514"/>
      <c r="B3" s="516"/>
      <c r="C3" s="190" t="s">
        <v>212</v>
      </c>
      <c r="D3" s="190" t="s">
        <v>213</v>
      </c>
      <c r="E3" s="190" t="s">
        <v>45</v>
      </c>
      <c r="F3" s="514"/>
      <c r="G3" s="516"/>
      <c r="H3" s="516"/>
      <c r="I3" s="516"/>
    </row>
    <row r="4" spans="1:19" ht="15" thickBot="1" x14ac:dyDescent="0.4">
      <c r="A4" s="191" t="s">
        <v>214</v>
      </c>
      <c r="B4" s="192">
        <f>$F$11*'Annual Responses-Year 3'!F26</f>
        <v>1310.8438956521738</v>
      </c>
      <c r="C4" s="192">
        <f>(SUM('Table 1a-Year 3'!I51:K51))</f>
        <v>141570.23379600004</v>
      </c>
      <c r="D4" s="192">
        <f>(SUM('Table 1a-Year 3'!I68:K68))</f>
        <v>9408.3263999999981</v>
      </c>
      <c r="E4" s="199">
        <f>(+D4+C4)</f>
        <v>150978.56019600003</v>
      </c>
      <c r="F4" s="200">
        <f>'Table 1a-Year 3'!L69</f>
        <v>22800000</v>
      </c>
      <c r="G4" s="200">
        <f>'Table 1a-Year 3'!H104</f>
        <v>3557727.1761166397</v>
      </c>
      <c r="H4" s="200">
        <f>'Table 1a-Year 3'!K115</f>
        <v>37553039.296698608</v>
      </c>
      <c r="I4" s="200">
        <f>SUM(F4:H4)</f>
        <v>63910766.472815245</v>
      </c>
      <c r="M4" s="177"/>
    </row>
    <row r="5" spans="1:19" ht="15" thickBot="1" x14ac:dyDescent="0.4">
      <c r="A5" s="191" t="s">
        <v>215</v>
      </c>
      <c r="B5" s="203">
        <f>$F$12*'Annual Responses-Year 3'!F26</f>
        <v>262.7161043478261</v>
      </c>
      <c r="C5" s="192">
        <f>(SUM('Table 1b-Year 3'!I51:K51))</f>
        <v>28373.15750400001</v>
      </c>
      <c r="D5" s="192">
        <f>SUM('Table 1b-Year 3'!I68:K68)</f>
        <v>1885.5936000000004</v>
      </c>
      <c r="E5" s="199">
        <f>(+D5+C5)</f>
        <v>30258.75110400001</v>
      </c>
      <c r="F5" s="200">
        <f>'Table 1b-Year 3'!L69</f>
        <v>1700000</v>
      </c>
      <c r="G5" s="200">
        <f>'Table 1b-Year 3'!H102</f>
        <v>713030.91629895079</v>
      </c>
      <c r="H5" s="200">
        <f>'Table 1b-Year 3'!K113</f>
        <v>7526287.6252256082</v>
      </c>
      <c r="I5" s="200">
        <f>SUM(F5:H5)</f>
        <v>9939318.5415245593</v>
      </c>
      <c r="M5" s="177"/>
    </row>
    <row r="6" spans="1:19" ht="15" thickBot="1" x14ac:dyDescent="0.4">
      <c r="A6" s="193" t="s">
        <v>216</v>
      </c>
      <c r="B6" s="194">
        <f>+B4+B5</f>
        <v>1573.56</v>
      </c>
      <c r="C6" s="194">
        <f>+C4+C5</f>
        <v>169943.39130000005</v>
      </c>
      <c r="D6" s="194">
        <f>+D4+D5</f>
        <v>11293.919999999998</v>
      </c>
      <c r="E6" s="194">
        <f>+E4+E5</f>
        <v>181237.31130000006</v>
      </c>
      <c r="F6" s="202">
        <f t="shared" ref="F6:I6" si="0">+F4+F5</f>
        <v>24500000</v>
      </c>
      <c r="G6" s="202">
        <f t="shared" si="0"/>
        <v>4270758.0924155908</v>
      </c>
      <c r="H6" s="202">
        <f t="shared" si="0"/>
        <v>45079326.921924219</v>
      </c>
      <c r="I6" s="202">
        <f t="shared" si="0"/>
        <v>73850085.014339805</v>
      </c>
      <c r="J6" s="211">
        <f>E6/B6</f>
        <v>115.17661309387634</v>
      </c>
      <c r="K6" t="s">
        <v>217</v>
      </c>
      <c r="M6" s="177"/>
    </row>
    <row r="7" spans="1:19" x14ac:dyDescent="0.35">
      <c r="A7" t="s">
        <v>218</v>
      </c>
    </row>
    <row r="9" spans="1:19" x14ac:dyDescent="0.35">
      <c r="A9" s="517" t="s">
        <v>219</v>
      </c>
      <c r="B9" s="518"/>
      <c r="C9" s="204" t="s">
        <v>220</v>
      </c>
      <c r="D9" s="519" t="s">
        <v>221</v>
      </c>
      <c r="E9" s="520"/>
      <c r="F9" s="207" t="s">
        <v>220</v>
      </c>
    </row>
    <row r="10" spans="1:19" x14ac:dyDescent="0.35">
      <c r="A10" s="205" t="s">
        <v>222</v>
      </c>
      <c r="B10" s="204">
        <f>575</f>
        <v>575</v>
      </c>
      <c r="C10" s="204"/>
      <c r="D10" s="208" t="s">
        <v>223</v>
      </c>
      <c r="E10" s="339">
        <f>157+35</f>
        <v>192</v>
      </c>
      <c r="F10" s="209"/>
      <c r="G10" s="237">
        <f>314+58</f>
        <v>372</v>
      </c>
      <c r="H10" s="237"/>
      <c r="I10" s="340"/>
      <c r="J10" s="68"/>
    </row>
    <row r="11" spans="1:19" x14ac:dyDescent="0.35">
      <c r="A11" s="204" t="s">
        <v>224</v>
      </c>
      <c r="B11" s="204">
        <f>B10-B12</f>
        <v>479</v>
      </c>
      <c r="C11" s="206">
        <f>B11/B10</f>
        <v>0.83304347826086955</v>
      </c>
      <c r="D11" s="195" t="s">
        <v>225</v>
      </c>
      <c r="E11" s="196">
        <f>E10*F11</f>
        <v>159.94434782608695</v>
      </c>
      <c r="F11" s="197">
        <v>0.83304347826086955</v>
      </c>
      <c r="G11" s="211">
        <f>F11*G10</f>
        <v>309.89217391304345</v>
      </c>
      <c r="H11" s="211"/>
    </row>
    <row r="12" spans="1:19" x14ac:dyDescent="0.35">
      <c r="A12" s="204" t="s">
        <v>226</v>
      </c>
      <c r="B12" s="204">
        <v>96</v>
      </c>
      <c r="C12" s="206">
        <f>B12/B10</f>
        <v>0.16695652173913045</v>
      </c>
      <c r="D12" s="195" t="s">
        <v>227</v>
      </c>
      <c r="E12" s="198">
        <f>E10*F12</f>
        <v>32.055652173913046</v>
      </c>
      <c r="F12" s="197">
        <v>0.16695652173913045</v>
      </c>
      <c r="G12" s="211">
        <f>G10*F12</f>
        <v>62.107826086956528</v>
      </c>
      <c r="H12" s="211"/>
    </row>
    <row r="14" spans="1:19" x14ac:dyDescent="0.35">
      <c r="A14" s="91"/>
      <c r="B14" s="241"/>
      <c r="C14" s="241"/>
      <c r="D14" s="241"/>
      <c r="E14" s="241">
        <f>G10/E10</f>
        <v>1.9375</v>
      </c>
      <c r="F14" s="241" t="s">
        <v>228</v>
      </c>
    </row>
    <row r="15" spans="1:19" x14ac:dyDescent="0.35">
      <c r="A15" s="242"/>
      <c r="B15" s="241"/>
      <c r="C15" s="241"/>
      <c r="D15" s="241"/>
      <c r="E15" s="241"/>
      <c r="F15" s="241"/>
    </row>
    <row r="16" spans="1:19" x14ac:dyDescent="0.35">
      <c r="A16" s="96"/>
      <c r="B16" s="241"/>
      <c r="C16" s="241"/>
      <c r="D16" s="241"/>
      <c r="E16" s="241"/>
      <c r="F16" s="241"/>
    </row>
    <row r="17" spans="1:6" x14ac:dyDescent="0.35">
      <c r="A17" s="91"/>
      <c r="B17" s="241"/>
      <c r="C17" s="241"/>
      <c r="D17" s="241"/>
      <c r="E17" s="241"/>
      <c r="F17" s="241"/>
    </row>
    <row r="18" spans="1:6" x14ac:dyDescent="0.35">
      <c r="A18" s="96"/>
      <c r="B18" s="241"/>
      <c r="C18" s="241"/>
      <c r="D18" s="241"/>
      <c r="E18" s="241"/>
      <c r="F18" s="241"/>
    </row>
    <row r="19" spans="1:6" x14ac:dyDescent="0.35">
      <c r="A19" s="96"/>
      <c r="B19" s="241"/>
      <c r="C19" s="241"/>
      <c r="D19" s="241"/>
      <c r="E19" s="241"/>
      <c r="F19" s="241"/>
    </row>
    <row r="20" spans="1:6" x14ac:dyDescent="0.35">
      <c r="A20" s="96"/>
      <c r="B20" s="241"/>
      <c r="C20" s="241"/>
      <c r="D20" s="241"/>
      <c r="E20" s="241"/>
      <c r="F20" s="241"/>
    </row>
  </sheetData>
  <mergeCells count="9">
    <mergeCell ref="F2:F3"/>
    <mergeCell ref="G2:G3"/>
    <mergeCell ref="I2:I3"/>
    <mergeCell ref="A9:B9"/>
    <mergeCell ref="D9:E9"/>
    <mergeCell ref="A2:A3"/>
    <mergeCell ref="B2:B3"/>
    <mergeCell ref="C2:E2"/>
    <mergeCell ref="H2:H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DBA4B-0950-41A2-8FB3-7AF99D8B6DE3}">
  <sheetPr>
    <tabColor rgb="FF92D050"/>
  </sheetPr>
  <dimension ref="A1:T20"/>
  <sheetViews>
    <sheetView topLeftCell="C1" workbookViewId="0">
      <selection activeCell="N2" sqref="N2"/>
    </sheetView>
  </sheetViews>
  <sheetFormatPr defaultRowHeight="14.5" x14ac:dyDescent="0.35"/>
  <cols>
    <col min="1" max="1" width="23.453125" customWidth="1"/>
    <col min="2" max="2" width="12.26953125" customWidth="1"/>
    <col min="3" max="3" width="12.453125" bestFit="1" customWidth="1"/>
    <col min="4" max="4" width="18.1796875" customWidth="1"/>
    <col min="5" max="5" width="11.26953125" customWidth="1"/>
    <col min="6" max="6" width="15" customWidth="1"/>
    <col min="7" max="8" width="16.453125" customWidth="1"/>
    <col min="9" max="9" width="17.26953125" customWidth="1"/>
    <col min="14" max="14" width="13.453125" bestFit="1" customWidth="1"/>
    <col min="15" max="15" width="12.26953125" bestFit="1" customWidth="1"/>
    <col min="16" max="16" width="13.453125" bestFit="1" customWidth="1"/>
    <col min="18" max="18" width="22.54296875" bestFit="1" customWidth="1"/>
    <col min="19" max="20" width="13.453125" bestFit="1" customWidth="1"/>
  </cols>
  <sheetData>
    <row r="1" spans="1:20" ht="16" thickBot="1" x14ac:dyDescent="0.4">
      <c r="A1" s="133" t="s">
        <v>205</v>
      </c>
      <c r="R1" s="250"/>
    </row>
    <row r="2" spans="1:20" ht="41.25" customHeight="1" thickBot="1" x14ac:dyDescent="0.4">
      <c r="A2" s="513" t="s">
        <v>206</v>
      </c>
      <c r="B2" s="515" t="s">
        <v>207</v>
      </c>
      <c r="C2" s="521" t="s">
        <v>208</v>
      </c>
      <c r="D2" s="522"/>
      <c r="E2" s="523"/>
      <c r="F2" s="513" t="s">
        <v>209</v>
      </c>
      <c r="G2" s="515" t="s">
        <v>210</v>
      </c>
      <c r="H2" s="515" t="s">
        <v>211</v>
      </c>
      <c r="I2" s="515" t="s">
        <v>168</v>
      </c>
      <c r="J2" s="189"/>
      <c r="N2" t="s">
        <v>229</v>
      </c>
      <c r="R2" t="s">
        <v>230</v>
      </c>
    </row>
    <row r="3" spans="1:20" ht="15" thickBot="1" x14ac:dyDescent="0.4">
      <c r="A3" s="514"/>
      <c r="B3" s="516"/>
      <c r="C3" s="190" t="s">
        <v>212</v>
      </c>
      <c r="D3" s="190" t="s">
        <v>213</v>
      </c>
      <c r="E3" s="190" t="s">
        <v>45</v>
      </c>
      <c r="F3" s="514"/>
      <c r="G3" s="516"/>
      <c r="H3" s="516"/>
      <c r="I3" s="516"/>
      <c r="N3" t="s">
        <v>184</v>
      </c>
      <c r="O3" t="s">
        <v>231</v>
      </c>
      <c r="P3" t="s">
        <v>45</v>
      </c>
      <c r="R3" t="s">
        <v>184</v>
      </c>
      <c r="S3" t="s">
        <v>231</v>
      </c>
      <c r="T3" t="s">
        <v>232</v>
      </c>
    </row>
    <row r="4" spans="1:20" ht="15" thickBot="1" x14ac:dyDescent="0.4">
      <c r="A4" s="191" t="s">
        <v>214</v>
      </c>
      <c r="B4" s="192">
        <f>AVERAGE('Table 1c-Year 1'!B4,'Table 1c-Year 2'!B4,'Table 1c-Year 3'!B4)</f>
        <v>1310.8438956521738</v>
      </c>
      <c r="C4" s="369">
        <f>ROUND(AVERAGE('Table 1c-Year 1'!C4,'Table 1c-Year 2'!C4,'Table 1c-Year 3'!C4),-3)</f>
        <v>142000</v>
      </c>
      <c r="D4" s="369">
        <f>ROUND(AVERAGE('Table 1c-Year 1'!D4,'Table 1c-Year 2'!D4,'Table 1c-Year 3'!D4),-2)</f>
        <v>9400</v>
      </c>
      <c r="E4" s="199">
        <f>ROUND(+D4+C4,-3)</f>
        <v>151000</v>
      </c>
      <c r="F4" s="370">
        <f>ROUND(AVERAGE('Table 1c-Year 1'!F4,'Table 1c-Year 2'!F4,'Table 1c-Year 3'!F4),-5)</f>
        <v>22800000</v>
      </c>
      <c r="G4" s="370">
        <f>ROUND(AVERAGE('Table 1c-Year 1'!G4,'Table 1c-Year 2'!G4,'Table 1c-Year 3'!G4),-5)</f>
        <v>3600000</v>
      </c>
      <c r="H4" s="370">
        <f>ROUND(AVERAGE('Table 1c-Year 1'!H4,'Table 1c-Year 2'!H4,'Table 1c-Year 3'!H4),-5)</f>
        <v>37600000</v>
      </c>
      <c r="I4" s="400">
        <f>ROUND(AVERAGE('Table 1c-Year 1'!I4,'Table 1c-Year 2'!I4,'Table 1c-Year 3'!I4),-5)</f>
        <v>63900000</v>
      </c>
      <c r="M4" s="177"/>
      <c r="N4" s="416">
        <f>F4-'[2]Table 1c-Avg'!F4</f>
        <v>-26300000</v>
      </c>
      <c r="O4" s="416">
        <f>G4+H4-'[2]Table 1c-Avg'!H4-'[2]Table 1c-Avg'!G4</f>
        <v>-3300000</v>
      </c>
      <c r="P4" s="416">
        <f>I4-'[2]Table 1c-Avg'!I4</f>
        <v>-29700000</v>
      </c>
      <c r="R4" s="416">
        <f>F4-'[3]Table 1c'!$F$4</f>
        <v>-1900000</v>
      </c>
      <c r="S4" s="416">
        <f>G4+H4-'[3]Table 1c'!$G$4</f>
        <v>-43600000</v>
      </c>
      <c r="T4" s="416">
        <f>I4-'[3]Table 1c'!H4</f>
        <v>-46100000</v>
      </c>
    </row>
    <row r="5" spans="1:20" ht="15" thickBot="1" x14ac:dyDescent="0.4">
      <c r="A5" s="191" t="s">
        <v>215</v>
      </c>
      <c r="B5" s="203">
        <f>AVERAGE('Table 1c-Year 1'!B5,'Table 1c-Year 2'!B5,'Table 1c-Year 3'!B5)</f>
        <v>262.7161043478261</v>
      </c>
      <c r="C5" s="369">
        <f>ROUND(AVERAGE('Table 1c-Year 1'!C5,'Table 1c-Year 2'!C5,'Table 1c-Year 3'!C5),-2)</f>
        <v>28400</v>
      </c>
      <c r="D5" s="369">
        <f>ROUND(AVERAGE('Table 1c-Year 1'!D5,'Table 1c-Year 2'!D5,'Table 1c-Year 3'!D5),-2)</f>
        <v>1900</v>
      </c>
      <c r="E5" s="199">
        <f>ROUND(+D5+C5,-3)</f>
        <v>30000</v>
      </c>
      <c r="F5" s="370">
        <f>ROUND(AVERAGE('Table 1c-Year 1'!F5,'Table 1c-Year 2'!F5,'Table 1c-Year 3'!F5),-5)</f>
        <v>1700000</v>
      </c>
      <c r="G5" s="370">
        <f>ROUND(AVERAGE('Table 1c-Year 1'!G5,'Table 1c-Year 2'!G5,'Table 1c-Year 3'!G5),-5)</f>
        <v>700000</v>
      </c>
      <c r="H5" s="370">
        <f>ROUND(AVERAGE('Table 1c-Year 1'!H5,'Table 1c-Year 2'!H5,'Table 1c-Year 3'!H5),-5)</f>
        <v>7500000</v>
      </c>
      <c r="I5" s="400">
        <f>ROUND(AVERAGE('Table 1c-Year 1'!I5,'Table 1c-Year 2'!I5,'Table 1c-Year 3'!I5),-5)</f>
        <v>9900000</v>
      </c>
      <c r="M5" s="177"/>
      <c r="N5" s="416">
        <f>F5-'[2]Table 1c-Avg'!F5</f>
        <v>-2300000</v>
      </c>
      <c r="O5" s="416">
        <f>G5+H5-'[2]Table 1c-Avg'!H5-'[2]Table 1c-Avg'!G5</f>
        <v>-700000</v>
      </c>
      <c r="P5" s="416">
        <f>I5-'[2]Table 1c-Avg'!I5</f>
        <v>-3100000</v>
      </c>
      <c r="R5" s="416">
        <f>F5-'[3]Table 1c'!$F$5</f>
        <v>-400000</v>
      </c>
      <c r="S5" s="416">
        <f>G5+H5-'[3]Table 1c'!$G$5</f>
        <v>-8800000</v>
      </c>
      <c r="T5" s="416">
        <f>I5-'[3]Table 1c'!H5</f>
        <v>-9200000</v>
      </c>
    </row>
    <row r="6" spans="1:20" ht="15" thickBot="1" x14ac:dyDescent="0.4">
      <c r="A6" s="193" t="s">
        <v>216</v>
      </c>
      <c r="B6" s="194">
        <f>+B4+B5</f>
        <v>1573.56</v>
      </c>
      <c r="C6" s="194">
        <f>ROUND(+C4+C5,-3)</f>
        <v>170000</v>
      </c>
      <c r="D6" s="194">
        <f>ROUND(+D4+D5,-2)</f>
        <v>11300</v>
      </c>
      <c r="E6" s="201">
        <f>ROUND(+E4+E5,-3)</f>
        <v>181000</v>
      </c>
      <c r="F6" s="383">
        <f>ROUND((+F4+F5),-5)</f>
        <v>24500000</v>
      </c>
      <c r="G6" s="383">
        <f>ROUND((+G4+G5),-5)</f>
        <v>4300000</v>
      </c>
      <c r="H6" s="383">
        <f>ROUND((+H4+H5),-5)</f>
        <v>45100000</v>
      </c>
      <c r="I6" s="404">
        <f>ROUND((+I4+I5),-5)</f>
        <v>73800000</v>
      </c>
      <c r="J6" s="211">
        <f>E6/B6</f>
        <v>115.02580136759958</v>
      </c>
      <c r="K6" t="s">
        <v>217</v>
      </c>
      <c r="M6" s="177"/>
      <c r="N6" s="416">
        <f>F6-'[2]Table 1c-Avg'!F6</f>
        <v>-28600000</v>
      </c>
      <c r="O6" s="416">
        <f>G6+H6-'[2]Table 1c-Avg'!H6-'[2]Table 1c-Avg'!G6</f>
        <v>-4000000</v>
      </c>
      <c r="P6" s="416">
        <f>I6-'[2]Table 1c-Avg'!I6</f>
        <v>-32800000</v>
      </c>
      <c r="R6" s="416">
        <f>F6-'[3]Table 1c'!$F$6</f>
        <v>-2300000</v>
      </c>
      <c r="S6" s="416">
        <f>G6+H6-'[3]Table 1c'!G6</f>
        <v>-52600000</v>
      </c>
      <c r="T6" s="416">
        <f>I6-'[3]Table 1c'!H6</f>
        <v>-55200000</v>
      </c>
    </row>
    <row r="7" spans="1:20" x14ac:dyDescent="0.35">
      <c r="A7" t="s">
        <v>218</v>
      </c>
    </row>
    <row r="9" spans="1:20" x14ac:dyDescent="0.35">
      <c r="A9" s="517" t="s">
        <v>219</v>
      </c>
      <c r="B9" s="518"/>
      <c r="C9" s="204" t="s">
        <v>220</v>
      </c>
      <c r="D9" s="519" t="s">
        <v>221</v>
      </c>
      <c r="E9" s="520"/>
      <c r="F9" s="207" t="s">
        <v>220</v>
      </c>
    </row>
    <row r="10" spans="1:20" x14ac:dyDescent="0.35">
      <c r="A10" s="205" t="s">
        <v>222</v>
      </c>
      <c r="B10" s="204">
        <f>575</f>
        <v>575</v>
      </c>
      <c r="C10" s="204"/>
      <c r="D10" s="208" t="s">
        <v>223</v>
      </c>
      <c r="E10" s="339">
        <f>157+35</f>
        <v>192</v>
      </c>
      <c r="F10" s="209"/>
      <c r="G10" s="237">
        <f>314+58</f>
        <v>372</v>
      </c>
      <c r="H10" s="237"/>
      <c r="I10" s="340"/>
      <c r="J10" s="68"/>
      <c r="L10">
        <f>322/709</f>
        <v>0.45416078984485192</v>
      </c>
      <c r="M10">
        <f>L10*422</f>
        <v>191.65585331452752</v>
      </c>
    </row>
    <row r="11" spans="1:20" x14ac:dyDescent="0.35">
      <c r="A11" s="204" t="s">
        <v>224</v>
      </c>
      <c r="B11" s="204">
        <f>B10-B12</f>
        <v>479</v>
      </c>
      <c r="C11" s="206">
        <f>B11/B10</f>
        <v>0.83304347826086955</v>
      </c>
      <c r="D11" s="195" t="s">
        <v>225</v>
      </c>
      <c r="E11" s="196">
        <f>E10*F11</f>
        <v>159.94434782608695</v>
      </c>
      <c r="F11" s="401">
        <v>0.83304347826086955</v>
      </c>
      <c r="G11" s="211">
        <f>F11*G10</f>
        <v>309.89217391304345</v>
      </c>
      <c r="H11" s="211"/>
    </row>
    <row r="12" spans="1:20" x14ac:dyDescent="0.35">
      <c r="A12" s="204" t="s">
        <v>226</v>
      </c>
      <c r="B12" s="204">
        <v>96</v>
      </c>
      <c r="C12" s="206">
        <f>B12/B10</f>
        <v>0.16695652173913045</v>
      </c>
      <c r="D12" s="195" t="s">
        <v>227</v>
      </c>
      <c r="E12" s="198">
        <f>E10*F12</f>
        <v>32.055652173913046</v>
      </c>
      <c r="F12" s="401">
        <v>0.16695652173913045</v>
      </c>
      <c r="G12" s="211">
        <f>G10*F12</f>
        <v>62.107826086956528</v>
      </c>
      <c r="H12" s="211"/>
    </row>
    <row r="14" spans="1:20" x14ac:dyDescent="0.35">
      <c r="A14" s="91"/>
      <c r="B14" s="241"/>
      <c r="C14" s="241"/>
      <c r="D14" s="241"/>
      <c r="E14" s="241">
        <f>G10/E10</f>
        <v>1.9375</v>
      </c>
      <c r="F14" s="241" t="s">
        <v>228</v>
      </c>
    </row>
    <row r="15" spans="1:20" x14ac:dyDescent="0.35">
      <c r="A15" s="242"/>
      <c r="B15" s="241"/>
      <c r="C15" s="241"/>
      <c r="D15" s="241"/>
      <c r="E15" s="241"/>
      <c r="F15" s="241"/>
      <c r="H15" s="211"/>
    </row>
    <row r="16" spans="1:20" x14ac:dyDescent="0.35">
      <c r="A16" s="96"/>
      <c r="B16" s="241"/>
      <c r="C16" s="241"/>
      <c r="D16" s="241"/>
      <c r="E16" s="241"/>
      <c r="F16" s="241"/>
      <c r="H16" s="211"/>
    </row>
    <row r="17" spans="1:6" x14ac:dyDescent="0.35">
      <c r="A17" s="91"/>
      <c r="B17" s="241"/>
      <c r="C17" s="241"/>
      <c r="D17" s="241"/>
      <c r="E17" s="241"/>
      <c r="F17" s="241"/>
    </row>
    <row r="18" spans="1:6" x14ac:dyDescent="0.35">
      <c r="A18" s="96"/>
      <c r="B18" s="241"/>
      <c r="C18" s="241"/>
      <c r="D18" s="241"/>
      <c r="E18" s="241"/>
      <c r="F18" s="241"/>
    </row>
    <row r="19" spans="1:6" x14ac:dyDescent="0.35">
      <c r="A19" s="96"/>
      <c r="B19" s="241"/>
      <c r="C19" s="241"/>
      <c r="D19" s="241"/>
      <c r="E19" s="241"/>
      <c r="F19" s="241"/>
    </row>
    <row r="20" spans="1:6" x14ac:dyDescent="0.35">
      <c r="A20" s="96"/>
      <c r="B20" s="241"/>
      <c r="C20" s="241"/>
      <c r="D20" s="241"/>
      <c r="E20" s="241"/>
      <c r="F20" s="241"/>
    </row>
  </sheetData>
  <mergeCells count="9">
    <mergeCell ref="F2:F3"/>
    <mergeCell ref="G2:G3"/>
    <mergeCell ref="I2:I3"/>
    <mergeCell ref="A9:B9"/>
    <mergeCell ref="D9:E9"/>
    <mergeCell ref="A2:A3"/>
    <mergeCell ref="B2:B3"/>
    <mergeCell ref="C2:E2"/>
    <mergeCell ref="H2:H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AB091-809F-4920-BA10-C15F9493DF17}">
  <sheetPr>
    <pageSetUpPr fitToPage="1"/>
  </sheetPr>
  <dimension ref="A1:P43"/>
  <sheetViews>
    <sheetView topLeftCell="A14" zoomScaleNormal="100" workbookViewId="0">
      <selection activeCell="A25" sqref="A25:I25"/>
    </sheetView>
  </sheetViews>
  <sheetFormatPr defaultColWidth="9.1796875" defaultRowHeight="14.5" x14ac:dyDescent="0.35"/>
  <cols>
    <col min="1" max="1" width="69.1796875" style="319" customWidth="1"/>
    <col min="2" max="2" width="14.453125" style="319" customWidth="1"/>
    <col min="3" max="3" width="15" style="319" bestFit="1" customWidth="1"/>
    <col min="4" max="4" width="13.453125" style="319" bestFit="1" customWidth="1"/>
    <col min="5" max="5" width="11.26953125" style="319" customWidth="1"/>
    <col min="6" max="6" width="11" style="319" customWidth="1"/>
    <col min="7" max="8" width="13.81640625" style="319" customWidth="1"/>
    <col min="9" max="9" width="11" style="319" bestFit="1" customWidth="1"/>
    <col min="10" max="16384" width="9.1796875" style="319"/>
  </cols>
  <sheetData>
    <row r="1" spans="1:16" s="135" customFormat="1" ht="15.5" x14ac:dyDescent="0.35">
      <c r="A1" s="133" t="s">
        <v>233</v>
      </c>
      <c r="J1" s="319"/>
      <c r="K1" s="319"/>
      <c r="L1" s="250"/>
      <c r="M1" s="319"/>
      <c r="N1" s="319"/>
      <c r="O1" s="319"/>
      <c r="P1" s="319"/>
    </row>
    <row r="2" spans="1:16" s="135" customFormat="1" ht="15" customHeight="1" x14ac:dyDescent="0.3">
      <c r="A2" s="155"/>
    </row>
    <row r="3" spans="1:16" s="135" customFormat="1" ht="15" customHeight="1" x14ac:dyDescent="0.3">
      <c r="A3" s="527" t="s">
        <v>70</v>
      </c>
      <c r="B3" s="160" t="s">
        <v>71</v>
      </c>
      <c r="C3" s="160" t="s">
        <v>72</v>
      </c>
      <c r="D3" s="160" t="s">
        <v>73</v>
      </c>
      <c r="E3" s="160" t="s">
        <v>74</v>
      </c>
      <c r="F3" s="160" t="s">
        <v>75</v>
      </c>
      <c r="G3" s="160" t="s">
        <v>76</v>
      </c>
      <c r="H3" s="160" t="s">
        <v>77</v>
      </c>
      <c r="I3" s="160" t="s">
        <v>78</v>
      </c>
    </row>
    <row r="4" spans="1:16" s="135" customFormat="1" ht="52" x14ac:dyDescent="0.3">
      <c r="A4" s="527"/>
      <c r="B4" s="140" t="s">
        <v>234</v>
      </c>
      <c r="C4" s="140" t="s">
        <v>235</v>
      </c>
      <c r="D4" s="140" t="s">
        <v>236</v>
      </c>
      <c r="E4" s="140" t="s">
        <v>237</v>
      </c>
      <c r="F4" s="140" t="s">
        <v>238</v>
      </c>
      <c r="G4" s="140" t="s">
        <v>239</v>
      </c>
      <c r="H4" s="140" t="s">
        <v>240</v>
      </c>
      <c r="I4" s="140" t="s">
        <v>241</v>
      </c>
    </row>
    <row r="5" spans="1:16" s="135" customFormat="1" ht="15.75" customHeight="1" x14ac:dyDescent="0.3">
      <c r="A5" s="258" t="s">
        <v>242</v>
      </c>
      <c r="B5" s="315">
        <v>24</v>
      </c>
      <c r="C5" s="315">
        <v>1</v>
      </c>
      <c r="D5" s="315">
        <f>B5*C5</f>
        <v>24</v>
      </c>
      <c r="E5" s="388">
        <f>('Table 1a-Year 1'!H41+'Table 1b-Year 1'!H41)*0.2</f>
        <v>0</v>
      </c>
      <c r="F5" s="321">
        <f>D5*E5</f>
        <v>0</v>
      </c>
      <c r="G5" s="321">
        <f>F5*0.05</f>
        <v>0</v>
      </c>
      <c r="H5" s="321">
        <f>F5*0.1</f>
        <v>0</v>
      </c>
      <c r="I5" s="322">
        <f t="shared" ref="I5:I16" si="0">(F5*$F$31)+(G5*$F$32)+(H5*$F$33)</f>
        <v>0</v>
      </c>
      <c r="K5" s="384" t="s">
        <v>97</v>
      </c>
    </row>
    <row r="6" spans="1:16" s="135" customFormat="1" ht="15" customHeight="1" x14ac:dyDescent="0.3">
      <c r="A6" s="258" t="s">
        <v>243</v>
      </c>
      <c r="B6" s="258">
        <v>24</v>
      </c>
      <c r="C6" s="258">
        <v>0.2</v>
      </c>
      <c r="D6" s="315">
        <f t="shared" ref="D6:D8" si="1">B6*C6</f>
        <v>4.8000000000000007</v>
      </c>
      <c r="E6" s="389">
        <f>0.2*E5</f>
        <v>0</v>
      </c>
      <c r="F6" s="321">
        <f t="shared" ref="F6:F16" si="2">D6*E6</f>
        <v>0</v>
      </c>
      <c r="G6" s="321">
        <f t="shared" ref="G6:G16" si="3">F6*0.05</f>
        <v>0</v>
      </c>
      <c r="H6" s="321">
        <f t="shared" ref="H6:H16" si="4">F6*0.1</f>
        <v>0</v>
      </c>
      <c r="I6" s="322">
        <f t="shared" si="0"/>
        <v>0</v>
      </c>
      <c r="K6" s="384" t="s">
        <v>97</v>
      </c>
    </row>
    <row r="7" spans="1:16" s="135" customFormat="1" ht="13" x14ac:dyDescent="0.3">
      <c r="A7" s="423" t="s">
        <v>244</v>
      </c>
      <c r="B7" s="258">
        <v>0.5</v>
      </c>
      <c r="C7" s="258">
        <v>1</v>
      </c>
      <c r="D7" s="315">
        <f>B7*C7</f>
        <v>0.5</v>
      </c>
      <c r="E7" s="389">
        <f>'Table 1a-Year 1'!H41+'Table 1b-Year 1'!H41</f>
        <v>0</v>
      </c>
      <c r="F7" s="321">
        <f>D7*E7</f>
        <v>0</v>
      </c>
      <c r="G7" s="321">
        <f>F7*0.05</f>
        <v>0</v>
      </c>
      <c r="H7" s="321">
        <f>F7*0.1</f>
        <v>0</v>
      </c>
      <c r="I7" s="322">
        <f t="shared" si="0"/>
        <v>0</v>
      </c>
      <c r="K7" s="384" t="s">
        <v>97</v>
      </c>
    </row>
    <row r="8" spans="1:16" s="135" customFormat="1" ht="15" customHeight="1" x14ac:dyDescent="0.3">
      <c r="A8" s="423" t="s">
        <v>245</v>
      </c>
      <c r="B8" s="258">
        <v>0.5</v>
      </c>
      <c r="C8" s="258">
        <v>1</v>
      </c>
      <c r="D8" s="315">
        <f t="shared" si="1"/>
        <v>0.5</v>
      </c>
      <c r="E8" s="388">
        <f>'Table 1a-Year 1'!H31+'Table 1a-Year 1'!H42+'Table 1b-Year 1'!H31+'Table 1b-Year 1'!H42</f>
        <v>0</v>
      </c>
      <c r="F8" s="321">
        <f t="shared" si="2"/>
        <v>0</v>
      </c>
      <c r="G8" s="321">
        <f t="shared" si="3"/>
        <v>0</v>
      </c>
      <c r="H8" s="321">
        <f t="shared" si="4"/>
        <v>0</v>
      </c>
      <c r="I8" s="322">
        <f t="shared" si="0"/>
        <v>0</v>
      </c>
      <c r="K8" s="384" t="s">
        <v>97</v>
      </c>
    </row>
    <row r="9" spans="1:16" s="135" customFormat="1" ht="13" x14ac:dyDescent="0.3">
      <c r="A9" s="258" t="s">
        <v>246</v>
      </c>
      <c r="B9" s="258">
        <v>0.5</v>
      </c>
      <c r="C9" s="258">
        <v>1</v>
      </c>
      <c r="D9" s="315">
        <f>B9*C9</f>
        <v>0.5</v>
      </c>
      <c r="E9" s="389">
        <f>'Table 1a-Year 1'!H32+'Table 1a-Year 1'!H43+'Table 1b-Year 1'!H32+'Table 1b-Year 1'!H43</f>
        <v>0</v>
      </c>
      <c r="F9" s="321">
        <f>D9*E9</f>
        <v>0</v>
      </c>
      <c r="G9" s="321">
        <f>F9*0.05</f>
        <v>0</v>
      </c>
      <c r="H9" s="321">
        <f>F9*0.1</f>
        <v>0</v>
      </c>
      <c r="I9" s="322">
        <f t="shared" si="0"/>
        <v>0</v>
      </c>
      <c r="K9" s="384" t="s">
        <v>97</v>
      </c>
    </row>
    <row r="10" spans="1:16" s="135" customFormat="1" ht="13" x14ac:dyDescent="0.3">
      <c r="A10" s="258" t="s">
        <v>247</v>
      </c>
      <c r="B10" s="258">
        <v>8</v>
      </c>
      <c r="C10" s="258">
        <v>1</v>
      </c>
      <c r="D10" s="315">
        <f>B10*C10</f>
        <v>8</v>
      </c>
      <c r="E10" s="389">
        <f>E9</f>
        <v>0</v>
      </c>
      <c r="F10" s="321">
        <f>D10*E10</f>
        <v>0</v>
      </c>
      <c r="G10" s="321">
        <f>F10*0.05</f>
        <v>0</v>
      </c>
      <c r="H10" s="321">
        <f>F10*0.1</f>
        <v>0</v>
      </c>
      <c r="I10" s="322">
        <f t="shared" si="0"/>
        <v>0</v>
      </c>
      <c r="K10" s="384" t="s">
        <v>97</v>
      </c>
    </row>
    <row r="11" spans="1:16" s="135" customFormat="1" ht="15" customHeight="1" x14ac:dyDescent="0.3">
      <c r="A11" s="423" t="s">
        <v>248</v>
      </c>
      <c r="B11" s="258">
        <v>0.5</v>
      </c>
      <c r="C11" s="258">
        <v>1</v>
      </c>
      <c r="D11" s="315">
        <f t="shared" ref="D11:D16" si="5">B11*C11</f>
        <v>0.5</v>
      </c>
      <c r="E11" s="389">
        <f>'Table 1a-Year 1'!H35+'Table 1a-Year 1'!H46+'Table 1b-Year 1'!H35+'Table 1b-Year 1'!H46</f>
        <v>0</v>
      </c>
      <c r="F11" s="321">
        <f t="shared" si="2"/>
        <v>0</v>
      </c>
      <c r="G11" s="321">
        <f t="shared" si="3"/>
        <v>0</v>
      </c>
      <c r="H11" s="321">
        <f t="shared" si="4"/>
        <v>0</v>
      </c>
      <c r="I11" s="322">
        <f t="shared" si="0"/>
        <v>0</v>
      </c>
      <c r="K11" s="384" t="s">
        <v>97</v>
      </c>
    </row>
    <row r="12" spans="1:16" s="135" customFormat="1" ht="15" customHeight="1" x14ac:dyDescent="0.3">
      <c r="A12" s="423" t="s">
        <v>249</v>
      </c>
      <c r="B12" s="258">
        <v>8</v>
      </c>
      <c r="C12" s="258">
        <v>1</v>
      </c>
      <c r="D12" s="315">
        <f t="shared" si="5"/>
        <v>8</v>
      </c>
      <c r="E12" s="408">
        <f>'Table 1a-Year 1'!H36+'Table 1b-Year 1'!H36</f>
        <v>37.200000000000003</v>
      </c>
      <c r="F12" s="321">
        <f>D12*E12</f>
        <v>297.60000000000002</v>
      </c>
      <c r="G12" s="324">
        <f t="shared" si="3"/>
        <v>14.880000000000003</v>
      </c>
      <c r="H12" s="324">
        <f t="shared" si="4"/>
        <v>29.760000000000005</v>
      </c>
      <c r="I12" s="316">
        <f>(F12*$F$31)+(G12*$F$32)+(H12*$F$33)</f>
        <v>19048.066560000003</v>
      </c>
      <c r="K12" s="384" t="s">
        <v>97</v>
      </c>
    </row>
    <row r="13" spans="1:16" s="135" customFormat="1" ht="13" x14ac:dyDescent="0.3">
      <c r="A13" s="258" t="s">
        <v>250</v>
      </c>
      <c r="B13" s="258">
        <v>8</v>
      </c>
      <c r="C13" s="258">
        <v>1</v>
      </c>
      <c r="D13" s="315">
        <f>B13*C13</f>
        <v>8</v>
      </c>
      <c r="E13" s="257">
        <f>'Table 1a-Year 1'!H37+'Table 1b-Year 1'!H37</f>
        <v>372</v>
      </c>
      <c r="F13" s="321">
        <f>D13*E13</f>
        <v>2976</v>
      </c>
      <c r="G13" s="323">
        <f>F13*0.05</f>
        <v>148.80000000000001</v>
      </c>
      <c r="H13" s="323">
        <f>F13*0.1</f>
        <v>297.60000000000002</v>
      </c>
      <c r="I13" s="316">
        <f>(F13*$F$31)+(G13*$F$32)+(H13*$F$33)</f>
        <v>190480.66560000001</v>
      </c>
      <c r="K13" s="384" t="s">
        <v>97</v>
      </c>
    </row>
    <row r="14" spans="1:16" s="135" customFormat="1" ht="15" customHeight="1" x14ac:dyDescent="0.3">
      <c r="A14" s="423" t="s">
        <v>251</v>
      </c>
      <c r="B14" s="258">
        <v>0.5</v>
      </c>
      <c r="C14" s="258">
        <v>1</v>
      </c>
      <c r="D14" s="315">
        <f t="shared" si="5"/>
        <v>0.5</v>
      </c>
      <c r="E14" s="389">
        <f>'Table 1a-Year 1'!H34+'Table 1a-Year 1'!H45+'Table 1b-Year 1'!H34+'Table 1b-Year 1'!H45</f>
        <v>0</v>
      </c>
      <c r="F14" s="321">
        <f t="shared" si="2"/>
        <v>0</v>
      </c>
      <c r="G14" s="321">
        <f t="shared" si="3"/>
        <v>0</v>
      </c>
      <c r="H14" s="321">
        <f t="shared" si="4"/>
        <v>0</v>
      </c>
      <c r="I14" s="322">
        <f t="shared" si="0"/>
        <v>0</v>
      </c>
      <c r="K14" s="384" t="s">
        <v>97</v>
      </c>
    </row>
    <row r="15" spans="1:16" s="135" customFormat="1" ht="13" x14ac:dyDescent="0.3">
      <c r="A15" s="258" t="s">
        <v>252</v>
      </c>
      <c r="B15" s="258">
        <v>8</v>
      </c>
      <c r="C15" s="258">
        <v>1</v>
      </c>
      <c r="D15" s="315">
        <f>B15*C15</f>
        <v>8</v>
      </c>
      <c r="E15" s="409">
        <f>'Table 1a-Year 1'!H38+'Table 1a-Year 1'!H49+'Table 1b-Year 1'!H38+'Table 1b-Year 1'!H49</f>
        <v>372</v>
      </c>
      <c r="F15" s="321">
        <f>D15*E15</f>
        <v>2976</v>
      </c>
      <c r="G15" s="321">
        <f>F15*0.05</f>
        <v>148.80000000000001</v>
      </c>
      <c r="H15" s="321">
        <f>F15*0.1</f>
        <v>297.60000000000002</v>
      </c>
      <c r="I15" s="322">
        <f t="shared" si="0"/>
        <v>190480.66560000001</v>
      </c>
      <c r="K15" s="384" t="s">
        <v>97</v>
      </c>
    </row>
    <row r="16" spans="1:16" s="135" customFormat="1" ht="13" x14ac:dyDescent="0.3">
      <c r="A16" s="423" t="s">
        <v>253</v>
      </c>
      <c r="B16" s="258">
        <v>0.5</v>
      </c>
      <c r="C16" s="258">
        <v>1</v>
      </c>
      <c r="D16" s="315">
        <f t="shared" si="5"/>
        <v>0.5</v>
      </c>
      <c r="E16" s="408">
        <f>'Table 1a-Year 1'!H39+'Table 1a-Year 1'!H50+'Table 1b-Year 1'!H39+'Table 1b-Year 1'!H50</f>
        <v>37.200000000000003</v>
      </c>
      <c r="F16" s="320">
        <f t="shared" si="2"/>
        <v>18.600000000000001</v>
      </c>
      <c r="G16" s="320">
        <f t="shared" si="3"/>
        <v>0.93000000000000016</v>
      </c>
      <c r="H16" s="320">
        <f t="shared" si="4"/>
        <v>1.8600000000000003</v>
      </c>
      <c r="I16" s="322">
        <f t="shared" si="0"/>
        <v>1190.5041600000002</v>
      </c>
      <c r="K16" s="384" t="s">
        <v>97</v>
      </c>
    </row>
    <row r="17" spans="1:12" s="135" customFormat="1" x14ac:dyDescent="0.3">
      <c r="A17" s="258" t="s">
        <v>254</v>
      </c>
      <c r="B17" s="258"/>
      <c r="C17" s="258"/>
      <c r="D17" s="258"/>
      <c r="E17" s="258"/>
      <c r="F17" s="258"/>
      <c r="G17" s="258"/>
      <c r="H17" s="258"/>
      <c r="I17" s="316">
        <f>C41*(E5+E6)</f>
        <v>0</v>
      </c>
    </row>
    <row r="18" spans="1:12" s="135" customFormat="1" x14ac:dyDescent="0.3">
      <c r="A18" s="325" t="s">
        <v>255</v>
      </c>
      <c r="B18" s="258"/>
      <c r="C18" s="258"/>
      <c r="D18" s="258"/>
      <c r="E18" s="258"/>
      <c r="F18" s="528">
        <f>ROUND(SUM(F5:H16),-1)</f>
        <v>7210</v>
      </c>
      <c r="G18" s="529"/>
      <c r="H18" s="530"/>
      <c r="I18" s="326">
        <f>ROUND(SUM(I5:I17),-3)</f>
        <v>401000</v>
      </c>
      <c r="K18" s="331"/>
    </row>
    <row r="19" spans="1:12" s="135" customFormat="1" ht="13" x14ac:dyDescent="0.3"/>
    <row r="20" spans="1:12" s="259" customFormat="1" ht="13" x14ac:dyDescent="0.3">
      <c r="A20" s="261" t="s">
        <v>146</v>
      </c>
      <c r="H20" s="260"/>
    </row>
    <row r="21" spans="1:12" s="135" customFormat="1" ht="12.75" customHeight="1" x14ac:dyDescent="0.3">
      <c r="A21" s="496" t="s">
        <v>256</v>
      </c>
      <c r="B21" s="496"/>
      <c r="C21" s="496"/>
      <c r="D21" s="496"/>
      <c r="E21" s="496"/>
      <c r="F21" s="496"/>
      <c r="G21" s="496"/>
      <c r="H21" s="496"/>
      <c r="I21" s="496"/>
      <c r="J21" s="183"/>
      <c r="K21" s="332"/>
      <c r="L21" s="183"/>
    </row>
    <row r="22" spans="1:12" s="135" customFormat="1" ht="42.75" customHeight="1" x14ac:dyDescent="0.3">
      <c r="A22" s="497" t="s">
        <v>204</v>
      </c>
      <c r="B22" s="497"/>
      <c r="C22" s="497"/>
      <c r="D22" s="497"/>
      <c r="E22" s="497"/>
      <c r="F22" s="497"/>
      <c r="G22" s="497"/>
      <c r="H22" s="497"/>
      <c r="I22" s="497"/>
      <c r="J22" s="410"/>
      <c r="K22" s="410"/>
      <c r="L22" s="410"/>
    </row>
    <row r="23" spans="1:12" s="135" customFormat="1" ht="13" x14ac:dyDescent="0.3">
      <c r="A23" s="531" t="s">
        <v>257</v>
      </c>
      <c r="B23" s="531"/>
      <c r="C23" s="531"/>
      <c r="D23" s="531"/>
      <c r="E23" s="531"/>
      <c r="F23" s="531"/>
      <c r="G23" s="531"/>
      <c r="H23" s="531"/>
      <c r="I23" s="531"/>
    </row>
    <row r="24" spans="1:12" s="135" customFormat="1" ht="13" x14ac:dyDescent="0.3">
      <c r="A24" s="531" t="s">
        <v>258</v>
      </c>
      <c r="B24" s="531"/>
      <c r="C24" s="531"/>
      <c r="D24" s="531"/>
      <c r="E24" s="531"/>
      <c r="F24" s="531"/>
      <c r="G24" s="531"/>
      <c r="H24" s="531"/>
      <c r="I24" s="531"/>
    </row>
    <row r="25" spans="1:12" s="135" customFormat="1" ht="16.5" customHeight="1" x14ac:dyDescent="0.3">
      <c r="A25" s="524" t="str">
        <f>"e EPA estimates annual travel expenses to be $400 per plant and "&amp;B43&amp;" = (1 person x "&amp;E43&amp;" plants/year x 3 days/plant x $50 per diem) + ($250 round trip/plant x 18 plants/year) = $"&amp;I17&amp;"/year."</f>
        <v>e EPA estimates annual travel expenses to be $400 per plant and assumes EPA will visit 0 plants per year = (1 person x 0 plants/year x 3 days/plant x $50 per diem) + ($250 round trip/plant x 18 plants/year) = $0/year.</v>
      </c>
      <c r="B25" s="524"/>
      <c r="C25" s="524"/>
      <c r="D25" s="524"/>
      <c r="E25" s="524"/>
      <c r="F25" s="524"/>
      <c r="G25" s="524"/>
      <c r="H25" s="524"/>
      <c r="I25" s="524"/>
    </row>
    <row r="26" spans="1:12" s="187" customFormat="1" ht="13" x14ac:dyDescent="0.3">
      <c r="A26" s="478" t="s">
        <v>259</v>
      </c>
      <c r="B26" s="478"/>
      <c r="C26" s="478"/>
      <c r="D26" s="478"/>
      <c r="E26" s="478"/>
      <c r="F26" s="478"/>
      <c r="G26" s="478"/>
      <c r="H26" s="478"/>
      <c r="I26" s="478"/>
    </row>
    <row r="27" spans="1:12" s="187" customFormat="1" ht="13" x14ac:dyDescent="0.3">
      <c r="H27" s="135"/>
    </row>
    <row r="28" spans="1:12" s="135" customFormat="1" ht="13" x14ac:dyDescent="0.3">
      <c r="A28" s="327" t="s">
        <v>152</v>
      </c>
    </row>
    <row r="29" spans="1:12" s="135" customFormat="1" ht="13" x14ac:dyDescent="0.3"/>
    <row r="30" spans="1:12" s="135" customFormat="1" ht="45.75" customHeight="1" x14ac:dyDescent="0.3">
      <c r="B30" s="479" t="s">
        <v>260</v>
      </c>
      <c r="C30" s="481"/>
      <c r="D30" s="420" t="s">
        <v>261</v>
      </c>
      <c r="E30" s="420" t="s">
        <v>197</v>
      </c>
      <c r="F30" s="420" t="s">
        <v>262</v>
      </c>
    </row>
    <row r="31" spans="1:12" s="135" customFormat="1" ht="13" x14ac:dyDescent="0.3">
      <c r="B31" s="328" t="s">
        <v>263</v>
      </c>
      <c r="C31" s="311" t="s">
        <v>264</v>
      </c>
      <c r="D31" s="377">
        <f>'Table 1b-Year 1'!H82</f>
        <v>35.67</v>
      </c>
      <c r="E31" s="311">
        <v>1.6</v>
      </c>
      <c r="F31" s="329">
        <f>D31*E31</f>
        <v>57.072000000000003</v>
      </c>
    </row>
    <row r="32" spans="1:12" s="135" customFormat="1" ht="13" x14ac:dyDescent="0.3">
      <c r="B32" s="328" t="s">
        <v>265</v>
      </c>
      <c r="C32" s="311" t="s">
        <v>266</v>
      </c>
      <c r="D32" s="377">
        <f>'Table 1b-Year 1'!H83</f>
        <v>48.07</v>
      </c>
      <c r="E32" s="311">
        <v>1.6</v>
      </c>
      <c r="F32" s="329">
        <f>D32*E32</f>
        <v>76.912000000000006</v>
      </c>
    </row>
    <row r="33" spans="1:15" s="135" customFormat="1" ht="13" x14ac:dyDescent="0.3">
      <c r="B33" s="328" t="s">
        <v>267</v>
      </c>
      <c r="C33" s="311" t="s">
        <v>268</v>
      </c>
      <c r="D33" s="377">
        <f>'Table 1b-Year 1'!H84</f>
        <v>19.3</v>
      </c>
      <c r="E33" s="311">
        <v>1.6</v>
      </c>
      <c r="F33" s="329">
        <f>D33*E33</f>
        <v>30.880000000000003</v>
      </c>
    </row>
    <row r="34" spans="1:15" s="135" customFormat="1" ht="13" x14ac:dyDescent="0.3">
      <c r="B34" s="258"/>
      <c r="C34" s="311"/>
      <c r="D34" s="311"/>
      <c r="E34" s="311"/>
      <c r="F34" s="311"/>
    </row>
    <row r="35" spans="1:15" s="135" customFormat="1" ht="13" x14ac:dyDescent="0.3">
      <c r="B35" s="330"/>
      <c r="C35" s="311" t="s">
        <v>269</v>
      </c>
      <c r="D35" s="311"/>
      <c r="E35" s="311"/>
      <c r="F35" s="311"/>
    </row>
    <row r="36" spans="1:15" s="135" customFormat="1" x14ac:dyDescent="0.35">
      <c r="B36" s="258"/>
      <c r="C36" s="317">
        <f>(1*1*3*50)+(250*1)</f>
        <v>400</v>
      </c>
      <c r="D36" s="311"/>
      <c r="E36" s="311"/>
      <c r="F36" s="311"/>
      <c r="J36" s="319"/>
      <c r="K36" s="319"/>
      <c r="L36" s="319"/>
      <c r="M36" s="319"/>
      <c r="N36" s="319"/>
      <c r="O36" s="319"/>
    </row>
    <row r="37" spans="1:15" s="135" customFormat="1" x14ac:dyDescent="0.35">
      <c r="H37" s="319"/>
      <c r="J37" s="319"/>
      <c r="K37" s="319"/>
      <c r="L37" s="319"/>
      <c r="M37" s="319"/>
      <c r="N37" s="319"/>
      <c r="O37" s="319"/>
    </row>
    <row r="38" spans="1:15" s="135" customFormat="1" x14ac:dyDescent="0.35">
      <c r="H38" s="319"/>
      <c r="I38" s="319"/>
      <c r="J38" s="319"/>
      <c r="K38" s="319"/>
      <c r="L38" s="319"/>
      <c r="M38" s="319"/>
      <c r="N38" s="319"/>
      <c r="O38" s="319"/>
    </row>
    <row r="39" spans="1:15" s="135" customFormat="1" x14ac:dyDescent="0.35">
      <c r="B39" s="525" t="s">
        <v>269</v>
      </c>
      <c r="C39" s="525"/>
      <c r="D39" s="525"/>
      <c r="E39" s="525"/>
      <c r="F39" s="525"/>
      <c r="H39" s="319"/>
      <c r="I39" s="319"/>
      <c r="J39" s="319"/>
      <c r="K39" s="319"/>
      <c r="L39" s="319"/>
      <c r="M39" s="319"/>
      <c r="N39" s="319"/>
      <c r="O39" s="319"/>
    </row>
    <row r="40" spans="1:15" x14ac:dyDescent="0.35">
      <c r="A40" s="135"/>
      <c r="B40" s="135" t="s">
        <v>270</v>
      </c>
      <c r="C40" s="135"/>
      <c r="E40" s="135"/>
      <c r="F40" s="135"/>
      <c r="G40" s="135"/>
    </row>
    <row r="41" spans="1:15" x14ac:dyDescent="0.35">
      <c r="A41" s="526" t="s">
        <v>271</v>
      </c>
      <c r="B41" s="526"/>
      <c r="C41" s="318">
        <f>(1*1*3*50) + (250*1)</f>
        <v>400</v>
      </c>
      <c r="E41" s="135"/>
      <c r="F41" s="135"/>
      <c r="G41" s="135"/>
    </row>
    <row r="42" spans="1:15" x14ac:dyDescent="0.35">
      <c r="A42" s="135"/>
      <c r="B42" s="135"/>
      <c r="C42" s="135"/>
      <c r="E42" s="135"/>
    </row>
    <row r="43" spans="1:15" x14ac:dyDescent="0.35">
      <c r="A43" s="135"/>
      <c r="B43" s="134" t="str">
        <f>"assumes EPA will visit "&amp;TEXT(E43,"#,##0")&amp;" plants per year"</f>
        <v>assumes EPA will visit 0 plants per year</v>
      </c>
      <c r="C43" s="135"/>
      <c r="E43" s="368">
        <f>E5+E6</f>
        <v>0</v>
      </c>
    </row>
  </sheetData>
  <mergeCells count="11">
    <mergeCell ref="A25:I25"/>
    <mergeCell ref="B30:C30"/>
    <mergeCell ref="B39:F39"/>
    <mergeCell ref="A41:B41"/>
    <mergeCell ref="A3:A4"/>
    <mergeCell ref="F18:H18"/>
    <mergeCell ref="A21:I21"/>
    <mergeCell ref="A23:I23"/>
    <mergeCell ref="A24:I24"/>
    <mergeCell ref="A26:I26"/>
    <mergeCell ref="A22:I22"/>
  </mergeCells>
  <pageMargins left="0.7" right="0.7" top="0.75" bottom="0.75" header="0.3" footer="0.3"/>
  <pageSetup scale="77" orientation="landscape" horizontalDpi="1200" verticalDpi="1200" r:id="rId1"/>
  <headerFooter>
    <oddHeader>&amp;CTable 2a -- Agency Year 1</oddHeader>
    <oddFooter>&amp;L&amp;P of &amp;N&amp;R&amp;D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43"/>
  <sheetViews>
    <sheetView topLeftCell="A5" zoomScaleNormal="100" workbookViewId="0">
      <selection activeCell="A25" sqref="A25:I25"/>
    </sheetView>
  </sheetViews>
  <sheetFormatPr defaultColWidth="9.1796875" defaultRowHeight="14.5" x14ac:dyDescent="0.35"/>
  <cols>
    <col min="1" max="1" width="69.1796875" style="319" customWidth="1"/>
    <col min="2" max="2" width="13.1796875" style="319" customWidth="1"/>
    <col min="3" max="3" width="15" style="319" bestFit="1" customWidth="1"/>
    <col min="4" max="4" width="13.453125" style="319" bestFit="1" customWidth="1"/>
    <col min="5" max="5" width="11.26953125" style="319" customWidth="1"/>
    <col min="6" max="6" width="14.453125" style="319" customWidth="1"/>
    <col min="7" max="8" width="13.81640625" style="319" customWidth="1"/>
    <col min="9" max="9" width="12" style="319" bestFit="1" customWidth="1"/>
    <col min="10" max="16384" width="9.1796875" style="319"/>
  </cols>
  <sheetData>
    <row r="1" spans="1:16" s="135" customFormat="1" ht="15.5" x14ac:dyDescent="0.35">
      <c r="A1" s="133" t="s">
        <v>233</v>
      </c>
      <c r="J1" s="319"/>
      <c r="K1" s="319"/>
      <c r="L1" s="250"/>
      <c r="M1" s="319"/>
      <c r="N1" s="319"/>
      <c r="O1" s="319"/>
      <c r="P1" s="319"/>
    </row>
    <row r="2" spans="1:16" s="135" customFormat="1" ht="15" customHeight="1" x14ac:dyDescent="0.3">
      <c r="A2" s="155"/>
    </row>
    <row r="3" spans="1:16" s="135" customFormat="1" ht="15" customHeight="1" x14ac:dyDescent="0.3">
      <c r="A3" s="527" t="s">
        <v>70</v>
      </c>
      <c r="B3" s="160" t="s">
        <v>71</v>
      </c>
      <c r="C3" s="160" t="s">
        <v>72</v>
      </c>
      <c r="D3" s="160" t="s">
        <v>73</v>
      </c>
      <c r="E3" s="160" t="s">
        <v>74</v>
      </c>
      <c r="F3" s="160" t="s">
        <v>75</v>
      </c>
      <c r="G3" s="160" t="s">
        <v>76</v>
      </c>
      <c r="H3" s="160" t="s">
        <v>77</v>
      </c>
      <c r="I3" s="160" t="s">
        <v>78</v>
      </c>
    </row>
    <row r="4" spans="1:16" s="135" customFormat="1" ht="52" x14ac:dyDescent="0.3">
      <c r="A4" s="527"/>
      <c r="B4" s="140" t="s">
        <v>234</v>
      </c>
      <c r="C4" s="140" t="s">
        <v>235</v>
      </c>
      <c r="D4" s="140" t="s">
        <v>236</v>
      </c>
      <c r="E4" s="140" t="s">
        <v>237</v>
      </c>
      <c r="F4" s="140" t="s">
        <v>238</v>
      </c>
      <c r="G4" s="140" t="s">
        <v>239</v>
      </c>
      <c r="H4" s="140" t="s">
        <v>240</v>
      </c>
      <c r="I4" s="140" t="s">
        <v>241</v>
      </c>
    </row>
    <row r="5" spans="1:16" s="135" customFormat="1" ht="15.75" customHeight="1" x14ac:dyDescent="0.3">
      <c r="A5" s="258" t="s">
        <v>242</v>
      </c>
      <c r="B5" s="315">
        <v>24</v>
      </c>
      <c r="C5" s="315">
        <v>1</v>
      </c>
      <c r="D5" s="315">
        <f>B5*C5</f>
        <v>24</v>
      </c>
      <c r="E5" s="388">
        <f>('Table 1a-Year 2'!H41+'Table 1b-Year 2'!H41)*0.2</f>
        <v>0</v>
      </c>
      <c r="F5" s="321">
        <f>D5*E5</f>
        <v>0</v>
      </c>
      <c r="G5" s="321">
        <f>F5*0.05</f>
        <v>0</v>
      </c>
      <c r="H5" s="321">
        <f>F5*0.1</f>
        <v>0</v>
      </c>
      <c r="I5" s="322">
        <f t="shared" ref="I5:I16" si="0">(F5*$F$31)+(G5*$F$32)+(H5*$F$33)</f>
        <v>0</v>
      </c>
    </row>
    <row r="6" spans="1:16" s="135" customFormat="1" ht="15" customHeight="1" x14ac:dyDescent="0.3">
      <c r="A6" s="258" t="s">
        <v>243</v>
      </c>
      <c r="B6" s="258">
        <v>24</v>
      </c>
      <c r="C6" s="258">
        <v>0.2</v>
      </c>
      <c r="D6" s="315">
        <f t="shared" ref="D6:D8" si="1">B6*C6</f>
        <v>4.8000000000000007</v>
      </c>
      <c r="E6" s="389">
        <f>0.2*E5</f>
        <v>0</v>
      </c>
      <c r="F6" s="321">
        <f t="shared" ref="F6:F16" si="2">D6*E6</f>
        <v>0</v>
      </c>
      <c r="G6" s="321">
        <f t="shared" ref="G6:G16" si="3">F6*0.05</f>
        <v>0</v>
      </c>
      <c r="H6" s="321">
        <f t="shared" ref="H6:H16" si="4">F6*0.1</f>
        <v>0</v>
      </c>
      <c r="I6" s="322">
        <f t="shared" si="0"/>
        <v>0</v>
      </c>
    </row>
    <row r="7" spans="1:16" s="135" customFormat="1" ht="13" x14ac:dyDescent="0.3">
      <c r="A7" s="423" t="s">
        <v>244</v>
      </c>
      <c r="B7" s="258">
        <v>0.5</v>
      </c>
      <c r="C7" s="258">
        <v>1</v>
      </c>
      <c r="D7" s="315">
        <f>B7*C7</f>
        <v>0.5</v>
      </c>
      <c r="E7" s="389">
        <f>'Table 1a-Year 2'!H41+'Table 1b-Year 2'!H41</f>
        <v>0</v>
      </c>
      <c r="F7" s="321">
        <f>D7*E7</f>
        <v>0</v>
      </c>
      <c r="G7" s="321">
        <f>F7*0.05</f>
        <v>0</v>
      </c>
      <c r="H7" s="321">
        <f>F7*0.1</f>
        <v>0</v>
      </c>
      <c r="I7" s="322">
        <f t="shared" si="0"/>
        <v>0</v>
      </c>
    </row>
    <row r="8" spans="1:16" s="135" customFormat="1" ht="15" customHeight="1" x14ac:dyDescent="0.3">
      <c r="A8" s="423" t="s">
        <v>245</v>
      </c>
      <c r="B8" s="258">
        <v>0.5</v>
      </c>
      <c r="C8" s="258">
        <v>1</v>
      </c>
      <c r="D8" s="315">
        <f t="shared" si="1"/>
        <v>0.5</v>
      </c>
      <c r="E8" s="388">
        <f>'Table 1a-Year 2'!H31+'Table 1a-Year 2'!H42+'Table 1b-Year 2'!H31+'Table 1b-Year 2'!H42</f>
        <v>0</v>
      </c>
      <c r="F8" s="321">
        <f t="shared" si="2"/>
        <v>0</v>
      </c>
      <c r="G8" s="321">
        <f t="shared" si="3"/>
        <v>0</v>
      </c>
      <c r="H8" s="321">
        <f t="shared" si="4"/>
        <v>0</v>
      </c>
      <c r="I8" s="322">
        <f t="shared" si="0"/>
        <v>0</v>
      </c>
    </row>
    <row r="9" spans="1:16" s="135" customFormat="1" ht="13" x14ac:dyDescent="0.3">
      <c r="A9" s="258" t="s">
        <v>246</v>
      </c>
      <c r="B9" s="258">
        <v>0.5</v>
      </c>
      <c r="C9" s="258">
        <v>1</v>
      </c>
      <c r="D9" s="315">
        <f>B9*C9</f>
        <v>0.5</v>
      </c>
      <c r="E9" s="389">
        <f>'Table 1a-Year 2'!H32+'Table 1a-Year 2'!H43+'Table 1b-Year 2'!H32+'Table 1b-Year 2'!H43</f>
        <v>0</v>
      </c>
      <c r="F9" s="321">
        <f>D9*E9</f>
        <v>0</v>
      </c>
      <c r="G9" s="321">
        <f>F9*0.05</f>
        <v>0</v>
      </c>
      <c r="H9" s="321">
        <f>F9*0.1</f>
        <v>0</v>
      </c>
      <c r="I9" s="322">
        <f t="shared" si="0"/>
        <v>0</v>
      </c>
    </row>
    <row r="10" spans="1:16" s="135" customFormat="1" ht="13" x14ac:dyDescent="0.3">
      <c r="A10" s="258" t="s">
        <v>247</v>
      </c>
      <c r="B10" s="258">
        <v>8</v>
      </c>
      <c r="C10" s="258">
        <v>1</v>
      </c>
      <c r="D10" s="315">
        <f>B10*C10</f>
        <v>8</v>
      </c>
      <c r="E10" s="389">
        <f>E9</f>
        <v>0</v>
      </c>
      <c r="F10" s="321">
        <f>D10*E10</f>
        <v>0</v>
      </c>
      <c r="G10" s="321">
        <f>F10*0.05</f>
        <v>0</v>
      </c>
      <c r="H10" s="321">
        <f>F10*0.1</f>
        <v>0</v>
      </c>
      <c r="I10" s="322">
        <f t="shared" si="0"/>
        <v>0</v>
      </c>
    </row>
    <row r="11" spans="1:16" s="135" customFormat="1" ht="15" customHeight="1" x14ac:dyDescent="0.3">
      <c r="A11" s="423" t="s">
        <v>248</v>
      </c>
      <c r="B11" s="258">
        <v>0.5</v>
      </c>
      <c r="C11" s="258">
        <v>1</v>
      </c>
      <c r="D11" s="315">
        <f t="shared" ref="D11:D16" si="5">B11*C11</f>
        <v>0.5</v>
      </c>
      <c r="E11" s="389">
        <f>'Table 1a-Year 2'!H35+'Table 1a-Year 2'!H46+'Table 1b-Year 2'!H35+'Table 1b-Year 2'!H46</f>
        <v>0</v>
      </c>
      <c r="F11" s="321">
        <f t="shared" si="2"/>
        <v>0</v>
      </c>
      <c r="G11" s="321">
        <f t="shared" si="3"/>
        <v>0</v>
      </c>
      <c r="H11" s="321">
        <f t="shared" si="4"/>
        <v>0</v>
      </c>
      <c r="I11" s="322">
        <f t="shared" si="0"/>
        <v>0</v>
      </c>
    </row>
    <row r="12" spans="1:16" s="135" customFormat="1" ht="15" customHeight="1" x14ac:dyDescent="0.3">
      <c r="A12" s="423" t="s">
        <v>249</v>
      </c>
      <c r="B12" s="258">
        <v>8</v>
      </c>
      <c r="C12" s="258">
        <v>1</v>
      </c>
      <c r="D12" s="315">
        <f t="shared" si="5"/>
        <v>8</v>
      </c>
      <c r="E12" s="408">
        <f>'Table 1a-Year 2'!H36+'Table 1b-Year 2'!H36</f>
        <v>37.200000000000003</v>
      </c>
      <c r="F12" s="321">
        <f>D12*E12</f>
        <v>297.60000000000002</v>
      </c>
      <c r="G12" s="324">
        <f t="shared" si="3"/>
        <v>14.880000000000003</v>
      </c>
      <c r="H12" s="324">
        <f t="shared" si="4"/>
        <v>29.760000000000005</v>
      </c>
      <c r="I12" s="316">
        <f>(F12*$F$31)+(G12*$F$32)+(H12*$F$33)</f>
        <v>19048.066560000003</v>
      </c>
    </row>
    <row r="13" spans="1:16" s="135" customFormat="1" ht="13" x14ac:dyDescent="0.3">
      <c r="A13" s="258" t="s">
        <v>250</v>
      </c>
      <c r="B13" s="258">
        <v>8</v>
      </c>
      <c r="C13" s="258">
        <v>1</v>
      </c>
      <c r="D13" s="315">
        <f>B13*C13</f>
        <v>8</v>
      </c>
      <c r="E13" s="257">
        <f>'Table 1a-Year 2'!H37+'Table 1b-Year 2'!H37</f>
        <v>372</v>
      </c>
      <c r="F13" s="321">
        <f>D13*E13</f>
        <v>2976</v>
      </c>
      <c r="G13" s="323">
        <f>F13*0.05</f>
        <v>148.80000000000001</v>
      </c>
      <c r="H13" s="323">
        <f>F13*0.1</f>
        <v>297.60000000000002</v>
      </c>
      <c r="I13" s="316">
        <f>(F13*$F$31)+(G13*$F$32)+(H13*$F$33)</f>
        <v>190480.66560000001</v>
      </c>
    </row>
    <row r="14" spans="1:16" s="135" customFormat="1" ht="15" customHeight="1" x14ac:dyDescent="0.3">
      <c r="A14" s="423" t="s">
        <v>251</v>
      </c>
      <c r="B14" s="258">
        <v>0.5</v>
      </c>
      <c r="C14" s="258">
        <v>1</v>
      </c>
      <c r="D14" s="315">
        <f t="shared" si="5"/>
        <v>0.5</v>
      </c>
      <c r="E14" s="389">
        <f>'Table 1a-Year 2'!H34+'Table 1a-Year 2'!H45+'Table 1b-Year 2'!H34+'Table 1b-Year 2'!H45</f>
        <v>0</v>
      </c>
      <c r="F14" s="321">
        <f t="shared" si="2"/>
        <v>0</v>
      </c>
      <c r="G14" s="321">
        <f t="shared" si="3"/>
        <v>0</v>
      </c>
      <c r="H14" s="321">
        <f t="shared" si="4"/>
        <v>0</v>
      </c>
      <c r="I14" s="322">
        <f t="shared" si="0"/>
        <v>0</v>
      </c>
    </row>
    <row r="15" spans="1:16" s="135" customFormat="1" x14ac:dyDescent="0.35">
      <c r="A15" s="258" t="s">
        <v>252</v>
      </c>
      <c r="B15" s="258">
        <v>8</v>
      </c>
      <c r="C15" s="258">
        <v>1</v>
      </c>
      <c r="D15" s="315">
        <f>B15*C15</f>
        <v>8</v>
      </c>
      <c r="E15" s="409">
        <f>'Table 1a-Year 2'!H38+'Table 1a-Year 2'!H49+'Table 1b-Year 2'!H38+'Table 1b-Year 2'!H49</f>
        <v>372</v>
      </c>
      <c r="F15" s="321">
        <f>D15*E15</f>
        <v>2976</v>
      </c>
      <c r="G15" s="321">
        <f>F15*0.05</f>
        <v>148.80000000000001</v>
      </c>
      <c r="H15" s="321">
        <f>F15*0.1</f>
        <v>297.60000000000002</v>
      </c>
      <c r="I15" s="322">
        <f t="shared" si="0"/>
        <v>190480.66560000001</v>
      </c>
      <c r="K15" s="177"/>
    </row>
    <row r="16" spans="1:16" s="135" customFormat="1" x14ac:dyDescent="0.35">
      <c r="A16" s="423" t="s">
        <v>253</v>
      </c>
      <c r="B16" s="258">
        <v>0.5</v>
      </c>
      <c r="C16" s="258">
        <v>1</v>
      </c>
      <c r="D16" s="315">
        <f t="shared" si="5"/>
        <v>0.5</v>
      </c>
      <c r="E16" s="408">
        <f>'Table 1a-Year 2'!H39+'Table 1a-Year 2'!H50+'Table 1b-Year 2'!H39+'Table 1b-Year 2'!H50</f>
        <v>37.200000000000003</v>
      </c>
      <c r="F16" s="320">
        <f t="shared" si="2"/>
        <v>18.600000000000001</v>
      </c>
      <c r="G16" s="320">
        <f t="shared" si="3"/>
        <v>0.93000000000000016</v>
      </c>
      <c r="H16" s="320">
        <f t="shared" si="4"/>
        <v>1.8600000000000003</v>
      </c>
      <c r="I16" s="322">
        <f t="shared" si="0"/>
        <v>1190.5041600000002</v>
      </c>
      <c r="K16" s="177"/>
    </row>
    <row r="17" spans="1:12" s="135" customFormat="1" x14ac:dyDescent="0.3">
      <c r="A17" s="258" t="s">
        <v>254</v>
      </c>
      <c r="B17" s="258"/>
      <c r="C17" s="258"/>
      <c r="D17" s="258"/>
      <c r="E17" s="258"/>
      <c r="F17" s="258"/>
      <c r="G17" s="258"/>
      <c r="H17" s="258"/>
      <c r="I17" s="316">
        <f>C41*(E5+E6)</f>
        <v>0</v>
      </c>
    </row>
    <row r="18" spans="1:12" s="135" customFormat="1" x14ac:dyDescent="0.3">
      <c r="A18" s="325" t="s">
        <v>255</v>
      </c>
      <c r="B18" s="258"/>
      <c r="C18" s="258"/>
      <c r="D18" s="258"/>
      <c r="E18" s="258"/>
      <c r="F18" s="528">
        <f>ROUND(SUM(F5:H16),-1)</f>
        <v>7210</v>
      </c>
      <c r="G18" s="529"/>
      <c r="H18" s="530"/>
      <c r="I18" s="326">
        <f>ROUND(SUM(I5:I17),-3)</f>
        <v>401000</v>
      </c>
      <c r="K18" s="331"/>
    </row>
    <row r="19" spans="1:12" s="135" customFormat="1" ht="13" x14ac:dyDescent="0.3"/>
    <row r="20" spans="1:12" s="259" customFormat="1" ht="13" x14ac:dyDescent="0.3">
      <c r="A20" s="261" t="s">
        <v>146</v>
      </c>
      <c r="H20" s="260"/>
    </row>
    <row r="21" spans="1:12" s="135" customFormat="1" ht="12.75" customHeight="1" x14ac:dyDescent="0.3">
      <c r="A21" s="496" t="s">
        <v>256</v>
      </c>
      <c r="B21" s="496"/>
      <c r="C21" s="496"/>
      <c r="D21" s="496"/>
      <c r="E21" s="496"/>
      <c r="F21" s="496"/>
      <c r="G21" s="496"/>
      <c r="H21" s="496"/>
      <c r="I21" s="496"/>
      <c r="J21" s="183"/>
      <c r="K21" s="332"/>
      <c r="L21" s="183"/>
    </row>
    <row r="22" spans="1:12" s="135" customFormat="1" ht="45.75" customHeight="1" x14ac:dyDescent="0.3">
      <c r="A22" s="497" t="s">
        <v>204</v>
      </c>
      <c r="B22" s="497"/>
      <c r="C22" s="497"/>
      <c r="D22" s="497"/>
      <c r="E22" s="497"/>
      <c r="F22" s="497"/>
      <c r="G22" s="497"/>
      <c r="H22" s="497"/>
      <c r="I22" s="497"/>
      <c r="J22" s="411"/>
      <c r="K22" s="411"/>
      <c r="L22" s="411"/>
    </row>
    <row r="23" spans="1:12" s="135" customFormat="1" ht="13" x14ac:dyDescent="0.3">
      <c r="A23" s="531" t="s">
        <v>257</v>
      </c>
      <c r="B23" s="531"/>
      <c r="C23" s="531"/>
      <c r="D23" s="531"/>
      <c r="E23" s="531"/>
      <c r="F23" s="531"/>
      <c r="G23" s="531"/>
      <c r="H23" s="531"/>
      <c r="I23" s="531"/>
    </row>
    <row r="24" spans="1:12" s="135" customFormat="1" ht="13" x14ac:dyDescent="0.3">
      <c r="A24" s="531" t="s">
        <v>258</v>
      </c>
      <c r="B24" s="531"/>
      <c r="C24" s="531"/>
      <c r="D24" s="531"/>
      <c r="E24" s="531"/>
      <c r="F24" s="531"/>
      <c r="G24" s="531"/>
      <c r="H24" s="531"/>
      <c r="I24" s="531"/>
    </row>
    <row r="25" spans="1:12" s="135" customFormat="1" ht="24.75" customHeight="1" x14ac:dyDescent="0.3">
      <c r="A25" s="524" t="str">
        <f>"e EPA estimates annual travel expenses to be $400 per plant and "&amp;B43&amp;" = (1 person x "&amp;E43&amp;" plants/year x 3 days/plant x $50 per diem) + ($250 round trip/plant x 18 plants/year) = $"&amp;I17&amp;"/year."</f>
        <v>e EPA estimates annual travel expenses to be $400 per plant and assumes EPA will visit 0 plants per year = (1 person x 0 plants/year x 3 days/plant x $50 per diem) + ($250 round trip/plant x 18 plants/year) = $0/year.</v>
      </c>
      <c r="B25" s="524"/>
      <c r="C25" s="524"/>
      <c r="D25" s="524"/>
      <c r="E25" s="524"/>
      <c r="F25" s="524"/>
      <c r="G25" s="524"/>
      <c r="H25" s="524"/>
      <c r="I25" s="524"/>
    </row>
    <row r="26" spans="1:12" s="187" customFormat="1" ht="13" x14ac:dyDescent="0.3">
      <c r="A26" s="478" t="s">
        <v>259</v>
      </c>
      <c r="B26" s="478"/>
      <c r="C26" s="478"/>
      <c r="D26" s="478"/>
      <c r="E26" s="478"/>
      <c r="F26" s="478"/>
      <c r="G26" s="478"/>
      <c r="H26" s="478"/>
      <c r="I26" s="478"/>
    </row>
    <row r="27" spans="1:12" s="187" customFormat="1" ht="13" x14ac:dyDescent="0.3">
      <c r="H27" s="135"/>
    </row>
    <row r="28" spans="1:12" s="135" customFormat="1" ht="13" x14ac:dyDescent="0.3">
      <c r="A28" s="327" t="s">
        <v>152</v>
      </c>
    </row>
    <row r="29" spans="1:12" s="135" customFormat="1" ht="13" x14ac:dyDescent="0.3"/>
    <row r="30" spans="1:12" s="135" customFormat="1" ht="45.75" customHeight="1" x14ac:dyDescent="0.3">
      <c r="B30" s="479" t="s">
        <v>260</v>
      </c>
      <c r="C30" s="481"/>
      <c r="D30" s="420" t="s">
        <v>261</v>
      </c>
      <c r="E30" s="420" t="s">
        <v>197</v>
      </c>
      <c r="F30" s="420" t="s">
        <v>262</v>
      </c>
    </row>
    <row r="31" spans="1:12" s="135" customFormat="1" ht="13" x14ac:dyDescent="0.3">
      <c r="B31" s="328" t="s">
        <v>263</v>
      </c>
      <c r="C31" s="311" t="s">
        <v>264</v>
      </c>
      <c r="D31" s="377">
        <f>'Table 1b-Year 2'!H82</f>
        <v>35.67</v>
      </c>
      <c r="E31" s="311">
        <v>1.6</v>
      </c>
      <c r="F31" s="329">
        <f>D31*E31</f>
        <v>57.072000000000003</v>
      </c>
    </row>
    <row r="32" spans="1:12" s="135" customFormat="1" ht="13" x14ac:dyDescent="0.3">
      <c r="B32" s="328" t="s">
        <v>265</v>
      </c>
      <c r="C32" s="311" t="s">
        <v>266</v>
      </c>
      <c r="D32" s="377">
        <f>'Table 1b-Year 2'!H83</f>
        <v>48.07</v>
      </c>
      <c r="E32" s="311">
        <v>1.6</v>
      </c>
      <c r="F32" s="329">
        <f>D32*E32</f>
        <v>76.912000000000006</v>
      </c>
    </row>
    <row r="33" spans="1:15" s="135" customFormat="1" ht="13" x14ac:dyDescent="0.3">
      <c r="B33" s="328" t="s">
        <v>267</v>
      </c>
      <c r="C33" s="311" t="s">
        <v>268</v>
      </c>
      <c r="D33" s="377">
        <f>'Table 1b-Year 2'!H84</f>
        <v>19.3</v>
      </c>
      <c r="E33" s="311">
        <v>1.6</v>
      </c>
      <c r="F33" s="329">
        <f>D33*E33</f>
        <v>30.880000000000003</v>
      </c>
    </row>
    <row r="34" spans="1:15" s="135" customFormat="1" ht="13" x14ac:dyDescent="0.3">
      <c r="B34" s="258"/>
      <c r="C34" s="311"/>
      <c r="D34" s="311"/>
      <c r="E34" s="311"/>
      <c r="F34" s="311"/>
    </row>
    <row r="35" spans="1:15" s="135" customFormat="1" ht="13" x14ac:dyDescent="0.3">
      <c r="B35" s="330"/>
      <c r="C35" s="311" t="s">
        <v>269</v>
      </c>
      <c r="D35" s="311"/>
      <c r="E35" s="311"/>
      <c r="F35" s="311"/>
    </row>
    <row r="36" spans="1:15" s="135" customFormat="1" x14ac:dyDescent="0.35">
      <c r="B36" s="258" t="s">
        <v>272</v>
      </c>
      <c r="C36" s="317">
        <f>(1*1*3*50)+(250*1)</f>
        <v>400</v>
      </c>
      <c r="D36" s="311"/>
      <c r="E36" s="311"/>
      <c r="F36" s="311"/>
      <c r="J36" s="319"/>
      <c r="K36" s="319"/>
      <c r="L36" s="319"/>
      <c r="M36" s="319"/>
      <c r="N36" s="319"/>
      <c r="O36" s="319"/>
    </row>
    <row r="37" spans="1:15" s="135" customFormat="1" x14ac:dyDescent="0.35">
      <c r="H37" s="319"/>
      <c r="J37" s="319"/>
      <c r="K37" s="319"/>
      <c r="L37" s="319"/>
      <c r="M37" s="319"/>
      <c r="N37" s="319"/>
      <c r="O37" s="319"/>
    </row>
    <row r="38" spans="1:15" s="135" customFormat="1" x14ac:dyDescent="0.35">
      <c r="H38" s="319"/>
      <c r="I38" s="319"/>
      <c r="J38" s="319"/>
      <c r="K38" s="319"/>
      <c r="L38" s="319"/>
      <c r="M38" s="319"/>
      <c r="N38" s="319"/>
      <c r="O38" s="319"/>
    </row>
    <row r="39" spans="1:15" s="135" customFormat="1" x14ac:dyDescent="0.35">
      <c r="B39" s="525" t="s">
        <v>269</v>
      </c>
      <c r="C39" s="525"/>
      <c r="D39" s="525"/>
      <c r="E39" s="525"/>
      <c r="F39" s="525"/>
      <c r="H39" s="319"/>
      <c r="I39" s="319"/>
      <c r="J39" s="319"/>
      <c r="K39" s="319"/>
      <c r="L39" s="319"/>
      <c r="M39" s="319"/>
      <c r="N39" s="319"/>
      <c r="O39" s="319"/>
    </row>
    <row r="40" spans="1:15" x14ac:dyDescent="0.35">
      <c r="A40" s="135"/>
      <c r="B40" s="135" t="s">
        <v>270</v>
      </c>
      <c r="C40" s="135"/>
      <c r="E40" s="135"/>
      <c r="F40" s="135"/>
      <c r="G40" s="135"/>
    </row>
    <row r="41" spans="1:15" x14ac:dyDescent="0.35">
      <c r="A41" s="526" t="s">
        <v>271</v>
      </c>
      <c r="B41" s="526"/>
      <c r="C41" s="318">
        <f>(1*1*3*50) + (250*1)</f>
        <v>400</v>
      </c>
      <c r="E41" s="135"/>
      <c r="F41" s="135"/>
      <c r="G41" s="135"/>
    </row>
    <row r="42" spans="1:15" x14ac:dyDescent="0.35">
      <c r="A42" s="135"/>
      <c r="B42" s="135"/>
      <c r="C42" s="135"/>
      <c r="E42" s="135"/>
    </row>
    <row r="43" spans="1:15" x14ac:dyDescent="0.35">
      <c r="A43" s="135"/>
      <c r="B43" s="134" t="str">
        <f>"assumes EPA will visit "&amp;TEXT(E43,"#,##0")&amp;" plants per year"</f>
        <v>assumes EPA will visit 0 plants per year</v>
      </c>
      <c r="C43" s="135"/>
      <c r="E43" s="368">
        <f>E5+E6</f>
        <v>0</v>
      </c>
    </row>
  </sheetData>
  <mergeCells count="11">
    <mergeCell ref="B30:C30"/>
    <mergeCell ref="A3:A4"/>
    <mergeCell ref="F18:H18"/>
    <mergeCell ref="A41:B41"/>
    <mergeCell ref="B39:F39"/>
    <mergeCell ref="A23:I23"/>
    <mergeCell ref="A24:I24"/>
    <mergeCell ref="A25:I25"/>
    <mergeCell ref="A21:I21"/>
    <mergeCell ref="A22:I22"/>
    <mergeCell ref="A26:I26"/>
  </mergeCells>
  <phoneticPr fontId="4" type="noConversion"/>
  <pageMargins left="0.7" right="0.7" top="0.75" bottom="0.75" header="0.3" footer="0.3"/>
  <pageSetup scale="77" orientation="landscape" horizontalDpi="1200" verticalDpi="1200" r:id="rId1"/>
  <headerFooter>
    <oddHeader>&amp;CTable 2a -- Agency Year 1</oddHeader>
    <oddFooter>&amp;L&amp;P of &amp;N&amp;R&amp;D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3FD55-010A-41E6-A62F-DBACCC064D1B}">
  <sheetPr>
    <pageSetUpPr fitToPage="1"/>
  </sheetPr>
  <dimension ref="A1:P43"/>
  <sheetViews>
    <sheetView zoomScaleNormal="100" workbookViewId="0">
      <selection activeCell="A25" sqref="A25:I25"/>
    </sheetView>
  </sheetViews>
  <sheetFormatPr defaultColWidth="9.1796875" defaultRowHeight="14.5" x14ac:dyDescent="0.35"/>
  <cols>
    <col min="1" max="1" width="69.1796875" style="319" customWidth="1"/>
    <col min="2" max="2" width="13.1796875" style="319" customWidth="1"/>
    <col min="3" max="3" width="15" style="319" bestFit="1" customWidth="1"/>
    <col min="4" max="4" width="13.453125" style="319" bestFit="1" customWidth="1"/>
    <col min="5" max="5" width="11.26953125" style="319" customWidth="1"/>
    <col min="6" max="6" width="14.453125" style="319" customWidth="1"/>
    <col min="7" max="8" width="13.81640625" style="319" customWidth="1"/>
    <col min="9" max="9" width="11" style="319" bestFit="1" customWidth="1"/>
    <col min="10" max="16384" width="9.1796875" style="319"/>
  </cols>
  <sheetData>
    <row r="1" spans="1:16" s="135" customFormat="1" ht="15.5" x14ac:dyDescent="0.35">
      <c r="A1" s="133" t="s">
        <v>233</v>
      </c>
      <c r="J1" s="319"/>
      <c r="K1" s="319"/>
      <c r="L1" s="250"/>
      <c r="M1" s="319"/>
      <c r="N1" s="319"/>
      <c r="O1" s="319"/>
      <c r="P1" s="319"/>
    </row>
    <row r="2" spans="1:16" s="135" customFormat="1" ht="15" customHeight="1" x14ac:dyDescent="0.3">
      <c r="A2" s="155"/>
    </row>
    <row r="3" spans="1:16" s="135" customFormat="1" ht="15" customHeight="1" x14ac:dyDescent="0.3">
      <c r="A3" s="527" t="s">
        <v>70</v>
      </c>
      <c r="B3" s="160" t="s">
        <v>71</v>
      </c>
      <c r="C3" s="160" t="s">
        <v>72</v>
      </c>
      <c r="D3" s="160" t="s">
        <v>73</v>
      </c>
      <c r="E3" s="160" t="s">
        <v>74</v>
      </c>
      <c r="F3" s="160" t="s">
        <v>75</v>
      </c>
      <c r="G3" s="160" t="s">
        <v>76</v>
      </c>
      <c r="H3" s="160" t="s">
        <v>77</v>
      </c>
      <c r="I3" s="160" t="s">
        <v>78</v>
      </c>
    </row>
    <row r="4" spans="1:16" s="135" customFormat="1" ht="52" x14ac:dyDescent="0.3">
      <c r="A4" s="527"/>
      <c r="B4" s="140" t="s">
        <v>234</v>
      </c>
      <c r="C4" s="140" t="s">
        <v>235</v>
      </c>
      <c r="D4" s="140" t="s">
        <v>236</v>
      </c>
      <c r="E4" s="140" t="s">
        <v>237</v>
      </c>
      <c r="F4" s="140" t="s">
        <v>238</v>
      </c>
      <c r="G4" s="140" t="s">
        <v>239</v>
      </c>
      <c r="H4" s="140" t="s">
        <v>240</v>
      </c>
      <c r="I4" s="140" t="s">
        <v>241</v>
      </c>
    </row>
    <row r="5" spans="1:16" s="135" customFormat="1" ht="15.75" customHeight="1" x14ac:dyDescent="0.3">
      <c r="A5" s="258" t="s">
        <v>242</v>
      </c>
      <c r="B5" s="315">
        <v>24</v>
      </c>
      <c r="C5" s="315">
        <v>1</v>
      </c>
      <c r="D5" s="315">
        <f>B5*C5</f>
        <v>24</v>
      </c>
      <c r="E5" s="388">
        <f>('Table 1a-Year 3'!H41+'Table 1b-Year 3'!H41)*0.2</f>
        <v>0</v>
      </c>
      <c r="F5" s="321">
        <f>D5*E5</f>
        <v>0</v>
      </c>
      <c r="G5" s="321">
        <f>F5*0.05</f>
        <v>0</v>
      </c>
      <c r="H5" s="321">
        <f>F5*0.1</f>
        <v>0</v>
      </c>
      <c r="I5" s="322">
        <f t="shared" ref="I5:I16" si="0">(F5*$F$31)+(G5*$F$32)+(H5*$F$33)</f>
        <v>0</v>
      </c>
    </row>
    <row r="6" spans="1:16" s="135" customFormat="1" ht="15" customHeight="1" x14ac:dyDescent="0.3">
      <c r="A6" s="258" t="s">
        <v>243</v>
      </c>
      <c r="B6" s="258">
        <v>24</v>
      </c>
      <c r="C6" s="258">
        <v>0.2</v>
      </c>
      <c r="D6" s="315">
        <f t="shared" ref="D6:D8" si="1">B6*C6</f>
        <v>4.8000000000000007</v>
      </c>
      <c r="E6" s="389">
        <f>0.2*E5</f>
        <v>0</v>
      </c>
      <c r="F6" s="321">
        <f t="shared" ref="F6:F16" si="2">D6*E6</f>
        <v>0</v>
      </c>
      <c r="G6" s="321">
        <f t="shared" ref="G6:G16" si="3">F6*0.05</f>
        <v>0</v>
      </c>
      <c r="H6" s="321">
        <f t="shared" ref="H6:H16" si="4">F6*0.1</f>
        <v>0</v>
      </c>
      <c r="I6" s="322">
        <f t="shared" si="0"/>
        <v>0</v>
      </c>
    </row>
    <row r="7" spans="1:16" s="135" customFormat="1" ht="13" x14ac:dyDescent="0.3">
      <c r="A7" s="423" t="s">
        <v>244</v>
      </c>
      <c r="B7" s="258">
        <v>0.5</v>
      </c>
      <c r="C7" s="258">
        <v>1</v>
      </c>
      <c r="D7" s="315">
        <f>B7*C7</f>
        <v>0.5</v>
      </c>
      <c r="E7" s="389">
        <f>'Table 1a-Year 3'!H41+'Table 1b-Year 3'!H41</f>
        <v>0</v>
      </c>
      <c r="F7" s="321">
        <f>D7*E7</f>
        <v>0</v>
      </c>
      <c r="G7" s="321">
        <f>F7*0.05</f>
        <v>0</v>
      </c>
      <c r="H7" s="321">
        <f>F7*0.1</f>
        <v>0</v>
      </c>
      <c r="I7" s="322">
        <f t="shared" si="0"/>
        <v>0</v>
      </c>
    </row>
    <row r="8" spans="1:16" s="135" customFormat="1" ht="15" customHeight="1" x14ac:dyDescent="0.3">
      <c r="A8" s="423" t="s">
        <v>245</v>
      </c>
      <c r="B8" s="258">
        <v>0.5</v>
      </c>
      <c r="C8" s="258">
        <v>1</v>
      </c>
      <c r="D8" s="315">
        <f t="shared" si="1"/>
        <v>0.5</v>
      </c>
      <c r="E8" s="388">
        <f>'Table 1a-Year 3'!H31+'Table 1a-Year 3'!H42+'Table 1b-Year 3'!H31+'Table 1b-Year 3'!H42</f>
        <v>0</v>
      </c>
      <c r="F8" s="321">
        <f t="shared" si="2"/>
        <v>0</v>
      </c>
      <c r="G8" s="321">
        <f t="shared" si="3"/>
        <v>0</v>
      </c>
      <c r="H8" s="321">
        <f t="shared" si="4"/>
        <v>0</v>
      </c>
      <c r="I8" s="322">
        <f t="shared" si="0"/>
        <v>0</v>
      </c>
    </row>
    <row r="9" spans="1:16" s="135" customFormat="1" ht="13" x14ac:dyDescent="0.3">
      <c r="A9" s="258" t="s">
        <v>246</v>
      </c>
      <c r="B9" s="258">
        <v>0.5</v>
      </c>
      <c r="C9" s="258">
        <v>1</v>
      </c>
      <c r="D9" s="315">
        <f>B9*C9</f>
        <v>0.5</v>
      </c>
      <c r="E9" s="389">
        <f>'Table 1a-Year 3'!H32+'Table 1a-Year 3'!H43+'Table 1b-Year 3'!H32+'Table 1b-Year 3'!H43</f>
        <v>0</v>
      </c>
      <c r="F9" s="321">
        <f>D9*E9</f>
        <v>0</v>
      </c>
      <c r="G9" s="321">
        <f>F9*0.05</f>
        <v>0</v>
      </c>
      <c r="H9" s="321">
        <f>F9*0.1</f>
        <v>0</v>
      </c>
      <c r="I9" s="322">
        <f t="shared" si="0"/>
        <v>0</v>
      </c>
    </row>
    <row r="10" spans="1:16" s="135" customFormat="1" ht="13" x14ac:dyDescent="0.3">
      <c r="A10" s="258" t="s">
        <v>247</v>
      </c>
      <c r="B10" s="258">
        <v>8</v>
      </c>
      <c r="C10" s="258">
        <v>1</v>
      </c>
      <c r="D10" s="315">
        <f>B10*C10</f>
        <v>8</v>
      </c>
      <c r="E10" s="389">
        <f>E9</f>
        <v>0</v>
      </c>
      <c r="F10" s="321">
        <f>D10*E10</f>
        <v>0</v>
      </c>
      <c r="G10" s="321">
        <f>F10*0.05</f>
        <v>0</v>
      </c>
      <c r="H10" s="321">
        <f>F10*0.1</f>
        <v>0</v>
      </c>
      <c r="I10" s="322">
        <f t="shared" si="0"/>
        <v>0</v>
      </c>
    </row>
    <row r="11" spans="1:16" s="135" customFormat="1" ht="15" customHeight="1" x14ac:dyDescent="0.3">
      <c r="A11" s="423" t="s">
        <v>248</v>
      </c>
      <c r="B11" s="258">
        <v>0.5</v>
      </c>
      <c r="C11" s="258">
        <v>1</v>
      </c>
      <c r="D11" s="315">
        <f t="shared" ref="D11:D16" si="5">B11*C11</f>
        <v>0.5</v>
      </c>
      <c r="E11" s="389">
        <f>'Table 1a-Year 3'!H35+'Table 1a-Year 3'!H46+'Table 1b-Year 3'!H35+'Table 1b-Year 3'!H46</f>
        <v>0</v>
      </c>
      <c r="F11" s="321">
        <f t="shared" si="2"/>
        <v>0</v>
      </c>
      <c r="G11" s="321">
        <f t="shared" si="3"/>
        <v>0</v>
      </c>
      <c r="H11" s="321">
        <f t="shared" si="4"/>
        <v>0</v>
      </c>
      <c r="I11" s="322">
        <f t="shared" si="0"/>
        <v>0</v>
      </c>
    </row>
    <row r="12" spans="1:16" s="135" customFormat="1" ht="15" customHeight="1" x14ac:dyDescent="0.3">
      <c r="A12" s="423" t="s">
        <v>249</v>
      </c>
      <c r="B12" s="258">
        <v>8</v>
      </c>
      <c r="C12" s="258">
        <v>1</v>
      </c>
      <c r="D12" s="315">
        <f t="shared" si="5"/>
        <v>8</v>
      </c>
      <c r="E12" s="408">
        <f>'Table 1a-Year 3'!H36+'Table 1b-Year 3'!H36</f>
        <v>37.200000000000003</v>
      </c>
      <c r="F12" s="321">
        <f>D12*E12</f>
        <v>297.60000000000002</v>
      </c>
      <c r="G12" s="324">
        <f t="shared" si="3"/>
        <v>14.880000000000003</v>
      </c>
      <c r="H12" s="324">
        <f t="shared" si="4"/>
        <v>29.760000000000005</v>
      </c>
      <c r="I12" s="316">
        <f>(F12*$F$31)+(G12*$F$32)+(H12*$F$33)</f>
        <v>19048.066560000003</v>
      </c>
    </row>
    <row r="13" spans="1:16" s="135" customFormat="1" ht="13" x14ac:dyDescent="0.3">
      <c r="A13" s="258" t="s">
        <v>250</v>
      </c>
      <c r="B13" s="258">
        <v>8</v>
      </c>
      <c r="C13" s="258">
        <v>1</v>
      </c>
      <c r="D13" s="315">
        <f>B13*C13</f>
        <v>8</v>
      </c>
      <c r="E13" s="257">
        <f>'Table 1a-Year 3'!H37+'Table 1b-Year 3'!H37</f>
        <v>372</v>
      </c>
      <c r="F13" s="321">
        <f>D13*E13</f>
        <v>2976</v>
      </c>
      <c r="G13" s="323">
        <f>F13*0.05</f>
        <v>148.80000000000001</v>
      </c>
      <c r="H13" s="323">
        <f>F13*0.1</f>
        <v>297.60000000000002</v>
      </c>
      <c r="I13" s="316">
        <f>(F13*$F$31)+(G13*$F$32)+(H13*$F$33)</f>
        <v>190480.66560000001</v>
      </c>
    </row>
    <row r="14" spans="1:16" s="135" customFormat="1" ht="15" customHeight="1" x14ac:dyDescent="0.3">
      <c r="A14" s="423" t="s">
        <v>251</v>
      </c>
      <c r="B14" s="258">
        <v>0.5</v>
      </c>
      <c r="C14" s="258">
        <v>1</v>
      </c>
      <c r="D14" s="315">
        <f t="shared" si="5"/>
        <v>0.5</v>
      </c>
      <c r="E14" s="389">
        <f>'Table 1a-Year 3'!H34+'Table 1a-Year 3'!H45+'Table 1b-Year 3'!H34+'Table 1b-Year 3'!H45</f>
        <v>0</v>
      </c>
      <c r="F14" s="321">
        <f t="shared" si="2"/>
        <v>0</v>
      </c>
      <c r="G14" s="321">
        <f t="shared" si="3"/>
        <v>0</v>
      </c>
      <c r="H14" s="321">
        <f t="shared" si="4"/>
        <v>0</v>
      </c>
      <c r="I14" s="322">
        <f t="shared" si="0"/>
        <v>0</v>
      </c>
    </row>
    <row r="15" spans="1:16" s="135" customFormat="1" x14ac:dyDescent="0.35">
      <c r="A15" s="258" t="s">
        <v>252</v>
      </c>
      <c r="B15" s="258">
        <v>8</v>
      </c>
      <c r="C15" s="258">
        <v>1</v>
      </c>
      <c r="D15" s="315">
        <f>B15*C15</f>
        <v>8</v>
      </c>
      <c r="E15" s="409">
        <f>'Table 1a-Year 3'!H38+'Table 1a-Year 3'!H49+'Table 1b-Year 3'!H38+'Table 1b-Year 3'!H49</f>
        <v>372</v>
      </c>
      <c r="F15" s="321">
        <f>D15*E15</f>
        <v>2976</v>
      </c>
      <c r="G15" s="321">
        <f>F15*0.05</f>
        <v>148.80000000000001</v>
      </c>
      <c r="H15" s="321">
        <f>F15*0.1</f>
        <v>297.60000000000002</v>
      </c>
      <c r="I15" s="322">
        <f t="shared" si="0"/>
        <v>190480.66560000001</v>
      </c>
      <c r="K15" s="177"/>
    </row>
    <row r="16" spans="1:16" s="135" customFormat="1" x14ac:dyDescent="0.35">
      <c r="A16" s="423" t="s">
        <v>253</v>
      </c>
      <c r="B16" s="258">
        <v>0.5</v>
      </c>
      <c r="C16" s="258">
        <v>1</v>
      </c>
      <c r="D16" s="315">
        <f t="shared" si="5"/>
        <v>0.5</v>
      </c>
      <c r="E16" s="408">
        <f>'Table 1a-Year 3'!H39+'Table 1a-Year 3'!H50+'Table 1b-Year 3'!H39+'Table 1b-Year 3'!H50</f>
        <v>37.200000000000003</v>
      </c>
      <c r="F16" s="320">
        <f t="shared" si="2"/>
        <v>18.600000000000001</v>
      </c>
      <c r="G16" s="320">
        <f t="shared" si="3"/>
        <v>0.93000000000000016</v>
      </c>
      <c r="H16" s="320">
        <f t="shared" si="4"/>
        <v>1.8600000000000003</v>
      </c>
      <c r="I16" s="322">
        <f t="shared" si="0"/>
        <v>1190.5041600000002</v>
      </c>
      <c r="K16" s="177"/>
    </row>
    <row r="17" spans="1:12" s="135" customFormat="1" x14ac:dyDescent="0.3">
      <c r="A17" s="258" t="s">
        <v>254</v>
      </c>
      <c r="B17" s="258"/>
      <c r="C17" s="258"/>
      <c r="D17" s="258"/>
      <c r="E17" s="258"/>
      <c r="F17" s="258"/>
      <c r="G17" s="258"/>
      <c r="H17" s="258"/>
      <c r="I17" s="316">
        <f>C41*(E5+E6)</f>
        <v>0</v>
      </c>
    </row>
    <row r="18" spans="1:12" s="135" customFormat="1" x14ac:dyDescent="0.3">
      <c r="A18" s="325" t="s">
        <v>255</v>
      </c>
      <c r="B18" s="258"/>
      <c r="C18" s="258"/>
      <c r="D18" s="258"/>
      <c r="E18" s="258"/>
      <c r="F18" s="528">
        <f>ROUND(SUM(F5:H16),-1)</f>
        <v>7210</v>
      </c>
      <c r="G18" s="529"/>
      <c r="H18" s="530"/>
      <c r="I18" s="326">
        <f>ROUND(SUM(I5:I17),-3)</f>
        <v>401000</v>
      </c>
      <c r="K18" s="331"/>
    </row>
    <row r="19" spans="1:12" s="135" customFormat="1" ht="13" x14ac:dyDescent="0.3"/>
    <row r="20" spans="1:12" s="259" customFormat="1" ht="13" x14ac:dyDescent="0.3">
      <c r="A20" s="261" t="s">
        <v>146</v>
      </c>
      <c r="H20" s="260"/>
    </row>
    <row r="21" spans="1:12" s="135" customFormat="1" ht="12.75" customHeight="1" x14ac:dyDescent="0.3">
      <c r="A21" s="496" t="s">
        <v>256</v>
      </c>
      <c r="B21" s="496"/>
      <c r="C21" s="496"/>
      <c r="D21" s="496"/>
      <c r="E21" s="496"/>
      <c r="F21" s="496"/>
      <c r="G21" s="496"/>
      <c r="H21" s="496"/>
      <c r="I21" s="496"/>
      <c r="J21" s="183"/>
      <c r="K21" s="332"/>
      <c r="L21" s="183"/>
    </row>
    <row r="22" spans="1:12" s="135" customFormat="1" ht="47.25" customHeight="1" x14ac:dyDescent="0.3">
      <c r="A22" s="497" t="s">
        <v>204</v>
      </c>
      <c r="B22" s="497"/>
      <c r="C22" s="497"/>
      <c r="D22" s="497"/>
      <c r="E22" s="497"/>
      <c r="F22" s="497"/>
      <c r="G22" s="497"/>
      <c r="H22" s="497"/>
      <c r="I22" s="497"/>
      <c r="J22" s="411"/>
      <c r="K22" s="411"/>
      <c r="L22" s="411"/>
    </row>
    <row r="23" spans="1:12" s="135" customFormat="1" ht="13" x14ac:dyDescent="0.3">
      <c r="A23" s="531" t="s">
        <v>257</v>
      </c>
      <c r="B23" s="531"/>
      <c r="C23" s="531"/>
      <c r="D23" s="531"/>
      <c r="E23" s="531"/>
      <c r="F23" s="531"/>
      <c r="G23" s="531"/>
      <c r="H23" s="531"/>
      <c r="I23" s="531"/>
    </row>
    <row r="24" spans="1:12" s="135" customFormat="1" ht="13" x14ac:dyDescent="0.3">
      <c r="A24" s="531" t="s">
        <v>258</v>
      </c>
      <c r="B24" s="531"/>
      <c r="C24" s="531"/>
      <c r="D24" s="531"/>
      <c r="E24" s="531"/>
      <c r="F24" s="531"/>
      <c r="G24" s="531"/>
      <c r="H24" s="531"/>
      <c r="I24" s="531"/>
    </row>
    <row r="25" spans="1:12" s="135" customFormat="1" ht="30.75" customHeight="1" x14ac:dyDescent="0.3">
      <c r="A25" s="524" t="str">
        <f>"e EPA estimates annual travel expenses to be $400 per plant and "&amp;B43&amp;" = (1 person x "&amp;E43&amp;" plants/year x 3 days/plant x $50 per diem) + ($250 round trip/plant x 18 plants/year) = $"&amp;I17&amp;"/year."</f>
        <v>e EPA estimates annual travel expenses to be $400 per plant and assumes EPA will visit 0 plants per year = (1 person x 0 plants/year x 3 days/plant x $50 per diem) + ($250 round trip/plant x 18 plants/year) = $0/year.</v>
      </c>
      <c r="B25" s="524"/>
      <c r="C25" s="524"/>
      <c r="D25" s="524"/>
      <c r="E25" s="524"/>
      <c r="F25" s="524"/>
      <c r="G25" s="524"/>
      <c r="H25" s="524"/>
      <c r="I25" s="524"/>
    </row>
    <row r="26" spans="1:12" s="187" customFormat="1" ht="13" x14ac:dyDescent="0.3">
      <c r="A26" s="478" t="s">
        <v>259</v>
      </c>
      <c r="B26" s="478"/>
      <c r="C26" s="478"/>
      <c r="D26" s="478"/>
      <c r="E26" s="478"/>
      <c r="F26" s="478"/>
      <c r="G26" s="478"/>
      <c r="H26" s="478"/>
      <c r="I26" s="478"/>
    </row>
    <row r="27" spans="1:12" s="187" customFormat="1" ht="13" x14ac:dyDescent="0.3">
      <c r="H27" s="135"/>
    </row>
    <row r="28" spans="1:12" s="135" customFormat="1" ht="13" x14ac:dyDescent="0.3">
      <c r="A28" s="327" t="s">
        <v>152</v>
      </c>
    </row>
    <row r="29" spans="1:12" s="135" customFormat="1" ht="13" x14ac:dyDescent="0.3"/>
    <row r="30" spans="1:12" s="135" customFormat="1" ht="45.75" customHeight="1" x14ac:dyDescent="0.3">
      <c r="B30" s="479" t="s">
        <v>260</v>
      </c>
      <c r="C30" s="481"/>
      <c r="D30" s="420" t="s">
        <v>261</v>
      </c>
      <c r="E30" s="420" t="s">
        <v>197</v>
      </c>
      <c r="F30" s="420" t="s">
        <v>262</v>
      </c>
    </row>
    <row r="31" spans="1:12" s="135" customFormat="1" ht="13" x14ac:dyDescent="0.3">
      <c r="B31" s="328" t="s">
        <v>263</v>
      </c>
      <c r="C31" s="311" t="s">
        <v>264</v>
      </c>
      <c r="D31" s="377">
        <f>'Table 1b-Year 3'!H82</f>
        <v>35.67</v>
      </c>
      <c r="E31" s="311">
        <v>1.6</v>
      </c>
      <c r="F31" s="329">
        <f>D31*E31</f>
        <v>57.072000000000003</v>
      </c>
    </row>
    <row r="32" spans="1:12" s="135" customFormat="1" ht="13" x14ac:dyDescent="0.3">
      <c r="B32" s="328" t="s">
        <v>265</v>
      </c>
      <c r="C32" s="311" t="s">
        <v>266</v>
      </c>
      <c r="D32" s="377">
        <f>'Table 1b-Year 3'!H83</f>
        <v>48.07</v>
      </c>
      <c r="E32" s="311">
        <v>1.6</v>
      </c>
      <c r="F32" s="329">
        <f>D32*E32</f>
        <v>76.912000000000006</v>
      </c>
    </row>
    <row r="33" spans="1:15" s="135" customFormat="1" ht="13" x14ac:dyDescent="0.3">
      <c r="B33" s="328" t="s">
        <v>267</v>
      </c>
      <c r="C33" s="311" t="s">
        <v>268</v>
      </c>
      <c r="D33" s="377">
        <f>'Table 1b-Year 3'!H84</f>
        <v>19.3</v>
      </c>
      <c r="E33" s="311">
        <v>1.6</v>
      </c>
      <c r="F33" s="329">
        <f>D33*E33</f>
        <v>30.880000000000003</v>
      </c>
    </row>
    <row r="34" spans="1:15" s="135" customFormat="1" ht="13" x14ac:dyDescent="0.3">
      <c r="B34" s="258"/>
      <c r="C34" s="311"/>
      <c r="D34" s="311"/>
      <c r="E34" s="311"/>
      <c r="F34" s="311"/>
    </row>
    <row r="35" spans="1:15" s="135" customFormat="1" ht="13" x14ac:dyDescent="0.3">
      <c r="B35" s="330"/>
      <c r="C35" s="311" t="s">
        <v>269</v>
      </c>
      <c r="D35" s="311"/>
      <c r="E35" s="311"/>
      <c r="F35" s="311"/>
    </row>
    <row r="36" spans="1:15" s="135" customFormat="1" x14ac:dyDescent="0.35">
      <c r="B36" s="258" t="s">
        <v>272</v>
      </c>
      <c r="C36" s="317">
        <f>(1*1*3*50)+(250*1)</f>
        <v>400</v>
      </c>
      <c r="D36" s="311"/>
      <c r="E36" s="311"/>
      <c r="F36" s="311"/>
      <c r="J36" s="319"/>
      <c r="K36" s="319"/>
      <c r="L36" s="319"/>
      <c r="M36" s="319"/>
      <c r="N36" s="319"/>
      <c r="O36" s="319"/>
    </row>
    <row r="37" spans="1:15" s="135" customFormat="1" x14ac:dyDescent="0.35">
      <c r="H37" s="319"/>
      <c r="J37" s="319"/>
      <c r="K37" s="319"/>
      <c r="L37" s="319"/>
      <c r="M37" s="319"/>
      <c r="N37" s="319"/>
      <c r="O37" s="319"/>
    </row>
    <row r="38" spans="1:15" s="135" customFormat="1" x14ac:dyDescent="0.35">
      <c r="H38" s="319"/>
      <c r="I38" s="319"/>
      <c r="J38" s="319"/>
      <c r="K38" s="319"/>
      <c r="L38" s="319"/>
      <c r="M38" s="319"/>
      <c r="N38" s="319"/>
      <c r="O38" s="319"/>
    </row>
    <row r="39" spans="1:15" s="135" customFormat="1" x14ac:dyDescent="0.35">
      <c r="B39" s="525" t="s">
        <v>269</v>
      </c>
      <c r="C39" s="525"/>
      <c r="D39" s="525"/>
      <c r="E39" s="525"/>
      <c r="F39" s="525"/>
      <c r="H39" s="319"/>
      <c r="I39" s="319"/>
      <c r="J39" s="319"/>
      <c r="K39" s="319"/>
      <c r="L39" s="319"/>
      <c r="M39" s="319"/>
      <c r="N39" s="319"/>
      <c r="O39" s="319"/>
    </row>
    <row r="40" spans="1:15" x14ac:dyDescent="0.35">
      <c r="A40" s="135"/>
      <c r="B40" s="135" t="s">
        <v>270</v>
      </c>
      <c r="C40" s="135"/>
      <c r="E40" s="135"/>
      <c r="F40" s="135"/>
      <c r="G40" s="135"/>
    </row>
    <row r="41" spans="1:15" x14ac:dyDescent="0.35">
      <c r="A41" s="526" t="s">
        <v>271</v>
      </c>
      <c r="B41" s="526"/>
      <c r="C41" s="318">
        <f>(1*1*3*50) + (250*1)</f>
        <v>400</v>
      </c>
      <c r="E41" s="135"/>
      <c r="F41" s="135"/>
      <c r="G41" s="135"/>
    </row>
    <row r="42" spans="1:15" x14ac:dyDescent="0.35">
      <c r="A42" s="135"/>
      <c r="B42" s="135"/>
      <c r="C42" s="135"/>
      <c r="E42" s="135"/>
    </row>
    <row r="43" spans="1:15" x14ac:dyDescent="0.35">
      <c r="A43" s="135"/>
      <c r="B43" s="134" t="str">
        <f>"assumes EPA will visit "&amp;TEXT(E43,"#,##0")&amp;" plants per year"</f>
        <v>assumes EPA will visit 0 plants per year</v>
      </c>
      <c r="C43" s="135"/>
      <c r="E43" s="368">
        <f>E5+E6</f>
        <v>0</v>
      </c>
    </row>
  </sheetData>
  <mergeCells count="11">
    <mergeCell ref="A25:I25"/>
    <mergeCell ref="B30:C30"/>
    <mergeCell ref="B39:F39"/>
    <mergeCell ref="A41:B41"/>
    <mergeCell ref="A3:A4"/>
    <mergeCell ref="F18:H18"/>
    <mergeCell ref="A21:I21"/>
    <mergeCell ref="A23:I23"/>
    <mergeCell ref="A24:I24"/>
    <mergeCell ref="A22:I22"/>
    <mergeCell ref="A26:I26"/>
  </mergeCells>
  <pageMargins left="0.7" right="0.7" top="0.75" bottom="0.75" header="0.3" footer="0.3"/>
  <pageSetup scale="77" orientation="landscape" horizontalDpi="1200" verticalDpi="1200" r:id="rId1"/>
  <headerFooter>
    <oddHeader>&amp;CTable 2a -- Agency Year 1</oddHeader>
    <oddFooter>&amp;L&amp;P of &amp;N&amp;R&amp;D</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D8305-A41A-4BB0-882F-5EC41E83C597}">
  <sheetPr>
    <tabColor rgb="FF92D050"/>
    <pageSetUpPr fitToPage="1"/>
  </sheetPr>
  <dimension ref="A1:P43"/>
  <sheetViews>
    <sheetView zoomScaleNormal="100" workbookViewId="0">
      <selection activeCell="K22" sqref="K22"/>
    </sheetView>
  </sheetViews>
  <sheetFormatPr defaultColWidth="9.1796875" defaultRowHeight="14.5" x14ac:dyDescent="0.35"/>
  <cols>
    <col min="1" max="1" width="69.1796875" style="319" customWidth="1"/>
    <col min="2" max="2" width="13.1796875" style="319" customWidth="1"/>
    <col min="3" max="3" width="15" style="319" bestFit="1" customWidth="1"/>
    <col min="4" max="4" width="13.453125" style="319" bestFit="1" customWidth="1"/>
    <col min="5" max="5" width="11.26953125" style="319" customWidth="1"/>
    <col min="6" max="6" width="14.453125" style="319" customWidth="1"/>
    <col min="7" max="8" width="13.81640625" style="319" customWidth="1"/>
    <col min="9" max="9" width="11" style="319" bestFit="1" customWidth="1"/>
    <col min="10" max="16384" width="9.1796875" style="319"/>
  </cols>
  <sheetData>
    <row r="1" spans="1:16" s="135" customFormat="1" ht="15.5" x14ac:dyDescent="0.35">
      <c r="A1" s="133" t="s">
        <v>233</v>
      </c>
      <c r="J1" s="319"/>
      <c r="K1" s="319"/>
      <c r="L1" s="250"/>
      <c r="M1" s="319"/>
      <c r="N1" s="319"/>
      <c r="O1" s="319"/>
      <c r="P1" s="319"/>
    </row>
    <row r="2" spans="1:16" s="135" customFormat="1" ht="15" customHeight="1" x14ac:dyDescent="0.3">
      <c r="A2" s="155"/>
    </row>
    <row r="3" spans="1:16" s="135" customFormat="1" ht="15" customHeight="1" x14ac:dyDescent="0.3">
      <c r="A3" s="527" t="s">
        <v>70</v>
      </c>
      <c r="B3" s="160" t="s">
        <v>71</v>
      </c>
      <c r="C3" s="160" t="s">
        <v>72</v>
      </c>
      <c r="D3" s="160" t="s">
        <v>73</v>
      </c>
      <c r="E3" s="160" t="s">
        <v>74</v>
      </c>
      <c r="F3" s="160" t="s">
        <v>75</v>
      </c>
      <c r="G3" s="160" t="s">
        <v>76</v>
      </c>
      <c r="H3" s="160" t="s">
        <v>77</v>
      </c>
      <c r="I3" s="160" t="s">
        <v>78</v>
      </c>
    </row>
    <row r="4" spans="1:16" s="135" customFormat="1" ht="52" x14ac:dyDescent="0.3">
      <c r="A4" s="527"/>
      <c r="B4" s="140" t="s">
        <v>234</v>
      </c>
      <c r="C4" s="140" t="s">
        <v>235</v>
      </c>
      <c r="D4" s="140" t="s">
        <v>236</v>
      </c>
      <c r="E4" s="140" t="s">
        <v>237</v>
      </c>
      <c r="F4" s="140" t="s">
        <v>238</v>
      </c>
      <c r="G4" s="140" t="s">
        <v>239</v>
      </c>
      <c r="H4" s="140" t="s">
        <v>240</v>
      </c>
      <c r="I4" s="140" t="s">
        <v>241</v>
      </c>
    </row>
    <row r="5" spans="1:16" s="135" customFormat="1" ht="15.75" customHeight="1" x14ac:dyDescent="0.3">
      <c r="A5" s="258" t="s">
        <v>242</v>
      </c>
      <c r="B5" s="315">
        <v>24</v>
      </c>
      <c r="C5" s="315">
        <v>1</v>
      </c>
      <c r="D5" s="315">
        <f>B5*C5</f>
        <v>24</v>
      </c>
      <c r="E5" s="388">
        <f>AVERAGE('Table 2-Year 1'!E5,'Table 2-Year 2'!E5,'Table 2-Year 3'!E5)</f>
        <v>0</v>
      </c>
      <c r="F5" s="321">
        <f>D5*E5</f>
        <v>0</v>
      </c>
      <c r="G5" s="321">
        <f>F5*0.05</f>
        <v>0</v>
      </c>
      <c r="H5" s="321">
        <f>F5*0.1</f>
        <v>0</v>
      </c>
      <c r="I5" s="322">
        <f t="shared" ref="I5:I16" si="0">(F5*$F$31)+(G5*$F$32)+(H5*$F$33)</f>
        <v>0</v>
      </c>
    </row>
    <row r="6" spans="1:16" s="135" customFormat="1" ht="15" customHeight="1" x14ac:dyDescent="0.3">
      <c r="A6" s="258" t="s">
        <v>243</v>
      </c>
      <c r="B6" s="258">
        <v>24</v>
      </c>
      <c r="C6" s="258">
        <v>0.2</v>
      </c>
      <c r="D6" s="315">
        <f t="shared" ref="D6:D8" si="1">B6*C6</f>
        <v>4.8000000000000007</v>
      </c>
      <c r="E6" s="389">
        <f>AVERAGE('Table 2-Year 1'!E6,'Table 2-Year 2'!E6,'Table 2-Year 3'!E6)</f>
        <v>0</v>
      </c>
      <c r="F6" s="321">
        <f t="shared" ref="F6:F16" si="2">D6*E6</f>
        <v>0</v>
      </c>
      <c r="G6" s="321">
        <f t="shared" ref="G6:G16" si="3">F6*0.05</f>
        <v>0</v>
      </c>
      <c r="H6" s="321">
        <f t="shared" ref="H6:H16" si="4">F6*0.1</f>
        <v>0</v>
      </c>
      <c r="I6" s="322">
        <f t="shared" si="0"/>
        <v>0</v>
      </c>
    </row>
    <row r="7" spans="1:16" s="135" customFormat="1" ht="13" x14ac:dyDescent="0.3">
      <c r="A7" s="423" t="s">
        <v>244</v>
      </c>
      <c r="B7" s="258">
        <v>0.5</v>
      </c>
      <c r="C7" s="258">
        <v>1</v>
      </c>
      <c r="D7" s="315">
        <f>B7*C7</f>
        <v>0.5</v>
      </c>
      <c r="E7" s="389">
        <f>AVERAGE('Table 2-Year 1'!E7,'Table 2-Year 2'!E7,'Table 2-Year 3'!E7)</f>
        <v>0</v>
      </c>
      <c r="F7" s="321">
        <f>D7*E7</f>
        <v>0</v>
      </c>
      <c r="G7" s="321">
        <f>F7*0.05</f>
        <v>0</v>
      </c>
      <c r="H7" s="321">
        <f>F7*0.1</f>
        <v>0</v>
      </c>
      <c r="I7" s="322">
        <f t="shared" si="0"/>
        <v>0</v>
      </c>
    </row>
    <row r="8" spans="1:16" s="135" customFormat="1" ht="15" customHeight="1" x14ac:dyDescent="0.3">
      <c r="A8" s="423" t="s">
        <v>245</v>
      </c>
      <c r="B8" s="258">
        <v>0.5</v>
      </c>
      <c r="C8" s="258">
        <v>1</v>
      </c>
      <c r="D8" s="315">
        <f t="shared" si="1"/>
        <v>0.5</v>
      </c>
      <c r="E8" s="388">
        <f>AVERAGE('Table 2-Year 1'!E8,'Table 2-Year 2'!E8,'Table 2-Year 3'!E8)</f>
        <v>0</v>
      </c>
      <c r="F8" s="321">
        <f t="shared" si="2"/>
        <v>0</v>
      </c>
      <c r="G8" s="321">
        <f t="shared" si="3"/>
        <v>0</v>
      </c>
      <c r="H8" s="321">
        <f t="shared" si="4"/>
        <v>0</v>
      </c>
      <c r="I8" s="322">
        <f t="shared" si="0"/>
        <v>0</v>
      </c>
    </row>
    <row r="9" spans="1:16" s="135" customFormat="1" ht="13" x14ac:dyDescent="0.3">
      <c r="A9" s="258" t="s">
        <v>246</v>
      </c>
      <c r="B9" s="258">
        <v>0.5</v>
      </c>
      <c r="C9" s="258">
        <v>1</v>
      </c>
      <c r="D9" s="315">
        <f>B9*C9</f>
        <v>0.5</v>
      </c>
      <c r="E9" s="389">
        <f>AVERAGE('Table 2-Year 1'!E9,'Table 2-Year 2'!E9,'Table 2-Year 3'!E9)</f>
        <v>0</v>
      </c>
      <c r="F9" s="321">
        <f>D9*E9</f>
        <v>0</v>
      </c>
      <c r="G9" s="321">
        <f>F9*0.05</f>
        <v>0</v>
      </c>
      <c r="H9" s="321">
        <f>F9*0.1</f>
        <v>0</v>
      </c>
      <c r="I9" s="322">
        <f t="shared" si="0"/>
        <v>0</v>
      </c>
    </row>
    <row r="10" spans="1:16" s="135" customFormat="1" ht="13" x14ac:dyDescent="0.3">
      <c r="A10" s="258" t="s">
        <v>247</v>
      </c>
      <c r="B10" s="258">
        <v>8</v>
      </c>
      <c r="C10" s="258">
        <v>1</v>
      </c>
      <c r="D10" s="315">
        <f>B10*C10</f>
        <v>8</v>
      </c>
      <c r="E10" s="389">
        <f>AVERAGE('Table 2-Year 1'!E10,'Table 2-Year 2'!E10,'Table 2-Year 3'!E10)</f>
        <v>0</v>
      </c>
      <c r="F10" s="321">
        <f>D10*E10</f>
        <v>0</v>
      </c>
      <c r="G10" s="321">
        <f>F10*0.05</f>
        <v>0</v>
      </c>
      <c r="H10" s="321">
        <f>F10*0.1</f>
        <v>0</v>
      </c>
      <c r="I10" s="322">
        <f t="shared" si="0"/>
        <v>0</v>
      </c>
    </row>
    <row r="11" spans="1:16" s="135" customFormat="1" ht="15" customHeight="1" x14ac:dyDescent="0.3">
      <c r="A11" s="423" t="s">
        <v>248</v>
      </c>
      <c r="B11" s="258">
        <v>0.5</v>
      </c>
      <c r="C11" s="258">
        <v>1</v>
      </c>
      <c r="D11" s="315">
        <f t="shared" ref="D11:D16" si="5">B11*C11</f>
        <v>0.5</v>
      </c>
      <c r="E11" s="389">
        <f>AVERAGE('Table 2-Year 1'!E11,'Table 2-Year 2'!E11,'Table 2-Year 3'!E11)</f>
        <v>0</v>
      </c>
      <c r="F11" s="321">
        <f t="shared" si="2"/>
        <v>0</v>
      </c>
      <c r="G11" s="321">
        <f t="shared" si="3"/>
        <v>0</v>
      </c>
      <c r="H11" s="321">
        <f t="shared" si="4"/>
        <v>0</v>
      </c>
      <c r="I11" s="322">
        <f t="shared" si="0"/>
        <v>0</v>
      </c>
    </row>
    <row r="12" spans="1:16" s="135" customFormat="1" ht="15" customHeight="1" x14ac:dyDescent="0.3">
      <c r="A12" s="423" t="s">
        <v>249</v>
      </c>
      <c r="B12" s="258">
        <v>8</v>
      </c>
      <c r="C12" s="258">
        <v>1</v>
      </c>
      <c r="D12" s="315">
        <f t="shared" si="5"/>
        <v>8</v>
      </c>
      <c r="E12" s="408">
        <f>AVERAGE('Table 2-Year 1'!E12,'Table 2-Year 2'!E12,'Table 2-Year 3'!E12)</f>
        <v>37.200000000000003</v>
      </c>
      <c r="F12" s="321">
        <f>D12*E12</f>
        <v>297.60000000000002</v>
      </c>
      <c r="G12" s="324">
        <f t="shared" si="3"/>
        <v>14.880000000000003</v>
      </c>
      <c r="H12" s="324">
        <f t="shared" si="4"/>
        <v>29.760000000000005</v>
      </c>
      <c r="I12" s="316">
        <f>(F12*$F$31)+(G12*$F$32)+(H12*$F$33)</f>
        <v>19048.066560000003</v>
      </c>
    </row>
    <row r="13" spans="1:16" s="135" customFormat="1" ht="13" x14ac:dyDescent="0.3">
      <c r="A13" s="258" t="s">
        <v>250</v>
      </c>
      <c r="B13" s="258">
        <v>8</v>
      </c>
      <c r="C13" s="258">
        <v>1</v>
      </c>
      <c r="D13" s="315">
        <f>B13*C13</f>
        <v>8</v>
      </c>
      <c r="E13" s="257">
        <f>AVERAGE('Table 2-Year 1'!E13,'Table 2-Year 2'!E13,'Table 2-Year 3'!E13)</f>
        <v>372</v>
      </c>
      <c r="F13" s="321">
        <f>D13*E13</f>
        <v>2976</v>
      </c>
      <c r="G13" s="323">
        <f>F13*0.05</f>
        <v>148.80000000000001</v>
      </c>
      <c r="H13" s="323">
        <f>F13*0.1</f>
        <v>297.60000000000002</v>
      </c>
      <c r="I13" s="316">
        <f>(F13*$F$31)+(G13*$F$32)+(H13*$F$33)</f>
        <v>190480.66560000001</v>
      </c>
    </row>
    <row r="14" spans="1:16" s="135" customFormat="1" ht="15" customHeight="1" x14ac:dyDescent="0.3">
      <c r="A14" s="423" t="s">
        <v>251</v>
      </c>
      <c r="B14" s="258">
        <v>0.5</v>
      </c>
      <c r="C14" s="258">
        <v>1</v>
      </c>
      <c r="D14" s="315">
        <f t="shared" si="5"/>
        <v>0.5</v>
      </c>
      <c r="E14" s="389">
        <f>AVERAGE('Table 2-Year 1'!E14,'Table 2-Year 2'!E14,'Table 2-Year 3'!E14)</f>
        <v>0</v>
      </c>
      <c r="F14" s="321">
        <f t="shared" si="2"/>
        <v>0</v>
      </c>
      <c r="G14" s="321">
        <f t="shared" si="3"/>
        <v>0</v>
      </c>
      <c r="H14" s="321">
        <f t="shared" si="4"/>
        <v>0</v>
      </c>
      <c r="I14" s="322">
        <f t="shared" si="0"/>
        <v>0</v>
      </c>
    </row>
    <row r="15" spans="1:16" s="135" customFormat="1" x14ac:dyDescent="0.35">
      <c r="A15" s="258" t="s">
        <v>252</v>
      </c>
      <c r="B15" s="258">
        <v>8</v>
      </c>
      <c r="C15" s="258">
        <v>1</v>
      </c>
      <c r="D15" s="315">
        <f>B15*C15</f>
        <v>8</v>
      </c>
      <c r="E15" s="409">
        <f>AVERAGE('Table 2-Year 1'!E15,'Table 2-Year 2'!E15,'Table 2-Year 3'!E15)</f>
        <v>372</v>
      </c>
      <c r="F15" s="321">
        <f>D15*E15</f>
        <v>2976</v>
      </c>
      <c r="G15" s="321">
        <f>F15*0.05</f>
        <v>148.80000000000001</v>
      </c>
      <c r="H15" s="321">
        <f>F15*0.1</f>
        <v>297.60000000000002</v>
      </c>
      <c r="I15" s="322">
        <f t="shared" si="0"/>
        <v>190480.66560000001</v>
      </c>
      <c r="K15" s="177"/>
    </row>
    <row r="16" spans="1:16" s="135" customFormat="1" x14ac:dyDescent="0.35">
      <c r="A16" s="423" t="s">
        <v>253</v>
      </c>
      <c r="B16" s="258">
        <v>0.5</v>
      </c>
      <c r="C16" s="258">
        <v>1</v>
      </c>
      <c r="D16" s="315">
        <f t="shared" si="5"/>
        <v>0.5</v>
      </c>
      <c r="E16" s="408">
        <f>AVERAGE('Table 2-Year 1'!E16,'Table 2-Year 2'!E16,'Table 2-Year 3'!E16)</f>
        <v>37.200000000000003</v>
      </c>
      <c r="F16" s="320">
        <f t="shared" si="2"/>
        <v>18.600000000000001</v>
      </c>
      <c r="G16" s="320">
        <f t="shared" si="3"/>
        <v>0.93000000000000016</v>
      </c>
      <c r="H16" s="320">
        <f t="shared" si="4"/>
        <v>1.8600000000000003</v>
      </c>
      <c r="I16" s="322">
        <f t="shared" si="0"/>
        <v>1190.5041600000002</v>
      </c>
      <c r="K16" s="177"/>
    </row>
    <row r="17" spans="1:12" s="135" customFormat="1" x14ac:dyDescent="0.3">
      <c r="A17" s="258" t="s">
        <v>254</v>
      </c>
      <c r="B17" s="258"/>
      <c r="C17" s="258"/>
      <c r="D17" s="258"/>
      <c r="E17" s="258"/>
      <c r="F17" s="258"/>
      <c r="G17" s="258"/>
      <c r="H17" s="258"/>
      <c r="I17" s="316">
        <f>C41*(E5+E6)</f>
        <v>0</v>
      </c>
    </row>
    <row r="18" spans="1:12" s="135" customFormat="1" x14ac:dyDescent="0.3">
      <c r="A18" s="325" t="s">
        <v>255</v>
      </c>
      <c r="B18" s="258"/>
      <c r="C18" s="258"/>
      <c r="D18" s="258"/>
      <c r="E18" s="258"/>
      <c r="F18" s="528">
        <f>ROUND(SUM(F5:H16),-1)</f>
        <v>7210</v>
      </c>
      <c r="G18" s="529"/>
      <c r="H18" s="530"/>
      <c r="I18" s="326">
        <f>ROUND(SUM(I5:I17),-3)</f>
        <v>401000</v>
      </c>
      <c r="K18" s="331"/>
    </row>
    <row r="19" spans="1:12" s="135" customFormat="1" ht="13" x14ac:dyDescent="0.3"/>
    <row r="20" spans="1:12" s="259" customFormat="1" ht="13" x14ac:dyDescent="0.3">
      <c r="A20" s="261" t="s">
        <v>146</v>
      </c>
      <c r="H20" s="260"/>
    </row>
    <row r="21" spans="1:12" s="135" customFormat="1" ht="12.75" customHeight="1" x14ac:dyDescent="0.3">
      <c r="A21" s="496" t="s">
        <v>256</v>
      </c>
      <c r="B21" s="496"/>
      <c r="C21" s="496"/>
      <c r="D21" s="496"/>
      <c r="E21" s="496"/>
      <c r="F21" s="496"/>
      <c r="G21" s="496"/>
      <c r="H21" s="496"/>
      <c r="I21" s="496"/>
      <c r="J21" s="183"/>
      <c r="K21" s="332"/>
      <c r="L21" s="183"/>
    </row>
    <row r="22" spans="1:12" s="135" customFormat="1" ht="39.75" customHeight="1" x14ac:dyDescent="0.3">
      <c r="A22" s="497" t="s">
        <v>204</v>
      </c>
      <c r="B22" s="497"/>
      <c r="C22" s="497"/>
      <c r="D22" s="497"/>
      <c r="E22" s="497"/>
      <c r="F22" s="497"/>
      <c r="G22" s="497"/>
      <c r="H22" s="497"/>
      <c r="I22" s="497"/>
      <c r="J22" s="411"/>
      <c r="K22" s="411"/>
      <c r="L22" s="411"/>
    </row>
    <row r="23" spans="1:12" s="135" customFormat="1" ht="13" x14ac:dyDescent="0.3">
      <c r="A23" s="531" t="s">
        <v>257</v>
      </c>
      <c r="B23" s="531"/>
      <c r="C23" s="531"/>
      <c r="D23" s="531"/>
      <c r="E23" s="531"/>
      <c r="F23" s="531"/>
      <c r="G23" s="531"/>
      <c r="H23" s="531"/>
      <c r="I23" s="531"/>
    </row>
    <row r="24" spans="1:12" s="135" customFormat="1" ht="13" x14ac:dyDescent="0.3">
      <c r="A24" s="531" t="s">
        <v>258</v>
      </c>
      <c r="B24" s="531"/>
      <c r="C24" s="531"/>
      <c r="D24" s="531"/>
      <c r="E24" s="531"/>
      <c r="F24" s="531"/>
      <c r="G24" s="531"/>
      <c r="H24" s="531"/>
      <c r="I24" s="531"/>
    </row>
    <row r="25" spans="1:12" s="135" customFormat="1" ht="17.25" customHeight="1" x14ac:dyDescent="0.3">
      <c r="A25" s="524" t="str">
        <f>"e EPA estimates annual travel expenses to be $400 per plant and "&amp;B43&amp;" = (1 person x "&amp;E43&amp;" plants/year x 3 days/plant x $50 per diem) + ($250 round trip/plant x 18 plants/year) = $"&amp;I17&amp;"/year."</f>
        <v>e EPA estimates annual travel expenses to be $400 per plant and assumes EPA will visit 0 plants per year = (1 person x 0 plants/year x 3 days/plant x $50 per diem) + ($250 round trip/plant x 18 plants/year) = $0/year.</v>
      </c>
      <c r="B25" s="524"/>
      <c r="C25" s="524"/>
      <c r="D25" s="524"/>
      <c r="E25" s="524"/>
      <c r="F25" s="524"/>
      <c r="G25" s="524"/>
      <c r="H25" s="524"/>
      <c r="I25" s="524"/>
    </row>
    <row r="26" spans="1:12" s="187" customFormat="1" ht="13" x14ac:dyDescent="0.3">
      <c r="A26" s="478" t="s">
        <v>259</v>
      </c>
      <c r="B26" s="478"/>
      <c r="C26" s="478"/>
      <c r="D26" s="478"/>
      <c r="E26" s="478"/>
      <c r="F26" s="478"/>
      <c r="G26" s="478"/>
      <c r="H26" s="478"/>
      <c r="I26" s="478"/>
    </row>
    <row r="27" spans="1:12" s="187" customFormat="1" ht="13" x14ac:dyDescent="0.3">
      <c r="H27" s="135"/>
    </row>
    <row r="28" spans="1:12" s="135" customFormat="1" ht="13" x14ac:dyDescent="0.3">
      <c r="A28" s="327" t="s">
        <v>152</v>
      </c>
    </row>
    <row r="29" spans="1:12" s="135" customFormat="1" ht="13" x14ac:dyDescent="0.3"/>
    <row r="30" spans="1:12" s="135" customFormat="1" ht="45.75" customHeight="1" x14ac:dyDescent="0.3">
      <c r="B30" s="479" t="s">
        <v>260</v>
      </c>
      <c r="C30" s="481"/>
      <c r="D30" s="420" t="s">
        <v>261</v>
      </c>
      <c r="E30" s="420" t="s">
        <v>197</v>
      </c>
      <c r="F30" s="420" t="s">
        <v>262</v>
      </c>
    </row>
    <row r="31" spans="1:12" s="135" customFormat="1" ht="13" x14ac:dyDescent="0.3">
      <c r="B31" s="328" t="s">
        <v>263</v>
      </c>
      <c r="C31" s="311" t="s">
        <v>264</v>
      </c>
      <c r="D31" s="377">
        <f>'Table 2-Year 1'!D31</f>
        <v>35.67</v>
      </c>
      <c r="E31" s="311">
        <v>1.6</v>
      </c>
      <c r="F31" s="329">
        <f>D31*E31</f>
        <v>57.072000000000003</v>
      </c>
    </row>
    <row r="32" spans="1:12" s="135" customFormat="1" ht="13" x14ac:dyDescent="0.3">
      <c r="B32" s="328" t="s">
        <v>265</v>
      </c>
      <c r="C32" s="311" t="s">
        <v>266</v>
      </c>
      <c r="D32" s="377">
        <f>'Table 2-Year 1'!D32</f>
        <v>48.07</v>
      </c>
      <c r="E32" s="311">
        <v>1.6</v>
      </c>
      <c r="F32" s="329">
        <f>D32*E32</f>
        <v>76.912000000000006</v>
      </c>
    </row>
    <row r="33" spans="1:15" s="135" customFormat="1" ht="13" x14ac:dyDescent="0.3">
      <c r="B33" s="328" t="s">
        <v>267</v>
      </c>
      <c r="C33" s="311" t="s">
        <v>268</v>
      </c>
      <c r="D33" s="377">
        <f>'Table 2-Year 1'!D33</f>
        <v>19.3</v>
      </c>
      <c r="E33" s="311">
        <v>1.6</v>
      </c>
      <c r="F33" s="329">
        <f>D33*E33</f>
        <v>30.880000000000003</v>
      </c>
    </row>
    <row r="34" spans="1:15" s="135" customFormat="1" ht="13" x14ac:dyDescent="0.3">
      <c r="B34" s="258"/>
      <c r="C34" s="311"/>
      <c r="D34" s="311"/>
      <c r="E34" s="311"/>
      <c r="F34" s="311"/>
    </row>
    <row r="35" spans="1:15" s="135" customFormat="1" ht="13" x14ac:dyDescent="0.3">
      <c r="B35" s="330"/>
      <c r="C35" s="311" t="s">
        <v>269</v>
      </c>
      <c r="D35" s="311"/>
      <c r="E35" s="311"/>
      <c r="F35" s="311"/>
    </row>
    <row r="36" spans="1:15" s="135" customFormat="1" x14ac:dyDescent="0.35">
      <c r="B36" s="258" t="s">
        <v>272</v>
      </c>
      <c r="C36" s="317">
        <f>(1*1*3*50)+(250*1)</f>
        <v>400</v>
      </c>
      <c r="D36" s="311"/>
      <c r="E36" s="311"/>
      <c r="F36" s="311"/>
      <c r="J36" s="319"/>
      <c r="K36" s="319"/>
      <c r="L36" s="319"/>
      <c r="M36" s="319"/>
      <c r="N36" s="319"/>
      <c r="O36" s="319"/>
    </row>
    <row r="37" spans="1:15" s="135" customFormat="1" x14ac:dyDescent="0.35">
      <c r="H37" s="319"/>
      <c r="J37" s="319"/>
      <c r="K37" s="319"/>
      <c r="L37" s="319"/>
      <c r="M37" s="319"/>
      <c r="N37" s="319"/>
      <c r="O37" s="319"/>
    </row>
    <row r="38" spans="1:15" s="135" customFormat="1" x14ac:dyDescent="0.35">
      <c r="H38" s="319"/>
      <c r="I38" s="319"/>
      <c r="J38" s="319"/>
      <c r="K38" s="319"/>
      <c r="L38" s="319"/>
      <c r="M38" s="319"/>
      <c r="N38" s="319"/>
      <c r="O38" s="319"/>
    </row>
    <row r="39" spans="1:15" s="135" customFormat="1" x14ac:dyDescent="0.35">
      <c r="B39" s="525" t="s">
        <v>269</v>
      </c>
      <c r="C39" s="525"/>
      <c r="D39" s="525"/>
      <c r="E39" s="525"/>
      <c r="F39" s="525"/>
      <c r="H39" s="319"/>
      <c r="I39" s="319"/>
      <c r="J39" s="319"/>
      <c r="K39" s="319"/>
      <c r="L39" s="319"/>
      <c r="M39" s="319"/>
      <c r="N39" s="319"/>
      <c r="O39" s="319"/>
    </row>
    <row r="40" spans="1:15" x14ac:dyDescent="0.35">
      <c r="A40" s="135"/>
      <c r="B40" s="135" t="s">
        <v>270</v>
      </c>
      <c r="C40" s="135"/>
      <c r="E40" s="135"/>
      <c r="F40" s="135"/>
      <c r="G40" s="135"/>
    </row>
    <row r="41" spans="1:15" x14ac:dyDescent="0.35">
      <c r="A41" s="526" t="s">
        <v>271</v>
      </c>
      <c r="B41" s="526"/>
      <c r="C41" s="318">
        <f>(1*1*3*50) + (250*1)</f>
        <v>400</v>
      </c>
      <c r="E41" s="135"/>
      <c r="F41" s="135"/>
      <c r="G41" s="135"/>
    </row>
    <row r="42" spans="1:15" x14ac:dyDescent="0.35">
      <c r="A42" s="135"/>
      <c r="B42" s="135"/>
      <c r="C42" s="135"/>
      <c r="E42" s="135"/>
    </row>
    <row r="43" spans="1:15" x14ac:dyDescent="0.35">
      <c r="A43" s="135"/>
      <c r="B43" s="134" t="str">
        <f>"assumes EPA will visit "&amp;TEXT(E43,"#,##0")&amp;" plants per year"</f>
        <v>assumes EPA will visit 0 plants per year</v>
      </c>
      <c r="C43" s="135"/>
      <c r="E43" s="368">
        <f>E5+E6</f>
        <v>0</v>
      </c>
    </row>
  </sheetData>
  <mergeCells count="11">
    <mergeCell ref="A25:I25"/>
    <mergeCell ref="B30:C30"/>
    <mergeCell ref="B39:F39"/>
    <mergeCell ref="A41:B41"/>
    <mergeCell ref="A3:A4"/>
    <mergeCell ref="F18:H18"/>
    <mergeCell ref="A21:I21"/>
    <mergeCell ref="A23:I23"/>
    <mergeCell ref="A24:I24"/>
    <mergeCell ref="A22:I22"/>
    <mergeCell ref="A26:I26"/>
  </mergeCells>
  <pageMargins left="0.7" right="0.7" top="0.75" bottom="0.75" header="0.3" footer="0.3"/>
  <pageSetup scale="77" orientation="landscape" horizontalDpi="1200" verticalDpi="1200" r:id="rId1"/>
  <headerFooter>
    <oddHeader>&amp;CTable 2a -- Agency Year 1</oddHeader>
    <oddFooter>&amp;L&amp;P of &amp;N&amp;R&amp;D</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183E6-7E26-46CE-8579-6B08C38ADADC}">
  <dimension ref="A1:K27"/>
  <sheetViews>
    <sheetView topLeftCell="A3" zoomScaleNormal="100" workbookViewId="0">
      <selection activeCell="B26" sqref="B26:F26"/>
    </sheetView>
  </sheetViews>
  <sheetFormatPr defaultColWidth="9.1796875" defaultRowHeight="13" x14ac:dyDescent="0.3"/>
  <cols>
    <col min="1" max="1" width="2" style="1" customWidth="1"/>
    <col min="2" max="2" width="34.54296875" style="1" customWidth="1"/>
    <col min="3" max="3" width="13.7265625" style="1" customWidth="1"/>
    <col min="4" max="4" width="13.1796875" style="1" customWidth="1"/>
    <col min="5" max="5" width="18.54296875" style="1" customWidth="1"/>
    <col min="6" max="6" width="14.1796875" style="1" customWidth="1"/>
    <col min="7" max="7" width="18.26953125" style="1" customWidth="1"/>
    <col min="8" max="8" width="13.81640625" style="1" bestFit="1" customWidth="1"/>
    <col min="9" max="16384" width="9.1796875" style="1"/>
  </cols>
  <sheetData>
    <row r="1" spans="1:11" s="6" customFormat="1" ht="15.5" x14ac:dyDescent="0.35">
      <c r="A1" s="63" t="s">
        <v>273</v>
      </c>
      <c r="I1" s="250"/>
    </row>
    <row r="2" spans="1:11" s="8" customFormat="1" x14ac:dyDescent="0.3">
      <c r="B2" s="2"/>
      <c r="C2" s="4"/>
      <c r="D2" s="3"/>
      <c r="E2" s="9"/>
      <c r="F2" s="9"/>
      <c r="G2" s="2"/>
      <c r="I2" s="182"/>
    </row>
    <row r="3" spans="1:11" s="8" customFormat="1" x14ac:dyDescent="0.3">
      <c r="B3" s="532" t="s">
        <v>273</v>
      </c>
      <c r="C3" s="533"/>
      <c r="D3" s="533"/>
      <c r="E3" s="533"/>
      <c r="F3" s="534"/>
    </row>
    <row r="4" spans="1:11" s="8" customFormat="1" ht="65" x14ac:dyDescent="0.3">
      <c r="B4" s="166" t="s">
        <v>274</v>
      </c>
      <c r="C4" s="167" t="s">
        <v>275</v>
      </c>
      <c r="D4" s="166" t="s">
        <v>276</v>
      </c>
      <c r="E4" s="167" t="s">
        <v>277</v>
      </c>
      <c r="F4" s="166" t="s">
        <v>278</v>
      </c>
    </row>
    <row r="5" spans="1:11" s="8" customFormat="1" x14ac:dyDescent="0.3">
      <c r="B5" s="535" t="s">
        <v>279</v>
      </c>
      <c r="C5" s="536"/>
      <c r="D5" s="536"/>
      <c r="E5" s="536"/>
      <c r="F5" s="537"/>
    </row>
    <row r="6" spans="1:11" s="8" customFormat="1" x14ac:dyDescent="0.3">
      <c r="B6" s="231" t="s">
        <v>119</v>
      </c>
      <c r="C6" s="232">
        <f>'Table 1a-Year 1'!H31+'Table 1b-Year 1'!H31</f>
        <v>0</v>
      </c>
      <c r="D6" s="232">
        <f>'Table 1a-Year 1'!F31</f>
        <v>1</v>
      </c>
      <c r="E6" s="232">
        <v>0</v>
      </c>
      <c r="F6" s="232">
        <f>C6*D6+E6</f>
        <v>0</v>
      </c>
    </row>
    <row r="7" spans="1:11" s="8" customFormat="1" x14ac:dyDescent="0.3">
      <c r="B7" s="231" t="s">
        <v>120</v>
      </c>
      <c r="C7" s="232">
        <f>'Table 1a-Year 1'!H32+'Table 1b-Year 1'!H32</f>
        <v>0</v>
      </c>
      <c r="D7" s="232">
        <f>'Table 1a-Year 1'!F32</f>
        <v>1</v>
      </c>
      <c r="E7" s="232">
        <v>0</v>
      </c>
      <c r="F7" s="232">
        <f t="shared" ref="F7:F25" si="0">C7*D7+E7</f>
        <v>0</v>
      </c>
    </row>
    <row r="8" spans="1:11" s="8" customFormat="1" x14ac:dyDescent="0.3">
      <c r="B8" s="231" t="s">
        <v>121</v>
      </c>
      <c r="C8" s="232">
        <f>'Table 1a-Year 1'!H12+'Table 1a-Year 1'!H13+'Table 1a-Year 1'!H14+'Table 1b-Year 1'!H12+'Table 1b-Year 1'!H13+'Table 1b-Year 1'!H14</f>
        <v>383.15999999999991</v>
      </c>
      <c r="D8" s="232">
        <v>1</v>
      </c>
      <c r="E8" s="232">
        <v>0</v>
      </c>
      <c r="F8" s="232">
        <f>C8*D8+E8</f>
        <v>383.15999999999991</v>
      </c>
      <c r="G8" s="333"/>
    </row>
    <row r="9" spans="1:11" s="8" customFormat="1" x14ac:dyDescent="0.3">
      <c r="B9" s="37" t="s">
        <v>122</v>
      </c>
      <c r="C9" s="232">
        <f>'Table 1a-Year 1'!H34+'Table 1b-Year 1'!H34</f>
        <v>0</v>
      </c>
      <c r="D9" s="232">
        <f>'Table 1a-Year 1'!F34</f>
        <v>1</v>
      </c>
      <c r="E9" s="232">
        <v>0</v>
      </c>
      <c r="F9" s="232">
        <f t="shared" si="0"/>
        <v>0</v>
      </c>
    </row>
    <row r="10" spans="1:11" s="8" customFormat="1" x14ac:dyDescent="0.3">
      <c r="B10" s="231" t="s">
        <v>123</v>
      </c>
      <c r="C10" s="232">
        <f>'Table 1a-Year 1'!H35</f>
        <v>0</v>
      </c>
      <c r="D10" s="232">
        <f>'Table 1a-Year 1'!F35</f>
        <v>1</v>
      </c>
      <c r="E10" s="232">
        <v>0</v>
      </c>
      <c r="F10" s="232">
        <f t="shared" si="0"/>
        <v>0</v>
      </c>
    </row>
    <row r="11" spans="1:11" s="8" customFormat="1" ht="26" x14ac:dyDescent="0.3">
      <c r="B11" s="231" t="s">
        <v>124</v>
      </c>
      <c r="C11" s="233">
        <f>'Table 1a-Year 1'!H36+'Table 1b-Year 1'!H36</f>
        <v>37.200000000000003</v>
      </c>
      <c r="D11" s="232">
        <f>'Table 1a-Year 1'!F36</f>
        <v>1</v>
      </c>
      <c r="E11" s="232">
        <v>0</v>
      </c>
      <c r="F11" s="233">
        <f t="shared" si="0"/>
        <v>37.200000000000003</v>
      </c>
    </row>
    <row r="12" spans="1:11" s="8" customFormat="1" x14ac:dyDescent="0.3">
      <c r="B12" s="37" t="s">
        <v>125</v>
      </c>
      <c r="C12" s="232">
        <f>'Table 1a-Year 1'!H37+'Table 1b-Year 1'!H37</f>
        <v>372</v>
      </c>
      <c r="D12" s="232">
        <f>'Table 1a-Year 1'!F37</f>
        <v>2</v>
      </c>
      <c r="E12" s="232">
        <v>0</v>
      </c>
      <c r="F12" s="232">
        <f t="shared" si="0"/>
        <v>744</v>
      </c>
    </row>
    <row r="13" spans="1:11" s="8" customFormat="1" ht="26" x14ac:dyDescent="0.3">
      <c r="B13" s="37" t="s">
        <v>126</v>
      </c>
      <c r="C13" s="232">
        <f>'Table 1a-Year 1'!H38+'Table 1b-Year 1'!H38</f>
        <v>372</v>
      </c>
      <c r="D13" s="232">
        <f>'Table 1a-Year 1'!F38</f>
        <v>1</v>
      </c>
      <c r="E13" s="232">
        <v>0</v>
      </c>
      <c r="F13" s="232">
        <f t="shared" si="0"/>
        <v>372</v>
      </c>
      <c r="G13" s="333"/>
    </row>
    <row r="14" spans="1:11" s="8" customFormat="1" ht="26" x14ac:dyDescent="0.3">
      <c r="B14" s="37" t="s">
        <v>127</v>
      </c>
      <c r="C14" s="233">
        <f>'Table 1a-Year 1'!H39+'Table 1b-Year 1'!H39</f>
        <v>37.200000000000003</v>
      </c>
      <c r="D14" s="232">
        <f>'Table 1a-Year 1'!F39</f>
        <v>1</v>
      </c>
      <c r="E14" s="232">
        <v>0</v>
      </c>
      <c r="F14" s="233">
        <f t="shared" si="0"/>
        <v>37.200000000000003</v>
      </c>
      <c r="G14" s="333"/>
    </row>
    <row r="15" spans="1:11" s="8" customFormat="1" x14ac:dyDescent="0.3">
      <c r="B15" s="538" t="s">
        <v>280</v>
      </c>
      <c r="C15" s="539"/>
      <c r="D15" s="539"/>
      <c r="E15" s="539"/>
      <c r="F15" s="540"/>
      <c r="K15" s="1"/>
    </row>
    <row r="16" spans="1:11" x14ac:dyDescent="0.3">
      <c r="B16" s="234" t="s">
        <v>128</v>
      </c>
      <c r="C16" s="232">
        <f>'Table 1a-Year 1'!H41+'Table 1b-Year 1'!H41</f>
        <v>0</v>
      </c>
      <c r="D16" s="232">
        <f>'Table 1a-Year 1'!F41</f>
        <v>1</v>
      </c>
      <c r="E16" s="232">
        <v>0</v>
      </c>
      <c r="F16" s="232">
        <f t="shared" si="0"/>
        <v>0</v>
      </c>
    </row>
    <row r="17" spans="2:7" x14ac:dyDescent="0.3">
      <c r="B17" s="37" t="s">
        <v>119</v>
      </c>
      <c r="C17" s="232">
        <f>'Table 1a-Year 1'!H42+'Table 1b-Year 1'!H42</f>
        <v>0</v>
      </c>
      <c r="D17" s="232">
        <f>'Table 1a-Year 1'!F42</f>
        <v>1</v>
      </c>
      <c r="E17" s="232">
        <v>0</v>
      </c>
      <c r="F17" s="232">
        <f t="shared" si="0"/>
        <v>0</v>
      </c>
    </row>
    <row r="18" spans="2:7" x14ac:dyDescent="0.3">
      <c r="B18" s="37" t="s">
        <v>120</v>
      </c>
      <c r="C18" s="232">
        <f>'Table 1a-Year 1'!H43+'Table 1b-Year 1'!H43</f>
        <v>0</v>
      </c>
      <c r="D18" s="232">
        <f>'Table 1a-Year 1'!F43</f>
        <v>1</v>
      </c>
      <c r="E18" s="232">
        <v>0</v>
      </c>
      <c r="F18" s="232">
        <f t="shared" si="0"/>
        <v>0</v>
      </c>
    </row>
    <row r="19" spans="2:7" s="8" customFormat="1" x14ac:dyDescent="0.3">
      <c r="B19" s="231" t="s">
        <v>121</v>
      </c>
      <c r="C19" s="232">
        <f>C18</f>
        <v>0</v>
      </c>
      <c r="D19" s="232">
        <v>1</v>
      </c>
      <c r="E19" s="232">
        <v>0</v>
      </c>
      <c r="F19" s="232">
        <f t="shared" si="0"/>
        <v>0</v>
      </c>
    </row>
    <row r="20" spans="2:7" x14ac:dyDescent="0.3">
      <c r="B20" s="37" t="s">
        <v>122</v>
      </c>
      <c r="C20" s="232">
        <f>'Table 1a-Year 1'!H45+'Table 1b-Year 1'!H45</f>
        <v>0</v>
      </c>
      <c r="D20" s="232">
        <f>'Table 1a-Year 1'!F45</f>
        <v>1</v>
      </c>
      <c r="E20" s="232">
        <v>0</v>
      </c>
      <c r="F20" s="232">
        <f t="shared" si="0"/>
        <v>0</v>
      </c>
    </row>
    <row r="21" spans="2:7" x14ac:dyDescent="0.3">
      <c r="B21" s="37" t="s">
        <v>123</v>
      </c>
      <c r="C21" s="232">
        <f>'Table 1a-Year 1'!H46+'Table 1b-Year 1'!H46</f>
        <v>0</v>
      </c>
      <c r="D21" s="232">
        <f>'Table 1a-Year 1'!F46</f>
        <v>1</v>
      </c>
      <c r="E21" s="232">
        <v>0</v>
      </c>
      <c r="F21" s="232">
        <f t="shared" si="0"/>
        <v>0</v>
      </c>
    </row>
    <row r="22" spans="2:7" ht="26" x14ac:dyDescent="0.3">
      <c r="B22" s="231" t="s">
        <v>124</v>
      </c>
      <c r="C22" s="233">
        <f>'Table 1a-Year 1'!H47+'Table 1b-Year 1'!H47</f>
        <v>0</v>
      </c>
      <c r="D22" s="232">
        <f>'Table 1a-Year 1'!F47</f>
        <v>1</v>
      </c>
      <c r="E22" s="232">
        <v>0</v>
      </c>
      <c r="F22" s="233">
        <f t="shared" si="0"/>
        <v>0</v>
      </c>
    </row>
    <row r="23" spans="2:7" x14ac:dyDescent="0.3">
      <c r="B23" s="37" t="s">
        <v>125</v>
      </c>
      <c r="C23" s="232">
        <f>'Table 1a-Year 1'!H48+'Table 1b-Year 1'!H48</f>
        <v>0</v>
      </c>
      <c r="D23" s="232">
        <f>'Table 1a-Year 1'!F48</f>
        <v>2</v>
      </c>
      <c r="E23" s="232">
        <v>0</v>
      </c>
      <c r="F23" s="232">
        <f t="shared" si="0"/>
        <v>0</v>
      </c>
    </row>
    <row r="24" spans="2:7" ht="26" x14ac:dyDescent="0.3">
      <c r="B24" s="37" t="s">
        <v>126</v>
      </c>
      <c r="C24" s="232">
        <f>'Table 1a-Year 1'!H49+'Table 1b-Year 1'!H49</f>
        <v>0</v>
      </c>
      <c r="D24" s="232">
        <f>'Table 1a-Year 1'!F49</f>
        <v>1</v>
      </c>
      <c r="E24" s="232">
        <v>0</v>
      </c>
      <c r="F24" s="232">
        <f t="shared" si="0"/>
        <v>0</v>
      </c>
    </row>
    <row r="25" spans="2:7" ht="26" x14ac:dyDescent="0.3">
      <c r="B25" s="37" t="s">
        <v>127</v>
      </c>
      <c r="C25" s="233">
        <f>'Table 1a-Year 1'!H50+'Table 1b-Year 1'!H50</f>
        <v>0</v>
      </c>
      <c r="D25" s="232">
        <f>'Table 1a-Year 1'!F50</f>
        <v>1</v>
      </c>
      <c r="E25" s="232">
        <v>0</v>
      </c>
      <c r="F25" s="233">
        <f t="shared" si="0"/>
        <v>0</v>
      </c>
    </row>
    <row r="26" spans="2:7" x14ac:dyDescent="0.3">
      <c r="B26" s="541" t="s">
        <v>273</v>
      </c>
      <c r="C26" s="542"/>
      <c r="D26" s="542"/>
      <c r="E26" s="543"/>
      <c r="F26" s="440">
        <f>SUM(F6:F14,F16:F25)</f>
        <v>1573.56</v>
      </c>
      <c r="G26" s="333"/>
    </row>
    <row r="27" spans="2:7" x14ac:dyDescent="0.3">
      <c r="E27" s="165" t="s">
        <v>281</v>
      </c>
      <c r="F27" s="236">
        <f>('Table 1a-Year 1'!I69+'Table 1b-Year 1'!I69)/'Annual Responses-Year 1'!F26</f>
        <v>115.02580136759958</v>
      </c>
    </row>
  </sheetData>
  <mergeCells count="4">
    <mergeCell ref="B3:F3"/>
    <mergeCell ref="B5:F5"/>
    <mergeCell ref="B15:F15"/>
    <mergeCell ref="B26:E26"/>
  </mergeCells>
  <printOptions headings="1"/>
  <pageMargins left="0.7" right="0.7" top="0.75" bottom="0.75" header="0.3" footer="0.3"/>
  <pageSetup scale="69" orientation="landscape" horizontalDpi="1200" verticalDpi="1200" r:id="rId1"/>
  <headerFooter>
    <oddHeader>&amp;CTable 1d -- Respondent Summary</oddHeader>
    <oddFooter>&amp;L&amp;P of &amp;N&amp;R&amp;D</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7"/>
  <sheetViews>
    <sheetView zoomScaleNormal="100" workbookViewId="0">
      <selection activeCell="B26" sqref="B26:F27"/>
    </sheetView>
  </sheetViews>
  <sheetFormatPr defaultColWidth="9.1796875" defaultRowHeight="13" x14ac:dyDescent="0.3"/>
  <cols>
    <col min="1" max="1" width="2" style="1" customWidth="1"/>
    <col min="2" max="2" width="34.54296875" style="1" customWidth="1"/>
    <col min="3" max="3" width="13.7265625" style="1" customWidth="1"/>
    <col min="4" max="4" width="13.1796875" style="1" customWidth="1"/>
    <col min="5" max="5" width="18.54296875" style="1" customWidth="1"/>
    <col min="6" max="6" width="14.1796875" style="1" customWidth="1"/>
    <col min="7" max="7" width="18.26953125" style="1" customWidth="1"/>
    <col min="8" max="8" width="13.81640625" style="1" bestFit="1" customWidth="1"/>
    <col min="9" max="16384" width="9.1796875" style="1"/>
  </cols>
  <sheetData>
    <row r="1" spans="1:11" s="6" customFormat="1" ht="15.5" x14ac:dyDescent="0.35">
      <c r="A1" s="63" t="s">
        <v>273</v>
      </c>
      <c r="I1" s="250"/>
    </row>
    <row r="2" spans="1:11" s="8" customFormat="1" x14ac:dyDescent="0.3">
      <c r="B2" s="2"/>
      <c r="C2" s="4"/>
      <c r="D2" s="3"/>
      <c r="E2" s="9"/>
      <c r="F2" s="9"/>
      <c r="G2" s="2"/>
      <c r="I2" s="182"/>
    </row>
    <row r="3" spans="1:11" s="8" customFormat="1" x14ac:dyDescent="0.3">
      <c r="B3" s="532" t="s">
        <v>273</v>
      </c>
      <c r="C3" s="533"/>
      <c r="D3" s="533"/>
      <c r="E3" s="533"/>
      <c r="F3" s="534"/>
    </row>
    <row r="4" spans="1:11" s="8" customFormat="1" ht="65" x14ac:dyDescent="0.3">
      <c r="B4" s="166" t="s">
        <v>274</v>
      </c>
      <c r="C4" s="167" t="s">
        <v>275</v>
      </c>
      <c r="D4" s="166" t="s">
        <v>276</v>
      </c>
      <c r="E4" s="167" t="s">
        <v>277</v>
      </c>
      <c r="F4" s="166" t="s">
        <v>278</v>
      </c>
    </row>
    <row r="5" spans="1:11" s="8" customFormat="1" x14ac:dyDescent="0.3">
      <c r="B5" s="535" t="s">
        <v>279</v>
      </c>
      <c r="C5" s="536"/>
      <c r="D5" s="536"/>
      <c r="E5" s="536"/>
      <c r="F5" s="537"/>
    </row>
    <row r="6" spans="1:11" s="8" customFormat="1" x14ac:dyDescent="0.3">
      <c r="B6" s="231" t="s">
        <v>119</v>
      </c>
      <c r="C6" s="232">
        <f>'Table 1a-Year 2'!H31+'Table 1b-Year 2'!H31</f>
        <v>0</v>
      </c>
      <c r="D6" s="232">
        <f>'Table 1a-Year 2'!F31</f>
        <v>1</v>
      </c>
      <c r="E6" s="232">
        <v>0</v>
      </c>
      <c r="F6" s="232">
        <f>C6*D6+E6</f>
        <v>0</v>
      </c>
    </row>
    <row r="7" spans="1:11" s="8" customFormat="1" x14ac:dyDescent="0.3">
      <c r="B7" s="231" t="s">
        <v>120</v>
      </c>
      <c r="C7" s="232">
        <f>'Table 1a-Year 2'!H32+'Table 1b-Year 2'!H32</f>
        <v>0</v>
      </c>
      <c r="D7" s="232">
        <f>'Table 1a-Year 2'!F32</f>
        <v>1</v>
      </c>
      <c r="E7" s="232">
        <v>0</v>
      </c>
      <c r="F7" s="232">
        <f t="shared" ref="F7:F25" si="0">C7*D7+E7</f>
        <v>0</v>
      </c>
    </row>
    <row r="8" spans="1:11" s="8" customFormat="1" x14ac:dyDescent="0.3">
      <c r="B8" s="231" t="s">
        <v>121</v>
      </c>
      <c r="C8" s="232">
        <f>'Table 1a-Year 2'!H12+'Table 1a-Year 2'!H13+'Table 1a-Year 2'!H14+'Table 1b-Year 2'!H12+'Table 1b-Year 2'!H13+'Table 1b-Year 2'!H14</f>
        <v>383.15999999999991</v>
      </c>
      <c r="D8" s="232">
        <v>1</v>
      </c>
      <c r="E8" s="232">
        <v>0</v>
      </c>
      <c r="F8" s="232">
        <f>C8*D8+E8</f>
        <v>383.15999999999991</v>
      </c>
      <c r="G8" s="333"/>
    </row>
    <row r="9" spans="1:11" s="8" customFormat="1" x14ac:dyDescent="0.3">
      <c r="B9" s="37" t="s">
        <v>122</v>
      </c>
      <c r="C9" s="232">
        <f>'Table 1a-Year 2'!H34+'Table 1b-Year 2'!H34</f>
        <v>0</v>
      </c>
      <c r="D9" s="232">
        <f>'Table 1a-Year 2'!F34</f>
        <v>1</v>
      </c>
      <c r="E9" s="232">
        <v>0</v>
      </c>
      <c r="F9" s="232">
        <f t="shared" si="0"/>
        <v>0</v>
      </c>
    </row>
    <row r="10" spans="1:11" s="8" customFormat="1" x14ac:dyDescent="0.3">
      <c r="B10" s="231" t="s">
        <v>123</v>
      </c>
      <c r="C10" s="232">
        <f>'Table 1a-Year 2'!H35</f>
        <v>0</v>
      </c>
      <c r="D10" s="232">
        <f>'Table 1a-Year 2'!F35</f>
        <v>1</v>
      </c>
      <c r="E10" s="232">
        <v>0</v>
      </c>
      <c r="F10" s="232">
        <f t="shared" si="0"/>
        <v>0</v>
      </c>
    </row>
    <row r="11" spans="1:11" s="8" customFormat="1" ht="26" x14ac:dyDescent="0.3">
      <c r="B11" s="231" t="s">
        <v>124</v>
      </c>
      <c r="C11" s="233">
        <f>'Table 1a-Year 2'!H36+'Table 1b-Year 2'!H36</f>
        <v>37.200000000000003</v>
      </c>
      <c r="D11" s="232">
        <f>'Table 1a-Year 2'!F36</f>
        <v>1</v>
      </c>
      <c r="E11" s="232">
        <v>0</v>
      </c>
      <c r="F11" s="233">
        <f t="shared" si="0"/>
        <v>37.200000000000003</v>
      </c>
    </row>
    <row r="12" spans="1:11" s="8" customFormat="1" x14ac:dyDescent="0.3">
      <c r="B12" s="37" t="s">
        <v>125</v>
      </c>
      <c r="C12" s="232">
        <f>'Table 1a-Year 2'!H37+'Table 1b-Year 2'!H37</f>
        <v>372</v>
      </c>
      <c r="D12" s="232">
        <f>'Table 1a-Year 2'!F37</f>
        <v>2</v>
      </c>
      <c r="E12" s="232">
        <v>0</v>
      </c>
      <c r="F12" s="232">
        <f t="shared" si="0"/>
        <v>744</v>
      </c>
    </row>
    <row r="13" spans="1:11" s="8" customFormat="1" ht="26" x14ac:dyDescent="0.3">
      <c r="B13" s="37" t="s">
        <v>126</v>
      </c>
      <c r="C13" s="232">
        <f>'Table 1a-Year 2'!H38+'Table 1b-Year 2'!H38</f>
        <v>372</v>
      </c>
      <c r="D13" s="232">
        <f>'Table 1a-Year 2'!F38</f>
        <v>1</v>
      </c>
      <c r="E13" s="232">
        <v>0</v>
      </c>
      <c r="F13" s="232">
        <f t="shared" si="0"/>
        <v>372</v>
      </c>
      <c r="G13" s="333"/>
    </row>
    <row r="14" spans="1:11" s="8" customFormat="1" ht="26" x14ac:dyDescent="0.3">
      <c r="B14" s="37" t="s">
        <v>127</v>
      </c>
      <c r="C14" s="233">
        <f>'Table 1a-Year 2'!H39+'Table 1b-Year 2'!H39</f>
        <v>37.200000000000003</v>
      </c>
      <c r="D14" s="232">
        <f>'Table 1a-Year 2'!F39</f>
        <v>1</v>
      </c>
      <c r="E14" s="232">
        <v>0</v>
      </c>
      <c r="F14" s="233">
        <f t="shared" si="0"/>
        <v>37.200000000000003</v>
      </c>
      <c r="G14" s="333"/>
    </row>
    <row r="15" spans="1:11" s="8" customFormat="1" x14ac:dyDescent="0.3">
      <c r="B15" s="538" t="s">
        <v>280</v>
      </c>
      <c r="C15" s="539"/>
      <c r="D15" s="539"/>
      <c r="E15" s="539"/>
      <c r="F15" s="540"/>
      <c r="K15" s="1"/>
    </row>
    <row r="16" spans="1:11" x14ac:dyDescent="0.3">
      <c r="B16" s="234" t="s">
        <v>128</v>
      </c>
      <c r="C16" s="232">
        <f>'Table 1a-Year 2'!H41+'Table 1b-Year 2'!H41</f>
        <v>0</v>
      </c>
      <c r="D16" s="232">
        <f>'Table 1a-Year 2'!F41</f>
        <v>1</v>
      </c>
      <c r="E16" s="232">
        <v>0</v>
      </c>
      <c r="F16" s="232">
        <f t="shared" si="0"/>
        <v>0</v>
      </c>
    </row>
    <row r="17" spans="2:7" x14ac:dyDescent="0.3">
      <c r="B17" s="37" t="s">
        <v>119</v>
      </c>
      <c r="C17" s="232">
        <f>'Table 1a-Year 2'!H42+'Table 1b-Year 2'!H42</f>
        <v>0</v>
      </c>
      <c r="D17" s="232">
        <f>'Table 1a-Year 2'!F42</f>
        <v>1</v>
      </c>
      <c r="E17" s="232">
        <v>0</v>
      </c>
      <c r="F17" s="232">
        <f t="shared" si="0"/>
        <v>0</v>
      </c>
    </row>
    <row r="18" spans="2:7" x14ac:dyDescent="0.3">
      <c r="B18" s="37" t="s">
        <v>120</v>
      </c>
      <c r="C18" s="232">
        <f>'Table 1a-Year 2'!H43+'Table 1b-Year 2'!H43</f>
        <v>0</v>
      </c>
      <c r="D18" s="232">
        <f>'Table 1a-Year 2'!F43</f>
        <v>1</v>
      </c>
      <c r="E18" s="232">
        <v>0</v>
      </c>
      <c r="F18" s="232">
        <f t="shared" si="0"/>
        <v>0</v>
      </c>
    </row>
    <row r="19" spans="2:7" s="8" customFormat="1" x14ac:dyDescent="0.3">
      <c r="B19" s="231" t="s">
        <v>121</v>
      </c>
      <c r="C19" s="232">
        <f>C18</f>
        <v>0</v>
      </c>
      <c r="D19" s="232">
        <v>1</v>
      </c>
      <c r="E19" s="232">
        <v>0</v>
      </c>
      <c r="F19" s="232">
        <f t="shared" ref="F19" si="1">C19*D19+E19</f>
        <v>0</v>
      </c>
    </row>
    <row r="20" spans="2:7" x14ac:dyDescent="0.3">
      <c r="B20" s="37" t="s">
        <v>122</v>
      </c>
      <c r="C20" s="232">
        <f>'Table 1a-Year 2'!H45+'Table 1b-Year 2'!H45</f>
        <v>0</v>
      </c>
      <c r="D20" s="232">
        <f>'Table 1a-Year 2'!F45</f>
        <v>1</v>
      </c>
      <c r="E20" s="232">
        <v>0</v>
      </c>
      <c r="F20" s="232">
        <f t="shared" si="0"/>
        <v>0</v>
      </c>
    </row>
    <row r="21" spans="2:7" x14ac:dyDescent="0.3">
      <c r="B21" s="37" t="s">
        <v>123</v>
      </c>
      <c r="C21" s="232">
        <f>'Table 1a-Year 2'!H46+'Table 1b-Year 2'!H46</f>
        <v>0</v>
      </c>
      <c r="D21" s="232">
        <f>'Table 1a-Year 2'!F46</f>
        <v>1</v>
      </c>
      <c r="E21" s="232">
        <v>0</v>
      </c>
      <c r="F21" s="232">
        <f t="shared" si="0"/>
        <v>0</v>
      </c>
    </row>
    <row r="22" spans="2:7" ht="26" x14ac:dyDescent="0.3">
      <c r="B22" s="231" t="s">
        <v>124</v>
      </c>
      <c r="C22" s="233">
        <f>'Table 1a-Year 2'!H47+'Table 1b-Year 2'!H47</f>
        <v>0</v>
      </c>
      <c r="D22" s="232">
        <f>'Table 1a-Year 2'!F47</f>
        <v>1</v>
      </c>
      <c r="E22" s="232">
        <v>0</v>
      </c>
      <c r="F22" s="233">
        <f t="shared" si="0"/>
        <v>0</v>
      </c>
    </row>
    <row r="23" spans="2:7" x14ac:dyDescent="0.3">
      <c r="B23" s="37" t="s">
        <v>125</v>
      </c>
      <c r="C23" s="232">
        <f>'Table 1a-Year 2'!H48+'Table 1b-Year 2'!H48</f>
        <v>0</v>
      </c>
      <c r="D23" s="232">
        <f>'Table 1a-Year 2'!F48</f>
        <v>2</v>
      </c>
      <c r="E23" s="232">
        <v>0</v>
      </c>
      <c r="F23" s="232">
        <f t="shared" si="0"/>
        <v>0</v>
      </c>
    </row>
    <row r="24" spans="2:7" ht="26" x14ac:dyDescent="0.3">
      <c r="B24" s="37" t="s">
        <v>126</v>
      </c>
      <c r="C24" s="232">
        <f>'Table 1a-Year 2'!H49+'Table 1b-Year 2'!H49</f>
        <v>0</v>
      </c>
      <c r="D24" s="232">
        <f>'Table 1a-Year 2'!F49</f>
        <v>1</v>
      </c>
      <c r="E24" s="232">
        <v>0</v>
      </c>
      <c r="F24" s="232">
        <f t="shared" si="0"/>
        <v>0</v>
      </c>
    </row>
    <row r="25" spans="2:7" ht="26" x14ac:dyDescent="0.3">
      <c r="B25" s="37" t="s">
        <v>127</v>
      </c>
      <c r="C25" s="233">
        <f>'Table 1a-Year 2'!H50+'Table 1b-Year 2'!H50</f>
        <v>0</v>
      </c>
      <c r="D25" s="232">
        <f>'Table 1a-Year 2'!F50</f>
        <v>1</v>
      </c>
      <c r="E25" s="232">
        <v>0</v>
      </c>
      <c r="F25" s="233">
        <f t="shared" si="0"/>
        <v>0</v>
      </c>
    </row>
    <row r="26" spans="2:7" x14ac:dyDescent="0.3">
      <c r="B26" s="544" t="s">
        <v>273</v>
      </c>
      <c r="C26" s="545"/>
      <c r="D26" s="545"/>
      <c r="E26" s="546"/>
      <c r="F26" s="235">
        <f>SUM(F6:F14,F16:F25)</f>
        <v>1573.56</v>
      </c>
      <c r="G26" s="333"/>
    </row>
    <row r="27" spans="2:7" x14ac:dyDescent="0.3">
      <c r="E27" s="165" t="s">
        <v>281</v>
      </c>
      <c r="F27" s="236">
        <f>('Table 1a-Year 2'!I69+'Table 1b-Year 2'!I69)/'Annual Responses-Year 2'!F26</f>
        <v>115.02580136759958</v>
      </c>
    </row>
  </sheetData>
  <mergeCells count="4">
    <mergeCell ref="B5:F5"/>
    <mergeCell ref="B15:F15"/>
    <mergeCell ref="B3:F3"/>
    <mergeCell ref="B26:E26"/>
  </mergeCells>
  <phoneticPr fontId="4" type="noConversion"/>
  <printOptions headings="1"/>
  <pageMargins left="0.7" right="0.7" top="0.75" bottom="0.75" header="0.3" footer="0.3"/>
  <pageSetup scale="69" orientation="landscape" horizontalDpi="1200" verticalDpi="1200" r:id="rId1"/>
  <headerFooter>
    <oddHeader>&amp;CTable 1d -- Respondent Summary</oddHeader>
    <oddFooter>&amp;L&amp;P of &amp;N&amp;R&amp;D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E4323-D7F9-4098-B294-79A032ECA003}">
  <sheetPr>
    <pageSetUpPr fitToPage="1"/>
  </sheetPr>
  <dimension ref="A1:W121"/>
  <sheetViews>
    <sheetView zoomScaleNormal="100" workbookViewId="0">
      <pane xSplit="4" ySplit="4" topLeftCell="E86" activePane="bottomRight" state="frozen"/>
      <selection pane="topRight" activeCell="E1" sqref="E1"/>
      <selection pane="bottomLeft" activeCell="A6" sqref="A6"/>
      <selection pane="bottomRight" activeCell="J112" sqref="J112"/>
    </sheetView>
  </sheetViews>
  <sheetFormatPr defaultColWidth="9.1796875" defaultRowHeight="13" x14ac:dyDescent="0.3"/>
  <cols>
    <col min="1" max="1" width="2.7265625" style="130" customWidth="1"/>
    <col min="2" max="3" width="2.453125" style="130" customWidth="1"/>
    <col min="4" max="4" width="65.26953125" style="130" customWidth="1"/>
    <col min="5" max="5" width="15" style="130" customWidth="1"/>
    <col min="6" max="6" width="19.1796875" style="130" bestFit="1" customWidth="1"/>
    <col min="7" max="7" width="21.26953125" style="130" customWidth="1"/>
    <col min="8" max="8" width="15" style="131" customWidth="1"/>
    <col min="9" max="9" width="13.1796875" style="130" customWidth="1"/>
    <col min="10" max="11" width="15.26953125" style="130" customWidth="1"/>
    <col min="12" max="12" width="19" style="158" customWidth="1"/>
    <col min="13" max="13" width="12.1796875" style="152" customWidth="1"/>
    <col min="14" max="14" width="11" style="130" customWidth="1"/>
    <col min="15" max="15" width="12.453125" style="130" bestFit="1" customWidth="1"/>
    <col min="16" max="16" width="33.54296875" style="130" customWidth="1"/>
    <col min="17" max="17" width="12.453125" style="130" bestFit="1" customWidth="1"/>
    <col min="18" max="16384" width="9.1796875" style="130"/>
  </cols>
  <sheetData>
    <row r="1" spans="1:23" s="161" customFormat="1" ht="15.5" x14ac:dyDescent="0.35">
      <c r="A1" s="133" t="s">
        <v>69</v>
      </c>
      <c r="B1" s="162"/>
      <c r="C1" s="162"/>
      <c r="D1" s="162"/>
      <c r="E1" s="162"/>
      <c r="F1" s="162"/>
      <c r="G1" s="162"/>
      <c r="H1" s="162"/>
      <c r="I1" s="162"/>
      <c r="J1" s="163"/>
      <c r="K1" s="162"/>
      <c r="L1" s="162"/>
      <c r="M1" s="185"/>
      <c r="N1" s="250"/>
    </row>
    <row r="2" spans="1:23" s="134" customFormat="1" x14ac:dyDescent="0.3">
      <c r="A2" s="135"/>
      <c r="B2" s="135"/>
      <c r="C2" s="135"/>
      <c r="D2" s="135"/>
      <c r="E2" s="135"/>
      <c r="F2" s="135"/>
      <c r="G2" s="135"/>
      <c r="H2" s="135"/>
      <c r="I2" s="135"/>
      <c r="J2" s="136"/>
      <c r="K2" s="135"/>
      <c r="L2" s="135"/>
      <c r="M2" s="186"/>
      <c r="N2" s="182"/>
    </row>
    <row r="3" spans="1:23" s="139" customFormat="1" ht="14.25" customHeight="1" x14ac:dyDescent="0.3">
      <c r="A3" s="501" t="s">
        <v>70</v>
      </c>
      <c r="B3" s="502"/>
      <c r="C3" s="502"/>
      <c r="D3" s="503"/>
      <c r="E3" s="137" t="s">
        <v>71</v>
      </c>
      <c r="F3" s="137" t="s">
        <v>72</v>
      </c>
      <c r="G3" s="137" t="s">
        <v>73</v>
      </c>
      <c r="H3" s="137" t="s">
        <v>74</v>
      </c>
      <c r="I3" s="137" t="s">
        <v>75</v>
      </c>
      <c r="J3" s="137" t="s">
        <v>76</v>
      </c>
      <c r="K3" s="137" t="s">
        <v>77</v>
      </c>
      <c r="L3" s="138" t="s">
        <v>78</v>
      </c>
    </row>
    <row r="4" spans="1:23" s="142" customFormat="1" ht="44.25" customHeight="1" x14ac:dyDescent="0.3">
      <c r="A4" s="504"/>
      <c r="B4" s="505"/>
      <c r="C4" s="505"/>
      <c r="D4" s="506"/>
      <c r="E4" s="140" t="s">
        <v>79</v>
      </c>
      <c r="F4" s="140" t="s">
        <v>80</v>
      </c>
      <c r="G4" s="140" t="s">
        <v>81</v>
      </c>
      <c r="H4" s="140" t="s">
        <v>82</v>
      </c>
      <c r="I4" s="140" t="s">
        <v>83</v>
      </c>
      <c r="J4" s="140" t="s">
        <v>84</v>
      </c>
      <c r="K4" s="140" t="s">
        <v>85</v>
      </c>
      <c r="L4" s="141" t="s">
        <v>86</v>
      </c>
      <c r="M4" s="139"/>
      <c r="P4" s="142" t="s">
        <v>87</v>
      </c>
    </row>
    <row r="5" spans="1:23" x14ac:dyDescent="0.3">
      <c r="A5" s="507" t="s">
        <v>88</v>
      </c>
      <c r="B5" s="507"/>
      <c r="C5" s="507"/>
      <c r="D5" s="507"/>
      <c r="E5" s="251" t="s">
        <v>12</v>
      </c>
      <c r="F5" s="423"/>
      <c r="G5" s="423"/>
      <c r="H5" s="252"/>
      <c r="I5" s="253"/>
      <c r="J5" s="253"/>
      <c r="K5" s="253"/>
      <c r="L5" s="55"/>
    </row>
    <row r="6" spans="1:23" x14ac:dyDescent="0.3">
      <c r="A6" s="507" t="s">
        <v>89</v>
      </c>
      <c r="B6" s="507"/>
      <c r="C6" s="507"/>
      <c r="D6" s="507"/>
      <c r="E6" s="251" t="s">
        <v>12</v>
      </c>
      <c r="F6" s="423"/>
      <c r="G6" s="423"/>
      <c r="H6" s="252"/>
      <c r="I6" s="253"/>
      <c r="J6" s="253"/>
      <c r="K6" s="253"/>
      <c r="L6" s="55"/>
    </row>
    <row r="7" spans="1:23" x14ac:dyDescent="0.3">
      <c r="A7" s="507" t="s">
        <v>90</v>
      </c>
      <c r="B7" s="507"/>
      <c r="C7" s="507"/>
      <c r="D7" s="507"/>
      <c r="E7" s="143">
        <v>160.6</v>
      </c>
      <c r="F7" s="423">
        <v>1</v>
      </c>
      <c r="G7" s="143">
        <f>E7*F7</f>
        <v>160.6</v>
      </c>
      <c r="H7" s="252">
        <v>0</v>
      </c>
      <c r="I7" s="256">
        <f>G7*H7</f>
        <v>0</v>
      </c>
      <c r="J7" s="256">
        <f>I7*0.05</f>
        <v>0</v>
      </c>
      <c r="K7" s="256">
        <f>I7*0.1</f>
        <v>0</v>
      </c>
      <c r="L7" s="128">
        <f>(I7*$F$84)+(J7*$F$85)+(K7*$F$86)</f>
        <v>0</v>
      </c>
      <c r="M7" s="184"/>
    </row>
    <row r="8" spans="1:23" x14ac:dyDescent="0.3">
      <c r="A8" s="492" t="s">
        <v>91</v>
      </c>
      <c r="B8" s="492"/>
      <c r="C8" s="492"/>
      <c r="D8" s="492"/>
      <c r="E8" s="423"/>
      <c r="F8" s="423"/>
      <c r="G8" s="423"/>
      <c r="H8" s="252"/>
      <c r="I8" s="253"/>
      <c r="J8" s="253"/>
      <c r="K8" s="253"/>
      <c r="L8" s="55"/>
    </row>
    <row r="9" spans="1:23" x14ac:dyDescent="0.3">
      <c r="A9" s="424"/>
      <c r="B9" s="491" t="s">
        <v>92</v>
      </c>
      <c r="C9" s="491"/>
      <c r="D9" s="492"/>
      <c r="E9" s="423">
        <v>1</v>
      </c>
      <c r="F9" s="423">
        <v>1</v>
      </c>
      <c r="G9" s="423">
        <f>E9*F9</f>
        <v>1</v>
      </c>
      <c r="H9" s="252">
        <f>'Table 1c-Year 1'!E11</f>
        <v>159.94434782608695</v>
      </c>
      <c r="I9" s="256">
        <f>G9*H9</f>
        <v>159.94434782608695</v>
      </c>
      <c r="J9" s="285">
        <f>I9*0.05</f>
        <v>7.9972173913043481</v>
      </c>
      <c r="K9" s="285">
        <f>I9*0.1</f>
        <v>15.994434782608696</v>
      </c>
      <c r="L9" s="286">
        <f>(I9*$F$84)+(J9*$F$85)+(K9*$F$86)</f>
        <v>27810.787316869562</v>
      </c>
      <c r="M9" s="188" t="s">
        <v>93</v>
      </c>
      <c r="N9" s="184"/>
      <c r="O9" s="184"/>
      <c r="P9" s="184"/>
    </row>
    <row r="10" spans="1:23" x14ac:dyDescent="0.3">
      <c r="A10" s="424"/>
      <c r="B10" s="491" t="s">
        <v>94</v>
      </c>
      <c r="C10" s="491"/>
      <c r="D10" s="492"/>
      <c r="E10" s="423"/>
      <c r="F10" s="423"/>
      <c r="G10" s="423"/>
      <c r="H10" s="252"/>
      <c r="I10" s="253"/>
      <c r="J10" s="253"/>
      <c r="K10" s="253"/>
      <c r="L10" s="55"/>
    </row>
    <row r="11" spans="1:23" x14ac:dyDescent="0.3">
      <c r="A11" s="424"/>
      <c r="B11" s="425"/>
      <c r="C11" s="254" t="s">
        <v>95</v>
      </c>
      <c r="D11" s="255"/>
      <c r="E11" s="423"/>
      <c r="F11" s="423"/>
      <c r="G11" s="423"/>
      <c r="H11" s="252"/>
      <c r="I11" s="253"/>
      <c r="J11" s="253"/>
      <c r="K11" s="253"/>
      <c r="L11" s="55"/>
    </row>
    <row r="12" spans="1:23" ht="14.5" x14ac:dyDescent="0.3">
      <c r="A12" s="424"/>
      <c r="B12" s="425"/>
      <c r="C12" s="425"/>
      <c r="D12" s="422" t="s">
        <v>96</v>
      </c>
      <c r="E12" s="423">
        <v>27.8</v>
      </c>
      <c r="F12" s="423">
        <v>1</v>
      </c>
      <c r="G12" s="143">
        <f>E12*F12</f>
        <v>27.8</v>
      </c>
      <c r="H12" s="306">
        <f>('%CEMSCPMSvs.testing_2137.13'!X4+'%CEMSCPMSvs.testing_2137.13'!X5)*'Table 1c-Year 1'!F11</f>
        <v>192.13314782608694</v>
      </c>
      <c r="I12" s="256">
        <f>G12*H12</f>
        <v>5341.3015095652172</v>
      </c>
      <c r="J12" s="256">
        <f t="shared" ref="J12:J18" si="0">I12*0.05</f>
        <v>267.06507547826089</v>
      </c>
      <c r="K12" s="256">
        <f t="shared" ref="K12:K18" si="1">I12*0.1</f>
        <v>534.13015095652179</v>
      </c>
      <c r="L12" s="128">
        <f t="shared" ref="L12:L18" si="2">(I12*$F$84)+(J12*$F$85)+(K12*$F$86)</f>
        <v>928734.2897500298</v>
      </c>
      <c r="M12" s="239" t="s">
        <v>97</v>
      </c>
      <c r="P12" s="338" t="s">
        <v>98</v>
      </c>
      <c r="U12" s="130">
        <v>1340574</v>
      </c>
      <c r="V12" s="130">
        <f>L12/U12</f>
        <v>0.69278852920467637</v>
      </c>
      <c r="W12" s="130">
        <f>H12/V12</f>
        <v>277.33303847662785</v>
      </c>
    </row>
    <row r="13" spans="1:23" ht="14.5" x14ac:dyDescent="0.3">
      <c r="A13" s="424"/>
      <c r="B13" s="425"/>
      <c r="C13" s="425"/>
      <c r="D13" s="422" t="s">
        <v>99</v>
      </c>
      <c r="E13" s="423">
        <v>26.4</v>
      </c>
      <c r="F13" s="423">
        <v>1</v>
      </c>
      <c r="G13" s="143">
        <f t="shared" ref="G13:G18" si="3">E13*F13</f>
        <v>26.4</v>
      </c>
      <c r="H13" s="257">
        <f>'%CEMSCPMSvs.testing_2137.13'!K5*'Table 1c-Year 1'!F11</f>
        <v>52.681669565217391</v>
      </c>
      <c r="I13" s="256">
        <f t="shared" ref="I13:I18" si="4">G13*H13</f>
        <v>1390.796076521739</v>
      </c>
      <c r="J13" s="256">
        <f t="shared" si="0"/>
        <v>69.539803826086953</v>
      </c>
      <c r="K13" s="256">
        <f t="shared" si="1"/>
        <v>139.07960765217391</v>
      </c>
      <c r="L13" s="128">
        <f t="shared" si="2"/>
        <v>241828.70111383926</v>
      </c>
      <c r="M13" s="239" t="s">
        <v>97</v>
      </c>
      <c r="U13" s="130">
        <v>247590</v>
      </c>
      <c r="V13" s="130">
        <f>L13/U13</f>
        <v>0.9767304863437104</v>
      </c>
      <c r="W13" s="130">
        <f>H13/V13</f>
        <v>53.93675154179509</v>
      </c>
    </row>
    <row r="14" spans="1:23" ht="14.5" x14ac:dyDescent="0.3">
      <c r="A14" s="424"/>
      <c r="B14" s="425"/>
      <c r="C14" s="425"/>
      <c r="D14" s="422" t="s">
        <v>100</v>
      </c>
      <c r="E14" s="423">
        <v>27.8</v>
      </c>
      <c r="F14" s="423">
        <v>1</v>
      </c>
      <c r="G14" s="143">
        <f t="shared" si="3"/>
        <v>27.8</v>
      </c>
      <c r="H14" s="257">
        <f>'%CEMSCPMSvs.testing_2137.13'!C5*'Table 1c-Year 1'!F11</f>
        <v>74.37412173913043</v>
      </c>
      <c r="I14" s="256">
        <f t="shared" si="4"/>
        <v>2067.600584347826</v>
      </c>
      <c r="J14" s="256">
        <f t="shared" si="0"/>
        <v>103.38002921739131</v>
      </c>
      <c r="K14" s="256">
        <f t="shared" si="1"/>
        <v>206.76005843478262</v>
      </c>
      <c r="L14" s="128">
        <f t="shared" si="2"/>
        <v>359510.04764517286</v>
      </c>
      <c r="M14" s="239" t="s">
        <v>97</v>
      </c>
      <c r="P14" s="338"/>
      <c r="U14" s="130">
        <v>411476</v>
      </c>
      <c r="V14" s="130">
        <f>L14/U14</f>
        <v>0.87370842441642493</v>
      </c>
      <c r="W14" s="130">
        <f>H14/V14</f>
        <v>85.124647606330512</v>
      </c>
    </row>
    <row r="15" spans="1:23" ht="14.5" x14ac:dyDescent="0.3">
      <c r="A15" s="424"/>
      <c r="B15" s="425"/>
      <c r="C15" s="425"/>
      <c r="D15" s="422" t="s">
        <v>101</v>
      </c>
      <c r="E15" s="423">
        <v>2.5</v>
      </c>
      <c r="F15" s="423">
        <v>4</v>
      </c>
      <c r="G15" s="145">
        <f t="shared" si="3"/>
        <v>10</v>
      </c>
      <c r="H15" s="252">
        <f>('%CEMSCPMSvs.testing_2137.13'!K3+'%CEMSCPMSvs.testing_2137.13'!K4)*'Table 1c-Year 1'!F11</f>
        <v>257.21050434782615</v>
      </c>
      <c r="I15" s="256">
        <f t="shared" si="4"/>
        <v>2572.1050434782615</v>
      </c>
      <c r="J15" s="256">
        <f t="shared" si="0"/>
        <v>128.60525217391307</v>
      </c>
      <c r="K15" s="256">
        <f t="shared" si="1"/>
        <v>257.21050434782615</v>
      </c>
      <c r="L15" s="55">
        <f t="shared" si="2"/>
        <v>447232.22353940876</v>
      </c>
      <c r="M15" s="239" t="s">
        <v>97</v>
      </c>
      <c r="O15" s="238"/>
    </row>
    <row r="16" spans="1:23" ht="14.5" x14ac:dyDescent="0.3">
      <c r="A16" s="424"/>
      <c r="B16" s="425"/>
      <c r="C16" s="425"/>
      <c r="D16" s="422" t="s">
        <v>102</v>
      </c>
      <c r="E16" s="423">
        <v>0.4</v>
      </c>
      <c r="F16" s="423">
        <v>365</v>
      </c>
      <c r="G16" s="145">
        <f t="shared" si="3"/>
        <v>146</v>
      </c>
      <c r="H16" s="252">
        <f>H15</f>
        <v>257.21050434782615</v>
      </c>
      <c r="I16" s="256">
        <f t="shared" si="4"/>
        <v>37552.73363478262</v>
      </c>
      <c r="J16" s="285">
        <f t="shared" si="0"/>
        <v>1877.6366817391311</v>
      </c>
      <c r="K16" s="285">
        <f t="shared" si="1"/>
        <v>3755.2733634782621</v>
      </c>
      <c r="L16" s="55">
        <f t="shared" si="2"/>
        <v>6529590.4636753686</v>
      </c>
      <c r="M16" s="239" t="s">
        <v>97</v>
      </c>
    </row>
    <row r="17" spans="1:16" ht="14.5" x14ac:dyDescent="0.3">
      <c r="A17" s="424"/>
      <c r="B17" s="425"/>
      <c r="C17" s="425"/>
      <c r="D17" s="422" t="s">
        <v>103</v>
      </c>
      <c r="E17" s="423">
        <v>0.25</v>
      </c>
      <c r="F17" s="423">
        <v>365</v>
      </c>
      <c r="G17" s="144">
        <f t="shared" si="3"/>
        <v>91.25</v>
      </c>
      <c r="H17" s="252">
        <f>H15</f>
        <v>257.21050434782615</v>
      </c>
      <c r="I17" s="256">
        <f t="shared" si="4"/>
        <v>23470.458521739136</v>
      </c>
      <c r="J17" s="287">
        <f t="shared" si="0"/>
        <v>1173.5229260869569</v>
      </c>
      <c r="K17" s="285">
        <f t="shared" si="1"/>
        <v>2347.0458521739138</v>
      </c>
      <c r="L17" s="55">
        <f t="shared" si="2"/>
        <v>4080994.0397971054</v>
      </c>
      <c r="M17" s="239" t="s">
        <v>97</v>
      </c>
    </row>
    <row r="18" spans="1:16" ht="14.5" x14ac:dyDescent="0.3">
      <c r="A18" s="424"/>
      <c r="B18" s="425"/>
      <c r="C18" s="425"/>
      <c r="D18" s="422" t="s">
        <v>104</v>
      </c>
      <c r="E18" s="423">
        <v>14</v>
      </c>
      <c r="F18" s="423">
        <v>1</v>
      </c>
      <c r="G18" s="145">
        <f t="shared" si="3"/>
        <v>14</v>
      </c>
      <c r="H18" s="252">
        <f>H15</f>
        <v>257.21050434782615</v>
      </c>
      <c r="I18" s="256">
        <f t="shared" si="4"/>
        <v>3600.947060869566</v>
      </c>
      <c r="J18" s="285">
        <f t="shared" si="0"/>
        <v>180.04735304347832</v>
      </c>
      <c r="K18" s="285">
        <f t="shared" si="1"/>
        <v>360.09470608695665</v>
      </c>
      <c r="L18" s="286">
        <f t="shared" si="2"/>
        <v>626125.11295517231</v>
      </c>
      <c r="M18" s="239" t="s">
        <v>97</v>
      </c>
    </row>
    <row r="19" spans="1:16" x14ac:dyDescent="0.3">
      <c r="A19" s="424"/>
      <c r="B19" s="425"/>
      <c r="C19" s="367" t="s">
        <v>105</v>
      </c>
      <c r="D19" s="255"/>
      <c r="E19" s="423"/>
      <c r="F19" s="423"/>
      <c r="G19" s="423"/>
      <c r="H19" s="252"/>
      <c r="I19" s="253"/>
      <c r="J19" s="253"/>
      <c r="K19" s="253"/>
      <c r="L19" s="55"/>
      <c r="P19" s="338"/>
    </row>
    <row r="20" spans="1:16" ht="15" customHeight="1" x14ac:dyDescent="0.3">
      <c r="A20" s="424"/>
      <c r="B20" s="425"/>
      <c r="C20" s="425"/>
      <c r="D20" s="422" t="s">
        <v>106</v>
      </c>
      <c r="E20" s="423">
        <v>27.8</v>
      </c>
      <c r="F20" s="423">
        <v>1</v>
      </c>
      <c r="G20" s="143">
        <f>E20*F20</f>
        <v>27.8</v>
      </c>
      <c r="H20" s="307">
        <f>'%CEMSCPMSvs.testing_2137.13'!X8*'Table 1c-Year 1'!F11</f>
        <v>0</v>
      </c>
      <c r="I20" s="256">
        <f t="shared" ref="I20:I26" si="5">G20*H20</f>
        <v>0</v>
      </c>
      <c r="J20" s="256">
        <f t="shared" ref="J20:J26" si="6">I20*0.05</f>
        <v>0</v>
      </c>
      <c r="K20" s="256">
        <f t="shared" ref="K20:K26" si="7">I20*0.1</f>
        <v>0</v>
      </c>
      <c r="L20" s="128">
        <f t="shared" ref="L20:L26" si="8">(I20*$F$84)+(J20*$F$85)+(K20*$F$86)</f>
        <v>0</v>
      </c>
      <c r="M20" s="239" t="s">
        <v>97</v>
      </c>
      <c r="N20" s="240"/>
      <c r="O20" s="238"/>
      <c r="P20" s="338" t="s">
        <v>107</v>
      </c>
    </row>
    <row r="21" spans="1:16" x14ac:dyDescent="0.3">
      <c r="A21" s="424"/>
      <c r="B21" s="425"/>
      <c r="C21" s="425"/>
      <c r="D21" s="422" t="s">
        <v>108</v>
      </c>
      <c r="E21" s="423">
        <v>26.4</v>
      </c>
      <c r="F21" s="423">
        <v>1</v>
      </c>
      <c r="G21" s="143">
        <f>E21*F21</f>
        <v>26.4</v>
      </c>
      <c r="H21" s="252">
        <v>0</v>
      </c>
      <c r="I21" s="256">
        <f>G21*H21</f>
        <v>0</v>
      </c>
      <c r="J21" s="256">
        <f>I21*0.05</f>
        <v>0</v>
      </c>
      <c r="K21" s="256">
        <f>I21*0.1</f>
        <v>0</v>
      </c>
      <c r="L21" s="128">
        <f t="shared" si="8"/>
        <v>0</v>
      </c>
      <c r="P21" s="338"/>
    </row>
    <row r="22" spans="1:16" x14ac:dyDescent="0.3">
      <c r="A22" s="424"/>
      <c r="B22" s="425"/>
      <c r="C22" s="425"/>
      <c r="D22" s="422" t="s">
        <v>109</v>
      </c>
      <c r="E22" s="423">
        <v>27.8</v>
      </c>
      <c r="F22" s="423">
        <v>1</v>
      </c>
      <c r="G22" s="143">
        <f t="shared" ref="G22:G26" si="9">E22*F22</f>
        <v>27.8</v>
      </c>
      <c r="H22" s="252">
        <v>0</v>
      </c>
      <c r="I22" s="256">
        <f t="shared" si="5"/>
        <v>0</v>
      </c>
      <c r="J22" s="256">
        <f t="shared" si="6"/>
        <v>0</v>
      </c>
      <c r="K22" s="256">
        <f t="shared" si="7"/>
        <v>0</v>
      </c>
      <c r="L22" s="128">
        <f t="shared" si="8"/>
        <v>0</v>
      </c>
      <c r="N22" s="238"/>
      <c r="P22" s="338"/>
    </row>
    <row r="23" spans="1:16" x14ac:dyDescent="0.3">
      <c r="A23" s="424"/>
      <c r="B23" s="425"/>
      <c r="C23" s="425"/>
      <c r="D23" s="422" t="s">
        <v>110</v>
      </c>
      <c r="E23" s="423">
        <v>2.46</v>
      </c>
      <c r="F23" s="423">
        <v>4</v>
      </c>
      <c r="G23" s="144">
        <f t="shared" si="9"/>
        <v>9.84</v>
      </c>
      <c r="H23" s="307">
        <f>H20</f>
        <v>0</v>
      </c>
      <c r="I23" s="256">
        <f t="shared" si="5"/>
        <v>0</v>
      </c>
      <c r="J23" s="256">
        <f t="shared" si="6"/>
        <v>0</v>
      </c>
      <c r="K23" s="256">
        <f t="shared" si="7"/>
        <v>0</v>
      </c>
      <c r="L23" s="128">
        <f t="shared" si="8"/>
        <v>0</v>
      </c>
      <c r="M23" s="239" t="s">
        <v>97</v>
      </c>
      <c r="N23" s="238"/>
    </row>
    <row r="24" spans="1:16" x14ac:dyDescent="0.3">
      <c r="A24" s="424"/>
      <c r="B24" s="425"/>
      <c r="C24" s="425"/>
      <c r="D24" s="422" t="s">
        <v>111</v>
      </c>
      <c r="E24" s="423">
        <f>ROUND(0.121,2)</f>
        <v>0.12</v>
      </c>
      <c r="F24" s="423">
        <v>365</v>
      </c>
      <c r="G24" s="143">
        <f t="shared" si="9"/>
        <v>43.8</v>
      </c>
      <c r="H24" s="307">
        <f>H20</f>
        <v>0</v>
      </c>
      <c r="I24" s="256">
        <f t="shared" si="5"/>
        <v>0</v>
      </c>
      <c r="J24" s="256">
        <f t="shared" si="6"/>
        <v>0</v>
      </c>
      <c r="K24" s="256">
        <f t="shared" si="7"/>
        <v>0</v>
      </c>
      <c r="L24" s="128">
        <f t="shared" si="8"/>
        <v>0</v>
      </c>
      <c r="M24" s="239" t="s">
        <v>97</v>
      </c>
    </row>
    <row r="25" spans="1:16" x14ac:dyDescent="0.3">
      <c r="A25" s="424"/>
      <c r="B25" s="425"/>
      <c r="C25" s="425"/>
      <c r="D25" s="422" t="s">
        <v>112</v>
      </c>
      <c r="E25" s="423">
        <v>0</v>
      </c>
      <c r="F25" s="423">
        <v>365</v>
      </c>
      <c r="G25" s="145">
        <f t="shared" si="9"/>
        <v>0</v>
      </c>
      <c r="H25" s="307">
        <f>H20</f>
        <v>0</v>
      </c>
      <c r="I25" s="256">
        <f t="shared" si="5"/>
        <v>0</v>
      </c>
      <c r="J25" s="256">
        <f t="shared" si="6"/>
        <v>0</v>
      </c>
      <c r="K25" s="256">
        <f t="shared" si="7"/>
        <v>0</v>
      </c>
      <c r="L25" s="128">
        <f t="shared" si="8"/>
        <v>0</v>
      </c>
      <c r="M25" s="239" t="s">
        <v>97</v>
      </c>
    </row>
    <row r="26" spans="1:16" x14ac:dyDescent="0.3">
      <c r="A26" s="424"/>
      <c r="B26" s="425"/>
      <c r="C26" s="425"/>
      <c r="D26" s="422" t="s">
        <v>113</v>
      </c>
      <c r="E26" s="423">
        <v>7.3</v>
      </c>
      <c r="F26" s="423">
        <v>365</v>
      </c>
      <c r="G26" s="143">
        <f t="shared" si="9"/>
        <v>2664.5</v>
      </c>
      <c r="H26" s="307">
        <f>H20</f>
        <v>0</v>
      </c>
      <c r="I26" s="256">
        <f t="shared" si="5"/>
        <v>0</v>
      </c>
      <c r="J26" s="256">
        <f t="shared" si="6"/>
        <v>0</v>
      </c>
      <c r="K26" s="256">
        <f t="shared" si="7"/>
        <v>0</v>
      </c>
      <c r="L26" s="128">
        <f t="shared" si="8"/>
        <v>0</v>
      </c>
      <c r="M26" s="239" t="s">
        <v>97</v>
      </c>
    </row>
    <row r="27" spans="1:16" x14ac:dyDescent="0.3">
      <c r="A27" s="424"/>
      <c r="B27" s="491" t="s">
        <v>114</v>
      </c>
      <c r="C27" s="491"/>
      <c r="D27" s="492"/>
      <c r="E27" s="251" t="s">
        <v>115</v>
      </c>
      <c r="F27" s="423"/>
      <c r="G27" s="423"/>
      <c r="H27" s="257"/>
      <c r="I27" s="253"/>
      <c r="J27" s="253"/>
      <c r="K27" s="253"/>
      <c r="L27" s="55"/>
    </row>
    <row r="28" spans="1:16" x14ac:dyDescent="0.3">
      <c r="A28" s="424"/>
      <c r="B28" s="491" t="s">
        <v>116</v>
      </c>
      <c r="C28" s="491"/>
      <c r="D28" s="492"/>
      <c r="E28" s="251" t="s">
        <v>117</v>
      </c>
      <c r="F28" s="423"/>
      <c r="G28" s="423"/>
      <c r="H28" s="257"/>
      <c r="I28" s="253"/>
      <c r="J28" s="253"/>
      <c r="K28" s="253"/>
      <c r="L28" s="55"/>
    </row>
    <row r="29" spans="1:16" x14ac:dyDescent="0.3">
      <c r="A29" s="424"/>
      <c r="B29" s="491" t="s">
        <v>118</v>
      </c>
      <c r="C29" s="491"/>
      <c r="D29" s="492"/>
      <c r="E29" s="423"/>
      <c r="F29" s="423"/>
      <c r="G29" s="423"/>
      <c r="H29" s="257"/>
      <c r="I29" s="253"/>
      <c r="J29" s="253"/>
      <c r="K29" s="253"/>
      <c r="L29" s="55"/>
    </row>
    <row r="30" spans="1:16" x14ac:dyDescent="0.3">
      <c r="A30" s="424"/>
      <c r="B30" s="425"/>
      <c r="C30" s="254" t="s">
        <v>95</v>
      </c>
      <c r="D30" s="255"/>
      <c r="E30" s="423"/>
      <c r="F30" s="423"/>
      <c r="G30" s="423"/>
      <c r="H30" s="252"/>
      <c r="I30" s="253"/>
      <c r="J30" s="253"/>
      <c r="K30" s="253"/>
      <c r="L30" s="55"/>
    </row>
    <row r="31" spans="1:16" x14ac:dyDescent="0.3">
      <c r="A31" s="424"/>
      <c r="B31" s="425"/>
      <c r="C31" s="425"/>
      <c r="D31" s="422" t="s">
        <v>119</v>
      </c>
      <c r="E31" s="423">
        <v>5</v>
      </c>
      <c r="F31" s="423">
        <v>1</v>
      </c>
      <c r="G31" s="423">
        <f>E31*F31</f>
        <v>5</v>
      </c>
      <c r="H31" s="252">
        <v>0</v>
      </c>
      <c r="I31" s="256">
        <f t="shared" ref="I31:I32" si="10">G31*H31</f>
        <v>0</v>
      </c>
      <c r="J31" s="256">
        <f t="shared" ref="J31:J39" si="11">I31*0.05</f>
        <v>0</v>
      </c>
      <c r="K31" s="256">
        <f t="shared" ref="K31:K32" si="12">I31*0.1</f>
        <v>0</v>
      </c>
      <c r="L31" s="128">
        <f>(I31*$F$84)+(J31*$F$85)+(K31*$F$86)</f>
        <v>0</v>
      </c>
    </row>
    <row r="32" spans="1:16" x14ac:dyDescent="0.3">
      <c r="A32" s="424"/>
      <c r="B32" s="425"/>
      <c r="C32" s="425"/>
      <c r="D32" s="422" t="s">
        <v>120</v>
      </c>
      <c r="E32" s="423">
        <v>3</v>
      </c>
      <c r="F32" s="423">
        <v>1</v>
      </c>
      <c r="G32" s="423">
        <f>E32*F32</f>
        <v>3</v>
      </c>
      <c r="H32" s="252">
        <v>0</v>
      </c>
      <c r="I32" s="256">
        <f t="shared" si="10"/>
        <v>0</v>
      </c>
      <c r="J32" s="256">
        <f>I32*0.05</f>
        <v>0</v>
      </c>
      <c r="K32" s="256">
        <f t="shared" si="12"/>
        <v>0</v>
      </c>
      <c r="L32" s="128">
        <f>(I32*$F$84)+(J32*$F$85)+(K32*$F$86)</f>
        <v>0</v>
      </c>
    </row>
    <row r="33" spans="1:16" x14ac:dyDescent="0.3">
      <c r="A33" s="424"/>
      <c r="B33" s="425"/>
      <c r="C33" s="425"/>
      <c r="D33" s="422" t="s">
        <v>121</v>
      </c>
      <c r="E33" s="251" t="s">
        <v>115</v>
      </c>
      <c r="F33" s="423"/>
      <c r="G33" s="423"/>
      <c r="H33" s="258"/>
      <c r="I33" s="253"/>
      <c r="J33" s="253"/>
      <c r="K33" s="253"/>
      <c r="L33" s="55"/>
    </row>
    <row r="34" spans="1:16" x14ac:dyDescent="0.3">
      <c r="A34" s="424"/>
      <c r="B34" s="425"/>
      <c r="C34" s="425"/>
      <c r="D34" s="422" t="s">
        <v>122</v>
      </c>
      <c r="E34" s="423">
        <v>16.5</v>
      </c>
      <c r="F34" s="423">
        <v>1</v>
      </c>
      <c r="G34" s="423">
        <f>E34*F34</f>
        <v>16.5</v>
      </c>
      <c r="H34" s="252">
        <v>0</v>
      </c>
      <c r="I34" s="256">
        <f>G34*H34</f>
        <v>0</v>
      </c>
      <c r="J34" s="256">
        <f>I34*0.05</f>
        <v>0</v>
      </c>
      <c r="K34" s="256">
        <f>I34*0.1</f>
        <v>0</v>
      </c>
      <c r="L34" s="128">
        <f t="shared" ref="L34:L39" si="13">(I34*$F$84)+(J34*$F$85)+(K34*$F$86)</f>
        <v>0</v>
      </c>
    </row>
    <row r="35" spans="1:16" x14ac:dyDescent="0.3">
      <c r="A35" s="424"/>
      <c r="B35" s="425"/>
      <c r="C35" s="425"/>
      <c r="D35" s="422" t="s">
        <v>123</v>
      </c>
      <c r="E35" s="423">
        <v>4</v>
      </c>
      <c r="F35" s="423">
        <v>1</v>
      </c>
      <c r="G35" s="423">
        <f t="shared" ref="G35:G39" si="14">E35*F35</f>
        <v>4</v>
      </c>
      <c r="H35" s="252">
        <v>0</v>
      </c>
      <c r="I35" s="256">
        <f t="shared" ref="I35" si="15">G35*H35</f>
        <v>0</v>
      </c>
      <c r="J35" s="256">
        <f t="shared" si="11"/>
        <v>0</v>
      </c>
      <c r="K35" s="256">
        <f t="shared" ref="K35:K39" si="16">I35*0.1</f>
        <v>0</v>
      </c>
      <c r="L35" s="128">
        <f t="shared" si="13"/>
        <v>0</v>
      </c>
    </row>
    <row r="36" spans="1:16" x14ac:dyDescent="0.3">
      <c r="A36" s="424"/>
      <c r="B36" s="425"/>
      <c r="C36" s="425"/>
      <c r="D36" s="422" t="s">
        <v>124</v>
      </c>
      <c r="E36" s="423">
        <v>10</v>
      </c>
      <c r="F36" s="423">
        <v>1</v>
      </c>
      <c r="G36" s="423">
        <f t="shared" si="14"/>
        <v>10</v>
      </c>
      <c r="H36" s="263">
        <f>H37*0.1</f>
        <v>30.989217391304347</v>
      </c>
      <c r="I36" s="256">
        <f>G36*H36</f>
        <v>309.89217391304345</v>
      </c>
      <c r="J36" s="285">
        <f>I36*0.05</f>
        <v>15.494608695652174</v>
      </c>
      <c r="K36" s="285">
        <f t="shared" si="16"/>
        <v>30.989217391304347</v>
      </c>
      <c r="L36" s="55">
        <f t="shared" si="13"/>
        <v>53883.400426434775</v>
      </c>
      <c r="M36" s="239" t="s">
        <v>97</v>
      </c>
      <c r="N36" s="386"/>
    </row>
    <row r="37" spans="1:16" x14ac:dyDescent="0.3">
      <c r="A37" s="424"/>
      <c r="B37" s="425"/>
      <c r="C37" s="425"/>
      <c r="D37" s="422" t="s">
        <v>125</v>
      </c>
      <c r="E37" s="249">
        <v>65</v>
      </c>
      <c r="F37" s="423">
        <v>2</v>
      </c>
      <c r="G37" s="423">
        <f t="shared" si="14"/>
        <v>130</v>
      </c>
      <c r="H37" s="252">
        <f>'Regulated Sources_Overview'!D148</f>
        <v>309.89217391304345</v>
      </c>
      <c r="I37" s="256">
        <f t="shared" ref="I37:I39" si="17">G37*H37</f>
        <v>40285.982608695645</v>
      </c>
      <c r="J37" s="256">
        <f t="shared" si="11"/>
        <v>2014.2991304347825</v>
      </c>
      <c r="K37" s="256">
        <f t="shared" si="16"/>
        <v>4028.5982608695649</v>
      </c>
      <c r="L37" s="55">
        <f t="shared" si="13"/>
        <v>7004842.0554365199</v>
      </c>
      <c r="M37" s="239" t="s">
        <v>97</v>
      </c>
      <c r="N37" s="386"/>
      <c r="P37" s="338"/>
    </row>
    <row r="38" spans="1:16" x14ac:dyDescent="0.3">
      <c r="A38" s="424"/>
      <c r="B38" s="425"/>
      <c r="C38" s="425"/>
      <c r="D38" s="422" t="s">
        <v>126</v>
      </c>
      <c r="E38" s="423">
        <v>20</v>
      </c>
      <c r="F38" s="423">
        <v>1</v>
      </c>
      <c r="G38" s="423">
        <f t="shared" si="14"/>
        <v>20</v>
      </c>
      <c r="H38" s="252">
        <f>H37</f>
        <v>309.89217391304345</v>
      </c>
      <c r="I38" s="256">
        <f t="shared" si="17"/>
        <v>6197.8434782608692</v>
      </c>
      <c r="J38" s="256">
        <f t="shared" si="11"/>
        <v>309.89217391304351</v>
      </c>
      <c r="K38" s="256">
        <f t="shared" si="16"/>
        <v>619.78434782608701</v>
      </c>
      <c r="L38" s="128">
        <f t="shared" si="13"/>
        <v>1077668.0085286957</v>
      </c>
      <c r="M38" s="239" t="s">
        <v>97</v>
      </c>
      <c r="N38" s="386"/>
      <c r="P38" s="338"/>
    </row>
    <row r="39" spans="1:16" x14ac:dyDescent="0.3">
      <c r="A39" s="424"/>
      <c r="B39" s="425"/>
      <c r="C39" s="425"/>
      <c r="D39" s="422" t="s">
        <v>127</v>
      </c>
      <c r="E39" s="423">
        <v>5</v>
      </c>
      <c r="F39" s="423">
        <v>1</v>
      </c>
      <c r="G39" s="423">
        <f t="shared" si="14"/>
        <v>5</v>
      </c>
      <c r="H39" s="263">
        <f>H36</f>
        <v>30.989217391304347</v>
      </c>
      <c r="I39" s="256">
        <f t="shared" si="17"/>
        <v>154.94608695652173</v>
      </c>
      <c r="J39" s="256">
        <f t="shared" si="11"/>
        <v>7.7473043478260868</v>
      </c>
      <c r="K39" s="256">
        <f t="shared" si="16"/>
        <v>15.494608695652174</v>
      </c>
      <c r="L39" s="128">
        <f t="shared" si="13"/>
        <v>26941.700213217387</v>
      </c>
      <c r="M39" s="239" t="s">
        <v>97</v>
      </c>
      <c r="N39" s="386"/>
      <c r="P39" s="338"/>
    </row>
    <row r="40" spans="1:16" x14ac:dyDescent="0.3">
      <c r="A40" s="424"/>
      <c r="B40" s="425"/>
      <c r="C40" s="367" t="s">
        <v>105</v>
      </c>
      <c r="D40" s="255"/>
      <c r="E40" s="423"/>
      <c r="F40" s="423"/>
      <c r="G40" s="423"/>
      <c r="H40" s="252"/>
      <c r="I40" s="253"/>
      <c r="J40" s="253"/>
      <c r="K40" s="253"/>
      <c r="L40" s="55"/>
      <c r="N40" s="386"/>
    </row>
    <row r="41" spans="1:16" x14ac:dyDescent="0.3">
      <c r="A41" s="424"/>
      <c r="B41" s="425"/>
      <c r="C41" s="425"/>
      <c r="D41" s="422" t="s">
        <v>128</v>
      </c>
      <c r="E41" s="423">
        <v>3</v>
      </c>
      <c r="F41" s="423">
        <v>1</v>
      </c>
      <c r="G41" s="423">
        <f>E41*F41</f>
        <v>3</v>
      </c>
      <c r="H41" s="307">
        <f>H20</f>
        <v>0</v>
      </c>
      <c r="I41" s="256">
        <f t="shared" ref="I41:I42" si="18">G41*H41</f>
        <v>0</v>
      </c>
      <c r="J41" s="256">
        <f t="shared" ref="J41:J42" si="19">I41*0.05</f>
        <v>0</v>
      </c>
      <c r="K41" s="256">
        <f t="shared" ref="K41:K42" si="20">I41*0.1</f>
        <v>0</v>
      </c>
      <c r="L41" s="128">
        <f t="shared" ref="L41:L42" si="21">(I41*$F$84)+(J41*$F$85)+(K41*$F$86)</f>
        <v>0</v>
      </c>
      <c r="M41" s="386" t="s">
        <v>97</v>
      </c>
      <c r="N41" s="386"/>
    </row>
    <row r="42" spans="1:16" x14ac:dyDescent="0.3">
      <c r="A42" s="424"/>
      <c r="B42" s="425"/>
      <c r="C42" s="425"/>
      <c r="D42" s="422" t="s">
        <v>119</v>
      </c>
      <c r="E42" s="423">
        <v>5</v>
      </c>
      <c r="F42" s="423">
        <v>1</v>
      </c>
      <c r="G42" s="423">
        <f>E42*F42</f>
        <v>5</v>
      </c>
      <c r="H42" s="307">
        <f>H20</f>
        <v>0</v>
      </c>
      <c r="I42" s="256">
        <f t="shared" si="18"/>
        <v>0</v>
      </c>
      <c r="J42" s="256">
        <f t="shared" si="19"/>
        <v>0</v>
      </c>
      <c r="K42" s="256">
        <f t="shared" si="20"/>
        <v>0</v>
      </c>
      <c r="L42" s="128">
        <f t="shared" si="21"/>
        <v>0</v>
      </c>
      <c r="M42" s="386" t="s">
        <v>97</v>
      </c>
      <c r="N42" s="386"/>
    </row>
    <row r="43" spans="1:16" x14ac:dyDescent="0.3">
      <c r="A43" s="424"/>
      <c r="B43" s="425"/>
      <c r="C43" s="425"/>
      <c r="D43" s="422" t="s">
        <v>120</v>
      </c>
      <c r="E43" s="423">
        <v>4</v>
      </c>
      <c r="F43" s="423">
        <v>1</v>
      </c>
      <c r="G43" s="423">
        <f>E43*F43</f>
        <v>4</v>
      </c>
      <c r="H43" s="307">
        <f>H20</f>
        <v>0</v>
      </c>
      <c r="I43" s="256">
        <f>G43*H43</f>
        <v>0</v>
      </c>
      <c r="J43" s="256">
        <f>I43*0.05</f>
        <v>0</v>
      </c>
      <c r="K43" s="256">
        <f>I43*0.1</f>
        <v>0</v>
      </c>
      <c r="L43" s="128">
        <f>(I43*$F$84)+(J43*$F$85)+(K43*$F$86)</f>
        <v>0</v>
      </c>
      <c r="M43" s="386" t="s">
        <v>97</v>
      </c>
      <c r="N43" s="386"/>
    </row>
    <row r="44" spans="1:16" x14ac:dyDescent="0.3">
      <c r="A44" s="424"/>
      <c r="B44" s="425"/>
      <c r="C44" s="425"/>
      <c r="D44" s="422" t="s">
        <v>121</v>
      </c>
      <c r="E44" s="251" t="s">
        <v>115</v>
      </c>
      <c r="F44" s="423"/>
      <c r="G44" s="423"/>
      <c r="H44" s="306"/>
      <c r="I44" s="253"/>
      <c r="J44" s="253"/>
      <c r="K44" s="253"/>
      <c r="L44" s="55"/>
      <c r="M44" s="386"/>
      <c r="N44" s="386"/>
    </row>
    <row r="45" spans="1:16" x14ac:dyDescent="0.3">
      <c r="A45" s="424"/>
      <c r="B45" s="425"/>
      <c r="C45" s="425"/>
      <c r="D45" s="422" t="s">
        <v>122</v>
      </c>
      <c r="E45" s="423">
        <v>16.5</v>
      </c>
      <c r="F45" s="423">
        <v>1</v>
      </c>
      <c r="G45" s="423">
        <f>E45*F45</f>
        <v>16.5</v>
      </c>
      <c r="H45" s="307">
        <f>H20</f>
        <v>0</v>
      </c>
      <c r="I45" s="256">
        <f>G45*H45</f>
        <v>0</v>
      </c>
      <c r="J45" s="256">
        <f>I45*0.05</f>
        <v>0</v>
      </c>
      <c r="K45" s="256">
        <f>I45*0.1</f>
        <v>0</v>
      </c>
      <c r="L45" s="128">
        <f t="shared" ref="L45:L50" si="22">(I45*$F$84)+(J45*$F$85)+(K45*$F$86)</f>
        <v>0</v>
      </c>
      <c r="M45" s="386" t="s">
        <v>97</v>
      </c>
      <c r="N45" s="386"/>
    </row>
    <row r="46" spans="1:16" x14ac:dyDescent="0.3">
      <c r="A46" s="424"/>
      <c r="B46" s="425"/>
      <c r="C46" s="425"/>
      <c r="D46" s="422" t="s">
        <v>123</v>
      </c>
      <c r="E46" s="423">
        <v>3</v>
      </c>
      <c r="F46" s="423">
        <v>1</v>
      </c>
      <c r="G46" s="423">
        <f t="shared" ref="G46:G47" si="23">E46*F46</f>
        <v>3</v>
      </c>
      <c r="H46" s="307">
        <f>H20</f>
        <v>0</v>
      </c>
      <c r="I46" s="256">
        <f t="shared" ref="I46:I50" si="24">G46*H46</f>
        <v>0</v>
      </c>
      <c r="J46" s="256">
        <f t="shared" ref="J46:J50" si="25">I46*0.05</f>
        <v>0</v>
      </c>
      <c r="K46" s="256">
        <f t="shared" ref="K46:K50" si="26">I46*0.1</f>
        <v>0</v>
      </c>
      <c r="L46" s="128">
        <f t="shared" si="22"/>
        <v>0</v>
      </c>
      <c r="M46" s="386" t="s">
        <v>97</v>
      </c>
      <c r="N46" s="386"/>
    </row>
    <row r="47" spans="1:16" x14ac:dyDescent="0.3">
      <c r="A47" s="424"/>
      <c r="B47" s="425"/>
      <c r="C47" s="425"/>
      <c r="D47" s="422" t="s">
        <v>124</v>
      </c>
      <c r="E47" s="423">
        <v>10</v>
      </c>
      <c r="F47" s="423">
        <v>1</v>
      </c>
      <c r="G47" s="423">
        <f t="shared" si="23"/>
        <v>10</v>
      </c>
      <c r="H47" s="378">
        <f>H20*0.1</f>
        <v>0</v>
      </c>
      <c r="I47" s="256">
        <f t="shared" si="24"/>
        <v>0</v>
      </c>
      <c r="J47" s="256">
        <f t="shared" si="25"/>
        <v>0</v>
      </c>
      <c r="K47" s="256">
        <f t="shared" si="26"/>
        <v>0</v>
      </c>
      <c r="L47" s="128">
        <f t="shared" si="22"/>
        <v>0</v>
      </c>
      <c r="M47" s="386" t="s">
        <v>97</v>
      </c>
      <c r="N47" s="386"/>
    </row>
    <row r="48" spans="1:16" x14ac:dyDescent="0.3">
      <c r="A48" s="424"/>
      <c r="B48" s="425"/>
      <c r="C48" s="425"/>
      <c r="D48" s="422" t="s">
        <v>125</v>
      </c>
      <c r="E48" s="423">
        <v>75</v>
      </c>
      <c r="F48" s="423">
        <v>2</v>
      </c>
      <c r="G48" s="423">
        <f>E48*F48</f>
        <v>150</v>
      </c>
      <c r="H48" s="307">
        <f>H20</f>
        <v>0</v>
      </c>
      <c r="I48" s="256">
        <f t="shared" si="24"/>
        <v>0</v>
      </c>
      <c r="J48" s="256">
        <f t="shared" si="25"/>
        <v>0</v>
      </c>
      <c r="K48" s="256">
        <f t="shared" si="26"/>
        <v>0</v>
      </c>
      <c r="L48" s="128">
        <f t="shared" si="22"/>
        <v>0</v>
      </c>
      <c r="M48" s="386" t="s">
        <v>97</v>
      </c>
      <c r="N48" s="386"/>
      <c r="P48" s="338"/>
    </row>
    <row r="49" spans="1:16" x14ac:dyDescent="0.3">
      <c r="A49" s="424"/>
      <c r="B49" s="425"/>
      <c r="C49" s="425"/>
      <c r="D49" s="422" t="s">
        <v>126</v>
      </c>
      <c r="E49" s="423">
        <v>20</v>
      </c>
      <c r="F49" s="423">
        <v>1</v>
      </c>
      <c r="G49" s="423">
        <f>E49*F49</f>
        <v>20</v>
      </c>
      <c r="H49" s="307">
        <f>H20</f>
        <v>0</v>
      </c>
      <c r="I49" s="256">
        <f t="shared" si="24"/>
        <v>0</v>
      </c>
      <c r="J49" s="256">
        <f t="shared" si="25"/>
        <v>0</v>
      </c>
      <c r="K49" s="256">
        <f t="shared" si="26"/>
        <v>0</v>
      </c>
      <c r="L49" s="128">
        <f t="shared" si="22"/>
        <v>0</v>
      </c>
      <c r="M49" s="386" t="s">
        <v>97</v>
      </c>
      <c r="N49" s="386"/>
      <c r="P49" s="338"/>
    </row>
    <row r="50" spans="1:16" x14ac:dyDescent="0.3">
      <c r="A50" s="424"/>
      <c r="B50" s="425"/>
      <c r="C50" s="425"/>
      <c r="D50" s="422" t="s">
        <v>127</v>
      </c>
      <c r="E50" s="423">
        <v>5</v>
      </c>
      <c r="F50" s="423">
        <v>1</v>
      </c>
      <c r="G50" s="423">
        <f>E50*F50</f>
        <v>5</v>
      </c>
      <c r="H50" s="378">
        <f>H20*0.1</f>
        <v>0</v>
      </c>
      <c r="I50" s="256">
        <f t="shared" si="24"/>
        <v>0</v>
      </c>
      <c r="J50" s="256">
        <f t="shared" si="25"/>
        <v>0</v>
      </c>
      <c r="K50" s="256">
        <f t="shared" si="26"/>
        <v>0</v>
      </c>
      <c r="L50" s="128">
        <f t="shared" si="22"/>
        <v>0</v>
      </c>
      <c r="M50" s="386" t="s">
        <v>97</v>
      </c>
      <c r="N50" s="386"/>
      <c r="P50" s="338"/>
    </row>
    <row r="51" spans="1:16" s="134" customFormat="1" x14ac:dyDescent="0.3">
      <c r="A51" s="146" t="s">
        <v>129</v>
      </c>
      <c r="B51" s="147"/>
      <c r="C51" s="148"/>
      <c r="D51" s="148"/>
      <c r="E51" s="148"/>
      <c r="F51" s="421"/>
      <c r="G51" s="149"/>
      <c r="H51" s="149"/>
      <c r="I51" s="490">
        <f>SUM(I7:K50)</f>
        <v>141570.23379600004</v>
      </c>
      <c r="J51" s="490"/>
      <c r="K51" s="490"/>
      <c r="L51" s="288">
        <f>SUM(L7:L50)</f>
        <v>21405160.830397829</v>
      </c>
      <c r="M51" s="186"/>
    </row>
    <row r="52" spans="1:16" x14ac:dyDescent="0.3">
      <c r="A52" s="498" t="s">
        <v>130</v>
      </c>
      <c r="B52" s="499"/>
      <c r="C52" s="499"/>
      <c r="D52" s="491"/>
      <c r="E52" s="423"/>
      <c r="F52" s="423"/>
      <c r="G52" s="423"/>
      <c r="H52" s="252"/>
      <c r="I52" s="253"/>
      <c r="J52" s="253"/>
      <c r="K52" s="253"/>
      <c r="L52" s="55"/>
    </row>
    <row r="53" spans="1:16" ht="12.75" customHeight="1" x14ac:dyDescent="0.3">
      <c r="A53" s="424"/>
      <c r="B53" s="491" t="s">
        <v>92</v>
      </c>
      <c r="C53" s="491"/>
      <c r="D53" s="492"/>
      <c r="E53" s="251" t="s">
        <v>131</v>
      </c>
      <c r="F53" s="423"/>
      <c r="G53" s="423"/>
      <c r="H53" s="252"/>
      <c r="I53" s="253"/>
      <c r="J53" s="253"/>
      <c r="K53" s="253"/>
      <c r="L53" s="55"/>
    </row>
    <row r="54" spans="1:16" x14ac:dyDescent="0.3">
      <c r="A54" s="424"/>
      <c r="B54" s="491" t="s">
        <v>132</v>
      </c>
      <c r="C54" s="491"/>
      <c r="D54" s="492"/>
      <c r="E54" s="251" t="s">
        <v>115</v>
      </c>
      <c r="F54" s="423"/>
      <c r="G54" s="423"/>
      <c r="H54" s="252"/>
      <c r="I54" s="253"/>
      <c r="J54" s="253"/>
      <c r="K54" s="253"/>
      <c r="L54" s="55"/>
    </row>
    <row r="55" spans="1:16" x14ac:dyDescent="0.3">
      <c r="A55" s="424"/>
      <c r="B55" s="491" t="s">
        <v>133</v>
      </c>
      <c r="C55" s="491"/>
      <c r="D55" s="492"/>
      <c r="E55" s="251" t="s">
        <v>115</v>
      </c>
      <c r="F55" s="423"/>
      <c r="G55" s="423"/>
      <c r="H55" s="252"/>
      <c r="I55" s="253"/>
      <c r="J55" s="253"/>
      <c r="K55" s="253"/>
      <c r="L55" s="55"/>
    </row>
    <row r="56" spans="1:16" x14ac:dyDescent="0.3">
      <c r="A56" s="424"/>
      <c r="B56" s="491" t="s">
        <v>134</v>
      </c>
      <c r="C56" s="491"/>
      <c r="D56" s="492"/>
      <c r="E56" s="251" t="s">
        <v>12</v>
      </c>
      <c r="F56" s="423"/>
      <c r="G56" s="423"/>
      <c r="H56" s="252"/>
      <c r="I56" s="253"/>
      <c r="J56" s="253"/>
      <c r="K56" s="253"/>
      <c r="L56" s="55"/>
    </row>
    <row r="57" spans="1:16" x14ac:dyDescent="0.3">
      <c r="A57" s="424"/>
      <c r="B57" s="491" t="s">
        <v>135</v>
      </c>
      <c r="C57" s="491"/>
      <c r="D57" s="492"/>
      <c r="E57" s="423"/>
      <c r="F57" s="423"/>
      <c r="G57" s="423"/>
      <c r="H57" s="252"/>
      <c r="I57" s="253"/>
      <c r="J57" s="253"/>
      <c r="K57" s="253"/>
      <c r="L57" s="55"/>
    </row>
    <row r="58" spans="1:16" x14ac:dyDescent="0.3">
      <c r="A58" s="424"/>
      <c r="B58" s="425"/>
      <c r="C58" s="254" t="s">
        <v>95</v>
      </c>
      <c r="D58" s="255"/>
      <c r="E58" s="423"/>
      <c r="F58" s="423"/>
      <c r="G58" s="423"/>
      <c r="H58" s="252"/>
      <c r="I58" s="253"/>
      <c r="J58" s="253"/>
      <c r="K58" s="253"/>
      <c r="L58" s="55"/>
    </row>
    <row r="59" spans="1:16" x14ac:dyDescent="0.3">
      <c r="A59" s="424"/>
      <c r="B59" s="425"/>
      <c r="C59" s="425"/>
      <c r="D59" s="422" t="s">
        <v>136</v>
      </c>
      <c r="E59" s="423">
        <v>1</v>
      </c>
      <c r="F59" s="423">
        <v>12</v>
      </c>
      <c r="G59" s="423">
        <f t="shared" ref="G59:G66" si="27">E59*F59</f>
        <v>12</v>
      </c>
      <c r="H59" s="263">
        <f>H61*0.1</f>
        <v>30.989217391304347</v>
      </c>
      <c r="I59" s="256">
        <f>G59*H59</f>
        <v>371.87060869565215</v>
      </c>
      <c r="J59" s="285">
        <f t="shared" ref="J59:J61" si="28">I59*0.05</f>
        <v>18.593530434782608</v>
      </c>
      <c r="K59" s="285">
        <f t="shared" ref="K59:K61" si="29">I59*0.1</f>
        <v>37.187060869565215</v>
      </c>
      <c r="L59" s="55">
        <f t="shared" ref="L59:L60" si="30">(I59*$F$84)+(J59*$F$85)+(K59*$F$86)</f>
        <v>64660.080511721731</v>
      </c>
      <c r="M59" s="239" t="s">
        <v>97</v>
      </c>
      <c r="N59" s="387"/>
      <c r="O59" s="385"/>
    </row>
    <row r="60" spans="1:16" x14ac:dyDescent="0.3">
      <c r="A60" s="424"/>
      <c r="B60" s="425"/>
      <c r="C60" s="425"/>
      <c r="D60" s="422" t="s">
        <v>137</v>
      </c>
      <c r="E60" s="423">
        <v>1</v>
      </c>
      <c r="F60" s="423">
        <v>12</v>
      </c>
      <c r="G60" s="423">
        <f t="shared" si="27"/>
        <v>12</v>
      </c>
      <c r="H60" s="263">
        <f>H61*0.1</f>
        <v>30.989217391304347</v>
      </c>
      <c r="I60" s="256">
        <f t="shared" ref="I60:I61" si="31">G60*H60</f>
        <v>371.87060869565215</v>
      </c>
      <c r="J60" s="285">
        <f t="shared" si="28"/>
        <v>18.593530434782608</v>
      </c>
      <c r="K60" s="285">
        <f t="shared" si="29"/>
        <v>37.187060869565215</v>
      </c>
      <c r="L60" s="55">
        <f t="shared" si="30"/>
        <v>64660.080511721731</v>
      </c>
      <c r="M60" s="239" t="s">
        <v>97</v>
      </c>
      <c r="N60" s="387"/>
      <c r="O60" s="385"/>
    </row>
    <row r="61" spans="1:16" x14ac:dyDescent="0.3">
      <c r="A61" s="424"/>
      <c r="B61" s="425"/>
      <c r="C61" s="425"/>
      <c r="D61" s="422" t="s">
        <v>138</v>
      </c>
      <c r="E61" s="423">
        <v>2</v>
      </c>
      <c r="F61" s="423">
        <v>12</v>
      </c>
      <c r="G61" s="423">
        <f t="shared" si="27"/>
        <v>24</v>
      </c>
      <c r="H61" s="252">
        <f>'Regulated Sources_Overview'!D148</f>
        <v>309.89217391304345</v>
      </c>
      <c r="I61" s="256">
        <f t="shared" si="31"/>
        <v>7437.4121739130424</v>
      </c>
      <c r="J61" s="285">
        <f t="shared" si="28"/>
        <v>371.87060869565215</v>
      </c>
      <c r="K61" s="285">
        <f t="shared" si="29"/>
        <v>743.7412173913043</v>
      </c>
      <c r="L61" s="55">
        <f>(I61*$F$84)+(J61*$F$85)+(K61*$F$86)</f>
        <v>1293201.6102344345</v>
      </c>
      <c r="M61" s="239" t="s">
        <v>97</v>
      </c>
      <c r="N61" s="385"/>
      <c r="O61" s="385"/>
    </row>
    <row r="62" spans="1:16" x14ac:dyDescent="0.3">
      <c r="A62" s="424"/>
      <c r="B62" s="425"/>
      <c r="C62" s="367" t="s">
        <v>139</v>
      </c>
      <c r="D62" s="255"/>
      <c r="E62" s="423"/>
      <c r="F62" s="423"/>
      <c r="G62" s="423"/>
      <c r="H62" s="252"/>
      <c r="I62" s="253"/>
      <c r="J62" s="253"/>
      <c r="K62" s="253"/>
      <c r="L62" s="55"/>
    </row>
    <row r="63" spans="1:16" x14ac:dyDescent="0.3">
      <c r="A63" s="424"/>
      <c r="B63" s="425"/>
      <c r="C63" s="425"/>
      <c r="D63" s="422" t="s">
        <v>136</v>
      </c>
      <c r="E63" s="423">
        <v>1</v>
      </c>
      <c r="F63" s="423">
        <v>12</v>
      </c>
      <c r="G63" s="423">
        <f t="shared" si="27"/>
        <v>12</v>
      </c>
      <c r="H63" s="378">
        <f>H20*0.1</f>
        <v>0</v>
      </c>
      <c r="I63" s="256">
        <f t="shared" ref="I63:I66" si="32">G63*H63</f>
        <v>0</v>
      </c>
      <c r="J63" s="256">
        <f t="shared" ref="J63:J66" si="33">I63*0.05</f>
        <v>0</v>
      </c>
      <c r="K63" s="256">
        <f t="shared" ref="K63:K66" si="34">I63*0.1</f>
        <v>0</v>
      </c>
      <c r="L63" s="128">
        <f t="shared" ref="L63:L66" si="35">(I63*$F$84)+(J63*$F$85)+(K63*$F$86)</f>
        <v>0</v>
      </c>
      <c r="M63" s="239" t="s">
        <v>97</v>
      </c>
      <c r="N63" s="387"/>
      <c r="O63" s="385"/>
    </row>
    <row r="64" spans="1:16" x14ac:dyDescent="0.3">
      <c r="A64" s="424"/>
      <c r="B64" s="425"/>
      <c r="C64" s="425"/>
      <c r="D64" s="422" t="s">
        <v>137</v>
      </c>
      <c r="E64" s="423">
        <v>1</v>
      </c>
      <c r="F64" s="423">
        <v>12</v>
      </c>
      <c r="G64" s="423">
        <f t="shared" si="27"/>
        <v>12</v>
      </c>
      <c r="H64" s="378">
        <f>H20*0.1</f>
        <v>0</v>
      </c>
      <c r="I64" s="256">
        <f t="shared" si="32"/>
        <v>0</v>
      </c>
      <c r="J64" s="256">
        <f t="shared" si="33"/>
        <v>0</v>
      </c>
      <c r="K64" s="256">
        <f t="shared" si="34"/>
        <v>0</v>
      </c>
      <c r="L64" s="128">
        <f t="shared" si="35"/>
        <v>0</v>
      </c>
      <c r="M64" s="239" t="s">
        <v>97</v>
      </c>
      <c r="N64" s="387"/>
      <c r="O64" s="385"/>
    </row>
    <row r="65" spans="1:15" x14ac:dyDescent="0.3">
      <c r="A65" s="424"/>
      <c r="B65" s="425"/>
      <c r="C65" s="425"/>
      <c r="D65" s="422" t="s">
        <v>138</v>
      </c>
      <c r="E65" s="423">
        <v>2</v>
      </c>
      <c r="F65" s="423">
        <v>12</v>
      </c>
      <c r="G65" s="423">
        <f t="shared" si="27"/>
        <v>24</v>
      </c>
      <c r="H65" s="307">
        <f>H20</f>
        <v>0</v>
      </c>
      <c r="I65" s="256">
        <f t="shared" si="32"/>
        <v>0</v>
      </c>
      <c r="J65" s="256">
        <f t="shared" si="33"/>
        <v>0</v>
      </c>
      <c r="K65" s="256">
        <f t="shared" si="34"/>
        <v>0</v>
      </c>
      <c r="L65" s="128">
        <f t="shared" si="35"/>
        <v>0</v>
      </c>
      <c r="M65" s="239" t="s">
        <v>97</v>
      </c>
      <c r="O65" s="385"/>
    </row>
    <row r="66" spans="1:15" x14ac:dyDescent="0.3">
      <c r="A66" s="424"/>
      <c r="B66" s="491" t="s">
        <v>140</v>
      </c>
      <c r="C66" s="491"/>
      <c r="D66" s="492"/>
      <c r="E66" s="423">
        <f xml:space="preserve"> 16+ 64</f>
        <v>80</v>
      </c>
      <c r="F66" s="423">
        <v>1</v>
      </c>
      <c r="G66" s="423">
        <f t="shared" si="27"/>
        <v>80</v>
      </c>
      <c r="H66" s="307">
        <f>H42</f>
        <v>0</v>
      </c>
      <c r="I66" s="256">
        <f t="shared" si="32"/>
        <v>0</v>
      </c>
      <c r="J66" s="256">
        <f t="shared" si="33"/>
        <v>0</v>
      </c>
      <c r="K66" s="256">
        <f t="shared" si="34"/>
        <v>0</v>
      </c>
      <c r="L66" s="128">
        <f t="shared" si="35"/>
        <v>0</v>
      </c>
      <c r="M66" s="184" t="s">
        <v>93</v>
      </c>
    </row>
    <row r="67" spans="1:15" x14ac:dyDescent="0.3">
      <c r="A67" s="424"/>
      <c r="B67" s="491" t="s">
        <v>141</v>
      </c>
      <c r="C67" s="491"/>
      <c r="D67" s="492"/>
      <c r="E67" s="251" t="s">
        <v>12</v>
      </c>
      <c r="F67" s="423"/>
      <c r="G67" s="423"/>
      <c r="H67" s="252"/>
      <c r="I67" s="253"/>
      <c r="J67" s="253"/>
      <c r="K67" s="253"/>
      <c r="L67" s="55"/>
    </row>
    <row r="68" spans="1:15" s="134" customFormat="1" x14ac:dyDescent="0.3">
      <c r="A68" s="146" t="s">
        <v>142</v>
      </c>
      <c r="B68" s="150"/>
      <c r="C68" s="148"/>
      <c r="D68" s="148"/>
      <c r="E68" s="148"/>
      <c r="F68" s="421"/>
      <c r="G68" s="149"/>
      <c r="H68" s="149"/>
      <c r="I68" s="490">
        <f>SUM(I53:K66)</f>
        <v>9408.3263999999981</v>
      </c>
      <c r="J68" s="490"/>
      <c r="K68" s="490"/>
      <c r="L68" s="288">
        <f>SUM(L53:L66)</f>
        <v>1422521.771257878</v>
      </c>
      <c r="M68" s="186"/>
    </row>
    <row r="69" spans="1:15" s="134" customFormat="1" ht="14.5" x14ac:dyDescent="0.3">
      <c r="A69" s="227" t="s">
        <v>143</v>
      </c>
      <c r="B69" s="228"/>
      <c r="C69" s="229"/>
      <c r="D69" s="223"/>
      <c r="E69" s="224"/>
      <c r="F69" s="225"/>
      <c r="G69" s="226"/>
      <c r="H69" s="226"/>
      <c r="I69" s="493">
        <f>ROUND(I51+I68,-3)</f>
        <v>151000</v>
      </c>
      <c r="J69" s="494"/>
      <c r="K69" s="495"/>
      <c r="L69" s="289">
        <f>ROUND(L51+L68,-5)</f>
        <v>22800000</v>
      </c>
      <c r="M69" s="186"/>
    </row>
    <row r="70" spans="1:15" s="134" customFormat="1" ht="14.5" x14ac:dyDescent="0.3">
      <c r="A70" s="230" t="s">
        <v>144</v>
      </c>
      <c r="B70" s="226"/>
      <c r="C70" s="224"/>
      <c r="D70" s="224"/>
      <c r="E70" s="224"/>
      <c r="F70" s="225"/>
      <c r="G70" s="226"/>
      <c r="H70" s="226"/>
      <c r="I70" s="225"/>
      <c r="J70" s="225"/>
      <c r="K70" s="225"/>
      <c r="L70" s="289">
        <f>ROUND(H104+K115,-5)</f>
        <v>41100000</v>
      </c>
      <c r="M70" s="186"/>
    </row>
    <row r="71" spans="1:15" s="134" customFormat="1" ht="14.5" x14ac:dyDescent="0.3">
      <c r="A71" s="230" t="s">
        <v>145</v>
      </c>
      <c r="B71" s="226"/>
      <c r="C71" s="224"/>
      <c r="D71" s="224"/>
      <c r="E71" s="224"/>
      <c r="F71" s="225"/>
      <c r="G71" s="226"/>
      <c r="H71" s="226"/>
      <c r="I71" s="225"/>
      <c r="J71" s="225"/>
      <c r="K71" s="225"/>
      <c r="L71" s="289">
        <f>ROUND(L69+L70,-6)</f>
        <v>64000000</v>
      </c>
      <c r="M71" s="186"/>
    </row>
    <row r="72" spans="1:15" s="152" customFormat="1" x14ac:dyDescent="0.3">
      <c r="A72" s="259"/>
      <c r="B72" s="259"/>
      <c r="C72" s="259"/>
      <c r="D72" s="259"/>
      <c r="E72" s="259"/>
      <c r="F72" s="259"/>
      <c r="G72" s="259"/>
      <c r="H72" s="260"/>
      <c r="I72" s="259"/>
      <c r="J72" s="260"/>
      <c r="K72" s="259"/>
      <c r="L72" s="174"/>
    </row>
    <row r="73" spans="1:15" s="152" customFormat="1" x14ac:dyDescent="0.3">
      <c r="A73" s="261" t="s">
        <v>146</v>
      </c>
      <c r="B73" s="259"/>
      <c r="C73" s="259"/>
      <c r="D73" s="259"/>
      <c r="E73" s="259"/>
      <c r="F73" s="259"/>
      <c r="G73" s="259"/>
      <c r="H73" s="260"/>
      <c r="I73" s="259"/>
      <c r="J73" s="259"/>
      <c r="K73" s="259"/>
      <c r="L73" s="38"/>
    </row>
    <row r="74" spans="1:15" s="152" customFormat="1" ht="45" customHeight="1" x14ac:dyDescent="0.3">
      <c r="A74" s="496" t="s">
        <v>147</v>
      </c>
      <c r="B74" s="496"/>
      <c r="C74" s="496"/>
      <c r="D74" s="496"/>
      <c r="E74" s="496"/>
      <c r="F74" s="496"/>
      <c r="G74" s="496"/>
      <c r="H74" s="496"/>
      <c r="I74" s="496"/>
      <c r="J74" s="496"/>
      <c r="K74" s="496"/>
      <c r="L74" s="496"/>
    </row>
    <row r="75" spans="1:15" s="152" customFormat="1" ht="27.75" customHeight="1" x14ac:dyDescent="0.3">
      <c r="A75" s="497" t="s">
        <v>148</v>
      </c>
      <c r="B75" s="497"/>
      <c r="C75" s="497"/>
      <c r="D75" s="497"/>
      <c r="E75" s="497"/>
      <c r="F75" s="497"/>
      <c r="G75" s="497"/>
      <c r="H75" s="497"/>
      <c r="I75" s="497"/>
      <c r="J75" s="497"/>
      <c r="K75" s="497"/>
      <c r="L75" s="497"/>
    </row>
    <row r="76" spans="1:15" s="152" customFormat="1" ht="31.5" customHeight="1" x14ac:dyDescent="0.3">
      <c r="A76" s="500" t="s">
        <v>149</v>
      </c>
      <c r="B76" s="500"/>
      <c r="C76" s="500"/>
      <c r="D76" s="500"/>
      <c r="E76" s="500"/>
      <c r="F76" s="500"/>
      <c r="G76" s="500"/>
      <c r="H76" s="500"/>
      <c r="I76" s="500"/>
      <c r="J76" s="500"/>
      <c r="K76" s="500"/>
      <c r="L76" s="500"/>
    </row>
    <row r="77" spans="1:15" s="152" customFormat="1" ht="27.75" customHeight="1" x14ac:dyDescent="0.3">
      <c r="A77" s="500" t="s">
        <v>150</v>
      </c>
      <c r="B77" s="500"/>
      <c r="C77" s="500"/>
      <c r="D77" s="500"/>
      <c r="E77" s="500"/>
      <c r="F77" s="500"/>
      <c r="G77" s="500"/>
      <c r="H77" s="500"/>
      <c r="I77" s="500"/>
      <c r="J77" s="500"/>
      <c r="K77" s="500"/>
      <c r="L77" s="500"/>
    </row>
    <row r="78" spans="1:15" s="151" customFormat="1" ht="15" customHeight="1" x14ac:dyDescent="0.3">
      <c r="A78" s="478" t="s">
        <v>151</v>
      </c>
      <c r="B78" s="478"/>
      <c r="C78" s="478"/>
      <c r="D78" s="478"/>
      <c r="E78" s="478"/>
      <c r="F78" s="478"/>
      <c r="G78" s="478"/>
      <c r="H78" s="478"/>
      <c r="I78" s="478"/>
      <c r="J78" s="478"/>
      <c r="K78" s="478"/>
      <c r="L78" s="478"/>
    </row>
    <row r="79" spans="1:15" s="152" customFormat="1" ht="15" customHeight="1" x14ac:dyDescent="0.3">
      <c r="A79" s="259"/>
      <c r="B79" s="153"/>
      <c r="C79" s="153"/>
      <c r="D79" s="153"/>
      <c r="E79" s="153"/>
      <c r="F79" s="153"/>
      <c r="G79" s="153"/>
      <c r="H79" s="153"/>
      <c r="I79" s="153"/>
      <c r="J79" s="259"/>
      <c r="K79" s="259"/>
      <c r="L79" s="156"/>
    </row>
    <row r="80" spans="1:15" s="152" customFormat="1" ht="15" customHeight="1" x14ac:dyDescent="0.3">
      <c r="A80" s="259"/>
      <c r="B80" s="153"/>
      <c r="C80" s="153"/>
      <c r="D80" s="153"/>
      <c r="E80" s="153"/>
      <c r="F80" s="153"/>
      <c r="G80" s="153"/>
      <c r="H80" s="153"/>
      <c r="I80" s="153"/>
      <c r="J80" s="259"/>
      <c r="K80" s="259"/>
      <c r="L80" s="156"/>
    </row>
    <row r="81" spans="1:16" s="152" customFormat="1" ht="15.5" x14ac:dyDescent="0.35">
      <c r="A81" s="259"/>
      <c r="B81" s="259"/>
      <c r="C81" s="259"/>
      <c r="D81" s="290" t="s">
        <v>152</v>
      </c>
      <c r="E81" s="259"/>
      <c r="F81" s="259"/>
      <c r="G81" s="259"/>
      <c r="H81" s="260"/>
      <c r="I81" s="259"/>
      <c r="J81" s="259"/>
      <c r="K81" s="259"/>
      <c r="L81" s="156"/>
    </row>
    <row r="82" spans="1:16" s="152" customFormat="1" x14ac:dyDescent="0.3">
      <c r="A82" s="291"/>
      <c r="B82" s="259"/>
      <c r="C82" s="259"/>
      <c r="D82" s="259"/>
      <c r="E82" s="259"/>
      <c r="F82" s="259"/>
      <c r="G82" s="259"/>
      <c r="H82" s="260"/>
      <c r="I82" s="259"/>
      <c r="J82" s="259"/>
      <c r="K82" s="259"/>
      <c r="L82" s="156"/>
    </row>
    <row r="83" spans="1:16" ht="26" x14ac:dyDescent="0.3">
      <c r="A83" s="255"/>
      <c r="B83" s="255"/>
      <c r="C83" s="255"/>
      <c r="D83" s="262"/>
      <c r="E83" s="420" t="s">
        <v>153</v>
      </c>
      <c r="F83" s="420" t="s">
        <v>154</v>
      </c>
      <c r="G83" s="420" t="s">
        <v>155</v>
      </c>
      <c r="H83" s="292" t="s">
        <v>156</v>
      </c>
      <c r="I83" s="264"/>
      <c r="J83" s="255"/>
      <c r="K83" s="255"/>
      <c r="L83" s="157"/>
    </row>
    <row r="84" spans="1:16" ht="78" x14ac:dyDescent="0.3">
      <c r="A84" s="255"/>
      <c r="B84" s="255"/>
      <c r="C84" s="255"/>
      <c r="D84" s="255"/>
      <c r="E84" s="423" t="s">
        <v>157</v>
      </c>
      <c r="F84" s="293">
        <f>G84*H84</f>
        <v>157.24799999999999</v>
      </c>
      <c r="G84" s="293">
        <v>74.88</v>
      </c>
      <c r="H84" s="263">
        <v>2.1</v>
      </c>
      <c r="I84" s="264"/>
      <c r="J84" s="255"/>
      <c r="K84" s="255"/>
    </row>
    <row r="85" spans="1:16" ht="91" x14ac:dyDescent="0.3">
      <c r="A85" s="255"/>
      <c r="B85" s="255"/>
      <c r="C85" s="255"/>
      <c r="D85" s="255"/>
      <c r="E85" s="423" t="s">
        <v>158</v>
      </c>
      <c r="F85" s="293">
        <f>G85*H85</f>
        <v>181.98599999999999</v>
      </c>
      <c r="G85" s="293">
        <v>86.66</v>
      </c>
      <c r="H85" s="263">
        <v>2.1</v>
      </c>
      <c r="I85" s="265"/>
      <c r="J85" s="266"/>
      <c r="K85" s="255"/>
    </row>
    <row r="86" spans="1:16" ht="52" x14ac:dyDescent="0.3">
      <c r="A86" s="255"/>
      <c r="B86" s="255"/>
      <c r="C86" s="255"/>
      <c r="D86" s="255"/>
      <c r="E86" s="423" t="s">
        <v>159</v>
      </c>
      <c r="F86" s="293">
        <f>G86*H86</f>
        <v>75.305999999999997</v>
      </c>
      <c r="G86" s="293">
        <v>35.86</v>
      </c>
      <c r="H86" s="263">
        <v>2.1</v>
      </c>
      <c r="I86" s="255"/>
      <c r="J86" s="255"/>
      <c r="K86" s="255"/>
    </row>
    <row r="87" spans="1:16" x14ac:dyDescent="0.3">
      <c r="A87" s="255"/>
      <c r="B87" s="255"/>
      <c r="C87" s="255"/>
      <c r="D87" s="267"/>
      <c r="E87" s="255"/>
      <c r="F87" s="268"/>
      <c r="G87" s="255"/>
      <c r="H87" s="269"/>
      <c r="I87" s="255"/>
      <c r="J87" s="255"/>
      <c r="K87" s="255"/>
    </row>
    <row r="88" spans="1:16" x14ac:dyDescent="0.3">
      <c r="A88" s="255"/>
      <c r="B88" s="255"/>
      <c r="C88" s="255"/>
      <c r="D88" s="267"/>
      <c r="E88" s="255"/>
      <c r="F88" s="268"/>
      <c r="G88" s="255"/>
      <c r="H88" s="269"/>
      <c r="I88" s="255"/>
      <c r="J88" s="255"/>
      <c r="K88" s="255"/>
    </row>
    <row r="89" spans="1:16" s="152" customFormat="1" x14ac:dyDescent="0.3">
      <c r="A89" s="259"/>
      <c r="B89" s="259"/>
      <c r="C89" s="259"/>
      <c r="D89" s="255"/>
      <c r="E89" s="270"/>
      <c r="F89" s="271"/>
      <c r="G89" s="259"/>
      <c r="H89" s="260"/>
      <c r="I89" s="259"/>
      <c r="J89" s="259"/>
      <c r="K89" s="38"/>
      <c r="L89" s="259" t="s">
        <v>160</v>
      </c>
      <c r="M89" s="152">
        <f>N95</f>
        <v>0.10979462470100652</v>
      </c>
      <c r="N89" s="399" t="s">
        <v>161</v>
      </c>
      <c r="P89" s="152" t="s">
        <v>162</v>
      </c>
    </row>
    <row r="90" spans="1:16" ht="15" customHeight="1" x14ac:dyDescent="0.3">
      <c r="A90" s="255"/>
      <c r="B90" s="255"/>
      <c r="C90" s="255"/>
      <c r="D90" s="262"/>
      <c r="E90" s="479" t="s">
        <v>163</v>
      </c>
      <c r="F90" s="480"/>
      <c r="G90" s="480"/>
      <c r="H90" s="481"/>
      <c r="I90" s="294"/>
      <c r="J90" s="255"/>
      <c r="K90" s="158"/>
      <c r="L90" s="255"/>
      <c r="M90" s="398"/>
      <c r="N90" s="130" t="s">
        <v>164</v>
      </c>
    </row>
    <row r="91" spans="1:16" x14ac:dyDescent="0.3">
      <c r="A91" s="255"/>
      <c r="B91" s="255"/>
      <c r="C91" s="255"/>
      <c r="D91" s="295" t="s">
        <v>9</v>
      </c>
      <c r="E91" s="420" t="s">
        <v>165</v>
      </c>
      <c r="F91" s="420" t="s">
        <v>166</v>
      </c>
      <c r="G91" s="420" t="s">
        <v>167</v>
      </c>
      <c r="H91" s="420" t="s">
        <v>168</v>
      </c>
      <c r="I91" s="259"/>
      <c r="J91" s="255"/>
      <c r="K91" s="158"/>
      <c r="L91" s="255"/>
    </row>
    <row r="92" spans="1:16" x14ac:dyDescent="0.3">
      <c r="A92" s="255"/>
      <c r="B92" s="255"/>
      <c r="C92" s="255"/>
      <c r="D92" s="296" t="s">
        <v>11</v>
      </c>
      <c r="E92" s="403" t="s">
        <v>169</v>
      </c>
      <c r="F92" s="169">
        <f>47061*M89</f>
        <v>5167.0448330540685</v>
      </c>
      <c r="G92" s="372">
        <f>H12</f>
        <v>192.13314782608694</v>
      </c>
      <c r="H92" s="297">
        <f>F92*G92</f>
        <v>992760.58873319603</v>
      </c>
      <c r="I92" s="415"/>
      <c r="J92" s="154"/>
      <c r="K92" s="158"/>
      <c r="L92" s="255"/>
      <c r="N92" s="130">
        <f>0.07*(1+0.07)^15</f>
        <v>0.19313220785007343</v>
      </c>
    </row>
    <row r="93" spans="1:16" x14ac:dyDescent="0.3">
      <c r="A93" s="255"/>
      <c r="B93" s="255"/>
      <c r="C93" s="255"/>
      <c r="D93" s="296" t="s">
        <v>14</v>
      </c>
      <c r="E93" s="423" t="s">
        <v>170</v>
      </c>
      <c r="F93" s="169">
        <f>'Summary Info_2015'!C61</f>
        <v>20444.262999999999</v>
      </c>
      <c r="G93" s="413">
        <f>H13</f>
        <v>52.681669565217391</v>
      </c>
      <c r="H93" s="297">
        <f t="shared" ref="H93:H94" si="36">F93*G93</f>
        <v>1077037.9078704</v>
      </c>
      <c r="I93" s="415"/>
      <c r="J93" s="154"/>
      <c r="K93" s="158"/>
      <c r="L93" s="255"/>
      <c r="N93" s="130">
        <f>(1+0.07)^15 -1</f>
        <v>1.7590315407153345</v>
      </c>
    </row>
    <row r="94" spans="1:16" s="152" customFormat="1" x14ac:dyDescent="0.3">
      <c r="A94" s="259"/>
      <c r="B94" s="259"/>
      <c r="C94" s="259"/>
      <c r="D94" s="296" t="s">
        <v>20</v>
      </c>
      <c r="E94" s="423" t="s">
        <v>171</v>
      </c>
      <c r="F94" s="169">
        <f>'Summary Info_2015'!M66</f>
        <v>20006</v>
      </c>
      <c r="G94" s="413">
        <f>H14</f>
        <v>74.37412173913043</v>
      </c>
      <c r="H94" s="297">
        <f t="shared" si="36"/>
        <v>1487928.6795130435</v>
      </c>
      <c r="I94" s="415"/>
      <c r="J94" s="154"/>
      <c r="K94" s="38"/>
      <c r="L94" s="259"/>
    </row>
    <row r="95" spans="1:16" x14ac:dyDescent="0.3">
      <c r="A95" s="255"/>
      <c r="B95" s="255"/>
      <c r="C95" s="255"/>
      <c r="D95" s="255"/>
      <c r="E95" s="272" t="s">
        <v>45</v>
      </c>
      <c r="F95" s="273">
        <f>SUM(F92:F94)</f>
        <v>45617.307833054067</v>
      </c>
      <c r="G95" s="374">
        <f>SUM(G92:G94)</f>
        <v>319.18893913043473</v>
      </c>
      <c r="H95" s="277">
        <f>SUM(H92:H94)</f>
        <v>3557727.1761166397</v>
      </c>
      <c r="I95" s="415"/>
      <c r="J95" s="255"/>
      <c r="K95" s="255"/>
      <c r="L95" s="255"/>
      <c r="N95" s="130">
        <f>N92/N93</f>
        <v>0.10979462470100652</v>
      </c>
    </row>
    <row r="96" spans="1:16" x14ac:dyDescent="0.3">
      <c r="A96" s="255"/>
      <c r="B96" s="255"/>
      <c r="C96" s="255"/>
      <c r="D96" s="255"/>
      <c r="E96" s="274"/>
      <c r="F96" s="255"/>
      <c r="G96" s="269"/>
      <c r="H96" s="275"/>
      <c r="I96" s="255"/>
      <c r="J96" s="255"/>
      <c r="K96" s="255"/>
      <c r="L96" s="255"/>
    </row>
    <row r="97" spans="1:13" ht="30" customHeight="1" x14ac:dyDescent="0.3">
      <c r="A97" s="255"/>
      <c r="B97" s="255"/>
      <c r="C97" s="255"/>
      <c r="D97" s="255"/>
      <c r="E97" s="479" t="s">
        <v>172</v>
      </c>
      <c r="F97" s="480"/>
      <c r="G97" s="480"/>
      <c r="H97" s="481"/>
      <c r="I97" s="255"/>
      <c r="J97" s="255"/>
      <c r="K97" s="255"/>
      <c r="L97" s="255"/>
    </row>
    <row r="98" spans="1:13" s="152" customFormat="1" x14ac:dyDescent="0.3">
      <c r="A98" s="259"/>
      <c r="B98" s="259"/>
      <c r="C98" s="259"/>
      <c r="D98" s="295" t="s">
        <v>173</v>
      </c>
      <c r="E98" s="420" t="s">
        <v>174</v>
      </c>
      <c r="F98" s="420" t="s">
        <v>175</v>
      </c>
      <c r="G98" s="420" t="s">
        <v>176</v>
      </c>
      <c r="H98" s="420" t="s">
        <v>168</v>
      </c>
      <c r="I98" s="259"/>
      <c r="J98" s="259"/>
      <c r="K98" s="259"/>
      <c r="L98" s="259"/>
    </row>
    <row r="99" spans="1:13" x14ac:dyDescent="0.3">
      <c r="A99" s="255"/>
      <c r="B99" s="255"/>
      <c r="C99" s="255"/>
      <c r="D99" s="296" t="s">
        <v>63</v>
      </c>
      <c r="E99" s="423" t="s">
        <v>11</v>
      </c>
      <c r="F99" s="276">
        <f>72325*M89</f>
        <v>7940.8962315002973</v>
      </c>
      <c r="G99" s="373">
        <f>'Regulated Sources_Overview'!E111*'Table 1c-Year 1'!F11</f>
        <v>0</v>
      </c>
      <c r="H99" s="299">
        <f>F99*G99</f>
        <v>0</v>
      </c>
      <c r="I99" s="415"/>
      <c r="J99" s="255"/>
      <c r="K99" s="255"/>
      <c r="L99" s="255"/>
    </row>
    <row r="100" spans="1:13" x14ac:dyDescent="0.3">
      <c r="A100" s="255"/>
      <c r="B100" s="255"/>
      <c r="C100" s="255"/>
      <c r="D100" s="296" t="s">
        <v>177</v>
      </c>
      <c r="E100" s="423" t="s">
        <v>14</v>
      </c>
      <c r="F100" s="276">
        <f>'Summary Info_2015'!B63</f>
        <v>111044.6066688</v>
      </c>
      <c r="G100" s="298">
        <f>'Regulated Sources_Overview'!K17</f>
        <v>0</v>
      </c>
      <c r="H100" s="299">
        <f t="shared" ref="H100:H101" si="37">F100*G100</f>
        <v>0</v>
      </c>
      <c r="I100" s="415"/>
      <c r="J100" s="255"/>
      <c r="K100" s="255"/>
      <c r="L100" s="255"/>
    </row>
    <row r="101" spans="1:13" x14ac:dyDescent="0.3">
      <c r="A101" s="255"/>
      <c r="B101" s="255"/>
      <c r="C101" s="255"/>
      <c r="D101" s="296" t="s">
        <v>178</v>
      </c>
      <c r="E101" s="423" t="s">
        <v>20</v>
      </c>
      <c r="F101" s="276">
        <f>'Summary Info_2015'!L63</f>
        <v>174001.69178879997</v>
      </c>
      <c r="G101" s="298">
        <f>'Regulated Sources_Overview'!K18</f>
        <v>0</v>
      </c>
      <c r="H101" s="299">
        <f t="shared" si="37"/>
        <v>0</v>
      </c>
      <c r="I101" s="415"/>
      <c r="J101" s="255"/>
      <c r="K101" s="255"/>
      <c r="L101" s="255"/>
    </row>
    <row r="102" spans="1:13" x14ac:dyDescent="0.3">
      <c r="A102" s="255"/>
      <c r="B102" s="255"/>
      <c r="C102" s="255"/>
      <c r="D102" s="255"/>
      <c r="E102" s="272" t="s">
        <v>45</v>
      </c>
      <c r="F102" s="277">
        <f>SUM(F99:F101)</f>
        <v>292987.19468910026</v>
      </c>
      <c r="G102" s="374">
        <f>SUM(G99:G101)</f>
        <v>0</v>
      </c>
      <c r="H102" s="277">
        <f>SUM(H99:H101)</f>
        <v>0</v>
      </c>
      <c r="I102" s="255"/>
      <c r="J102" s="255"/>
      <c r="K102" s="255"/>
    </row>
    <row r="103" spans="1:13" x14ac:dyDescent="0.3">
      <c r="A103" s="255"/>
      <c r="B103" s="255"/>
      <c r="C103" s="255"/>
      <c r="D103" s="255"/>
      <c r="E103" s="278"/>
      <c r="F103" s="279"/>
      <c r="G103" s="280"/>
      <c r="H103" s="275"/>
      <c r="I103" s="255"/>
      <c r="J103" s="255"/>
      <c r="K103" s="255"/>
    </row>
    <row r="104" spans="1:13" x14ac:dyDescent="0.3">
      <c r="A104" s="255"/>
      <c r="B104" s="255"/>
      <c r="C104" s="255"/>
      <c r="D104" s="255"/>
      <c r="E104" s="424"/>
      <c r="F104" s="482" t="s">
        <v>179</v>
      </c>
      <c r="G104" s="482"/>
      <c r="H104" s="281">
        <f>H95+H102</f>
        <v>3557727.1761166397</v>
      </c>
      <c r="I104" s="415"/>
      <c r="J104" s="301"/>
      <c r="K104" s="255"/>
    </row>
    <row r="105" spans="1:13" x14ac:dyDescent="0.3">
      <c r="A105" s="255"/>
      <c r="B105" s="255"/>
      <c r="C105" s="255"/>
      <c r="D105" s="255"/>
      <c r="E105" s="255"/>
      <c r="F105" s="279"/>
      <c r="G105" s="280"/>
      <c r="H105" s="269"/>
      <c r="I105" s="255"/>
      <c r="J105" s="255"/>
      <c r="K105" s="255"/>
    </row>
    <row r="106" spans="1:13" x14ac:dyDescent="0.3">
      <c r="A106" s="255"/>
      <c r="B106" s="255"/>
      <c r="C106" s="255"/>
      <c r="D106" s="255"/>
      <c r="E106" s="255"/>
      <c r="F106" s="279"/>
      <c r="G106" s="280"/>
      <c r="H106" s="269"/>
      <c r="I106" s="255"/>
      <c r="J106" s="255"/>
      <c r="K106" s="255"/>
    </row>
    <row r="107" spans="1:13" x14ac:dyDescent="0.3">
      <c r="A107" s="255"/>
      <c r="B107" s="255"/>
      <c r="C107" s="255"/>
      <c r="D107" s="255"/>
      <c r="E107" s="255"/>
      <c r="F107" s="279"/>
      <c r="G107" s="280"/>
      <c r="H107" s="269"/>
      <c r="I107" s="255"/>
      <c r="J107" s="255"/>
      <c r="K107" s="255"/>
    </row>
    <row r="108" spans="1:13" ht="12.75" customHeight="1" x14ac:dyDescent="0.3">
      <c r="A108" s="255"/>
      <c r="B108" s="255"/>
      <c r="C108" s="255"/>
      <c r="D108" s="255"/>
      <c r="E108" s="302"/>
      <c r="F108" s="302"/>
      <c r="G108" s="302"/>
      <c r="H108" s="302"/>
      <c r="I108" s="302"/>
      <c r="J108" s="302"/>
      <c r="K108" s="302"/>
      <c r="L108" s="302"/>
      <c r="M108" s="151"/>
    </row>
    <row r="109" spans="1:13" ht="12.75" customHeight="1" x14ac:dyDescent="0.35">
      <c r="A109" s="255"/>
      <c r="B109" s="255"/>
      <c r="C109" s="255"/>
      <c r="D109" s="255"/>
      <c r="E109" s="479" t="s">
        <v>180</v>
      </c>
      <c r="F109" s="483"/>
      <c r="G109" s="483"/>
      <c r="H109" s="483"/>
      <c r="I109" s="483"/>
      <c r="J109" s="483"/>
      <c r="K109" s="484"/>
      <c r="L109" s="255"/>
    </row>
    <row r="110" spans="1:13" ht="12.75" customHeight="1" x14ac:dyDescent="0.35">
      <c r="A110" s="255"/>
      <c r="B110" s="255"/>
      <c r="C110" s="255"/>
      <c r="D110" s="255"/>
      <c r="E110" s="485" t="s">
        <v>174</v>
      </c>
      <c r="F110" s="479" t="s">
        <v>181</v>
      </c>
      <c r="G110" s="483"/>
      <c r="H110" s="483"/>
      <c r="I110" s="484"/>
      <c r="J110" s="487" t="s">
        <v>182</v>
      </c>
      <c r="K110" s="489" t="s">
        <v>183</v>
      </c>
      <c r="L110" s="255"/>
    </row>
    <row r="111" spans="1:13" x14ac:dyDescent="0.3">
      <c r="A111" s="255"/>
      <c r="B111" s="255"/>
      <c r="C111" s="255"/>
      <c r="D111" s="255"/>
      <c r="E111" s="486"/>
      <c r="F111" s="420" t="s">
        <v>184</v>
      </c>
      <c r="G111" s="420" t="s">
        <v>185</v>
      </c>
      <c r="H111" s="292" t="s">
        <v>186</v>
      </c>
      <c r="I111" s="420" t="s">
        <v>45</v>
      </c>
      <c r="J111" s="488"/>
      <c r="K111" s="489"/>
      <c r="L111" s="255"/>
    </row>
    <row r="112" spans="1:13" x14ac:dyDescent="0.3">
      <c r="A112" s="255"/>
      <c r="B112" s="255"/>
      <c r="C112" s="255"/>
      <c r="D112" s="255"/>
      <c r="E112" s="282" t="s">
        <v>11</v>
      </c>
      <c r="F112" s="168">
        <v>0</v>
      </c>
      <c r="G112" s="168">
        <v>14290</v>
      </c>
      <c r="H112" s="168">
        <v>13693</v>
      </c>
      <c r="I112" s="168">
        <f>F112+G112+H112</f>
        <v>27983</v>
      </c>
      <c r="J112" s="375">
        <f>'%CEMSCPMSvs.testing_2137.13'!X3*'Table 1c-Year 1'!F11</f>
        <v>117.75902608695652</v>
      </c>
      <c r="K112" s="168">
        <f>I112*J112</f>
        <v>3295250.8269913043</v>
      </c>
      <c r="L112" s="415"/>
    </row>
    <row r="113" spans="1:14" x14ac:dyDescent="0.3">
      <c r="A113" s="255"/>
      <c r="B113" s="255"/>
      <c r="C113" s="255"/>
      <c r="D113" s="255"/>
      <c r="E113" s="282" t="s">
        <v>14</v>
      </c>
      <c r="F113" s="168">
        <f>'Summary of CEMS Costs_2018'!G47</f>
        <v>14788.7065664</v>
      </c>
      <c r="G113" s="168">
        <f>'Summary of CEMS Costs_2018'!H47</f>
        <v>10931.940845699999</v>
      </c>
      <c r="H113" s="168">
        <f>'Summary of CEMS Costs_2018'!I47</f>
        <v>15897.235325044843</v>
      </c>
      <c r="I113" s="168">
        <f>F113+G113+H113</f>
        <v>41617.882737144842</v>
      </c>
      <c r="J113" s="412">
        <f>('%CEMSCPMSvs.testing_2137.13'!K3+'%CEMSCPMSvs.testing_2137.13'!K4)*'Table 1c-Year 1'!F11</f>
        <v>257.21050434782615</v>
      </c>
      <c r="K113" s="168">
        <f t="shared" ref="K113" si="38">I113*J113</f>
        <v>10704556.608709712</v>
      </c>
      <c r="L113" s="415"/>
    </row>
    <row r="114" spans="1:14" x14ac:dyDescent="0.3">
      <c r="A114" s="255"/>
      <c r="B114" s="255"/>
      <c r="C114" s="255"/>
      <c r="D114" s="255"/>
      <c r="E114" s="282" t="s">
        <v>20</v>
      </c>
      <c r="F114" s="168">
        <f>'Summary of CEMS Costs_2018'!B47</f>
        <v>19959.2166464</v>
      </c>
      <c r="G114" s="168">
        <f>'Summary of CEMS Costs_2018'!C47</f>
        <v>40011.554765699999</v>
      </c>
      <c r="H114" s="168">
        <f>'Summary of CEMS Costs_2018'!D47</f>
        <v>40035.286058200538</v>
      </c>
      <c r="I114" s="168">
        <f>F114+G114+H114</f>
        <v>100006.05747030054</v>
      </c>
      <c r="J114" s="412">
        <f>'%CEMSCPMSvs.testing_2137.13'!C3*'Table 1c-Year 1'!F11</f>
        <v>235.51805217391305</v>
      </c>
      <c r="K114" s="168">
        <f>I114*J114</f>
        <v>23553231.860997591</v>
      </c>
      <c r="L114" s="415"/>
    </row>
    <row r="115" spans="1:14" x14ac:dyDescent="0.3">
      <c r="A115" s="255"/>
      <c r="B115" s="255"/>
      <c r="C115" s="255"/>
      <c r="D115" s="255"/>
      <c r="E115" s="283" t="s">
        <v>45</v>
      </c>
      <c r="F115" s="132"/>
      <c r="G115" s="132"/>
      <c r="H115" s="132"/>
      <c r="I115" s="132"/>
      <c r="J115" s="304"/>
      <c r="K115" s="132">
        <f>SUM(K112:K114)</f>
        <v>37553039.296698608</v>
      </c>
      <c r="L115" s="415"/>
    </row>
    <row r="116" spans="1:14" ht="15.5" x14ac:dyDescent="0.35">
      <c r="A116" s="255"/>
      <c r="B116" s="255"/>
      <c r="C116" s="255"/>
      <c r="D116" s="255"/>
      <c r="E116" s="255"/>
      <c r="F116" s="305"/>
      <c r="G116" s="255"/>
      <c r="H116" s="269"/>
      <c r="I116" s="255"/>
      <c r="J116" s="269"/>
      <c r="K116" s="284"/>
    </row>
    <row r="117" spans="1:14" x14ac:dyDescent="0.3">
      <c r="A117" s="255"/>
      <c r="B117" s="255"/>
      <c r="C117" s="255"/>
      <c r="D117" s="255"/>
      <c r="E117" s="255"/>
      <c r="F117" s="255"/>
      <c r="G117" s="255"/>
      <c r="H117" s="269"/>
      <c r="I117" s="255"/>
      <c r="J117" s="269"/>
      <c r="K117" s="301">
        <f>K115+H95</f>
        <v>41110766.472815245</v>
      </c>
      <c r="L117" s="415"/>
    </row>
    <row r="118" spans="1:14" x14ac:dyDescent="0.3">
      <c r="A118" s="255"/>
      <c r="B118" s="255"/>
      <c r="C118" s="255"/>
      <c r="D118" s="255"/>
      <c r="E118" s="255"/>
      <c r="F118" s="255"/>
      <c r="G118" s="255"/>
      <c r="H118" s="269"/>
      <c r="I118" s="255"/>
      <c r="J118" s="301"/>
      <c r="K118" s="255"/>
      <c r="M118" s="212"/>
      <c r="N118" s="212"/>
    </row>
    <row r="119" spans="1:14" x14ac:dyDescent="0.3">
      <c r="A119" s="255"/>
      <c r="B119" s="255"/>
      <c r="C119" s="255"/>
      <c r="D119" s="255"/>
      <c r="E119" s="255"/>
      <c r="F119" s="255"/>
      <c r="G119" s="255"/>
      <c r="H119" s="269"/>
      <c r="I119" s="255"/>
      <c r="J119" s="255"/>
      <c r="K119" s="301">
        <f>'Table 1b-Year 1'!K115</f>
        <v>8239318.5415245593</v>
      </c>
      <c r="M119" s="212"/>
      <c r="N119" s="212"/>
    </row>
    <row r="120" spans="1:14" x14ac:dyDescent="0.3">
      <c r="A120" s="255"/>
      <c r="B120" s="255"/>
      <c r="C120" s="255"/>
      <c r="D120" s="255"/>
      <c r="E120" s="255"/>
      <c r="F120" s="255"/>
      <c r="G120" s="255"/>
      <c r="H120" s="269"/>
      <c r="I120" s="255"/>
      <c r="J120" s="255"/>
      <c r="K120" s="255"/>
      <c r="M120" s="212"/>
      <c r="N120" s="212"/>
    </row>
    <row r="121" spans="1:14" x14ac:dyDescent="0.3">
      <c r="A121" s="255"/>
      <c r="B121" s="255"/>
      <c r="C121" s="255"/>
      <c r="D121" s="255"/>
      <c r="E121" s="255"/>
      <c r="F121" s="255"/>
      <c r="G121" s="255"/>
      <c r="H121" s="269"/>
      <c r="I121" s="301"/>
      <c r="J121" s="255"/>
      <c r="K121" s="301">
        <f>K119+K117</f>
        <v>49350085.014339805</v>
      </c>
    </row>
  </sheetData>
  <mergeCells count="34">
    <mergeCell ref="B9:D9"/>
    <mergeCell ref="B10:D10"/>
    <mergeCell ref="B27:D27"/>
    <mergeCell ref="B28:D28"/>
    <mergeCell ref="B29:D29"/>
    <mergeCell ref="A3:D4"/>
    <mergeCell ref="A5:D5"/>
    <mergeCell ref="A6:D6"/>
    <mergeCell ref="A7:D7"/>
    <mergeCell ref="A8:D8"/>
    <mergeCell ref="I51:K51"/>
    <mergeCell ref="E90:H90"/>
    <mergeCell ref="B53:D53"/>
    <mergeCell ref="B54:D54"/>
    <mergeCell ref="B55:D55"/>
    <mergeCell ref="B56:D56"/>
    <mergeCell ref="B57:D57"/>
    <mergeCell ref="B66:D66"/>
    <mergeCell ref="B67:D67"/>
    <mergeCell ref="I68:K68"/>
    <mergeCell ref="I69:K69"/>
    <mergeCell ref="A74:L74"/>
    <mergeCell ref="A75:L75"/>
    <mergeCell ref="A52:D52"/>
    <mergeCell ref="A76:L76"/>
    <mergeCell ref="A77:L77"/>
    <mergeCell ref="A78:L78"/>
    <mergeCell ref="E97:H97"/>
    <mergeCell ref="F104:G104"/>
    <mergeCell ref="E109:K109"/>
    <mergeCell ref="E110:E111"/>
    <mergeCell ref="F110:I110"/>
    <mergeCell ref="J110:J111"/>
    <mergeCell ref="K110:K111"/>
  </mergeCells>
  <printOptions horizontalCentered="1" verticalCentered="1"/>
  <pageMargins left="0.7" right="0.7" top="0.75" bottom="0.75" header="0.3" footer="0.3"/>
  <pageSetup paperSize="17" orientation="landscape" r:id="rId1"/>
  <headerFooter>
    <oddHeader>&amp;CTable 1a -- Respondent Year 1</oddHeader>
    <oddFooter>&amp;L&amp;P of &amp;N&amp;R&amp;D</oddFooter>
  </headerFooter>
  <rowBreaks count="2" manualBreakCount="2">
    <brk id="51" max="10" man="1"/>
    <brk id="72"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2B4DD-76F2-4FF2-B7CB-380A22C9A8BD}">
  <dimension ref="A1:K27"/>
  <sheetViews>
    <sheetView zoomScaleNormal="100" workbookViewId="0">
      <selection activeCell="C8" sqref="C8"/>
    </sheetView>
  </sheetViews>
  <sheetFormatPr defaultColWidth="9.1796875" defaultRowHeight="13" x14ac:dyDescent="0.3"/>
  <cols>
    <col min="1" max="1" width="2" style="1" customWidth="1"/>
    <col min="2" max="2" width="34.54296875" style="1" customWidth="1"/>
    <col min="3" max="3" width="13.7265625" style="1" customWidth="1"/>
    <col min="4" max="4" width="13.1796875" style="1" customWidth="1"/>
    <col min="5" max="5" width="18.54296875" style="1" customWidth="1"/>
    <col min="6" max="6" width="14.1796875" style="1" customWidth="1"/>
    <col min="7" max="7" width="18.26953125" style="1" customWidth="1"/>
    <col min="8" max="8" width="13.81640625" style="1" bestFit="1" customWidth="1"/>
    <col min="9" max="16384" width="9.1796875" style="1"/>
  </cols>
  <sheetData>
    <row r="1" spans="1:11" s="6" customFormat="1" ht="15.5" x14ac:dyDescent="0.35">
      <c r="A1" s="63" t="s">
        <v>273</v>
      </c>
      <c r="I1" s="250"/>
    </row>
    <row r="2" spans="1:11" s="8" customFormat="1" x14ac:dyDescent="0.3">
      <c r="B2" s="2"/>
      <c r="C2" s="4"/>
      <c r="D2" s="3"/>
      <c r="E2" s="9"/>
      <c r="F2" s="9"/>
      <c r="G2" s="2"/>
      <c r="I2" s="182"/>
    </row>
    <row r="3" spans="1:11" s="8" customFormat="1" x14ac:dyDescent="0.3">
      <c r="B3" s="532" t="s">
        <v>273</v>
      </c>
      <c r="C3" s="533"/>
      <c r="D3" s="533"/>
      <c r="E3" s="533"/>
      <c r="F3" s="534"/>
    </row>
    <row r="4" spans="1:11" s="8" customFormat="1" ht="65" x14ac:dyDescent="0.3">
      <c r="B4" s="166" t="s">
        <v>274</v>
      </c>
      <c r="C4" s="167" t="s">
        <v>275</v>
      </c>
      <c r="D4" s="166" t="s">
        <v>276</v>
      </c>
      <c r="E4" s="167" t="s">
        <v>277</v>
      </c>
      <c r="F4" s="166" t="s">
        <v>278</v>
      </c>
    </row>
    <row r="5" spans="1:11" s="8" customFormat="1" x14ac:dyDescent="0.3">
      <c r="B5" s="535" t="s">
        <v>279</v>
      </c>
      <c r="C5" s="536"/>
      <c r="D5" s="536"/>
      <c r="E5" s="536"/>
      <c r="F5" s="537"/>
    </row>
    <row r="6" spans="1:11" s="8" customFormat="1" x14ac:dyDescent="0.3">
      <c r="B6" s="231" t="s">
        <v>119</v>
      </c>
      <c r="C6" s="232">
        <f>'Table 1a-Year 3'!H31+'Table 1b-Year 3'!H31</f>
        <v>0</v>
      </c>
      <c r="D6" s="232">
        <f>'Table 1a-Year 3'!F31</f>
        <v>1</v>
      </c>
      <c r="E6" s="232">
        <v>0</v>
      </c>
      <c r="F6" s="232">
        <f>C6*D6+E6</f>
        <v>0</v>
      </c>
    </row>
    <row r="7" spans="1:11" s="8" customFormat="1" x14ac:dyDescent="0.3">
      <c r="B7" s="231" t="s">
        <v>120</v>
      </c>
      <c r="C7" s="232">
        <f>'Table 1a-Year 3'!H32+'Table 1b-Year 3'!H32</f>
        <v>0</v>
      </c>
      <c r="D7" s="232">
        <f>'Table 1a-Year 3'!F32</f>
        <v>1</v>
      </c>
      <c r="E7" s="232">
        <v>0</v>
      </c>
      <c r="F7" s="232">
        <f t="shared" ref="F7:F25" si="0">C7*D7+E7</f>
        <v>0</v>
      </c>
    </row>
    <row r="8" spans="1:11" s="8" customFormat="1" x14ac:dyDescent="0.3">
      <c r="B8" s="231" t="s">
        <v>121</v>
      </c>
      <c r="C8" s="232">
        <f>'Table 1a-Year 3'!H12+'Table 1a-Year 3'!H13+'Table 1a-Year 3'!H14+'Table 1b-Year 3'!H12+'Table 1b-Year 3'!H13+'Table 1b-Year 3'!H14</f>
        <v>383.15999999999991</v>
      </c>
      <c r="D8" s="232">
        <v>1</v>
      </c>
      <c r="E8" s="232">
        <v>0</v>
      </c>
      <c r="F8" s="232">
        <f>C8*D8+E8</f>
        <v>383.15999999999991</v>
      </c>
      <c r="G8" s="333"/>
    </row>
    <row r="9" spans="1:11" s="8" customFormat="1" x14ac:dyDescent="0.3">
      <c r="B9" s="37" t="s">
        <v>122</v>
      </c>
      <c r="C9" s="232">
        <f>'Table 1a-Year 3'!H34+'Table 1b-Year 3'!H34</f>
        <v>0</v>
      </c>
      <c r="D9" s="232">
        <f>'Table 1a-Year 3'!F34</f>
        <v>1</v>
      </c>
      <c r="E9" s="232">
        <v>0</v>
      </c>
      <c r="F9" s="232">
        <f t="shared" si="0"/>
        <v>0</v>
      </c>
    </row>
    <row r="10" spans="1:11" s="8" customFormat="1" x14ac:dyDescent="0.3">
      <c r="B10" s="231" t="s">
        <v>123</v>
      </c>
      <c r="C10" s="232">
        <f>'Table 1a-Year 3'!H35</f>
        <v>0</v>
      </c>
      <c r="D10" s="232">
        <f>'Table 1a-Year 3'!F35</f>
        <v>1</v>
      </c>
      <c r="E10" s="232">
        <v>0</v>
      </c>
      <c r="F10" s="232">
        <f t="shared" si="0"/>
        <v>0</v>
      </c>
    </row>
    <row r="11" spans="1:11" s="8" customFormat="1" ht="26" x14ac:dyDescent="0.3">
      <c r="B11" s="231" t="s">
        <v>124</v>
      </c>
      <c r="C11" s="233">
        <f>'Table 1a-Year 3'!H36+'Table 1b-Year 3'!H36</f>
        <v>37.200000000000003</v>
      </c>
      <c r="D11" s="232">
        <f>'Table 1a-Year 3'!F36</f>
        <v>1</v>
      </c>
      <c r="E11" s="232">
        <v>0</v>
      </c>
      <c r="F11" s="233">
        <f t="shared" si="0"/>
        <v>37.200000000000003</v>
      </c>
    </row>
    <row r="12" spans="1:11" s="8" customFormat="1" x14ac:dyDescent="0.3">
      <c r="B12" s="37" t="s">
        <v>125</v>
      </c>
      <c r="C12" s="232">
        <f>'Table 1a-Year 3'!H37+'Table 1b-Year 3'!H37</f>
        <v>372</v>
      </c>
      <c r="D12" s="232">
        <f>'Table 1a-Year 3'!F37</f>
        <v>2</v>
      </c>
      <c r="E12" s="232">
        <v>0</v>
      </c>
      <c r="F12" s="232">
        <f t="shared" si="0"/>
        <v>744</v>
      </c>
    </row>
    <row r="13" spans="1:11" s="8" customFormat="1" ht="26" x14ac:dyDescent="0.3">
      <c r="B13" s="37" t="s">
        <v>126</v>
      </c>
      <c r="C13" s="232">
        <f>'Table 1a-Year 3'!H38+'Table 1b-Year 3'!H38</f>
        <v>372</v>
      </c>
      <c r="D13" s="232">
        <f>'Table 1a-Year 3'!F38</f>
        <v>1</v>
      </c>
      <c r="E13" s="232">
        <v>0</v>
      </c>
      <c r="F13" s="232">
        <f t="shared" si="0"/>
        <v>372</v>
      </c>
      <c r="G13" s="333"/>
    </row>
    <row r="14" spans="1:11" s="8" customFormat="1" ht="26" x14ac:dyDescent="0.3">
      <c r="B14" s="37" t="s">
        <v>127</v>
      </c>
      <c r="C14" s="233">
        <f>'Table 1a-Year 3'!H39+'Table 1b-Year 3'!H39</f>
        <v>37.200000000000003</v>
      </c>
      <c r="D14" s="232">
        <f>'Table 1a-Year 3'!F39</f>
        <v>1</v>
      </c>
      <c r="E14" s="232">
        <v>0</v>
      </c>
      <c r="F14" s="233">
        <f t="shared" si="0"/>
        <v>37.200000000000003</v>
      </c>
      <c r="G14" s="333"/>
    </row>
    <row r="15" spans="1:11" s="8" customFormat="1" x14ac:dyDescent="0.3">
      <c r="B15" s="538" t="s">
        <v>280</v>
      </c>
      <c r="C15" s="539"/>
      <c r="D15" s="539"/>
      <c r="E15" s="539"/>
      <c r="F15" s="540"/>
      <c r="K15" s="1"/>
    </row>
    <row r="16" spans="1:11" x14ac:dyDescent="0.3">
      <c r="B16" s="234" t="s">
        <v>128</v>
      </c>
      <c r="C16" s="232">
        <f>'Table 1a-Year 3'!H41+'Table 1b-Year 3'!H41</f>
        <v>0</v>
      </c>
      <c r="D16" s="232">
        <f>'Table 1a-Year 3'!F41</f>
        <v>1</v>
      </c>
      <c r="E16" s="232">
        <v>0</v>
      </c>
      <c r="F16" s="232">
        <f t="shared" si="0"/>
        <v>0</v>
      </c>
    </row>
    <row r="17" spans="2:7" x14ac:dyDescent="0.3">
      <c r="B17" s="37" t="s">
        <v>119</v>
      </c>
      <c r="C17" s="232">
        <f>'Table 1a-Year 3'!H42+'Table 1b-Year 3'!H42</f>
        <v>0</v>
      </c>
      <c r="D17" s="232">
        <f>'Table 1a-Year 3'!F42</f>
        <v>1</v>
      </c>
      <c r="E17" s="232">
        <v>0</v>
      </c>
      <c r="F17" s="232">
        <f t="shared" si="0"/>
        <v>0</v>
      </c>
    </row>
    <row r="18" spans="2:7" x14ac:dyDescent="0.3">
      <c r="B18" s="37" t="s">
        <v>120</v>
      </c>
      <c r="C18" s="232">
        <f>'Table 1a-Year 3'!H43+'Table 1b-Year 3'!H43</f>
        <v>0</v>
      </c>
      <c r="D18" s="232">
        <f>'Table 1a-Year 3'!F43</f>
        <v>1</v>
      </c>
      <c r="E18" s="232">
        <v>0</v>
      </c>
      <c r="F18" s="232">
        <f t="shared" si="0"/>
        <v>0</v>
      </c>
    </row>
    <row r="19" spans="2:7" s="8" customFormat="1" x14ac:dyDescent="0.3">
      <c r="B19" s="231" t="s">
        <v>121</v>
      </c>
      <c r="C19" s="232">
        <f>C18</f>
        <v>0</v>
      </c>
      <c r="D19" s="232">
        <v>1</v>
      </c>
      <c r="E19" s="232">
        <v>0</v>
      </c>
      <c r="F19" s="232">
        <f t="shared" si="0"/>
        <v>0</v>
      </c>
    </row>
    <row r="20" spans="2:7" x14ac:dyDescent="0.3">
      <c r="B20" s="37" t="s">
        <v>122</v>
      </c>
      <c r="C20" s="232">
        <f>'Table 1a-Year 3'!H45+'Table 1b-Year 3'!H45</f>
        <v>0</v>
      </c>
      <c r="D20" s="232">
        <f>'Table 1a-Year 3'!F45</f>
        <v>1</v>
      </c>
      <c r="E20" s="232">
        <v>0</v>
      </c>
      <c r="F20" s="232">
        <f t="shared" si="0"/>
        <v>0</v>
      </c>
    </row>
    <row r="21" spans="2:7" x14ac:dyDescent="0.3">
      <c r="B21" s="37" t="s">
        <v>123</v>
      </c>
      <c r="C21" s="232">
        <f>'Table 1a-Year 3'!H46+'Table 1b-Year 3'!H46</f>
        <v>0</v>
      </c>
      <c r="D21" s="232">
        <f>'Table 1a-Year 3'!F46</f>
        <v>1</v>
      </c>
      <c r="E21" s="232">
        <v>0</v>
      </c>
      <c r="F21" s="232">
        <f t="shared" si="0"/>
        <v>0</v>
      </c>
    </row>
    <row r="22" spans="2:7" ht="26" x14ac:dyDescent="0.3">
      <c r="B22" s="231" t="s">
        <v>124</v>
      </c>
      <c r="C22" s="233">
        <f>'Table 1a-Year 3'!H47+'Table 1b-Year 3'!H47</f>
        <v>0</v>
      </c>
      <c r="D22" s="232">
        <f>'Table 1a-Year 3'!F47</f>
        <v>1</v>
      </c>
      <c r="E22" s="232">
        <v>0</v>
      </c>
      <c r="F22" s="233">
        <f t="shared" si="0"/>
        <v>0</v>
      </c>
    </row>
    <row r="23" spans="2:7" x14ac:dyDescent="0.3">
      <c r="B23" s="37" t="s">
        <v>125</v>
      </c>
      <c r="C23" s="232">
        <f>'Table 1a-Year 3'!H48+'Table 1b-Year 3'!H48</f>
        <v>0</v>
      </c>
      <c r="D23" s="232">
        <f>'Table 1a-Year 3'!F48</f>
        <v>2</v>
      </c>
      <c r="E23" s="232">
        <v>0</v>
      </c>
      <c r="F23" s="232">
        <f t="shared" si="0"/>
        <v>0</v>
      </c>
    </row>
    <row r="24" spans="2:7" ht="26" x14ac:dyDescent="0.3">
      <c r="B24" s="37" t="s">
        <v>126</v>
      </c>
      <c r="C24" s="232">
        <f>'Table 1a-Year 3'!H49+'Table 1b-Year 3'!H49</f>
        <v>0</v>
      </c>
      <c r="D24" s="232">
        <f>'Table 1a-Year 3'!F49</f>
        <v>1</v>
      </c>
      <c r="E24" s="232">
        <v>0</v>
      </c>
      <c r="F24" s="232">
        <f t="shared" si="0"/>
        <v>0</v>
      </c>
    </row>
    <row r="25" spans="2:7" ht="26" x14ac:dyDescent="0.3">
      <c r="B25" s="37" t="s">
        <v>127</v>
      </c>
      <c r="C25" s="233">
        <f>'Table 1a-Year 3'!H50+'Table 1b-Year 3'!H50</f>
        <v>0</v>
      </c>
      <c r="D25" s="232">
        <f>'Table 1a-Year 3'!F50</f>
        <v>1</v>
      </c>
      <c r="E25" s="232">
        <v>0</v>
      </c>
      <c r="F25" s="233">
        <f t="shared" si="0"/>
        <v>0</v>
      </c>
    </row>
    <row r="26" spans="2:7" x14ac:dyDescent="0.3">
      <c r="B26" s="544" t="s">
        <v>273</v>
      </c>
      <c r="C26" s="545"/>
      <c r="D26" s="545"/>
      <c r="E26" s="546"/>
      <c r="F26" s="235">
        <f>SUM(F6:F14,F16:F25)</f>
        <v>1573.56</v>
      </c>
      <c r="G26" s="333"/>
    </row>
    <row r="27" spans="2:7" x14ac:dyDescent="0.3">
      <c r="E27" s="165" t="s">
        <v>281</v>
      </c>
      <c r="F27" s="236">
        <f>('Table 1a-Year 3'!I69+'Table 1b-Year 3'!I69)/'Annual Responses-Year 3'!F26</f>
        <v>115.02580136759958</v>
      </c>
    </row>
  </sheetData>
  <mergeCells count="4">
    <mergeCell ref="B3:F3"/>
    <mergeCell ref="B5:F5"/>
    <mergeCell ref="B15:F15"/>
    <mergeCell ref="B26:E26"/>
  </mergeCells>
  <printOptions headings="1"/>
  <pageMargins left="0.7" right="0.7" top="0.75" bottom="0.75" header="0.3" footer="0.3"/>
  <pageSetup scale="69" orientation="landscape" horizontalDpi="1200" verticalDpi="1200" r:id="rId1"/>
  <headerFooter>
    <oddHeader>&amp;CTable 1d -- Respondent Summary</oddHeader>
    <oddFooter>&amp;L&amp;P of &amp;N&amp;R&amp;D</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8B63F-EB43-446B-984B-8EBA0EDC2389}">
  <sheetPr>
    <tabColor rgb="FF92D050"/>
  </sheetPr>
  <dimension ref="A1:K27"/>
  <sheetViews>
    <sheetView topLeftCell="A4" zoomScaleNormal="100" workbookViewId="0">
      <selection activeCell="G25" sqref="G25"/>
    </sheetView>
  </sheetViews>
  <sheetFormatPr defaultColWidth="9.1796875" defaultRowHeight="13" x14ac:dyDescent="0.3"/>
  <cols>
    <col min="1" max="1" width="2" style="1" customWidth="1"/>
    <col min="2" max="2" width="34.54296875" style="1" customWidth="1"/>
    <col min="3" max="3" width="13.7265625" style="1" customWidth="1"/>
    <col min="4" max="4" width="13.1796875" style="1" customWidth="1"/>
    <col min="5" max="5" width="18.54296875" style="1" customWidth="1"/>
    <col min="6" max="6" width="14.1796875" style="1" customWidth="1"/>
    <col min="7" max="7" width="18.26953125" style="1" customWidth="1"/>
    <col min="8" max="8" width="13.81640625" style="1" bestFit="1" customWidth="1"/>
    <col min="9" max="16384" width="9.1796875" style="1"/>
  </cols>
  <sheetData>
    <row r="1" spans="1:11" s="6" customFormat="1" ht="15.5" x14ac:dyDescent="0.35">
      <c r="A1" s="63" t="s">
        <v>273</v>
      </c>
      <c r="I1" s="250"/>
    </row>
    <row r="2" spans="1:11" s="8" customFormat="1" x14ac:dyDescent="0.3">
      <c r="B2" s="2"/>
      <c r="C2" s="4"/>
      <c r="D2" s="3"/>
      <c r="E2" s="9"/>
      <c r="F2" s="9"/>
      <c r="G2" s="2"/>
      <c r="I2" s="182"/>
    </row>
    <row r="3" spans="1:11" s="8" customFormat="1" x14ac:dyDescent="0.3">
      <c r="B3" s="532" t="s">
        <v>273</v>
      </c>
      <c r="C3" s="533"/>
      <c r="D3" s="533"/>
      <c r="E3" s="533"/>
      <c r="F3" s="534"/>
    </row>
    <row r="4" spans="1:11" s="8" customFormat="1" ht="65" x14ac:dyDescent="0.3">
      <c r="B4" s="166" t="s">
        <v>274</v>
      </c>
      <c r="C4" s="167" t="s">
        <v>275</v>
      </c>
      <c r="D4" s="166" t="s">
        <v>276</v>
      </c>
      <c r="E4" s="167" t="s">
        <v>277</v>
      </c>
      <c r="F4" s="166" t="s">
        <v>278</v>
      </c>
    </row>
    <row r="5" spans="1:11" s="8" customFormat="1" x14ac:dyDescent="0.3">
      <c r="B5" s="535" t="s">
        <v>279</v>
      </c>
      <c r="C5" s="536"/>
      <c r="D5" s="536"/>
      <c r="E5" s="536"/>
      <c r="F5" s="537"/>
    </row>
    <row r="6" spans="1:11" s="8" customFormat="1" x14ac:dyDescent="0.3">
      <c r="B6" s="231" t="s">
        <v>119</v>
      </c>
      <c r="C6" s="232">
        <f>AVERAGE('Annual Responses-Year 1'!C6,'Annual Responses-Year 2'!C6,'Annual Responses-Year 3'!C6)</f>
        <v>0</v>
      </c>
      <c r="D6" s="232">
        <f>'Table 1a-Year 2'!F31</f>
        <v>1</v>
      </c>
      <c r="E6" s="232">
        <v>0</v>
      </c>
      <c r="F6" s="232">
        <f>C6*D6+E6</f>
        <v>0</v>
      </c>
    </row>
    <row r="7" spans="1:11" s="8" customFormat="1" x14ac:dyDescent="0.3">
      <c r="B7" s="231" t="s">
        <v>120</v>
      </c>
      <c r="C7" s="232">
        <f>AVERAGE('Annual Responses-Year 1'!C7,'Annual Responses-Year 2'!C7,'Annual Responses-Year 3'!C7)</f>
        <v>0</v>
      </c>
      <c r="D7" s="232">
        <f>'Table 1a-Year 2'!F32</f>
        <v>1</v>
      </c>
      <c r="E7" s="232">
        <v>0</v>
      </c>
      <c r="F7" s="232">
        <f t="shared" ref="F7:F25" si="0">C7*D7+E7</f>
        <v>0</v>
      </c>
    </row>
    <row r="8" spans="1:11" s="8" customFormat="1" x14ac:dyDescent="0.3">
      <c r="B8" s="231" t="s">
        <v>121</v>
      </c>
      <c r="C8" s="232">
        <f>AVERAGE('Annual Responses-Year 1'!C8,'Annual Responses-Year 2'!C8,'Annual Responses-Year 3'!C8)</f>
        <v>383.15999999999991</v>
      </c>
      <c r="D8" s="232">
        <v>1</v>
      </c>
      <c r="E8" s="232">
        <v>0</v>
      </c>
      <c r="F8" s="232">
        <f>C8*D8+E8</f>
        <v>383.15999999999991</v>
      </c>
      <c r="G8" s="333"/>
    </row>
    <row r="9" spans="1:11" s="8" customFormat="1" x14ac:dyDescent="0.3">
      <c r="B9" s="37" t="s">
        <v>122</v>
      </c>
      <c r="C9" s="232">
        <f>AVERAGE('Annual Responses-Year 1'!C9,'Annual Responses-Year 2'!C9,'Annual Responses-Year 3'!C9)</f>
        <v>0</v>
      </c>
      <c r="D9" s="232">
        <f>'Table 1a-Year 2'!F34</f>
        <v>1</v>
      </c>
      <c r="E9" s="232">
        <v>0</v>
      </c>
      <c r="F9" s="232">
        <f t="shared" si="0"/>
        <v>0</v>
      </c>
    </row>
    <row r="10" spans="1:11" s="8" customFormat="1" x14ac:dyDescent="0.3">
      <c r="B10" s="231" t="s">
        <v>123</v>
      </c>
      <c r="C10" s="232">
        <f>AVERAGE('Annual Responses-Year 1'!C10,'Annual Responses-Year 2'!C10,'Annual Responses-Year 3'!C10)</f>
        <v>0</v>
      </c>
      <c r="D10" s="232">
        <f>'Table 1a-Year 2'!F35</f>
        <v>1</v>
      </c>
      <c r="E10" s="232">
        <v>0</v>
      </c>
      <c r="F10" s="232">
        <f t="shared" si="0"/>
        <v>0</v>
      </c>
    </row>
    <row r="11" spans="1:11" s="8" customFormat="1" ht="26" x14ac:dyDescent="0.3">
      <c r="B11" s="231" t="s">
        <v>124</v>
      </c>
      <c r="C11" s="233">
        <f>AVERAGE('Annual Responses-Year 1'!C11,'Annual Responses-Year 2'!C11,'Annual Responses-Year 3'!C11)</f>
        <v>37.200000000000003</v>
      </c>
      <c r="D11" s="232">
        <f>'Table 1a-Year 2'!F36</f>
        <v>1</v>
      </c>
      <c r="E11" s="232">
        <v>0</v>
      </c>
      <c r="F11" s="233">
        <f t="shared" si="0"/>
        <v>37.200000000000003</v>
      </c>
    </row>
    <row r="12" spans="1:11" s="8" customFormat="1" x14ac:dyDescent="0.3">
      <c r="B12" s="37" t="s">
        <v>125</v>
      </c>
      <c r="C12" s="232">
        <f>AVERAGE('Annual Responses-Year 1'!C12,'Annual Responses-Year 2'!C12,'Annual Responses-Year 3'!C12)</f>
        <v>372</v>
      </c>
      <c r="D12" s="232">
        <f>'Table 1a-Year 2'!F37</f>
        <v>2</v>
      </c>
      <c r="E12" s="232">
        <v>0</v>
      </c>
      <c r="F12" s="232">
        <f t="shared" si="0"/>
        <v>744</v>
      </c>
    </row>
    <row r="13" spans="1:11" s="8" customFormat="1" ht="26" x14ac:dyDescent="0.3">
      <c r="B13" s="37" t="s">
        <v>126</v>
      </c>
      <c r="C13" s="232">
        <f>AVERAGE('Annual Responses-Year 1'!C13,'Annual Responses-Year 2'!C13,'Annual Responses-Year 3'!C13)</f>
        <v>372</v>
      </c>
      <c r="D13" s="232">
        <f>'Table 1a-Year 2'!F38</f>
        <v>1</v>
      </c>
      <c r="E13" s="232">
        <v>0</v>
      </c>
      <c r="F13" s="232">
        <f t="shared" si="0"/>
        <v>372</v>
      </c>
      <c r="G13" s="333"/>
    </row>
    <row r="14" spans="1:11" s="8" customFormat="1" ht="26" x14ac:dyDescent="0.3">
      <c r="B14" s="37" t="s">
        <v>127</v>
      </c>
      <c r="C14" s="233">
        <f>AVERAGE('Annual Responses-Year 1'!C14,'Annual Responses-Year 2'!C14,'Annual Responses-Year 3'!C14)</f>
        <v>37.200000000000003</v>
      </c>
      <c r="D14" s="232">
        <f>'Table 1a-Year 2'!F39</f>
        <v>1</v>
      </c>
      <c r="E14" s="232">
        <v>0</v>
      </c>
      <c r="F14" s="233">
        <f t="shared" si="0"/>
        <v>37.200000000000003</v>
      </c>
      <c r="G14" s="333"/>
    </row>
    <row r="15" spans="1:11" s="8" customFormat="1" x14ac:dyDescent="0.3">
      <c r="B15" s="538" t="s">
        <v>280</v>
      </c>
      <c r="C15" s="539"/>
      <c r="D15" s="539"/>
      <c r="E15" s="539"/>
      <c r="F15" s="540"/>
      <c r="K15" s="1"/>
    </row>
    <row r="16" spans="1:11" x14ac:dyDescent="0.3">
      <c r="B16" s="234" t="s">
        <v>128</v>
      </c>
      <c r="C16" s="232">
        <f>AVERAGE('Annual Responses-Year 1'!C16,'Annual Responses-Year 2'!C16,'Annual Responses-Year 3'!C16)</f>
        <v>0</v>
      </c>
      <c r="D16" s="232">
        <f>'Table 1a-Year 2'!F41</f>
        <v>1</v>
      </c>
      <c r="E16" s="232">
        <v>0</v>
      </c>
      <c r="F16" s="232">
        <f t="shared" si="0"/>
        <v>0</v>
      </c>
    </row>
    <row r="17" spans="2:7" x14ac:dyDescent="0.3">
      <c r="B17" s="37" t="s">
        <v>119</v>
      </c>
      <c r="C17" s="232">
        <f>AVERAGE('Annual Responses-Year 1'!C17,'Annual Responses-Year 2'!C17,'Annual Responses-Year 3'!C17)</f>
        <v>0</v>
      </c>
      <c r="D17" s="232">
        <f>'Table 1a-Year 2'!F42</f>
        <v>1</v>
      </c>
      <c r="E17" s="232">
        <v>0</v>
      </c>
      <c r="F17" s="232">
        <f t="shared" si="0"/>
        <v>0</v>
      </c>
    </row>
    <row r="18" spans="2:7" x14ac:dyDescent="0.3">
      <c r="B18" s="37" t="s">
        <v>120</v>
      </c>
      <c r="C18" s="232">
        <f>AVERAGE('Annual Responses-Year 1'!C18,'Annual Responses-Year 2'!C18,'Annual Responses-Year 3'!C18)</f>
        <v>0</v>
      </c>
      <c r="D18" s="232">
        <f>'Table 1a-Year 2'!F43</f>
        <v>1</v>
      </c>
      <c r="E18" s="232">
        <v>0</v>
      </c>
      <c r="F18" s="232">
        <f t="shared" si="0"/>
        <v>0</v>
      </c>
    </row>
    <row r="19" spans="2:7" s="8" customFormat="1" x14ac:dyDescent="0.3">
      <c r="B19" s="231" t="s">
        <v>121</v>
      </c>
      <c r="C19" s="232">
        <f>AVERAGE('Annual Responses-Year 1'!C19,'Annual Responses-Year 2'!C19,'Annual Responses-Year 3'!C19)</f>
        <v>0</v>
      </c>
      <c r="D19" s="232">
        <v>1</v>
      </c>
      <c r="E19" s="232">
        <v>0</v>
      </c>
      <c r="F19" s="232">
        <f t="shared" si="0"/>
        <v>0</v>
      </c>
    </row>
    <row r="20" spans="2:7" x14ac:dyDescent="0.3">
      <c r="B20" s="37" t="s">
        <v>122</v>
      </c>
      <c r="C20" s="232">
        <f>AVERAGE('Annual Responses-Year 1'!C20,'Annual Responses-Year 2'!C20,'Annual Responses-Year 3'!C20)</f>
        <v>0</v>
      </c>
      <c r="D20" s="232">
        <f>'Table 1a-Year 2'!F45</f>
        <v>1</v>
      </c>
      <c r="E20" s="232">
        <v>0</v>
      </c>
      <c r="F20" s="232">
        <f t="shared" si="0"/>
        <v>0</v>
      </c>
    </row>
    <row r="21" spans="2:7" x14ac:dyDescent="0.3">
      <c r="B21" s="37" t="s">
        <v>123</v>
      </c>
      <c r="C21" s="232">
        <f>AVERAGE('Annual Responses-Year 1'!C21,'Annual Responses-Year 2'!C21,'Annual Responses-Year 3'!C21)</f>
        <v>0</v>
      </c>
      <c r="D21" s="232">
        <f>'Table 1a-Year 2'!F46</f>
        <v>1</v>
      </c>
      <c r="E21" s="232">
        <v>0</v>
      </c>
      <c r="F21" s="232">
        <f t="shared" si="0"/>
        <v>0</v>
      </c>
    </row>
    <row r="22" spans="2:7" ht="26" x14ac:dyDescent="0.3">
      <c r="B22" s="231" t="s">
        <v>124</v>
      </c>
      <c r="C22" s="233">
        <f>AVERAGE('Annual Responses-Year 1'!C22,'Annual Responses-Year 2'!C22,'Annual Responses-Year 3'!C22)</f>
        <v>0</v>
      </c>
      <c r="D22" s="232">
        <f>'Table 1a-Year 2'!F47</f>
        <v>1</v>
      </c>
      <c r="E22" s="232">
        <v>0</v>
      </c>
      <c r="F22" s="233">
        <f t="shared" si="0"/>
        <v>0</v>
      </c>
    </row>
    <row r="23" spans="2:7" x14ac:dyDescent="0.3">
      <c r="B23" s="37" t="s">
        <v>125</v>
      </c>
      <c r="C23" s="232">
        <f>AVERAGE('Annual Responses-Year 1'!C23,'Annual Responses-Year 2'!C23,'Annual Responses-Year 3'!C23)</f>
        <v>0</v>
      </c>
      <c r="D23" s="232">
        <f>'Table 1a-Year 2'!F48</f>
        <v>2</v>
      </c>
      <c r="E23" s="232">
        <v>0</v>
      </c>
      <c r="F23" s="232">
        <f t="shared" si="0"/>
        <v>0</v>
      </c>
    </row>
    <row r="24" spans="2:7" ht="26" x14ac:dyDescent="0.3">
      <c r="B24" s="37" t="s">
        <v>126</v>
      </c>
      <c r="C24" s="232">
        <f>AVERAGE('Annual Responses-Year 1'!C24,'Annual Responses-Year 2'!C24,'Annual Responses-Year 3'!C24)</f>
        <v>0</v>
      </c>
      <c r="D24" s="232">
        <f>'Table 1a-Year 2'!F49</f>
        <v>1</v>
      </c>
      <c r="E24" s="232">
        <v>0</v>
      </c>
      <c r="F24" s="232">
        <f t="shared" si="0"/>
        <v>0</v>
      </c>
    </row>
    <row r="25" spans="2:7" ht="26" x14ac:dyDescent="0.3">
      <c r="B25" s="37" t="s">
        <v>127</v>
      </c>
      <c r="C25" s="233">
        <f>AVERAGE('Annual Responses-Year 1'!C25,'Annual Responses-Year 2'!C25,'Annual Responses-Year 3'!C25)</f>
        <v>0</v>
      </c>
      <c r="D25" s="232">
        <f>'Table 1a-Year 2'!F50</f>
        <v>1</v>
      </c>
      <c r="E25" s="232">
        <v>0</v>
      </c>
      <c r="F25" s="233">
        <f t="shared" si="0"/>
        <v>0</v>
      </c>
    </row>
    <row r="26" spans="2:7" x14ac:dyDescent="0.3">
      <c r="B26" s="541" t="s">
        <v>273</v>
      </c>
      <c r="C26" s="542"/>
      <c r="D26" s="542"/>
      <c r="E26" s="543"/>
      <c r="F26" s="441">
        <f>SUM(F6:F14,F16:F25)</f>
        <v>1573.56</v>
      </c>
      <c r="G26" s="333"/>
    </row>
    <row r="27" spans="2:7" x14ac:dyDescent="0.3">
      <c r="E27" s="165" t="s">
        <v>281</v>
      </c>
      <c r="F27" s="236">
        <f>('Table 1a-Year 2'!I69+'Table 1b-Year 2'!I69)/'Annual Responses-Avg'!F26</f>
        <v>115.02580136759958</v>
      </c>
    </row>
  </sheetData>
  <mergeCells count="4">
    <mergeCell ref="B3:F3"/>
    <mergeCell ref="B5:F5"/>
    <mergeCell ref="B15:F15"/>
    <mergeCell ref="B26:E26"/>
  </mergeCells>
  <printOptions headings="1"/>
  <pageMargins left="0.7" right="0.7" top="0.75" bottom="0.75" header="0.3" footer="0.3"/>
  <pageSetup scale="69" orientation="landscape" horizontalDpi="1200" verticalDpi="1200" r:id="rId1"/>
  <headerFooter>
    <oddHeader>&amp;CTable 1d -- Respondent Summary</oddHeader>
    <oddFooter>&amp;L&amp;P of &amp;N&amp;R&amp;D</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47"/>
  <sheetViews>
    <sheetView workbookViewId="0">
      <pane ySplit="3" topLeftCell="A4" activePane="bottomLeft" state="frozen"/>
      <selection pane="bottomLeft" activeCell="C49" sqref="C49"/>
    </sheetView>
  </sheetViews>
  <sheetFormatPr defaultRowHeight="14.5" x14ac:dyDescent="0.35"/>
  <cols>
    <col min="1" max="1" width="28.54296875" customWidth="1"/>
    <col min="6" max="6" width="27.26953125" customWidth="1"/>
    <col min="11" max="11" width="19.26953125" customWidth="1"/>
  </cols>
  <sheetData>
    <row r="1" spans="1:18" x14ac:dyDescent="0.35">
      <c r="A1" s="222" t="s">
        <v>282</v>
      </c>
      <c r="B1" s="222"/>
      <c r="C1" s="222"/>
      <c r="D1" s="222"/>
      <c r="E1" s="427"/>
      <c r="F1" s="222" t="s">
        <v>283</v>
      </c>
      <c r="G1" s="222"/>
      <c r="H1" s="222"/>
      <c r="I1" s="222"/>
      <c r="J1" s="427"/>
      <c r="K1" s="222" t="s">
        <v>284</v>
      </c>
      <c r="L1" s="222"/>
      <c r="M1" s="222"/>
      <c r="N1" s="222"/>
      <c r="O1" s="222"/>
      <c r="R1" s="177" t="s">
        <v>285</v>
      </c>
    </row>
    <row r="2" spans="1:18" x14ac:dyDescent="0.35">
      <c r="A2" s="222"/>
      <c r="B2" s="222"/>
      <c r="C2" s="222"/>
      <c r="D2" s="222"/>
      <c r="E2" s="427"/>
      <c r="F2" s="222"/>
      <c r="G2" s="222"/>
      <c r="H2" s="222"/>
      <c r="I2" s="222"/>
      <c r="J2" s="427"/>
      <c r="K2" s="222"/>
      <c r="L2" s="222"/>
      <c r="M2" s="222"/>
      <c r="N2" s="222"/>
      <c r="O2" s="222"/>
    </row>
    <row r="3" spans="1:18" x14ac:dyDescent="0.35">
      <c r="A3" s="219" t="s">
        <v>286</v>
      </c>
      <c r="B3" s="222"/>
      <c r="C3" s="428" t="s">
        <v>287</v>
      </c>
      <c r="D3" s="428" t="s">
        <v>288</v>
      </c>
      <c r="E3" s="427"/>
      <c r="F3" s="219" t="s">
        <v>286</v>
      </c>
      <c r="G3" s="222"/>
      <c r="H3" s="428" t="s">
        <v>287</v>
      </c>
      <c r="I3" s="428" t="s">
        <v>288</v>
      </c>
      <c r="J3" s="427"/>
      <c r="K3" s="219" t="s">
        <v>286</v>
      </c>
      <c r="L3" s="222"/>
      <c r="M3" s="428" t="s">
        <v>287</v>
      </c>
      <c r="N3" s="428" t="s">
        <v>288</v>
      </c>
      <c r="O3" s="222"/>
    </row>
    <row r="4" spans="1:18" x14ac:dyDescent="0.35">
      <c r="A4" s="222" t="s">
        <v>289</v>
      </c>
      <c r="B4" s="222"/>
      <c r="C4" s="429">
        <v>0</v>
      </c>
      <c r="D4" s="429">
        <v>0</v>
      </c>
      <c r="E4" s="427"/>
      <c r="F4" s="222" t="s">
        <v>289</v>
      </c>
      <c r="G4" s="222"/>
      <c r="H4" s="429">
        <v>0</v>
      </c>
      <c r="I4" s="429">
        <v>0</v>
      </c>
      <c r="J4" s="427"/>
      <c r="K4" s="222" t="s">
        <v>289</v>
      </c>
      <c r="L4" s="222"/>
      <c r="M4" s="429">
        <v>0</v>
      </c>
      <c r="N4" s="429">
        <v>0</v>
      </c>
      <c r="O4" s="222"/>
    </row>
    <row r="5" spans="1:18" x14ac:dyDescent="0.35">
      <c r="A5" s="222" t="s">
        <v>290</v>
      </c>
      <c r="B5" s="222"/>
      <c r="C5" s="429">
        <v>0</v>
      </c>
      <c r="D5" s="429">
        <v>0</v>
      </c>
      <c r="E5" s="427"/>
      <c r="F5" s="222" t="s">
        <v>290</v>
      </c>
      <c r="G5" s="222"/>
      <c r="H5" s="429">
        <v>0</v>
      </c>
      <c r="I5" s="429">
        <v>0</v>
      </c>
      <c r="J5" s="427"/>
      <c r="K5" s="222" t="s">
        <v>290</v>
      </c>
      <c r="L5" s="222"/>
      <c r="M5" s="429">
        <v>0</v>
      </c>
      <c r="N5" s="429">
        <v>0</v>
      </c>
      <c r="O5" s="222"/>
    </row>
    <row r="6" spans="1:18" x14ac:dyDescent="0.35">
      <c r="A6" s="222" t="s">
        <v>291</v>
      </c>
      <c r="B6" s="222"/>
      <c r="C6" s="429">
        <v>0</v>
      </c>
      <c r="D6" s="429">
        <v>0</v>
      </c>
      <c r="E6" s="427"/>
      <c r="F6" s="222" t="s">
        <v>291</v>
      </c>
      <c r="G6" s="222"/>
      <c r="H6" s="429">
        <v>0</v>
      </c>
      <c r="I6" s="429">
        <v>0</v>
      </c>
      <c r="J6" s="427"/>
      <c r="K6" s="222" t="s">
        <v>291</v>
      </c>
      <c r="L6" s="222"/>
      <c r="M6" s="429">
        <v>0</v>
      </c>
      <c r="N6" s="429">
        <v>0</v>
      </c>
      <c r="O6" s="222"/>
    </row>
    <row r="7" spans="1:18" x14ac:dyDescent="0.35">
      <c r="A7" s="222" t="s">
        <v>292</v>
      </c>
      <c r="B7" s="222"/>
      <c r="C7" s="429">
        <v>0</v>
      </c>
      <c r="D7" s="429">
        <v>0</v>
      </c>
      <c r="E7" s="427"/>
      <c r="F7" s="222" t="s">
        <v>292</v>
      </c>
      <c r="G7" s="222"/>
      <c r="H7" s="429">
        <v>0</v>
      </c>
      <c r="I7" s="429">
        <v>1</v>
      </c>
      <c r="J7" s="427"/>
      <c r="K7" s="222" t="s">
        <v>292</v>
      </c>
      <c r="L7" s="222"/>
      <c r="M7" s="429">
        <v>0</v>
      </c>
      <c r="N7" s="429">
        <v>0</v>
      </c>
      <c r="O7" s="222"/>
    </row>
    <row r="8" spans="1:18" x14ac:dyDescent="0.35">
      <c r="A8" s="222" t="s">
        <v>293</v>
      </c>
      <c r="B8" s="222"/>
      <c r="C8" s="429">
        <v>0</v>
      </c>
      <c r="D8" s="429">
        <v>1</v>
      </c>
      <c r="E8" s="427"/>
      <c r="F8" s="222" t="s">
        <v>293</v>
      </c>
      <c r="G8" s="222"/>
      <c r="H8" s="429">
        <v>0</v>
      </c>
      <c r="I8" s="429">
        <v>0</v>
      </c>
      <c r="J8" s="427"/>
      <c r="K8" s="222" t="s">
        <v>293</v>
      </c>
      <c r="L8" s="222"/>
      <c r="M8" s="429">
        <v>0</v>
      </c>
      <c r="N8" s="429">
        <v>0</v>
      </c>
      <c r="O8" s="222"/>
    </row>
    <row r="9" spans="1:18" x14ac:dyDescent="0.35">
      <c r="A9" s="222" t="s">
        <v>294</v>
      </c>
      <c r="B9" s="222"/>
      <c r="C9" s="429">
        <v>0</v>
      </c>
      <c r="D9" s="429">
        <v>0</v>
      </c>
      <c r="E9" s="427"/>
      <c r="F9" s="222" t="s">
        <v>294</v>
      </c>
      <c r="G9" s="222"/>
      <c r="H9" s="429">
        <v>0</v>
      </c>
      <c r="I9" s="429">
        <v>0</v>
      </c>
      <c r="J9" s="427"/>
      <c r="K9" s="222" t="s">
        <v>294</v>
      </c>
      <c r="L9" s="222"/>
      <c r="M9" s="429">
        <v>0</v>
      </c>
      <c r="N9" s="429">
        <v>0</v>
      </c>
      <c r="O9" s="222"/>
    </row>
    <row r="10" spans="1:18" x14ac:dyDescent="0.35">
      <c r="A10" s="222" t="s">
        <v>295</v>
      </c>
      <c r="B10" s="222"/>
      <c r="C10" s="429">
        <v>0</v>
      </c>
      <c r="D10" s="429">
        <v>0</v>
      </c>
      <c r="E10" s="427"/>
      <c r="F10" s="222" t="s">
        <v>295</v>
      </c>
      <c r="G10" s="222"/>
      <c r="H10" s="429">
        <v>0</v>
      </c>
      <c r="I10" s="429">
        <v>0</v>
      </c>
      <c r="J10" s="427"/>
      <c r="K10" s="222" t="s">
        <v>295</v>
      </c>
      <c r="L10" s="222"/>
      <c r="M10" s="429">
        <v>0</v>
      </c>
      <c r="N10" s="429">
        <v>0</v>
      </c>
      <c r="O10" s="222"/>
    </row>
    <row r="11" spans="1:18" x14ac:dyDescent="0.35">
      <c r="A11" s="222" t="s">
        <v>296</v>
      </c>
      <c r="B11" s="222"/>
      <c r="C11" s="429">
        <v>0</v>
      </c>
      <c r="D11" s="429">
        <v>0</v>
      </c>
      <c r="E11" s="427"/>
      <c r="F11" s="222" t="s">
        <v>296</v>
      </c>
      <c r="G11" s="222"/>
      <c r="H11" s="429">
        <v>0</v>
      </c>
      <c r="I11" s="429">
        <v>0</v>
      </c>
      <c r="J11" s="427"/>
      <c r="K11" s="222" t="s">
        <v>296</v>
      </c>
      <c r="L11" s="222"/>
      <c r="M11" s="429">
        <v>0</v>
      </c>
      <c r="N11" s="429">
        <v>0</v>
      </c>
      <c r="O11" s="222"/>
    </row>
    <row r="12" spans="1:18" x14ac:dyDescent="0.35">
      <c r="A12" s="222"/>
      <c r="B12" s="222"/>
      <c r="C12" s="222"/>
      <c r="D12" s="222"/>
      <c r="E12" s="427"/>
      <c r="F12" s="222"/>
      <c r="G12" s="222"/>
      <c r="H12" s="222"/>
      <c r="I12" s="222"/>
      <c r="J12" s="427"/>
      <c r="K12" s="222"/>
      <c r="L12" s="222"/>
      <c r="M12" s="222"/>
      <c r="N12" s="222"/>
      <c r="O12" s="222"/>
    </row>
    <row r="13" spans="1:18" x14ac:dyDescent="0.35">
      <c r="A13" s="219" t="s">
        <v>297</v>
      </c>
      <c r="B13" s="222"/>
      <c r="C13" s="222"/>
      <c r="D13" s="222"/>
      <c r="E13" s="427"/>
      <c r="F13" s="219" t="s">
        <v>297</v>
      </c>
      <c r="G13" s="222"/>
      <c r="H13" s="222"/>
      <c r="I13" s="222"/>
      <c r="J13" s="427"/>
      <c r="K13" s="219" t="s">
        <v>297</v>
      </c>
      <c r="L13" s="222"/>
      <c r="M13" s="222"/>
      <c r="N13" s="222"/>
      <c r="O13" s="222"/>
    </row>
    <row r="14" spans="1:18" x14ac:dyDescent="0.35">
      <c r="A14" s="222" t="s">
        <v>298</v>
      </c>
      <c r="B14" s="222"/>
      <c r="C14" s="222">
        <v>0</v>
      </c>
      <c r="D14" s="429">
        <v>0</v>
      </c>
      <c r="E14" s="427"/>
      <c r="F14" s="222" t="s">
        <v>298</v>
      </c>
      <c r="G14" s="222"/>
      <c r="H14" s="222">
        <v>0</v>
      </c>
      <c r="I14" s="429">
        <v>0</v>
      </c>
      <c r="J14" s="427"/>
      <c r="K14" s="222" t="s">
        <v>298</v>
      </c>
      <c r="L14" s="222"/>
      <c r="M14" s="222">
        <v>0</v>
      </c>
      <c r="N14" s="429">
        <v>0</v>
      </c>
      <c r="O14" s="222"/>
    </row>
    <row r="15" spans="1:18" x14ac:dyDescent="0.35">
      <c r="A15" s="222" t="s">
        <v>299</v>
      </c>
      <c r="B15" s="222"/>
      <c r="C15" s="222">
        <v>0</v>
      </c>
      <c r="D15" s="429">
        <v>0</v>
      </c>
      <c r="E15" s="427"/>
      <c r="F15" s="222" t="s">
        <v>299</v>
      </c>
      <c r="G15" s="222"/>
      <c r="H15" s="222">
        <v>0</v>
      </c>
      <c r="I15" s="429">
        <v>0</v>
      </c>
      <c r="J15" s="427"/>
      <c r="K15" s="222" t="s">
        <v>299</v>
      </c>
      <c r="L15" s="222"/>
      <c r="M15" s="222">
        <v>0</v>
      </c>
      <c r="N15" s="429">
        <v>0</v>
      </c>
      <c r="O15" s="222"/>
    </row>
    <row r="16" spans="1:18" x14ac:dyDescent="0.35">
      <c r="A16" s="222" t="s">
        <v>300</v>
      </c>
      <c r="B16" s="222"/>
      <c r="C16" s="222">
        <v>0</v>
      </c>
      <c r="D16" s="429">
        <v>0</v>
      </c>
      <c r="E16" s="427"/>
      <c r="F16" s="222" t="s">
        <v>300</v>
      </c>
      <c r="G16" s="222"/>
      <c r="H16" s="222">
        <v>0</v>
      </c>
      <c r="I16" s="429">
        <v>0</v>
      </c>
      <c r="J16" s="427"/>
      <c r="K16" s="222" t="s">
        <v>300</v>
      </c>
      <c r="L16" s="222"/>
      <c r="M16" s="222">
        <v>0</v>
      </c>
      <c r="N16" s="429">
        <v>0</v>
      </c>
      <c r="O16" s="222"/>
    </row>
    <row r="17" spans="1:15" x14ac:dyDescent="0.35">
      <c r="A17" s="222" t="s">
        <v>301</v>
      </c>
      <c r="B17" s="222"/>
      <c r="C17" s="222">
        <v>0</v>
      </c>
      <c r="D17" s="429">
        <v>0</v>
      </c>
      <c r="E17" s="427"/>
      <c r="F17" s="222" t="s">
        <v>301</v>
      </c>
      <c r="G17" s="222"/>
      <c r="H17" s="222">
        <v>0</v>
      </c>
      <c r="I17" s="429">
        <v>0</v>
      </c>
      <c r="J17" s="427"/>
      <c r="K17" s="222" t="s">
        <v>301</v>
      </c>
      <c r="L17" s="222"/>
      <c r="M17" s="222">
        <v>0</v>
      </c>
      <c r="N17" s="429">
        <v>1</v>
      </c>
      <c r="O17" s="222"/>
    </row>
    <row r="18" spans="1:15" x14ac:dyDescent="0.35">
      <c r="A18" s="222" t="s">
        <v>302</v>
      </c>
      <c r="B18" s="222"/>
      <c r="C18" s="222">
        <v>0</v>
      </c>
      <c r="D18" s="429">
        <v>0</v>
      </c>
      <c r="E18" s="427"/>
      <c r="F18" s="222" t="s">
        <v>302</v>
      </c>
      <c r="G18" s="222"/>
      <c r="H18" s="222">
        <v>0</v>
      </c>
      <c r="I18" s="429">
        <v>0</v>
      </c>
      <c r="J18" s="427"/>
      <c r="K18" s="222" t="s">
        <v>302</v>
      </c>
      <c r="L18" s="222"/>
      <c r="M18" s="222">
        <v>0</v>
      </c>
      <c r="N18" s="429">
        <v>0</v>
      </c>
      <c r="O18" s="222"/>
    </row>
    <row r="19" spans="1:15" x14ac:dyDescent="0.35">
      <c r="A19" s="222"/>
      <c r="B19" s="222"/>
      <c r="C19" s="222"/>
      <c r="D19" s="222"/>
      <c r="E19" s="427"/>
      <c r="F19" s="222"/>
      <c r="G19" s="222"/>
      <c r="H19" s="222"/>
      <c r="I19" s="222"/>
      <c r="J19" s="427"/>
      <c r="K19" s="222"/>
      <c r="L19" s="222"/>
      <c r="M19" s="222"/>
      <c r="N19" s="222"/>
      <c r="O19" s="222"/>
    </row>
    <row r="20" spans="1:15" x14ac:dyDescent="0.35">
      <c r="A20" s="219" t="s">
        <v>303</v>
      </c>
      <c r="B20" s="222"/>
      <c r="C20" s="222"/>
      <c r="D20" s="222"/>
      <c r="E20" s="427"/>
      <c r="F20" s="219" t="s">
        <v>303</v>
      </c>
      <c r="G20" s="222"/>
      <c r="H20" s="222"/>
      <c r="I20" s="222"/>
      <c r="J20" s="427"/>
      <c r="K20" s="219" t="s">
        <v>303</v>
      </c>
      <c r="L20" s="222"/>
      <c r="M20" s="222"/>
      <c r="N20" s="222"/>
      <c r="O20" s="222"/>
    </row>
    <row r="21" spans="1:15" x14ac:dyDescent="0.35">
      <c r="A21" s="222" t="s">
        <v>304</v>
      </c>
      <c r="B21" s="222"/>
      <c r="C21" s="222">
        <v>0</v>
      </c>
      <c r="D21" s="429">
        <v>0</v>
      </c>
      <c r="E21" s="427"/>
      <c r="F21" s="222" t="s">
        <v>304</v>
      </c>
      <c r="G21" s="222"/>
      <c r="H21" s="222">
        <v>0</v>
      </c>
      <c r="I21" s="429">
        <v>0</v>
      </c>
      <c r="J21" s="427"/>
      <c r="K21" s="222" t="s">
        <v>304</v>
      </c>
      <c r="L21" s="222"/>
      <c r="M21" s="222">
        <v>0</v>
      </c>
      <c r="N21" s="429">
        <v>0</v>
      </c>
      <c r="O21" s="222"/>
    </row>
    <row r="22" spans="1:15" x14ac:dyDescent="0.35">
      <c r="A22" s="222" t="s">
        <v>305</v>
      </c>
      <c r="B22" s="222"/>
      <c r="C22" s="222">
        <v>0</v>
      </c>
      <c r="D22" s="429">
        <v>0</v>
      </c>
      <c r="E22" s="427"/>
      <c r="F22" s="222" t="s">
        <v>305</v>
      </c>
      <c r="G22" s="222"/>
      <c r="H22" s="222">
        <v>0</v>
      </c>
      <c r="I22" s="429">
        <v>0</v>
      </c>
      <c r="J22" s="427"/>
      <c r="K22" s="222" t="s">
        <v>305</v>
      </c>
      <c r="L22" s="222"/>
      <c r="M22" s="222">
        <v>0</v>
      </c>
      <c r="N22" s="429">
        <v>0</v>
      </c>
      <c r="O22" s="222"/>
    </row>
    <row r="23" spans="1:15" x14ac:dyDescent="0.35">
      <c r="A23" s="222"/>
      <c r="B23" s="222"/>
      <c r="C23" s="222"/>
      <c r="D23" s="222"/>
      <c r="E23" s="427"/>
      <c r="F23" s="222"/>
      <c r="G23" s="222"/>
      <c r="H23" s="222"/>
      <c r="I23" s="222"/>
      <c r="J23" s="427"/>
      <c r="K23" s="222"/>
      <c r="L23" s="222"/>
      <c r="M23" s="222"/>
      <c r="N23" s="222"/>
      <c r="O23" s="222"/>
    </row>
    <row r="24" spans="1:15" x14ac:dyDescent="0.35">
      <c r="A24" s="222" t="s">
        <v>306</v>
      </c>
      <c r="B24" s="222"/>
      <c r="C24" s="222"/>
      <c r="D24" s="222"/>
      <c r="E24" s="427"/>
      <c r="F24" s="222" t="s">
        <v>306</v>
      </c>
      <c r="G24" s="222"/>
      <c r="H24" s="222"/>
      <c r="I24" s="222"/>
      <c r="J24" s="427"/>
      <c r="K24" s="222" t="s">
        <v>306</v>
      </c>
      <c r="L24" s="222"/>
      <c r="M24" s="222"/>
      <c r="N24" s="222"/>
      <c r="O24" s="222"/>
    </row>
    <row r="25" spans="1:15" x14ac:dyDescent="0.35">
      <c r="A25" s="222"/>
      <c r="B25" s="222"/>
      <c r="C25" s="222"/>
      <c r="D25" s="222"/>
      <c r="E25" s="427"/>
      <c r="F25" s="222"/>
      <c r="G25" s="222"/>
      <c r="H25" s="222"/>
      <c r="I25" s="222"/>
      <c r="J25" s="427"/>
      <c r="K25" s="222"/>
      <c r="L25" s="222"/>
      <c r="M25" s="222"/>
      <c r="N25" s="222"/>
      <c r="O25" s="222"/>
    </row>
    <row r="26" spans="1:15" x14ac:dyDescent="0.35">
      <c r="A26" s="222" t="s">
        <v>307</v>
      </c>
      <c r="B26" s="430" t="s">
        <v>184</v>
      </c>
      <c r="C26" s="430" t="s">
        <v>308</v>
      </c>
      <c r="D26" s="430" t="s">
        <v>309</v>
      </c>
      <c r="E26" s="431" t="s">
        <v>45</v>
      </c>
      <c r="F26" s="222" t="s">
        <v>307</v>
      </c>
      <c r="G26" s="430" t="s">
        <v>184</v>
      </c>
      <c r="H26" s="430" t="s">
        <v>308</v>
      </c>
      <c r="I26" s="430" t="s">
        <v>309</v>
      </c>
      <c r="J26" s="431" t="s">
        <v>45</v>
      </c>
      <c r="K26" s="222" t="s">
        <v>307</v>
      </c>
      <c r="L26" s="430" t="s">
        <v>184</v>
      </c>
      <c r="M26" s="430" t="s">
        <v>308</v>
      </c>
      <c r="N26" s="430" t="s">
        <v>309</v>
      </c>
      <c r="O26" s="428" t="s">
        <v>45</v>
      </c>
    </row>
    <row r="27" spans="1:15" x14ac:dyDescent="0.35">
      <c r="A27" s="222" t="s">
        <v>310</v>
      </c>
      <c r="B27" s="432">
        <v>2534.4</v>
      </c>
      <c r="C27" s="432">
        <v>0</v>
      </c>
      <c r="D27" s="432">
        <v>352</v>
      </c>
      <c r="E27" s="433">
        <v>2886.4</v>
      </c>
      <c r="F27" s="222" t="s">
        <v>310</v>
      </c>
      <c r="G27" s="432">
        <v>2534.4</v>
      </c>
      <c r="H27" s="432">
        <v>0</v>
      </c>
      <c r="I27" s="432">
        <v>352</v>
      </c>
      <c r="J27" s="433">
        <v>2886.4</v>
      </c>
      <c r="K27" s="222" t="s">
        <v>310</v>
      </c>
      <c r="L27" s="432">
        <v>806.4</v>
      </c>
      <c r="M27" s="432">
        <v>0</v>
      </c>
      <c r="N27" s="432">
        <v>0</v>
      </c>
      <c r="O27" s="432">
        <v>806.4</v>
      </c>
    </row>
    <row r="28" spans="1:15" x14ac:dyDescent="0.35">
      <c r="A28" s="222" t="s">
        <v>311</v>
      </c>
      <c r="B28" s="432">
        <v>10940.8</v>
      </c>
      <c r="C28" s="432">
        <v>0</v>
      </c>
      <c r="D28" s="432">
        <v>3067.0860000000002</v>
      </c>
      <c r="E28" s="433">
        <v>14007.885999999999</v>
      </c>
      <c r="F28" s="222" t="s">
        <v>311</v>
      </c>
      <c r="G28" s="432">
        <v>10940.8</v>
      </c>
      <c r="H28" s="432">
        <v>0</v>
      </c>
      <c r="I28" s="432">
        <v>3067.0860000000002</v>
      </c>
      <c r="J28" s="433">
        <v>14007.885999999999</v>
      </c>
      <c r="K28" s="222" t="s">
        <v>311</v>
      </c>
      <c r="L28" s="432">
        <v>5356.8</v>
      </c>
      <c r="M28" s="432">
        <v>0</v>
      </c>
      <c r="N28" s="432">
        <v>643.33600000000001</v>
      </c>
      <c r="O28" s="432">
        <v>6000.1360000000004</v>
      </c>
    </row>
    <row r="29" spans="1:15" x14ac:dyDescent="0.35">
      <c r="A29" s="222" t="s">
        <v>312</v>
      </c>
      <c r="B29" s="432">
        <v>0</v>
      </c>
      <c r="C29" s="432">
        <v>0</v>
      </c>
      <c r="D29" s="432">
        <v>19267.264940997338</v>
      </c>
      <c r="E29" s="433">
        <v>19267.264940997338</v>
      </c>
      <c r="F29" s="222" t="s">
        <v>312</v>
      </c>
      <c r="G29" s="432">
        <v>0</v>
      </c>
      <c r="H29" s="432">
        <v>0</v>
      </c>
      <c r="I29" s="432">
        <v>19267.264940997338</v>
      </c>
      <c r="J29" s="433">
        <v>19267.264940997338</v>
      </c>
      <c r="K29" s="222" t="s">
        <v>312</v>
      </c>
      <c r="L29" s="432">
        <v>0</v>
      </c>
      <c r="M29" s="432">
        <v>0</v>
      </c>
      <c r="N29" s="432">
        <v>365</v>
      </c>
      <c r="O29" s="432">
        <v>365</v>
      </c>
    </row>
    <row r="30" spans="1:15" x14ac:dyDescent="0.35">
      <c r="A30" s="222" t="s">
        <v>313</v>
      </c>
      <c r="B30" s="432">
        <v>0</v>
      </c>
      <c r="C30" s="432">
        <v>0</v>
      </c>
      <c r="D30" s="432">
        <v>103044.34716406549</v>
      </c>
      <c r="E30" s="433">
        <v>103044.34716406549</v>
      </c>
      <c r="F30" s="222" t="s">
        <v>313</v>
      </c>
      <c r="G30" s="432">
        <v>0</v>
      </c>
      <c r="H30" s="432">
        <v>0</v>
      </c>
      <c r="I30" s="432">
        <v>48762.874952417209</v>
      </c>
      <c r="J30" s="433">
        <v>48762.874952417209</v>
      </c>
      <c r="K30" s="222" t="s">
        <v>313</v>
      </c>
      <c r="L30" s="432">
        <v>0</v>
      </c>
      <c r="M30" s="432">
        <v>0</v>
      </c>
      <c r="N30" s="432">
        <v>33432.165968785695</v>
      </c>
      <c r="O30" s="432">
        <v>33432.165968785695</v>
      </c>
    </row>
    <row r="31" spans="1:15" x14ac:dyDescent="0.35">
      <c r="A31" s="222" t="s">
        <v>314</v>
      </c>
      <c r="B31" s="432">
        <v>6762.24</v>
      </c>
      <c r="C31" s="432">
        <v>0</v>
      </c>
      <c r="D31" s="432">
        <v>11978.5</v>
      </c>
      <c r="E31" s="433">
        <v>18740.739999999998</v>
      </c>
      <c r="F31" s="222" t="s">
        <v>314</v>
      </c>
      <c r="G31" s="432">
        <v>4818.24</v>
      </c>
      <c r="H31" s="432">
        <v>0</v>
      </c>
      <c r="I31" s="432">
        <v>11978.5</v>
      </c>
      <c r="J31" s="433">
        <v>16796.739999999998</v>
      </c>
      <c r="K31" s="222" t="s">
        <v>314</v>
      </c>
      <c r="L31" s="432">
        <v>2419.1999999999998</v>
      </c>
      <c r="M31" s="432">
        <v>0</v>
      </c>
      <c r="N31" s="432">
        <v>12019.375</v>
      </c>
      <c r="O31" s="432">
        <v>14438.575000000001</v>
      </c>
    </row>
    <row r="32" spans="1:15" x14ac:dyDescent="0.35">
      <c r="A32" s="222" t="s">
        <v>315</v>
      </c>
      <c r="B32" s="432">
        <v>2244.2399999999998</v>
      </c>
      <c r="C32" s="432">
        <v>33854.619999999995</v>
      </c>
      <c r="D32" s="432">
        <v>627.5</v>
      </c>
      <c r="E32" s="433">
        <v>36726.359999999993</v>
      </c>
      <c r="F32" s="222" t="s">
        <v>315</v>
      </c>
      <c r="G32" s="432">
        <v>2129.04</v>
      </c>
      <c r="H32" s="432">
        <v>8463.1949999999997</v>
      </c>
      <c r="I32" s="432">
        <v>502.5</v>
      </c>
      <c r="J32" s="433">
        <v>11094.735000000001</v>
      </c>
      <c r="K32" s="222" t="s">
        <v>315</v>
      </c>
      <c r="L32" s="432">
        <v>3639.12</v>
      </c>
      <c r="M32" s="432">
        <v>26469.894999999997</v>
      </c>
      <c r="N32" s="432">
        <v>692.5</v>
      </c>
      <c r="O32" s="432">
        <v>30801.514999999996</v>
      </c>
    </row>
    <row r="33" spans="1:15" x14ac:dyDescent="0.35">
      <c r="A33" s="222" t="s">
        <v>316</v>
      </c>
      <c r="B33" s="220">
        <v>2570.4960000000001</v>
      </c>
      <c r="C33" s="220">
        <v>11981.068000000001</v>
      </c>
      <c r="D33" s="220">
        <v>692</v>
      </c>
      <c r="E33" s="221">
        <v>15243.564000000002</v>
      </c>
      <c r="F33" s="222" t="s">
        <v>316</v>
      </c>
      <c r="G33" s="220">
        <v>2570.4960000000001</v>
      </c>
      <c r="H33" s="220">
        <v>11981.068000000001</v>
      </c>
      <c r="I33" s="220">
        <v>692</v>
      </c>
      <c r="J33" s="221">
        <v>15243.564000000002</v>
      </c>
      <c r="K33" s="222" t="s">
        <v>316</v>
      </c>
      <c r="L33" s="220">
        <v>2305.5360000000001</v>
      </c>
      <c r="M33" s="220">
        <v>10444.093000000001</v>
      </c>
      <c r="N33" s="220">
        <v>692</v>
      </c>
      <c r="O33" s="220">
        <v>13441.629000000001</v>
      </c>
    </row>
    <row r="34" spans="1:15" x14ac:dyDescent="0.35">
      <c r="A34" s="222"/>
      <c r="B34" s="432">
        <v>25052.175999999999</v>
      </c>
      <c r="C34" s="432">
        <v>45835.687999999995</v>
      </c>
      <c r="D34" s="432">
        <v>139028.69810506282</v>
      </c>
      <c r="E34" s="433">
        <v>209916.56210506283</v>
      </c>
      <c r="F34" s="222"/>
      <c r="G34" s="432">
        <v>22992.975999999999</v>
      </c>
      <c r="H34" s="432">
        <v>20444.262999999999</v>
      </c>
      <c r="I34" s="432">
        <v>84622.22589341455</v>
      </c>
      <c r="J34" s="433">
        <v>128059.46489341455</v>
      </c>
      <c r="K34" s="222"/>
      <c r="L34" s="432">
        <v>14527.056</v>
      </c>
      <c r="M34" s="432">
        <v>36913.987999999998</v>
      </c>
      <c r="N34" s="432">
        <v>47844.376968785698</v>
      </c>
      <c r="O34" s="432">
        <v>99285.420968785693</v>
      </c>
    </row>
    <row r="35" spans="1:15" x14ac:dyDescent="0.35">
      <c r="A35" s="222"/>
      <c r="B35" s="222"/>
      <c r="C35" s="222"/>
      <c r="D35" s="222"/>
      <c r="E35" s="427"/>
      <c r="F35" s="222"/>
      <c r="G35" s="222"/>
      <c r="H35" s="222"/>
      <c r="I35" s="222"/>
      <c r="J35" s="427"/>
      <c r="K35" s="222"/>
      <c r="L35" s="222"/>
      <c r="M35" s="222"/>
      <c r="N35" s="222"/>
      <c r="O35" s="222"/>
    </row>
    <row r="36" spans="1:15" x14ac:dyDescent="0.35">
      <c r="A36" s="222" t="s">
        <v>317</v>
      </c>
      <c r="B36" s="222"/>
      <c r="C36" s="222"/>
      <c r="D36" s="222"/>
      <c r="E36" s="427"/>
      <c r="F36" s="222" t="s">
        <v>317</v>
      </c>
      <c r="G36" s="222"/>
      <c r="H36" s="222"/>
      <c r="I36" s="222"/>
      <c r="J36" s="427"/>
      <c r="K36" s="222" t="s">
        <v>317</v>
      </c>
      <c r="L36" s="222"/>
      <c r="M36" s="222"/>
      <c r="N36" s="222"/>
      <c r="O36" s="222"/>
    </row>
    <row r="37" spans="1:15" x14ac:dyDescent="0.35">
      <c r="A37" s="222" t="s">
        <v>318</v>
      </c>
      <c r="B37" s="432">
        <v>11016</v>
      </c>
      <c r="C37" s="432">
        <v>0</v>
      </c>
      <c r="D37" s="432">
        <v>999.99999999999977</v>
      </c>
      <c r="E37" s="433">
        <v>12016</v>
      </c>
      <c r="F37" s="222" t="s">
        <v>318</v>
      </c>
      <c r="G37" s="432">
        <v>6017.76</v>
      </c>
      <c r="H37" s="432">
        <v>0</v>
      </c>
      <c r="I37" s="432">
        <v>999.99999999999977</v>
      </c>
      <c r="J37" s="433">
        <v>7017.76</v>
      </c>
      <c r="K37" s="222" t="s">
        <v>318</v>
      </c>
      <c r="L37" s="432">
        <v>1101.5999999999999</v>
      </c>
      <c r="M37" s="432">
        <v>0</v>
      </c>
      <c r="N37" s="432">
        <v>0</v>
      </c>
      <c r="O37" s="432">
        <v>1101.5999999999999</v>
      </c>
    </row>
    <row r="38" spans="1:15" x14ac:dyDescent="0.35">
      <c r="A38" s="222" t="s">
        <v>319</v>
      </c>
      <c r="B38" s="432">
        <v>885.14678399999991</v>
      </c>
      <c r="C38" s="432">
        <v>33484.552794499999</v>
      </c>
      <c r="D38" s="432">
        <v>0</v>
      </c>
      <c r="E38" s="433">
        <v>34369.699578499996</v>
      </c>
      <c r="F38" s="222" t="s">
        <v>319</v>
      </c>
      <c r="G38" s="432">
        <v>885.14678399999991</v>
      </c>
      <c r="H38" s="432">
        <v>8020.6777944999994</v>
      </c>
      <c r="I38" s="432">
        <v>0</v>
      </c>
      <c r="J38" s="433">
        <v>8905.8245784999999</v>
      </c>
      <c r="K38" s="222" t="s">
        <v>319</v>
      </c>
      <c r="L38" s="432">
        <v>0</v>
      </c>
      <c r="M38" s="432">
        <v>0</v>
      </c>
      <c r="N38" s="432">
        <v>0</v>
      </c>
      <c r="O38" s="432">
        <v>0</v>
      </c>
    </row>
    <row r="39" spans="1:15" x14ac:dyDescent="0.35">
      <c r="A39" s="222" t="s">
        <v>320</v>
      </c>
      <c r="B39" s="432">
        <v>0</v>
      </c>
      <c r="C39" s="432">
        <v>0</v>
      </c>
      <c r="D39" s="432">
        <v>0</v>
      </c>
      <c r="E39" s="433">
        <v>0</v>
      </c>
      <c r="F39" s="222" t="s">
        <v>320</v>
      </c>
      <c r="G39" s="432">
        <v>0</v>
      </c>
      <c r="H39" s="432">
        <v>0</v>
      </c>
      <c r="I39" s="432">
        <v>0</v>
      </c>
      <c r="J39" s="433">
        <v>0</v>
      </c>
      <c r="K39" s="222" t="s">
        <v>320</v>
      </c>
      <c r="L39" s="432">
        <v>388.62815999999998</v>
      </c>
      <c r="M39" s="432">
        <v>5691.8063199999997</v>
      </c>
      <c r="N39" s="432">
        <v>19.055</v>
      </c>
      <c r="O39" s="432">
        <v>6099.4894800000002</v>
      </c>
    </row>
    <row r="40" spans="1:15" x14ac:dyDescent="0.35">
      <c r="A40" s="222" t="s">
        <v>321</v>
      </c>
      <c r="B40" s="432">
        <v>0</v>
      </c>
      <c r="C40" s="432">
        <v>0</v>
      </c>
      <c r="D40" s="432">
        <v>0</v>
      </c>
      <c r="E40" s="433">
        <v>0</v>
      </c>
      <c r="F40" s="222" t="s">
        <v>321</v>
      </c>
      <c r="G40" s="432">
        <v>0</v>
      </c>
      <c r="H40" s="432">
        <v>0</v>
      </c>
      <c r="I40" s="432">
        <v>0</v>
      </c>
      <c r="J40" s="433">
        <v>0</v>
      </c>
      <c r="K40" s="222" t="s">
        <v>321</v>
      </c>
      <c r="L40" s="432">
        <v>816</v>
      </c>
      <c r="M40" s="432">
        <v>9830.1999999999989</v>
      </c>
      <c r="N40" s="432">
        <v>50</v>
      </c>
      <c r="O40" s="432">
        <v>10696.199999999999</v>
      </c>
    </row>
    <row r="41" spans="1:15" x14ac:dyDescent="0.35">
      <c r="A41" s="222" t="s">
        <v>322</v>
      </c>
      <c r="B41" s="432">
        <v>1163.52</v>
      </c>
      <c r="C41" s="432">
        <v>0</v>
      </c>
      <c r="D41" s="432">
        <v>15881.25</v>
      </c>
      <c r="E41" s="433">
        <v>17044.77</v>
      </c>
      <c r="F41" s="222" t="s">
        <v>322</v>
      </c>
      <c r="G41" s="432">
        <v>1284.48</v>
      </c>
      <c r="H41" s="432">
        <v>0</v>
      </c>
      <c r="I41" s="432">
        <v>1068.75</v>
      </c>
      <c r="J41" s="433">
        <v>2353.23</v>
      </c>
      <c r="K41" s="222" t="s">
        <v>322</v>
      </c>
      <c r="L41" s="432">
        <v>585.61487999999997</v>
      </c>
      <c r="M41" s="432">
        <v>0</v>
      </c>
      <c r="N41" s="432">
        <v>620</v>
      </c>
      <c r="O41" s="432">
        <v>1205.6148800000001</v>
      </c>
    </row>
    <row r="42" spans="1:15" x14ac:dyDescent="0.35">
      <c r="A42" s="222" t="s">
        <v>323</v>
      </c>
      <c r="B42" s="432">
        <v>1252.8</v>
      </c>
      <c r="C42" s="432">
        <v>0</v>
      </c>
      <c r="D42" s="432">
        <v>160</v>
      </c>
      <c r="E42" s="433">
        <v>1412.8</v>
      </c>
      <c r="F42" s="222" t="s">
        <v>323</v>
      </c>
      <c r="G42" s="432">
        <v>1252.8</v>
      </c>
      <c r="H42" s="432">
        <v>0</v>
      </c>
      <c r="I42" s="432">
        <v>160</v>
      </c>
      <c r="J42" s="433">
        <v>1412.8</v>
      </c>
      <c r="K42" s="222" t="s">
        <v>323</v>
      </c>
      <c r="L42" s="432">
        <v>5448</v>
      </c>
      <c r="M42" s="432">
        <v>0</v>
      </c>
      <c r="N42" s="432">
        <v>40</v>
      </c>
      <c r="O42" s="432">
        <v>5488</v>
      </c>
    </row>
    <row r="43" spans="1:15" x14ac:dyDescent="0.35">
      <c r="A43" s="222" t="s">
        <v>324</v>
      </c>
      <c r="B43" s="432">
        <v>2074.3199999999997</v>
      </c>
      <c r="C43" s="432">
        <v>0</v>
      </c>
      <c r="D43" s="432">
        <v>3196.3494480395893</v>
      </c>
      <c r="E43" s="433">
        <v>5270.669448039589</v>
      </c>
      <c r="F43" s="222" t="s">
        <v>324</v>
      </c>
      <c r="G43" s="432">
        <v>2074.3199999999997</v>
      </c>
      <c r="H43" s="432">
        <v>0</v>
      </c>
      <c r="I43" s="432">
        <v>1618.2803578226117</v>
      </c>
      <c r="J43" s="433">
        <v>3692.6003578226114</v>
      </c>
      <c r="K43" s="222" t="s">
        <v>324</v>
      </c>
      <c r="L43" s="432">
        <v>1409.28</v>
      </c>
      <c r="M43" s="432">
        <v>0</v>
      </c>
      <c r="N43" s="432">
        <v>1360.1294251998479</v>
      </c>
      <c r="O43" s="432">
        <v>2769.4094251998476</v>
      </c>
    </row>
    <row r="44" spans="1:15" x14ac:dyDescent="0.35">
      <c r="A44" s="222" t="s">
        <v>325</v>
      </c>
      <c r="B44" s="220">
        <v>3567.4298623999998</v>
      </c>
      <c r="C44" s="220">
        <v>6527.0019711999994</v>
      </c>
      <c r="D44" s="220">
        <v>19797.686610160945</v>
      </c>
      <c r="E44" s="221">
        <v>29892.118443760945</v>
      </c>
      <c r="F44" s="222" t="s">
        <v>325</v>
      </c>
      <c r="G44" s="220">
        <v>3274.1997824</v>
      </c>
      <c r="H44" s="220">
        <v>2911.2630511999996</v>
      </c>
      <c r="I44" s="220">
        <v>12050.204967222231</v>
      </c>
      <c r="J44" s="221">
        <v>18235.66780082223</v>
      </c>
      <c r="K44" s="222" t="s">
        <v>325</v>
      </c>
      <c r="L44" s="220">
        <v>2068.6527744</v>
      </c>
      <c r="M44" s="220">
        <v>5256.5518911999998</v>
      </c>
      <c r="N44" s="220">
        <v>6813.0392803550831</v>
      </c>
      <c r="O44" s="220">
        <v>14138.243945955084</v>
      </c>
    </row>
    <row r="45" spans="1:15" x14ac:dyDescent="0.35">
      <c r="A45" s="222"/>
      <c r="B45" s="222"/>
      <c r="C45" s="222"/>
      <c r="D45" s="222"/>
      <c r="E45" s="427"/>
      <c r="F45" s="222"/>
      <c r="G45" s="222"/>
      <c r="H45" s="222"/>
      <c r="I45" s="222"/>
      <c r="J45" s="427"/>
      <c r="K45" s="222"/>
      <c r="L45" s="222"/>
      <c r="M45" s="222"/>
      <c r="N45" s="222"/>
      <c r="O45" s="222"/>
    </row>
    <row r="46" spans="1:15" x14ac:dyDescent="0.35">
      <c r="A46" s="222" t="s">
        <v>326</v>
      </c>
      <c r="B46" s="432">
        <v>16391.786784</v>
      </c>
      <c r="C46" s="432">
        <v>33484.552794499999</v>
      </c>
      <c r="D46" s="432">
        <v>20237.599448039589</v>
      </c>
      <c r="E46" s="433">
        <v>70113.939026539592</v>
      </c>
      <c r="F46" s="222" t="s">
        <v>326</v>
      </c>
      <c r="G46" s="432">
        <v>11514.506783999999</v>
      </c>
      <c r="H46" s="432">
        <v>8020.6777944999994</v>
      </c>
      <c r="I46" s="432">
        <v>3847.0303578226117</v>
      </c>
      <c r="J46" s="433">
        <v>23382.214936322613</v>
      </c>
      <c r="K46" s="222" t="s">
        <v>326</v>
      </c>
      <c r="L46" s="432">
        <v>9749.1230400000004</v>
      </c>
      <c r="M46" s="434">
        <v>15522.006319999999</v>
      </c>
      <c r="N46" s="432">
        <v>2089.1844251998482</v>
      </c>
      <c r="O46" s="432">
        <v>27360.313785199847</v>
      </c>
    </row>
    <row r="47" spans="1:15" x14ac:dyDescent="0.35">
      <c r="A47" s="222" t="s">
        <v>327</v>
      </c>
      <c r="B47" s="432">
        <v>19959.2166464</v>
      </c>
      <c r="C47" s="432">
        <v>40011.554765699999</v>
      </c>
      <c r="D47" s="432">
        <v>40035.286058200538</v>
      </c>
      <c r="E47" s="435">
        <v>100006.05747030054</v>
      </c>
      <c r="F47" s="222" t="s">
        <v>327</v>
      </c>
      <c r="G47" s="432">
        <v>14788.7065664</v>
      </c>
      <c r="H47" s="432">
        <v>10931.940845699999</v>
      </c>
      <c r="I47" s="432">
        <v>15897.235325044843</v>
      </c>
      <c r="J47" s="435">
        <v>41617.882737144842</v>
      </c>
      <c r="K47" s="222" t="s">
        <v>327</v>
      </c>
      <c r="L47" s="432">
        <v>11817.7758144</v>
      </c>
      <c r="M47" s="432">
        <v>20778.558211199997</v>
      </c>
      <c r="N47" s="432">
        <v>8902.2237055549303</v>
      </c>
      <c r="O47" s="434">
        <v>41498.557731154928</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38"/>
  <sheetViews>
    <sheetView topLeftCell="C1" zoomScale="85" zoomScaleNormal="85" workbookViewId="0">
      <selection activeCell="U3" sqref="U3"/>
    </sheetView>
  </sheetViews>
  <sheetFormatPr defaultRowHeight="14.5" x14ac:dyDescent="0.35"/>
  <cols>
    <col min="1" max="1" width="18.1796875" customWidth="1"/>
    <col min="2" max="2" width="12.54296875" customWidth="1"/>
    <col min="5" max="6" width="12.1796875" customWidth="1"/>
    <col min="8" max="8" width="12" customWidth="1"/>
    <col min="10" max="10" width="13.7265625" customWidth="1"/>
    <col min="12" max="12" width="18.7265625" customWidth="1"/>
    <col min="19" max="19" width="0" hidden="1" customWidth="1"/>
    <col min="23" max="23" width="26.54296875" customWidth="1"/>
    <col min="24" max="24" width="10.54296875" bestFit="1" customWidth="1"/>
    <col min="30" max="30" width="14" customWidth="1"/>
    <col min="31" max="31" width="9.54296875" bestFit="1" customWidth="1"/>
    <col min="33" max="40" width="0" hidden="1" customWidth="1"/>
  </cols>
  <sheetData>
    <row r="1" spans="1:40" ht="15" customHeight="1" x14ac:dyDescent="0.35">
      <c r="A1" s="243" t="s">
        <v>328</v>
      </c>
      <c r="B1" s="549" t="s">
        <v>329</v>
      </c>
      <c r="C1" s="549"/>
      <c r="D1" s="549"/>
      <c r="E1" s="244"/>
      <c r="F1" s="549" t="s">
        <v>330</v>
      </c>
      <c r="G1" s="549"/>
      <c r="H1" s="549"/>
      <c r="I1" s="244"/>
      <c r="J1" s="549" t="s">
        <v>331</v>
      </c>
      <c r="K1" s="549"/>
      <c r="L1" s="549"/>
      <c r="R1" t="s">
        <v>332</v>
      </c>
      <c r="S1" t="s">
        <v>333</v>
      </c>
      <c r="T1" s="549" t="s">
        <v>330</v>
      </c>
      <c r="U1" s="549"/>
      <c r="V1" s="549"/>
      <c r="W1" s="392" t="s">
        <v>334</v>
      </c>
      <c r="X1" s="547" t="s">
        <v>335</v>
      </c>
      <c r="Y1" s="547"/>
      <c r="Z1" s="547"/>
      <c r="AG1" s="547" t="s">
        <v>336</v>
      </c>
      <c r="AH1" s="547"/>
      <c r="AI1" s="547"/>
    </row>
    <row r="2" spans="1:40" x14ac:dyDescent="0.35">
      <c r="A2" s="243">
        <v>610</v>
      </c>
      <c r="B2" s="426" t="s">
        <v>337</v>
      </c>
      <c r="C2" s="426" t="s">
        <v>338</v>
      </c>
      <c r="D2" s="426" t="s">
        <v>339</v>
      </c>
      <c r="E2" s="244"/>
      <c r="F2" s="426" t="s">
        <v>340</v>
      </c>
      <c r="G2" s="426" t="s">
        <v>338</v>
      </c>
      <c r="H2" s="426" t="s">
        <v>339</v>
      </c>
      <c r="I2" s="244"/>
      <c r="J2" s="426" t="s">
        <v>340</v>
      </c>
      <c r="K2" s="426" t="s">
        <v>338</v>
      </c>
      <c r="L2" s="426" t="s">
        <v>339</v>
      </c>
      <c r="T2" s="426" t="s">
        <v>340</v>
      </c>
      <c r="U2" s="426" t="s">
        <v>338</v>
      </c>
      <c r="V2" s="426" t="s">
        <v>339</v>
      </c>
      <c r="W2" s="177"/>
      <c r="X2" s="393" t="s">
        <v>3</v>
      </c>
      <c r="Y2" s="393" t="s">
        <v>4</v>
      </c>
      <c r="Z2" s="393" t="s">
        <v>5</v>
      </c>
      <c r="AG2" s="393" t="s">
        <v>3</v>
      </c>
      <c r="AH2" s="393" t="s">
        <v>4</v>
      </c>
      <c r="AI2" s="393" t="s">
        <v>5</v>
      </c>
    </row>
    <row r="3" spans="1:40" x14ac:dyDescent="0.35">
      <c r="A3" s="391">
        <f>314+58</f>
        <v>372</v>
      </c>
      <c r="B3" s="343" t="s">
        <v>341</v>
      </c>
      <c r="C3" s="357">
        <f>A3*D3/100</f>
        <v>282.72000000000003</v>
      </c>
      <c r="D3" s="345">
        <v>76</v>
      </c>
      <c r="E3" s="346"/>
      <c r="F3" s="343" t="s">
        <v>342</v>
      </c>
      <c r="G3" s="358">
        <f>A3*H3/100</f>
        <v>372</v>
      </c>
      <c r="H3" s="345">
        <v>100</v>
      </c>
      <c r="I3" s="346"/>
      <c r="J3" s="343" t="s">
        <v>343</v>
      </c>
      <c r="K3" s="357">
        <f>L3*$A$3/100</f>
        <v>3.72</v>
      </c>
      <c r="L3" s="345">
        <v>1</v>
      </c>
      <c r="N3" t="s">
        <v>344</v>
      </c>
      <c r="R3">
        <f>U3/3</f>
        <v>47.120000000000005</v>
      </c>
      <c r="S3">
        <f>U3/2</f>
        <v>70.680000000000007</v>
      </c>
      <c r="T3" s="343" t="s">
        <v>345</v>
      </c>
      <c r="U3" s="359">
        <f>V3*$A$3</f>
        <v>141.36000000000001</v>
      </c>
      <c r="V3" s="397">
        <f>1-V4-V5</f>
        <v>0.38</v>
      </c>
      <c r="W3" s="177" t="s">
        <v>345</v>
      </c>
      <c r="X3" s="336">
        <f>U3+X8</f>
        <v>141.36000000000001</v>
      </c>
      <c r="Y3" s="336">
        <f>X3+Y8</f>
        <v>141.36000000000001</v>
      </c>
      <c r="Z3" s="336">
        <f>Y3+Z8</f>
        <v>141.36000000000001</v>
      </c>
      <c r="AG3" s="336">
        <f>U3</f>
        <v>141.36000000000001</v>
      </c>
      <c r="AH3" s="336">
        <f>U3+AG8</f>
        <v>256.68</v>
      </c>
      <c r="AI3" s="336">
        <f>AH3+AH8</f>
        <v>372</v>
      </c>
    </row>
    <row r="4" spans="1:40" x14ac:dyDescent="0.35">
      <c r="A4" s="245"/>
      <c r="B4" s="343"/>
      <c r="C4" s="344"/>
      <c r="D4" s="345"/>
      <c r="E4" s="346"/>
      <c r="F4" s="343"/>
      <c r="G4" s="347"/>
      <c r="H4" s="345"/>
      <c r="I4" s="346"/>
      <c r="J4" s="343" t="s">
        <v>346</v>
      </c>
      <c r="K4" s="357">
        <f>L4*$A$3/100</f>
        <v>305.04000000000002</v>
      </c>
      <c r="L4" s="345">
        <v>82</v>
      </c>
      <c r="N4" s="247">
        <f>AVERAGE(D3,H3,(L3+L4))/100</f>
        <v>0.86333333333333329</v>
      </c>
      <c r="R4">
        <f>U4/3</f>
        <v>2.48</v>
      </c>
      <c r="S4">
        <f>U4/2</f>
        <v>3.72</v>
      </c>
      <c r="T4" s="343" t="s">
        <v>347</v>
      </c>
      <c r="U4" s="359">
        <f>V4*$A$3</f>
        <v>7.44</v>
      </c>
      <c r="V4" s="396">
        <v>0.02</v>
      </c>
      <c r="W4" s="177" t="s">
        <v>347</v>
      </c>
      <c r="X4" s="394">
        <f>U4</f>
        <v>7.44</v>
      </c>
      <c r="Y4" s="394">
        <f>U4</f>
        <v>7.44</v>
      </c>
      <c r="Z4" s="394">
        <f>U4</f>
        <v>7.44</v>
      </c>
      <c r="AG4" s="336">
        <f>U4-S4</f>
        <v>3.72</v>
      </c>
      <c r="AH4" s="336">
        <f>AG4-S4</f>
        <v>0</v>
      </c>
      <c r="AI4" s="336">
        <v>0</v>
      </c>
    </row>
    <row r="5" spans="1:40" x14ac:dyDescent="0.35">
      <c r="A5" s="245"/>
      <c r="B5" s="343" t="s">
        <v>348</v>
      </c>
      <c r="C5" s="357">
        <f>A3*D5/100</f>
        <v>89.28</v>
      </c>
      <c r="D5" s="345">
        <v>24</v>
      </c>
      <c r="E5" s="346"/>
      <c r="F5" s="343" t="s">
        <v>348</v>
      </c>
      <c r="G5" s="358">
        <f>A3*H5/100</f>
        <v>0</v>
      </c>
      <c r="H5" s="345">
        <v>0</v>
      </c>
      <c r="I5" s="346"/>
      <c r="J5" s="343" t="s">
        <v>348</v>
      </c>
      <c r="K5" s="357">
        <f>L5*$A$3/100</f>
        <v>63.24</v>
      </c>
      <c r="L5" s="345">
        <v>17</v>
      </c>
      <c r="N5" t="s">
        <v>349</v>
      </c>
      <c r="R5">
        <f>U5/3</f>
        <v>74.399999999999991</v>
      </c>
      <c r="S5">
        <f>U5/2</f>
        <v>111.6</v>
      </c>
      <c r="T5" s="343" t="s">
        <v>348</v>
      </c>
      <c r="U5" s="359">
        <f>V5*$A$3</f>
        <v>223.2</v>
      </c>
      <c r="V5" s="397">
        <v>0.6</v>
      </c>
      <c r="W5" s="177" t="s">
        <v>348</v>
      </c>
      <c r="X5" s="336">
        <f>U5</f>
        <v>223.2</v>
      </c>
      <c r="Y5" s="336">
        <f>U5</f>
        <v>223.2</v>
      </c>
      <c r="Z5" s="336">
        <f>U5</f>
        <v>223.2</v>
      </c>
      <c r="AG5" s="336">
        <f>U5-S5</f>
        <v>111.6</v>
      </c>
      <c r="AH5" s="336">
        <f>AG5-S5</f>
        <v>0</v>
      </c>
      <c r="AI5" s="336">
        <v>0</v>
      </c>
    </row>
    <row r="6" spans="1:40" x14ac:dyDescent="0.35">
      <c r="A6" s="245"/>
      <c r="B6" s="346"/>
      <c r="C6" s="348"/>
      <c r="D6" s="348"/>
      <c r="E6" s="346"/>
      <c r="F6" s="346"/>
      <c r="G6" s="348"/>
      <c r="H6" s="348"/>
      <c r="I6" s="346"/>
      <c r="J6" s="346"/>
      <c r="K6" s="348"/>
      <c r="L6" s="348"/>
      <c r="N6" s="247">
        <f>AVERAGE(H5,L5,D5)/100</f>
        <v>0.13666666666666666</v>
      </c>
      <c r="T6" s="346"/>
      <c r="U6" s="348"/>
      <c r="V6" s="348"/>
      <c r="W6" s="177"/>
      <c r="X6" s="177"/>
      <c r="Y6" s="177"/>
      <c r="Z6" s="177"/>
      <c r="AG6" s="177"/>
      <c r="AH6" s="177"/>
      <c r="AI6" s="177"/>
    </row>
    <row r="7" spans="1:40" x14ac:dyDescent="0.35">
      <c r="A7" s="244"/>
      <c r="B7" s="550" t="s">
        <v>350</v>
      </c>
      <c r="C7" s="551"/>
      <c r="D7" s="551"/>
      <c r="E7" s="551"/>
      <c r="F7" s="551"/>
      <c r="G7" s="551"/>
      <c r="H7" s="551"/>
      <c r="I7" s="551"/>
      <c r="J7" s="551"/>
      <c r="K7" s="551"/>
      <c r="L7" s="552"/>
      <c r="T7" s="551" t="str">
        <f>B7</f>
        <v xml:space="preserve">Coal: Bituminous Coal, Subbituminous Coal, Waste Coal - anthracite culm, bituminous gob, fine coal, lignite waste, waste coal
</v>
      </c>
      <c r="U7" s="551"/>
      <c r="V7" s="551"/>
      <c r="W7" s="392" t="s">
        <v>351</v>
      </c>
      <c r="X7" s="177"/>
      <c r="Y7" s="177"/>
      <c r="Z7" s="177"/>
      <c r="AG7" s="177"/>
      <c r="AH7" s="177"/>
      <c r="AI7" s="177"/>
    </row>
    <row r="8" spans="1:40" x14ac:dyDescent="0.35">
      <c r="A8" s="243">
        <v>522</v>
      </c>
      <c r="B8" s="246" t="s">
        <v>73</v>
      </c>
      <c r="C8" s="426" t="s">
        <v>338</v>
      </c>
      <c r="D8" s="426" t="s">
        <v>339</v>
      </c>
      <c r="E8" s="346"/>
      <c r="F8" s="246" t="s">
        <v>73</v>
      </c>
      <c r="G8" s="426" t="s">
        <v>338</v>
      </c>
      <c r="H8" s="426" t="s">
        <v>339</v>
      </c>
      <c r="I8" s="346"/>
      <c r="J8" s="246" t="s">
        <v>73</v>
      </c>
      <c r="K8" s="426" t="s">
        <v>338</v>
      </c>
      <c r="L8" s="426" t="s">
        <v>339</v>
      </c>
      <c r="N8" s="211"/>
      <c r="T8" s="246" t="s">
        <v>73</v>
      </c>
      <c r="U8" s="426" t="s">
        <v>338</v>
      </c>
      <c r="V8" s="426" t="s">
        <v>339</v>
      </c>
      <c r="W8" s="177" t="s">
        <v>345</v>
      </c>
      <c r="X8" s="177">
        <v>0</v>
      </c>
      <c r="Y8" s="177">
        <v>0</v>
      </c>
      <c r="Z8" s="177">
        <v>0</v>
      </c>
      <c r="AC8" s="177" t="s">
        <v>352</v>
      </c>
      <c r="AD8" s="177"/>
      <c r="AE8" s="395">
        <f>$X$8*'Table 1c-Avg'!$F$11</f>
        <v>0</v>
      </c>
      <c r="AG8" s="177">
        <f>S5+S4</f>
        <v>115.32</v>
      </c>
      <c r="AH8" s="177">
        <f>S5+S4</f>
        <v>115.32</v>
      </c>
      <c r="AI8" s="177">
        <v>0</v>
      </c>
      <c r="AL8" s="177" t="s">
        <v>352</v>
      </c>
      <c r="AM8" s="177"/>
      <c r="AN8" s="395">
        <f>$AG$8*'Table 1c-Avg'!$F$11</f>
        <v>96.06657391304347</v>
      </c>
    </row>
    <row r="9" spans="1:40" x14ac:dyDescent="0.35">
      <c r="A9" s="245">
        <f>A8/A2</f>
        <v>0.8557377049180328</v>
      </c>
      <c r="B9" s="343" t="s">
        <v>341</v>
      </c>
      <c r="C9" s="357">
        <f>A10*D9/100</f>
        <v>263.76</v>
      </c>
      <c r="D9" s="345">
        <v>84</v>
      </c>
      <c r="E9" s="346"/>
      <c r="F9" s="343" t="s">
        <v>342</v>
      </c>
      <c r="G9" s="359">
        <f>A10*H9/100</f>
        <v>314</v>
      </c>
      <c r="H9" s="345">
        <v>100</v>
      </c>
      <c r="I9" s="346"/>
      <c r="J9" s="343" t="s">
        <v>343</v>
      </c>
      <c r="K9" s="357">
        <f>L9*A10/100</f>
        <v>3.14</v>
      </c>
      <c r="L9" s="345">
        <v>1</v>
      </c>
      <c r="T9" s="343" t="s">
        <v>342</v>
      </c>
      <c r="U9" s="357">
        <f>A10*V9/100</f>
        <v>113.04</v>
      </c>
      <c r="V9" s="345">
        <v>36</v>
      </c>
      <c r="W9" s="177"/>
      <c r="X9" s="177"/>
      <c r="Y9" s="177"/>
      <c r="Z9" s="177"/>
      <c r="AC9" s="177" t="s">
        <v>353</v>
      </c>
      <c r="AD9" s="177"/>
      <c r="AE9" s="395">
        <f>$X$8*'Table 1c-Avg'!$F$12</f>
        <v>0</v>
      </c>
      <c r="AG9" s="177"/>
      <c r="AH9" s="177"/>
      <c r="AI9" s="177"/>
      <c r="AL9" s="177" t="s">
        <v>353</v>
      </c>
      <c r="AM9" s="177"/>
      <c r="AN9" s="395">
        <f>$AG$8*'Table 1c-Avg'!$F$12</f>
        <v>19.253426086956523</v>
      </c>
    </row>
    <row r="10" spans="1:40" x14ac:dyDescent="0.35">
      <c r="A10" s="356">
        <v>314</v>
      </c>
      <c r="B10" s="343"/>
      <c r="C10" s="344"/>
      <c r="D10" s="345"/>
      <c r="E10" s="346"/>
      <c r="F10" s="343"/>
      <c r="G10" s="347"/>
      <c r="H10" s="345"/>
      <c r="I10" s="346"/>
      <c r="J10" s="343" t="s">
        <v>346</v>
      </c>
      <c r="K10" s="357">
        <f>L10*A10/100</f>
        <v>285.74</v>
      </c>
      <c r="L10" s="345">
        <v>91</v>
      </c>
      <c r="T10" s="343"/>
      <c r="U10" s="344"/>
      <c r="V10" s="345"/>
      <c r="W10" s="177"/>
      <c r="X10" s="393" t="s">
        <v>3</v>
      </c>
      <c r="Y10" s="393" t="s">
        <v>4</v>
      </c>
      <c r="Z10" s="393" t="s">
        <v>5</v>
      </c>
      <c r="AG10" s="393" t="s">
        <v>3</v>
      </c>
      <c r="AH10" s="393" t="s">
        <v>4</v>
      </c>
      <c r="AI10" s="393" t="s">
        <v>5</v>
      </c>
    </row>
    <row r="11" spans="1:40" x14ac:dyDescent="0.35">
      <c r="A11" s="245"/>
      <c r="B11" s="343" t="s">
        <v>348</v>
      </c>
      <c r="C11" s="357">
        <f>A10*D11/100</f>
        <v>50.24</v>
      </c>
      <c r="D11" s="345">
        <v>16</v>
      </c>
      <c r="E11" s="346"/>
      <c r="F11" s="343" t="s">
        <v>348</v>
      </c>
      <c r="G11" s="358">
        <f>A10*H11/100</f>
        <v>0</v>
      </c>
      <c r="H11" s="345">
        <v>0</v>
      </c>
      <c r="I11" s="346"/>
      <c r="J11" s="343" t="s">
        <v>348</v>
      </c>
      <c r="K11" s="357">
        <f>L11*A10/100</f>
        <v>25.12</v>
      </c>
      <c r="L11" s="345">
        <v>8</v>
      </c>
      <c r="N11" s="341" t="s">
        <v>354</v>
      </c>
      <c r="O11" s="341"/>
      <c r="R11" s="211"/>
      <c r="T11" s="343" t="s">
        <v>348</v>
      </c>
      <c r="U11" s="357">
        <f>A10*V11/100</f>
        <v>200.96</v>
      </c>
      <c r="V11" s="345">
        <v>64</v>
      </c>
      <c r="W11" s="177" t="s">
        <v>355</v>
      </c>
      <c r="X11" s="336">
        <f>X3*'Table 1c-Avg'!$F$11</f>
        <v>117.75902608695652</v>
      </c>
      <c r="Y11" s="336">
        <f>Y3*'Table 1c-Avg'!$F$11</f>
        <v>117.75902608695652</v>
      </c>
      <c r="Z11" s="336">
        <f>Z3*'Table 1c-Avg'!$F$11</f>
        <v>117.75902608695652</v>
      </c>
      <c r="AG11" s="336">
        <f>AG3*'Table 1c-Avg'!$F$11</f>
        <v>117.75902608695652</v>
      </c>
      <c r="AH11" s="336">
        <f>AH3*'Table 1c-Avg'!$F$11</f>
        <v>213.82560000000001</v>
      </c>
      <c r="AI11" s="336">
        <f>AI3*'Table 1c-Avg'!$F$11</f>
        <v>309.89217391304345</v>
      </c>
    </row>
    <row r="12" spans="1:40" x14ac:dyDescent="0.35">
      <c r="A12" s="245"/>
      <c r="B12" s="346"/>
      <c r="C12" s="348"/>
      <c r="D12" s="348"/>
      <c r="E12" s="346"/>
      <c r="F12" s="346"/>
      <c r="G12" s="348"/>
      <c r="H12" s="348"/>
      <c r="I12" s="346"/>
      <c r="J12" s="346"/>
      <c r="K12" s="348"/>
      <c r="L12" s="348"/>
      <c r="N12" s="342">
        <v>0.36333333333333334</v>
      </c>
      <c r="O12" s="341"/>
      <c r="T12" s="346"/>
      <c r="U12" s="348"/>
      <c r="V12" s="348"/>
      <c r="W12" s="177" t="s">
        <v>356</v>
      </c>
      <c r="X12" s="336">
        <f>X3*'Table 1c-Avg'!$F$12</f>
        <v>23.600973913043482</v>
      </c>
      <c r="Y12" s="336">
        <f>Y3*'Table 1c-Avg'!$F$12</f>
        <v>23.600973913043482</v>
      </c>
      <c r="Z12" s="336">
        <f>Z3*'Table 1c-Avg'!$F$12</f>
        <v>23.600973913043482</v>
      </c>
      <c r="AG12" s="336">
        <f>AG3*'Table 1c-Avg'!$F$12</f>
        <v>23.600973913043482</v>
      </c>
      <c r="AH12" s="336">
        <f>AH3*'Table 1c-Avg'!$F$12</f>
        <v>42.854400000000005</v>
      </c>
      <c r="AI12" s="336">
        <f>AI3*'Table 1c-Avg'!$F$12</f>
        <v>62.107826086956528</v>
      </c>
    </row>
    <row r="13" spans="1:40" x14ac:dyDescent="0.35">
      <c r="A13" s="244"/>
      <c r="B13" s="550" t="s">
        <v>357</v>
      </c>
      <c r="C13" s="551"/>
      <c r="D13" s="551"/>
      <c r="E13" s="551"/>
      <c r="F13" s="551"/>
      <c r="G13" s="551"/>
      <c r="H13" s="551"/>
      <c r="I13" s="551"/>
      <c r="J13" s="551"/>
      <c r="K13" s="551"/>
      <c r="L13" s="552"/>
      <c r="T13" s="551" t="str">
        <f>B13</f>
        <v>Lignite Coal</v>
      </c>
      <c r="U13" s="551"/>
      <c r="V13" s="551"/>
      <c r="W13" s="177"/>
      <c r="X13" s="177"/>
      <c r="Y13" s="177"/>
      <c r="Z13" s="177"/>
      <c r="AG13" s="177"/>
      <c r="AH13" s="177"/>
      <c r="AI13" s="177"/>
    </row>
    <row r="14" spans="1:40" x14ac:dyDescent="0.35">
      <c r="A14" s="243">
        <v>23</v>
      </c>
      <c r="B14" s="246" t="s">
        <v>358</v>
      </c>
      <c r="C14" s="426" t="s">
        <v>338</v>
      </c>
      <c r="D14" s="426" t="s">
        <v>339</v>
      </c>
      <c r="E14" s="346"/>
      <c r="F14" s="246" t="s">
        <v>358</v>
      </c>
      <c r="G14" s="426" t="s">
        <v>338</v>
      </c>
      <c r="H14" s="426" t="s">
        <v>339</v>
      </c>
      <c r="I14" s="346"/>
      <c r="J14" s="246" t="s">
        <v>358</v>
      </c>
      <c r="K14" s="426" t="s">
        <v>338</v>
      </c>
      <c r="L14" s="426" t="s">
        <v>339</v>
      </c>
      <c r="T14" s="246" t="s">
        <v>358</v>
      </c>
      <c r="U14" s="426" t="s">
        <v>338</v>
      </c>
      <c r="V14" s="426" t="s">
        <v>339</v>
      </c>
      <c r="W14" s="177"/>
      <c r="X14" s="177"/>
      <c r="Y14" s="177"/>
      <c r="Z14" s="177"/>
      <c r="AG14" s="177"/>
      <c r="AH14" s="177"/>
      <c r="AI14" s="177"/>
    </row>
    <row r="15" spans="1:40" x14ac:dyDescent="0.35">
      <c r="A15" s="245">
        <f>A14/A8</f>
        <v>4.4061302681992334E-2</v>
      </c>
      <c r="B15" s="343" t="s">
        <v>341</v>
      </c>
      <c r="C15" s="357">
        <f>A16*D15/100</f>
        <v>13.604367816091953</v>
      </c>
      <c r="D15" s="345">
        <v>83</v>
      </c>
      <c r="E15" s="346"/>
      <c r="F15" s="343" t="s">
        <v>342</v>
      </c>
      <c r="G15" s="359">
        <f>A16*H15/100</f>
        <v>16.390804597701148</v>
      </c>
      <c r="H15" s="345">
        <v>100</v>
      </c>
      <c r="I15" s="346"/>
      <c r="J15" s="343" t="s">
        <v>343</v>
      </c>
      <c r="K15" s="357">
        <f>L15*A16/100</f>
        <v>0</v>
      </c>
      <c r="L15" s="345">
        <v>0</v>
      </c>
      <c r="T15" s="343" t="s">
        <v>342</v>
      </c>
      <c r="U15" s="357">
        <f>A16*V15/100</f>
        <v>3.6059770114942524</v>
      </c>
      <c r="V15" s="345">
        <v>22</v>
      </c>
      <c r="W15" s="177" t="s">
        <v>359</v>
      </c>
      <c r="X15" s="336">
        <f>(X5+X4)*'Table 1c-Avg'!$F$11</f>
        <v>192.13314782608694</v>
      </c>
      <c r="Y15" s="336">
        <f>(Y5+Y4)*'Table 1c-Avg'!$F$11</f>
        <v>192.13314782608694</v>
      </c>
      <c r="Z15" s="336">
        <f>(Z5+Z4)*'Table 1c-Avg'!$F$11</f>
        <v>192.13314782608694</v>
      </c>
      <c r="AG15" s="336">
        <f>AG5*'Table 1c-Avg'!$F$11</f>
        <v>92.967652173913038</v>
      </c>
      <c r="AH15" s="336">
        <f>AH5*'Table 1c-Avg'!$F$11</f>
        <v>0</v>
      </c>
      <c r="AI15" s="336">
        <f>AI5*'Table 1c-Avg'!$F$11</f>
        <v>0</v>
      </c>
    </row>
    <row r="16" spans="1:40" x14ac:dyDescent="0.35">
      <c r="A16" s="356">
        <f>A3*A15</f>
        <v>16.390804597701148</v>
      </c>
      <c r="B16" s="343"/>
      <c r="C16" s="344"/>
      <c r="D16" s="345"/>
      <c r="E16" s="346"/>
      <c r="F16" s="343"/>
      <c r="G16" s="347"/>
      <c r="H16" s="345"/>
      <c r="I16" s="346"/>
      <c r="J16" s="343" t="s">
        <v>346</v>
      </c>
      <c r="K16" s="357">
        <f>L16*A16/100</f>
        <v>12.784827586206895</v>
      </c>
      <c r="L16" s="345">
        <v>78</v>
      </c>
      <c r="T16" s="343"/>
      <c r="U16" s="344"/>
      <c r="V16" s="345"/>
      <c r="W16" s="177" t="s">
        <v>360</v>
      </c>
      <c r="X16" s="336">
        <f>(X5+X4)*'Table 1c-Avg'!$F$12</f>
        <v>38.506852173913046</v>
      </c>
      <c r="Y16" s="336">
        <f>(Y5+Y4)*'Table 1c-Avg'!$F$12</f>
        <v>38.506852173913046</v>
      </c>
      <c r="Z16" s="336">
        <f>(Z5+Z4)*'Table 1c-Avg'!$F$12</f>
        <v>38.506852173913046</v>
      </c>
      <c r="AG16" s="336">
        <f>AG5*'Table 1c-Avg'!$F$12</f>
        <v>18.632347826086956</v>
      </c>
      <c r="AH16" s="336">
        <f>AH5*'Table 1c-Avg'!$F$12</f>
        <v>0</v>
      </c>
      <c r="AI16" s="336">
        <f>AI5*'Table 1c-Avg'!$F$12</f>
        <v>0</v>
      </c>
    </row>
    <row r="17" spans="1:35" x14ac:dyDescent="0.35">
      <c r="A17" s="245"/>
      <c r="B17" s="343" t="s">
        <v>348</v>
      </c>
      <c r="C17" s="357">
        <f>A16*D17/100</f>
        <v>2.7864367816091953</v>
      </c>
      <c r="D17" s="345">
        <v>17</v>
      </c>
      <c r="E17" s="346"/>
      <c r="F17" s="343" t="s">
        <v>348</v>
      </c>
      <c r="G17" s="358">
        <f>A16*H17/100</f>
        <v>0</v>
      </c>
      <c r="H17" s="345">
        <v>0</v>
      </c>
      <c r="I17" s="346"/>
      <c r="J17" s="343" t="s">
        <v>348</v>
      </c>
      <c r="K17" s="357">
        <f>L17*A16/100</f>
        <v>3.6059770114942524</v>
      </c>
      <c r="L17" s="345">
        <v>22</v>
      </c>
      <c r="T17" s="343" t="s">
        <v>348</v>
      </c>
      <c r="U17" s="357">
        <f>A16*V17/100</f>
        <v>12.784827586206895</v>
      </c>
      <c r="V17" s="345">
        <v>78</v>
      </c>
      <c r="W17" s="177"/>
      <c r="X17" s="177"/>
      <c r="Y17" s="177"/>
      <c r="Z17" s="177"/>
      <c r="AG17" s="177"/>
      <c r="AH17" s="177"/>
      <c r="AI17" s="177"/>
    </row>
    <row r="18" spans="1:35" x14ac:dyDescent="0.35">
      <c r="A18" s="245"/>
      <c r="B18" s="346"/>
      <c r="C18" s="348"/>
      <c r="D18" s="348"/>
      <c r="E18" s="346"/>
      <c r="F18" s="346"/>
      <c r="G18" s="348"/>
      <c r="H18" s="348"/>
      <c r="I18" s="346"/>
      <c r="J18" s="346"/>
      <c r="K18" s="348"/>
      <c r="L18" s="348"/>
      <c r="T18" s="346"/>
      <c r="U18" s="348"/>
      <c r="V18" s="348"/>
      <c r="W18" s="177"/>
      <c r="X18" s="177"/>
      <c r="Y18" s="177"/>
      <c r="Z18" s="177"/>
      <c r="AG18" s="177"/>
      <c r="AH18" s="177"/>
      <c r="AI18" s="177"/>
    </row>
    <row r="19" spans="1:35" x14ac:dyDescent="0.35">
      <c r="A19" s="244"/>
      <c r="B19" s="548" t="s">
        <v>41</v>
      </c>
      <c r="C19" s="548"/>
      <c r="D19" s="548"/>
      <c r="E19" s="548"/>
      <c r="F19" s="548"/>
      <c r="G19" s="548"/>
      <c r="H19" s="548"/>
      <c r="I19" s="548"/>
      <c r="J19" s="548"/>
      <c r="K19" s="548"/>
      <c r="L19" s="548"/>
      <c r="T19" s="551" t="str">
        <f>B19</f>
        <v>IGCC</v>
      </c>
      <c r="U19" s="551"/>
      <c r="V19" s="551"/>
      <c r="W19" s="177" t="s">
        <v>361</v>
      </c>
      <c r="X19" s="336">
        <f>C3*'Table 1c-Avg'!$F$11</f>
        <v>235.51805217391305</v>
      </c>
      <c r="Y19" s="336">
        <f>X19</f>
        <v>235.51805217391305</v>
      </c>
      <c r="Z19" s="336">
        <f>X19</f>
        <v>235.51805217391305</v>
      </c>
      <c r="AG19" s="336">
        <f>C3*'Table 1c-Avg'!$F$11</f>
        <v>235.51805217391305</v>
      </c>
      <c r="AH19" s="336">
        <f>AG19</f>
        <v>235.51805217391305</v>
      </c>
      <c r="AI19" s="336">
        <f>AG19</f>
        <v>235.51805217391305</v>
      </c>
    </row>
    <row r="20" spans="1:35" x14ac:dyDescent="0.35">
      <c r="A20" s="243">
        <v>3</v>
      </c>
      <c r="B20" s="246" t="s">
        <v>362</v>
      </c>
      <c r="C20" s="426" t="s">
        <v>338</v>
      </c>
      <c r="D20" s="426" t="s">
        <v>339</v>
      </c>
      <c r="E20" s="346"/>
      <c r="F20" s="246" t="s">
        <v>362</v>
      </c>
      <c r="G20" s="426" t="s">
        <v>338</v>
      </c>
      <c r="H20" s="426" t="s">
        <v>339</v>
      </c>
      <c r="I20" s="346"/>
      <c r="J20" s="246" t="s">
        <v>362</v>
      </c>
      <c r="K20" s="426" t="s">
        <v>338</v>
      </c>
      <c r="L20" s="426" t="s">
        <v>339</v>
      </c>
      <c r="T20" s="246" t="s">
        <v>362</v>
      </c>
      <c r="U20" s="426" t="s">
        <v>338</v>
      </c>
      <c r="V20" s="426" t="s">
        <v>339</v>
      </c>
      <c r="W20" s="177" t="s">
        <v>363</v>
      </c>
      <c r="X20" s="336">
        <f>C3*'Table 1c-Avg'!$F$12</f>
        <v>47.201947826086965</v>
      </c>
      <c r="Y20" s="336">
        <f>X20</f>
        <v>47.201947826086965</v>
      </c>
      <c r="Z20" s="336">
        <f>X20</f>
        <v>47.201947826086965</v>
      </c>
      <c r="AG20" s="336">
        <f>C3*'Table 1c-Avg'!$F$12</f>
        <v>47.201947826086965</v>
      </c>
      <c r="AH20" s="336">
        <f>AG20</f>
        <v>47.201947826086965</v>
      </c>
      <c r="AI20" s="336">
        <f>AG20</f>
        <v>47.201947826086965</v>
      </c>
    </row>
    <row r="21" spans="1:35" x14ac:dyDescent="0.35">
      <c r="A21" s="245">
        <f>A20/A14</f>
        <v>0.13043478260869565</v>
      </c>
      <c r="B21" s="343" t="s">
        <v>341</v>
      </c>
      <c r="C21" s="357">
        <f>A22*D21/100</f>
        <v>0</v>
      </c>
      <c r="D21" s="345">
        <v>0</v>
      </c>
      <c r="E21" s="346"/>
      <c r="F21" s="343" t="s">
        <v>342</v>
      </c>
      <c r="G21" s="359">
        <f>A22*H21/100</f>
        <v>48.521739130434781</v>
      </c>
      <c r="H21" s="345">
        <v>100</v>
      </c>
      <c r="I21" s="346"/>
      <c r="J21" s="343" t="s">
        <v>343</v>
      </c>
      <c r="K21" s="357">
        <f>L21*A22/100</f>
        <v>0</v>
      </c>
      <c r="L21" s="345">
        <v>0</v>
      </c>
      <c r="T21" s="343" t="s">
        <v>342</v>
      </c>
      <c r="U21" s="357">
        <f>A22*V21/100</f>
        <v>0</v>
      </c>
      <c r="V21" s="345">
        <v>0</v>
      </c>
      <c r="W21" s="177"/>
      <c r="X21" s="177"/>
      <c r="Y21" s="177"/>
      <c r="Z21" s="177"/>
      <c r="AG21" s="177"/>
      <c r="AH21" s="177"/>
      <c r="AI21" s="177"/>
    </row>
    <row r="22" spans="1:35" x14ac:dyDescent="0.35">
      <c r="A22" s="356">
        <f>A3*A21</f>
        <v>48.521739130434781</v>
      </c>
      <c r="B22" s="343"/>
      <c r="C22" s="344"/>
      <c r="D22" s="345"/>
      <c r="E22" s="346"/>
      <c r="F22" s="343"/>
      <c r="G22" s="347"/>
      <c r="H22" s="345"/>
      <c r="I22" s="346"/>
      <c r="J22" s="343"/>
      <c r="K22" s="357"/>
      <c r="L22" s="345"/>
      <c r="T22" s="343"/>
      <c r="U22" s="344"/>
      <c r="V22" s="345"/>
      <c r="W22" s="177"/>
      <c r="X22" s="177"/>
      <c r="Y22" s="177"/>
      <c r="Z22" s="177"/>
      <c r="AG22" s="177"/>
      <c r="AH22" s="177"/>
      <c r="AI22" s="177"/>
    </row>
    <row r="23" spans="1:35" x14ac:dyDescent="0.35">
      <c r="A23" s="245"/>
      <c r="B23" s="343" t="s">
        <v>348</v>
      </c>
      <c r="C23" s="357">
        <f>A22*D23/100</f>
        <v>48.521739130434781</v>
      </c>
      <c r="D23" s="345">
        <v>100</v>
      </c>
      <c r="E23" s="346"/>
      <c r="F23" s="343" t="s">
        <v>348</v>
      </c>
      <c r="G23" s="358">
        <f>A22*H23/100</f>
        <v>0</v>
      </c>
      <c r="H23" s="345">
        <v>0</v>
      </c>
      <c r="I23" s="346"/>
      <c r="J23" s="343" t="s">
        <v>348</v>
      </c>
      <c r="K23" s="357">
        <f>L23*A22/100</f>
        <v>48.521739130434781</v>
      </c>
      <c r="L23" s="345">
        <v>100</v>
      </c>
      <c r="T23" s="343" t="s">
        <v>348</v>
      </c>
      <c r="U23" s="357">
        <f>A22*V23/100</f>
        <v>48.521739130434781</v>
      </c>
      <c r="V23" s="345">
        <v>100</v>
      </c>
      <c r="W23" s="177" t="s">
        <v>364</v>
      </c>
      <c r="X23" s="336">
        <f>(K5)*'Table 1c-Avg'!$F$11</f>
        <v>52.681669565217391</v>
      </c>
      <c r="Y23" s="336">
        <f>X23</f>
        <v>52.681669565217391</v>
      </c>
      <c r="Z23" s="336">
        <f>X23</f>
        <v>52.681669565217391</v>
      </c>
      <c r="AG23" s="336">
        <f>(K5)*'Table 1c-Avg'!$F$11</f>
        <v>52.681669565217391</v>
      </c>
      <c r="AH23" s="336">
        <f>AG23</f>
        <v>52.681669565217391</v>
      </c>
      <c r="AI23" s="336">
        <f>AG23</f>
        <v>52.681669565217391</v>
      </c>
    </row>
    <row r="24" spans="1:35" x14ac:dyDescent="0.35">
      <c r="A24" s="245"/>
      <c r="B24" s="349"/>
      <c r="C24" s="350"/>
      <c r="D24" s="351"/>
      <c r="E24" s="346"/>
      <c r="F24" s="352"/>
      <c r="G24" s="350"/>
      <c r="H24" s="351"/>
      <c r="I24" s="346"/>
      <c r="J24" s="352"/>
      <c r="K24" s="350"/>
      <c r="L24" s="353"/>
      <c r="T24" s="352"/>
      <c r="U24" s="350"/>
      <c r="V24" s="351"/>
      <c r="W24" s="177" t="s">
        <v>365</v>
      </c>
      <c r="X24" s="336">
        <f>(K5)*'Table 1c-Avg'!$F$12</f>
        <v>10.55833043478261</v>
      </c>
      <c r="Y24" s="336">
        <f>X24</f>
        <v>10.55833043478261</v>
      </c>
      <c r="Z24" s="336">
        <f>X24</f>
        <v>10.55833043478261</v>
      </c>
      <c r="AG24" s="336">
        <f>(K5)*'Table 1c-Avg'!$F$12</f>
        <v>10.55833043478261</v>
      </c>
      <c r="AH24" s="336">
        <f>AG24</f>
        <v>10.55833043478261</v>
      </c>
      <c r="AI24" s="336">
        <f>AG24</f>
        <v>10.55833043478261</v>
      </c>
    </row>
    <row r="25" spans="1:35" x14ac:dyDescent="0.35">
      <c r="A25" s="244"/>
      <c r="B25" s="550" t="s">
        <v>366</v>
      </c>
      <c r="C25" s="551"/>
      <c r="D25" s="551"/>
      <c r="E25" s="551"/>
      <c r="F25" s="551"/>
      <c r="G25" s="551"/>
      <c r="H25" s="551"/>
      <c r="I25" s="551"/>
      <c r="J25" s="551"/>
      <c r="K25" s="551"/>
      <c r="L25" s="552"/>
      <c r="T25" s="551" t="str">
        <f>B25</f>
        <v>Oil: Oil, Diesel Oil, Residual Oil, Other Oil</v>
      </c>
      <c r="U25" s="551"/>
      <c r="V25" s="551"/>
      <c r="W25" s="177"/>
      <c r="X25" s="177"/>
      <c r="Y25" s="177"/>
      <c r="Z25" s="177"/>
      <c r="AG25" s="177"/>
      <c r="AH25" s="177"/>
      <c r="AI25" s="177"/>
    </row>
    <row r="26" spans="1:35" x14ac:dyDescent="0.35">
      <c r="A26" s="243">
        <v>56</v>
      </c>
      <c r="B26" s="246" t="s">
        <v>367</v>
      </c>
      <c r="C26" s="426" t="s">
        <v>338</v>
      </c>
      <c r="D26" s="426" t="s">
        <v>339</v>
      </c>
      <c r="E26" s="346"/>
      <c r="F26" s="246" t="s">
        <v>367</v>
      </c>
      <c r="G26" s="426" t="s">
        <v>338</v>
      </c>
      <c r="H26" s="426" t="s">
        <v>339</v>
      </c>
      <c r="I26" s="346"/>
      <c r="J26" s="246" t="s">
        <v>367</v>
      </c>
      <c r="K26" s="426" t="s">
        <v>338</v>
      </c>
      <c r="L26" s="426" t="s">
        <v>339</v>
      </c>
      <c r="T26" s="246" t="s">
        <v>367</v>
      </c>
      <c r="U26" s="426" t="s">
        <v>338</v>
      </c>
      <c r="V26" s="426" t="s">
        <v>339</v>
      </c>
      <c r="W26" s="177"/>
      <c r="X26" s="177"/>
      <c r="Y26" s="177"/>
      <c r="Z26" s="177"/>
      <c r="AG26" s="177"/>
      <c r="AH26" s="177"/>
      <c r="AI26" s="177"/>
    </row>
    <row r="27" spans="1:35" x14ac:dyDescent="0.35">
      <c r="A27" s="245">
        <f>A26/A2</f>
        <v>9.1803278688524587E-2</v>
      </c>
      <c r="B27" s="343" t="s">
        <v>341</v>
      </c>
      <c r="C27" s="357">
        <f>A28*D27/100</f>
        <v>0</v>
      </c>
      <c r="D27" s="345">
        <v>0</v>
      </c>
      <c r="E27" s="346"/>
      <c r="F27" s="343" t="s">
        <v>342</v>
      </c>
      <c r="G27" s="359">
        <f>A28*H27/100</f>
        <v>34.150819672131149</v>
      </c>
      <c r="H27" s="345">
        <v>100</v>
      </c>
      <c r="I27" s="346"/>
      <c r="J27" s="343" t="s">
        <v>343</v>
      </c>
      <c r="K27" s="357"/>
      <c r="L27" s="345">
        <v>0</v>
      </c>
      <c r="T27" s="343" t="s">
        <v>342</v>
      </c>
      <c r="U27" s="357">
        <f>A28*V27/100</f>
        <v>2.3905573770491806</v>
      </c>
      <c r="V27" s="345">
        <v>7</v>
      </c>
      <c r="W27" s="177" t="s">
        <v>368</v>
      </c>
      <c r="X27" s="336">
        <f>C5*'Table 1c-Avg'!$F$11</f>
        <v>74.37412173913043</v>
      </c>
      <c r="Y27" s="336">
        <f>X27</f>
        <v>74.37412173913043</v>
      </c>
      <c r="Z27" s="336">
        <f>X27</f>
        <v>74.37412173913043</v>
      </c>
      <c r="AG27" s="336">
        <f>C5*'Table 1c-Avg'!$F$11</f>
        <v>74.37412173913043</v>
      </c>
      <c r="AH27" s="336">
        <f>AG27</f>
        <v>74.37412173913043</v>
      </c>
      <c r="AI27" s="336">
        <f>AG27</f>
        <v>74.37412173913043</v>
      </c>
    </row>
    <row r="28" spans="1:35" x14ac:dyDescent="0.35">
      <c r="A28" s="356">
        <f>A3*A27</f>
        <v>34.150819672131149</v>
      </c>
      <c r="B28" s="343"/>
      <c r="C28" s="344"/>
      <c r="D28" s="345"/>
      <c r="E28" s="346"/>
      <c r="F28" s="343"/>
      <c r="G28" s="347"/>
      <c r="H28" s="345"/>
      <c r="I28" s="346"/>
      <c r="J28" s="343"/>
      <c r="K28" s="357">
        <f>L28*A28/100</f>
        <v>0</v>
      </c>
      <c r="L28" s="345"/>
      <c r="T28" s="343"/>
      <c r="U28" s="344"/>
      <c r="V28" s="345"/>
      <c r="W28" s="177" t="s">
        <v>369</v>
      </c>
      <c r="X28" s="336">
        <f>C5*'Table 1c-Avg'!$F$12</f>
        <v>14.905878260869567</v>
      </c>
      <c r="Y28" s="336">
        <f>X28</f>
        <v>14.905878260869567</v>
      </c>
      <c r="Z28" s="336">
        <f>X28</f>
        <v>14.905878260869567</v>
      </c>
      <c r="AG28" s="336">
        <f>C5*'Table 1c-Avg'!$F$12</f>
        <v>14.905878260869567</v>
      </c>
      <c r="AH28" s="336">
        <f>AG28</f>
        <v>14.905878260869567</v>
      </c>
      <c r="AI28" s="336">
        <f>AG28</f>
        <v>14.905878260869567</v>
      </c>
    </row>
    <row r="29" spans="1:35" x14ac:dyDescent="0.35">
      <c r="A29" s="245"/>
      <c r="B29" s="343" t="s">
        <v>348</v>
      </c>
      <c r="C29" s="357">
        <f>A28*D29/100</f>
        <v>34.150819672131149</v>
      </c>
      <c r="D29" s="345">
        <v>100</v>
      </c>
      <c r="E29" s="346"/>
      <c r="F29" s="343" t="s">
        <v>348</v>
      </c>
      <c r="G29" s="358">
        <f>A28*H29/100</f>
        <v>0</v>
      </c>
      <c r="H29" s="345">
        <v>0</v>
      </c>
      <c r="I29" s="346"/>
      <c r="J29" s="343" t="s">
        <v>348</v>
      </c>
      <c r="K29" s="357">
        <f>L29*A28/100</f>
        <v>34.150819672131149</v>
      </c>
      <c r="L29" s="345">
        <v>100</v>
      </c>
      <c r="T29" s="343" t="s">
        <v>348</v>
      </c>
      <c r="U29" s="357">
        <f>A28*V29/100</f>
        <v>31.760262295081972</v>
      </c>
      <c r="V29" s="345">
        <v>93</v>
      </c>
      <c r="W29" s="177"/>
      <c r="X29" s="177"/>
      <c r="Y29" s="177"/>
      <c r="Z29" s="177"/>
      <c r="AG29" s="177"/>
      <c r="AH29" s="177"/>
      <c r="AI29" s="177"/>
    </row>
    <row r="30" spans="1:35" x14ac:dyDescent="0.35">
      <c r="A30" s="245"/>
      <c r="B30" s="346"/>
      <c r="C30" s="348"/>
      <c r="D30" s="348"/>
      <c r="E30" s="346"/>
      <c r="F30" s="346"/>
      <c r="G30" s="348"/>
      <c r="H30" s="348"/>
      <c r="I30" s="346"/>
      <c r="J30" s="346"/>
      <c r="K30" s="348"/>
      <c r="L30" s="348"/>
      <c r="T30" s="346"/>
      <c r="U30" s="348"/>
      <c r="V30" s="348"/>
      <c r="W30" s="177"/>
      <c r="X30" s="177"/>
      <c r="Y30" s="177"/>
      <c r="Z30" s="177"/>
      <c r="AG30" s="177"/>
      <c r="AH30" s="177"/>
      <c r="AI30" s="177"/>
    </row>
    <row r="31" spans="1:35" x14ac:dyDescent="0.35">
      <c r="A31" s="244"/>
      <c r="B31" s="548" t="s">
        <v>370</v>
      </c>
      <c r="C31" s="548"/>
      <c r="D31" s="548"/>
      <c r="E31" s="548"/>
      <c r="F31" s="548"/>
      <c r="G31" s="548"/>
      <c r="H31" s="548"/>
      <c r="I31" s="548"/>
      <c r="J31" s="548"/>
      <c r="K31" s="548"/>
      <c r="L31" s="548"/>
      <c r="T31" s="551" t="str">
        <f>B31</f>
        <v>Petroleum Coke</v>
      </c>
      <c r="U31" s="551"/>
      <c r="V31" s="551"/>
      <c r="W31" s="177" t="s">
        <v>371</v>
      </c>
      <c r="X31" s="336">
        <f>(K3+K4)*'Table 1c-Avg'!$F$11</f>
        <v>257.21050434782615</v>
      </c>
      <c r="Y31" s="336">
        <f>X31</f>
        <v>257.21050434782615</v>
      </c>
      <c r="Z31" s="336">
        <f>X31</f>
        <v>257.21050434782615</v>
      </c>
      <c r="AG31" s="336">
        <f>(K3+K4)*'Table 1c-Avg'!$F$11</f>
        <v>257.21050434782615</v>
      </c>
      <c r="AH31" s="336">
        <f>AG31</f>
        <v>257.21050434782615</v>
      </c>
      <c r="AI31" s="336">
        <f>AG31</f>
        <v>257.21050434782615</v>
      </c>
    </row>
    <row r="32" spans="1:35" x14ac:dyDescent="0.35">
      <c r="A32" s="243">
        <v>6</v>
      </c>
      <c r="B32" s="246" t="s">
        <v>362</v>
      </c>
      <c r="C32" s="426" t="s">
        <v>338</v>
      </c>
      <c r="D32" s="426" t="s">
        <v>339</v>
      </c>
      <c r="E32" s="346"/>
      <c r="F32" s="246" t="s">
        <v>362</v>
      </c>
      <c r="G32" s="426" t="s">
        <v>338</v>
      </c>
      <c r="H32" s="426" t="s">
        <v>339</v>
      </c>
      <c r="I32" s="346"/>
      <c r="J32" s="246" t="s">
        <v>362</v>
      </c>
      <c r="K32" s="426" t="s">
        <v>338</v>
      </c>
      <c r="L32" s="426" t="s">
        <v>339</v>
      </c>
      <c r="T32" s="246" t="s">
        <v>362</v>
      </c>
      <c r="U32" s="426" t="s">
        <v>338</v>
      </c>
      <c r="V32" s="426" t="s">
        <v>339</v>
      </c>
      <c r="W32" s="177" t="s">
        <v>372</v>
      </c>
      <c r="X32" s="336">
        <f>(K3+K4)*'Table 1c-Avg'!$F$12</f>
        <v>51.549495652173924</v>
      </c>
      <c r="Y32" s="336">
        <f>X32</f>
        <v>51.549495652173924</v>
      </c>
      <c r="Z32" s="336">
        <f>X32</f>
        <v>51.549495652173924</v>
      </c>
      <c r="AG32" s="336">
        <f>(K3+K4)*'Table 1c-Avg'!$F$12</f>
        <v>51.549495652173924</v>
      </c>
      <c r="AH32" s="336">
        <f>AG32</f>
        <v>51.549495652173924</v>
      </c>
      <c r="AI32" s="336">
        <f>AG32</f>
        <v>51.549495652173924</v>
      </c>
    </row>
    <row r="33" spans="1:22" x14ac:dyDescent="0.35">
      <c r="A33" s="245">
        <f>A32/A26</f>
        <v>0.10714285714285714</v>
      </c>
      <c r="B33" s="343" t="s">
        <v>341</v>
      </c>
      <c r="C33" s="357">
        <f>A34*D33/100</f>
        <v>19.928571428571427</v>
      </c>
      <c r="D33" s="345">
        <v>50</v>
      </c>
      <c r="E33" s="346"/>
      <c r="F33" s="343" t="s">
        <v>342</v>
      </c>
      <c r="G33" s="359">
        <f>A34*H33/100</f>
        <v>39.857142857142854</v>
      </c>
      <c r="H33" s="345">
        <v>100</v>
      </c>
      <c r="I33" s="346"/>
      <c r="J33" s="343" t="s">
        <v>343</v>
      </c>
      <c r="K33" s="357">
        <f>L33*A34/100</f>
        <v>6.7757142857142858</v>
      </c>
      <c r="L33" s="345">
        <v>17</v>
      </c>
      <c r="T33" s="343" t="s">
        <v>342</v>
      </c>
      <c r="U33" s="357">
        <f>A34*V33/100</f>
        <v>6.7757142857142858</v>
      </c>
      <c r="V33" s="345">
        <v>17</v>
      </c>
    </row>
    <row r="34" spans="1:22" x14ac:dyDescent="0.35">
      <c r="A34" s="356">
        <f>A33*A3</f>
        <v>39.857142857142854</v>
      </c>
      <c r="B34" s="343"/>
      <c r="C34" s="344"/>
      <c r="D34" s="345"/>
      <c r="E34" s="346"/>
      <c r="F34" s="343"/>
      <c r="G34" s="347"/>
      <c r="H34" s="345"/>
      <c r="I34" s="346">
        <f>8*(0.17+0.66)</f>
        <v>6.6400000000000006</v>
      </c>
      <c r="J34" s="343" t="s">
        <v>346</v>
      </c>
      <c r="K34" s="357">
        <f>L34*A34/100</f>
        <v>26.305714285714284</v>
      </c>
      <c r="L34" s="345">
        <v>66</v>
      </c>
      <c r="T34" s="343"/>
      <c r="U34" s="344"/>
      <c r="V34" s="345"/>
    </row>
    <row r="35" spans="1:22" x14ac:dyDescent="0.35">
      <c r="A35" s="245"/>
      <c r="B35" s="343" t="s">
        <v>348</v>
      </c>
      <c r="C35" s="357">
        <f>A34*D35/100</f>
        <v>19.928571428571427</v>
      </c>
      <c r="D35" s="345">
        <v>50</v>
      </c>
      <c r="E35" s="346"/>
      <c r="F35" s="343" t="s">
        <v>348</v>
      </c>
      <c r="G35" s="358">
        <f>A34*H35/100</f>
        <v>0</v>
      </c>
      <c r="H35" s="345">
        <v>0</v>
      </c>
      <c r="I35" s="346"/>
      <c r="J35" s="343" t="s">
        <v>348</v>
      </c>
      <c r="K35" s="357">
        <f>L35*A34/100</f>
        <v>6.7757142857142858</v>
      </c>
      <c r="L35" s="345">
        <v>17</v>
      </c>
      <c r="T35" s="343" t="s">
        <v>348</v>
      </c>
      <c r="U35" s="357">
        <f>A34*V35/100</f>
        <v>33.081428571428567</v>
      </c>
      <c r="V35" s="345">
        <v>83</v>
      </c>
    </row>
    <row r="38" spans="1:22" x14ac:dyDescent="0.35">
      <c r="B38" s="346" t="s">
        <v>373</v>
      </c>
      <c r="F38" s="346" t="s">
        <v>374</v>
      </c>
      <c r="T38" s="346" t="s">
        <v>374</v>
      </c>
    </row>
  </sheetData>
  <mergeCells count="16">
    <mergeCell ref="X1:Z1"/>
    <mergeCell ref="AG1:AI1"/>
    <mergeCell ref="B31:L31"/>
    <mergeCell ref="B19:L19"/>
    <mergeCell ref="B1:D1"/>
    <mergeCell ref="F1:H1"/>
    <mergeCell ref="J1:L1"/>
    <mergeCell ref="B7:L7"/>
    <mergeCell ref="B13:L13"/>
    <mergeCell ref="B25:L25"/>
    <mergeCell ref="T19:V19"/>
    <mergeCell ref="T25:V25"/>
    <mergeCell ref="T31:V31"/>
    <mergeCell ref="T1:V1"/>
    <mergeCell ref="T7:V7"/>
    <mergeCell ref="T13:V13"/>
  </mergeCells>
  <pageMargins left="0.7" right="0.7" top="0.75" bottom="0.75" header="0.3" footer="0.3"/>
  <pageSetup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FD253-AD79-41FF-B5F7-56B37D58E9BB}">
  <dimension ref="A1:AN38"/>
  <sheetViews>
    <sheetView topLeftCell="B1" zoomScale="85" zoomScaleNormal="85" workbookViewId="0">
      <selection activeCell="X11" sqref="X11:X16"/>
    </sheetView>
  </sheetViews>
  <sheetFormatPr defaultRowHeight="14.5" x14ac:dyDescent="0.35"/>
  <cols>
    <col min="1" max="1" width="18.1796875" customWidth="1"/>
    <col min="2" max="2" width="12.54296875" customWidth="1"/>
    <col min="5" max="6" width="12.1796875" customWidth="1"/>
    <col min="8" max="8" width="12" customWidth="1"/>
    <col min="10" max="10" width="13.7265625" customWidth="1"/>
    <col min="12" max="12" width="18.7265625" customWidth="1"/>
    <col min="19" max="19" width="0" hidden="1" customWidth="1"/>
    <col min="23" max="23" width="26.54296875" customWidth="1"/>
    <col min="24" max="24" width="10.54296875" bestFit="1" customWidth="1"/>
    <col min="30" max="30" width="14" customWidth="1"/>
    <col min="31" max="31" width="9.54296875" bestFit="1" customWidth="1"/>
    <col min="33" max="40" width="0" hidden="1" customWidth="1"/>
  </cols>
  <sheetData>
    <row r="1" spans="1:40" ht="15" customHeight="1" x14ac:dyDescent="0.35">
      <c r="A1" s="243" t="s">
        <v>328</v>
      </c>
      <c r="B1" s="549" t="s">
        <v>329</v>
      </c>
      <c r="C1" s="549"/>
      <c r="D1" s="549"/>
      <c r="E1" s="346"/>
      <c r="F1" s="549" t="s">
        <v>330</v>
      </c>
      <c r="G1" s="549"/>
      <c r="H1" s="549"/>
      <c r="I1" s="346"/>
      <c r="J1" s="549" t="s">
        <v>331</v>
      </c>
      <c r="K1" s="549"/>
      <c r="L1" s="549"/>
      <c r="R1" t="s">
        <v>332</v>
      </c>
      <c r="S1" t="s">
        <v>333</v>
      </c>
      <c r="T1" s="549" t="s">
        <v>330</v>
      </c>
      <c r="U1" s="549"/>
      <c r="V1" s="549"/>
      <c r="W1" s="392" t="s">
        <v>334</v>
      </c>
      <c r="X1" s="547" t="s">
        <v>335</v>
      </c>
      <c r="Y1" s="547"/>
      <c r="Z1" s="547"/>
      <c r="AG1" s="547" t="s">
        <v>336</v>
      </c>
      <c r="AH1" s="547"/>
      <c r="AI1" s="547"/>
    </row>
    <row r="2" spans="1:40" x14ac:dyDescent="0.35">
      <c r="A2" s="243">
        <v>610</v>
      </c>
      <c r="B2" s="426" t="s">
        <v>337</v>
      </c>
      <c r="C2" s="426" t="s">
        <v>338</v>
      </c>
      <c r="D2" s="426" t="s">
        <v>339</v>
      </c>
      <c r="E2" s="346"/>
      <c r="F2" s="426" t="s">
        <v>340</v>
      </c>
      <c r="G2" s="426" t="s">
        <v>338</v>
      </c>
      <c r="H2" s="426" t="s">
        <v>339</v>
      </c>
      <c r="I2" s="346"/>
      <c r="J2" s="426" t="s">
        <v>340</v>
      </c>
      <c r="K2" s="426" t="s">
        <v>338</v>
      </c>
      <c r="L2" s="426" t="s">
        <v>339</v>
      </c>
      <c r="T2" s="426" t="s">
        <v>340</v>
      </c>
      <c r="U2" s="426" t="s">
        <v>338</v>
      </c>
      <c r="V2" s="426" t="s">
        <v>339</v>
      </c>
      <c r="W2" s="177"/>
      <c r="X2" s="393" t="s">
        <v>3</v>
      </c>
      <c r="Y2" s="393" t="s">
        <v>4</v>
      </c>
      <c r="Z2" s="393" t="s">
        <v>5</v>
      </c>
      <c r="AG2" s="393" t="s">
        <v>3</v>
      </c>
      <c r="AH2" s="393" t="s">
        <v>4</v>
      </c>
      <c r="AI2" s="393" t="s">
        <v>5</v>
      </c>
    </row>
    <row r="3" spans="1:40" x14ac:dyDescent="0.35">
      <c r="A3" s="405">
        <f>314+58</f>
        <v>372</v>
      </c>
      <c r="B3" s="343" t="s">
        <v>341</v>
      </c>
      <c r="C3" s="357">
        <f>A3*D3/100</f>
        <v>282.72000000000003</v>
      </c>
      <c r="D3" s="345">
        <v>76</v>
      </c>
      <c r="E3" s="346"/>
      <c r="F3" s="343" t="s">
        <v>342</v>
      </c>
      <c r="G3" s="358">
        <f>A3*H3/100</f>
        <v>372</v>
      </c>
      <c r="H3" s="345">
        <v>100</v>
      </c>
      <c r="I3" s="346"/>
      <c r="J3" s="343" t="s">
        <v>343</v>
      </c>
      <c r="K3" s="357">
        <f>L3*$A$3/100</f>
        <v>3.72</v>
      </c>
      <c r="L3" s="345">
        <v>1</v>
      </c>
      <c r="N3" t="s">
        <v>344</v>
      </c>
      <c r="R3">
        <f>U3/3</f>
        <v>47.120000000000005</v>
      </c>
      <c r="S3">
        <f>U3/2</f>
        <v>70.680000000000007</v>
      </c>
      <c r="T3" s="343" t="s">
        <v>345</v>
      </c>
      <c r="U3" s="359">
        <f>V3*$A$3</f>
        <v>141.36000000000001</v>
      </c>
      <c r="V3" s="397">
        <f>1-V4-V5</f>
        <v>0.38</v>
      </c>
      <c r="W3" s="177" t="s">
        <v>345</v>
      </c>
      <c r="X3" s="336">
        <f>U3+X8</f>
        <v>218.24</v>
      </c>
      <c r="Y3" s="336">
        <f>X3+Y8</f>
        <v>295.12</v>
      </c>
      <c r="Z3" s="336">
        <f>Y3+Z8</f>
        <v>372</v>
      </c>
      <c r="AG3" s="336">
        <f>U3</f>
        <v>141.36000000000001</v>
      </c>
      <c r="AH3" s="336">
        <f>U3+AG8</f>
        <v>256.68</v>
      </c>
      <c r="AI3" s="336">
        <f>AH3+AH8</f>
        <v>372</v>
      </c>
    </row>
    <row r="4" spans="1:40" x14ac:dyDescent="0.35">
      <c r="A4" s="406"/>
      <c r="B4" s="343"/>
      <c r="C4" s="344"/>
      <c r="D4" s="345"/>
      <c r="E4" s="346"/>
      <c r="F4" s="343"/>
      <c r="G4" s="347"/>
      <c r="H4" s="345"/>
      <c r="I4" s="346"/>
      <c r="J4" s="343" t="s">
        <v>346</v>
      </c>
      <c r="K4" s="357">
        <f>L4*$A$3/100</f>
        <v>305.04000000000002</v>
      </c>
      <c r="L4" s="345">
        <v>82</v>
      </c>
      <c r="N4" s="247">
        <f>AVERAGE(D3,H3,(L3+L4))/100</f>
        <v>0.86333333333333329</v>
      </c>
      <c r="R4">
        <f>U4/3</f>
        <v>2.48</v>
      </c>
      <c r="S4">
        <f>U4/2</f>
        <v>3.72</v>
      </c>
      <c r="T4" s="343" t="s">
        <v>347</v>
      </c>
      <c r="U4" s="359">
        <f>V4*$A$3</f>
        <v>7.44</v>
      </c>
      <c r="V4" s="396">
        <v>0.02</v>
      </c>
      <c r="W4" s="177" t="s">
        <v>347</v>
      </c>
      <c r="X4" s="394">
        <f>U4-R4</f>
        <v>4.9600000000000009</v>
      </c>
      <c r="Y4" s="394">
        <f>X4-R4</f>
        <v>2.4800000000000009</v>
      </c>
      <c r="Z4" s="336">
        <f>Y4-R4</f>
        <v>0</v>
      </c>
      <c r="AG4" s="336">
        <f>U4-S4</f>
        <v>3.72</v>
      </c>
      <c r="AH4" s="336">
        <f>AG4-S4</f>
        <v>0</v>
      </c>
      <c r="AI4" s="336">
        <v>0</v>
      </c>
    </row>
    <row r="5" spans="1:40" x14ac:dyDescent="0.35">
      <c r="A5" s="406"/>
      <c r="B5" s="343" t="s">
        <v>348</v>
      </c>
      <c r="C5" s="357">
        <f>A3*D5/100</f>
        <v>89.28</v>
      </c>
      <c r="D5" s="345">
        <v>24</v>
      </c>
      <c r="E5" s="346"/>
      <c r="F5" s="343" t="s">
        <v>348</v>
      </c>
      <c r="G5" s="358">
        <f>A3*H5/100</f>
        <v>0</v>
      </c>
      <c r="H5" s="345">
        <v>0</v>
      </c>
      <c r="I5" s="346"/>
      <c r="J5" s="343" t="s">
        <v>348</v>
      </c>
      <c r="K5" s="357">
        <f>L5*$A$3/100</f>
        <v>63.24</v>
      </c>
      <c r="L5" s="345">
        <v>17</v>
      </c>
      <c r="N5" t="s">
        <v>349</v>
      </c>
      <c r="R5">
        <f>U5/3</f>
        <v>74.399999999999991</v>
      </c>
      <c r="S5">
        <f>U5/2</f>
        <v>111.6</v>
      </c>
      <c r="T5" s="343" t="s">
        <v>348</v>
      </c>
      <c r="U5" s="359">
        <f>V5*$A$3</f>
        <v>223.2</v>
      </c>
      <c r="V5" s="397">
        <v>0.6</v>
      </c>
      <c r="W5" s="177" t="s">
        <v>348</v>
      </c>
      <c r="X5" s="336">
        <f>U5-R5</f>
        <v>148.80000000000001</v>
      </c>
      <c r="Y5" s="336">
        <f>X5-R5</f>
        <v>74.40000000000002</v>
      </c>
      <c r="Z5" s="336">
        <f>Y5-R5</f>
        <v>0</v>
      </c>
      <c r="AG5" s="336">
        <f>U5-S5</f>
        <v>111.6</v>
      </c>
      <c r="AH5" s="336">
        <f>AG5-S5</f>
        <v>0</v>
      </c>
      <c r="AI5" s="336">
        <v>0</v>
      </c>
    </row>
    <row r="6" spans="1:40" x14ac:dyDescent="0.35">
      <c r="A6" s="406"/>
      <c r="B6" s="346"/>
      <c r="C6" s="348"/>
      <c r="D6" s="348"/>
      <c r="E6" s="346"/>
      <c r="F6" s="346"/>
      <c r="G6" s="348"/>
      <c r="H6" s="348"/>
      <c r="I6" s="346"/>
      <c r="J6" s="346"/>
      <c r="K6" s="348"/>
      <c r="L6" s="348"/>
      <c r="N6" s="247">
        <f>AVERAGE(H5,L5,D5)/100</f>
        <v>0.13666666666666666</v>
      </c>
      <c r="T6" s="346"/>
      <c r="U6" s="348"/>
      <c r="V6" s="348"/>
      <c r="W6" s="177"/>
      <c r="X6" s="177"/>
      <c r="Y6" s="177"/>
      <c r="Z6" s="177"/>
      <c r="AG6" s="177"/>
      <c r="AH6" s="177"/>
      <c r="AI6" s="177"/>
    </row>
    <row r="7" spans="1:40" x14ac:dyDescent="0.35">
      <c r="A7" s="346"/>
      <c r="B7" s="550" t="s">
        <v>350</v>
      </c>
      <c r="C7" s="551"/>
      <c r="D7" s="551"/>
      <c r="E7" s="551"/>
      <c r="F7" s="551"/>
      <c r="G7" s="551"/>
      <c r="H7" s="551"/>
      <c r="I7" s="551"/>
      <c r="J7" s="551"/>
      <c r="K7" s="551"/>
      <c r="L7" s="552"/>
      <c r="T7" s="551" t="str">
        <f>B7</f>
        <v xml:space="preserve">Coal: Bituminous Coal, Subbituminous Coal, Waste Coal - anthracite culm, bituminous gob, fine coal, lignite waste, waste coal
</v>
      </c>
      <c r="U7" s="551"/>
      <c r="V7" s="551"/>
      <c r="W7" s="392" t="s">
        <v>351</v>
      </c>
      <c r="X7" s="177"/>
      <c r="Y7" s="177"/>
      <c r="Z7" s="177"/>
      <c r="AG7" s="177"/>
      <c r="AH7" s="177"/>
      <c r="AI7" s="177"/>
    </row>
    <row r="8" spans="1:40" x14ac:dyDescent="0.35">
      <c r="A8" s="243">
        <v>522</v>
      </c>
      <c r="B8" s="246" t="s">
        <v>73</v>
      </c>
      <c r="C8" s="426" t="s">
        <v>338</v>
      </c>
      <c r="D8" s="426" t="s">
        <v>339</v>
      </c>
      <c r="E8" s="346"/>
      <c r="F8" s="246" t="s">
        <v>73</v>
      </c>
      <c r="G8" s="426" t="s">
        <v>338</v>
      </c>
      <c r="H8" s="426" t="s">
        <v>339</v>
      </c>
      <c r="I8" s="346"/>
      <c r="J8" s="246" t="s">
        <v>73</v>
      </c>
      <c r="K8" s="426" t="s">
        <v>338</v>
      </c>
      <c r="L8" s="426" t="s">
        <v>339</v>
      </c>
      <c r="N8" s="211"/>
      <c r="T8" s="246" t="s">
        <v>73</v>
      </c>
      <c r="U8" s="426" t="s">
        <v>338</v>
      </c>
      <c r="V8" s="426" t="s">
        <v>339</v>
      </c>
      <c r="W8" s="177" t="s">
        <v>345</v>
      </c>
      <c r="X8" s="177">
        <f>R5+R4</f>
        <v>76.88</v>
      </c>
      <c r="Y8" s="177">
        <f>R5+R4</f>
        <v>76.88</v>
      </c>
      <c r="Z8" s="177">
        <f>R5+R4</f>
        <v>76.88</v>
      </c>
      <c r="AC8" s="177" t="s">
        <v>352</v>
      </c>
      <c r="AD8" s="177"/>
      <c r="AE8" s="395">
        <f>$X$8*'[1]Table 1c-Avg'!$F$11</f>
        <v>64.044382608695642</v>
      </c>
      <c r="AG8" s="177">
        <f>S5+S4</f>
        <v>115.32</v>
      </c>
      <c r="AH8" s="177">
        <f>S5+S4</f>
        <v>115.32</v>
      </c>
      <c r="AI8" s="177">
        <v>0</v>
      </c>
      <c r="AL8" s="177" t="s">
        <v>352</v>
      </c>
      <c r="AM8" s="177"/>
      <c r="AN8" s="395">
        <f>$AG$8*'[1]Table 1c-Avg'!$F$11</f>
        <v>96.06657391304347</v>
      </c>
    </row>
    <row r="9" spans="1:40" x14ac:dyDescent="0.35">
      <c r="A9" s="406">
        <f>A8/A2</f>
        <v>0.8557377049180328</v>
      </c>
      <c r="B9" s="343" t="s">
        <v>341</v>
      </c>
      <c r="C9" s="357">
        <f>A10*D9/100</f>
        <v>263.76</v>
      </c>
      <c r="D9" s="345">
        <v>84</v>
      </c>
      <c r="E9" s="346"/>
      <c r="F9" s="343" t="s">
        <v>342</v>
      </c>
      <c r="G9" s="359">
        <f>A10*H9/100</f>
        <v>314</v>
      </c>
      <c r="H9" s="345">
        <v>100</v>
      </c>
      <c r="I9" s="346"/>
      <c r="J9" s="343" t="s">
        <v>343</v>
      </c>
      <c r="K9" s="357">
        <f>L9*A10/100</f>
        <v>3.14</v>
      </c>
      <c r="L9" s="345">
        <v>1</v>
      </c>
      <c r="T9" s="343" t="s">
        <v>342</v>
      </c>
      <c r="U9" s="357">
        <f>A10*V9/100</f>
        <v>113.04</v>
      </c>
      <c r="V9" s="345">
        <v>36</v>
      </c>
      <c r="W9" s="177"/>
      <c r="X9" s="177"/>
      <c r="Y9" s="177"/>
      <c r="Z9" s="177"/>
      <c r="AC9" s="177" t="s">
        <v>353</v>
      </c>
      <c r="AD9" s="177"/>
      <c r="AE9" s="395">
        <f>$X$8*'[1]Table 1c-Avg'!$F$12</f>
        <v>12.835617391304348</v>
      </c>
      <c r="AG9" s="177"/>
      <c r="AH9" s="177"/>
      <c r="AI9" s="177"/>
      <c r="AL9" s="177" t="s">
        <v>353</v>
      </c>
      <c r="AM9" s="177"/>
      <c r="AN9" s="395">
        <f>$AG$8*'[1]Table 1c-Avg'!$F$12</f>
        <v>19.253426086956523</v>
      </c>
    </row>
    <row r="10" spans="1:40" x14ac:dyDescent="0.35">
      <c r="A10" s="407">
        <v>314</v>
      </c>
      <c r="B10" s="343"/>
      <c r="C10" s="344"/>
      <c r="D10" s="345"/>
      <c r="E10" s="346"/>
      <c r="F10" s="343"/>
      <c r="G10" s="347"/>
      <c r="H10" s="345"/>
      <c r="I10" s="346"/>
      <c r="J10" s="343" t="s">
        <v>346</v>
      </c>
      <c r="K10" s="357">
        <f>L10*A10/100</f>
        <v>285.74</v>
      </c>
      <c r="L10" s="345">
        <v>91</v>
      </c>
      <c r="T10" s="343"/>
      <c r="U10" s="344"/>
      <c r="V10" s="345"/>
      <c r="W10" s="177"/>
      <c r="X10" s="393" t="s">
        <v>3</v>
      </c>
      <c r="Y10" s="393" t="s">
        <v>4</v>
      </c>
      <c r="Z10" s="393" t="s">
        <v>5</v>
      </c>
      <c r="AG10" s="393" t="s">
        <v>3</v>
      </c>
      <c r="AH10" s="393" t="s">
        <v>4</v>
      </c>
      <c r="AI10" s="393" t="s">
        <v>5</v>
      </c>
    </row>
    <row r="11" spans="1:40" x14ac:dyDescent="0.35">
      <c r="A11" s="406"/>
      <c r="B11" s="343" t="s">
        <v>348</v>
      </c>
      <c r="C11" s="357">
        <f>A10*D11/100</f>
        <v>50.24</v>
      </c>
      <c r="D11" s="345">
        <v>16</v>
      </c>
      <c r="E11" s="346"/>
      <c r="F11" s="343" t="s">
        <v>348</v>
      </c>
      <c r="G11" s="358">
        <f>A10*H11/100</f>
        <v>0</v>
      </c>
      <c r="H11" s="345">
        <v>0</v>
      </c>
      <c r="I11" s="346"/>
      <c r="J11" s="343" t="s">
        <v>348</v>
      </c>
      <c r="K11" s="357">
        <f>L11*A10/100</f>
        <v>25.12</v>
      </c>
      <c r="L11" s="345">
        <v>8</v>
      </c>
      <c r="N11" s="341" t="s">
        <v>354</v>
      </c>
      <c r="O11" s="341"/>
      <c r="R11" s="211"/>
      <c r="T11" s="343" t="s">
        <v>348</v>
      </c>
      <c r="U11" s="357">
        <f>A10*V11/100</f>
        <v>200.96</v>
      </c>
      <c r="V11" s="345">
        <v>64</v>
      </c>
      <c r="W11" s="177" t="s">
        <v>355</v>
      </c>
      <c r="X11" s="336">
        <f>X3*'[1]Table 1c-Avg'!$F$11</f>
        <v>181.80340869565217</v>
      </c>
      <c r="Y11" s="336">
        <f>Y3*'[1]Table 1c-Avg'!$F$11</f>
        <v>245.84779130434782</v>
      </c>
      <c r="Z11" s="336">
        <f>Z3*'[1]Table 1c-Avg'!$F$11</f>
        <v>309.89217391304345</v>
      </c>
      <c r="AG11" s="336">
        <f>AG3*'[1]Table 1c-Avg'!$F$11</f>
        <v>117.75902608695652</v>
      </c>
      <c r="AH11" s="336">
        <f>AH3*'[1]Table 1c-Avg'!$F$11</f>
        <v>213.82560000000001</v>
      </c>
      <c r="AI11" s="336">
        <f>AI3*'[1]Table 1c-Avg'!$F$11</f>
        <v>309.89217391304345</v>
      </c>
    </row>
    <row r="12" spans="1:40" x14ac:dyDescent="0.35">
      <c r="A12" s="406"/>
      <c r="B12" s="346"/>
      <c r="C12" s="348"/>
      <c r="D12" s="348"/>
      <c r="E12" s="346"/>
      <c r="F12" s="346"/>
      <c r="G12" s="348"/>
      <c r="H12" s="348"/>
      <c r="I12" s="346"/>
      <c r="J12" s="346"/>
      <c r="K12" s="348"/>
      <c r="L12" s="348"/>
      <c r="N12" s="342">
        <v>0.36333333333333334</v>
      </c>
      <c r="O12" s="341"/>
      <c r="T12" s="346"/>
      <c r="U12" s="348"/>
      <c r="V12" s="348"/>
      <c r="W12" s="177" t="s">
        <v>356</v>
      </c>
      <c r="X12" s="336">
        <f>X3*'[1]Table 1c-Avg'!$F$12</f>
        <v>36.436591304347829</v>
      </c>
      <c r="Y12" s="336">
        <f>Y3*'[1]Table 1c-Avg'!$F$12</f>
        <v>49.272208695652182</v>
      </c>
      <c r="Z12" s="336">
        <f>Z3*'[1]Table 1c-Avg'!$F$12</f>
        <v>62.107826086956528</v>
      </c>
      <c r="AG12" s="336">
        <f>AG3*'[1]Table 1c-Avg'!$F$12</f>
        <v>23.600973913043482</v>
      </c>
      <c r="AH12" s="336">
        <f>AH3*'[1]Table 1c-Avg'!$F$12</f>
        <v>42.854400000000005</v>
      </c>
      <c r="AI12" s="336">
        <f>AI3*'[1]Table 1c-Avg'!$F$12</f>
        <v>62.107826086956528</v>
      </c>
    </row>
    <row r="13" spans="1:40" x14ac:dyDescent="0.35">
      <c r="A13" s="346"/>
      <c r="B13" s="550" t="s">
        <v>357</v>
      </c>
      <c r="C13" s="551"/>
      <c r="D13" s="551"/>
      <c r="E13" s="551"/>
      <c r="F13" s="551"/>
      <c r="G13" s="551"/>
      <c r="H13" s="551"/>
      <c r="I13" s="551"/>
      <c r="J13" s="551"/>
      <c r="K13" s="551"/>
      <c r="L13" s="552"/>
      <c r="T13" s="551" t="str">
        <f>B13</f>
        <v>Lignite Coal</v>
      </c>
      <c r="U13" s="551"/>
      <c r="V13" s="551"/>
      <c r="W13" s="177"/>
      <c r="X13" s="177"/>
      <c r="Y13" s="177"/>
      <c r="Z13" s="177"/>
      <c r="AG13" s="177"/>
      <c r="AH13" s="177"/>
      <c r="AI13" s="177"/>
    </row>
    <row r="14" spans="1:40" x14ac:dyDescent="0.35">
      <c r="A14" s="243">
        <v>23</v>
      </c>
      <c r="B14" s="246" t="s">
        <v>358</v>
      </c>
      <c r="C14" s="426" t="s">
        <v>338</v>
      </c>
      <c r="D14" s="426" t="s">
        <v>339</v>
      </c>
      <c r="E14" s="346"/>
      <c r="F14" s="246" t="s">
        <v>358</v>
      </c>
      <c r="G14" s="426" t="s">
        <v>338</v>
      </c>
      <c r="H14" s="426" t="s">
        <v>339</v>
      </c>
      <c r="I14" s="346"/>
      <c r="J14" s="246" t="s">
        <v>358</v>
      </c>
      <c r="K14" s="426" t="s">
        <v>338</v>
      </c>
      <c r="L14" s="426" t="s">
        <v>339</v>
      </c>
      <c r="T14" s="246" t="s">
        <v>358</v>
      </c>
      <c r="U14" s="426" t="s">
        <v>338</v>
      </c>
      <c r="V14" s="426" t="s">
        <v>339</v>
      </c>
      <c r="W14" s="177"/>
      <c r="X14" s="177"/>
      <c r="Y14" s="177"/>
      <c r="Z14" s="177"/>
      <c r="AG14" s="177"/>
      <c r="AH14" s="177"/>
      <c r="AI14" s="177"/>
    </row>
    <row r="15" spans="1:40" x14ac:dyDescent="0.35">
      <c r="A15" s="406">
        <f>A14/A8</f>
        <v>4.4061302681992334E-2</v>
      </c>
      <c r="B15" s="343" t="s">
        <v>341</v>
      </c>
      <c r="C15" s="357">
        <f>A16*D15/100</f>
        <v>13.604367816091953</v>
      </c>
      <c r="D15" s="345">
        <v>83</v>
      </c>
      <c r="E15" s="346"/>
      <c r="F15" s="343" t="s">
        <v>342</v>
      </c>
      <c r="G15" s="359">
        <f>A16*H15/100</f>
        <v>16.390804597701148</v>
      </c>
      <c r="H15" s="345">
        <v>100</v>
      </c>
      <c r="I15" s="346"/>
      <c r="J15" s="343" t="s">
        <v>343</v>
      </c>
      <c r="K15" s="357">
        <f>L15*A16/100</f>
        <v>0</v>
      </c>
      <c r="L15" s="345">
        <v>0</v>
      </c>
      <c r="T15" s="343" t="s">
        <v>342</v>
      </c>
      <c r="U15" s="357">
        <f>A16*V15/100</f>
        <v>3.6059770114942524</v>
      </c>
      <c r="V15" s="345">
        <v>22</v>
      </c>
      <c r="W15" s="177" t="s">
        <v>359</v>
      </c>
      <c r="X15" s="336">
        <f>X5*'[1]Table 1c-Avg'!$F$11</f>
        <v>123.9568695652174</v>
      </c>
      <c r="Y15" s="336">
        <f>Y5*'[1]Table 1c-Avg'!$F$11</f>
        <v>61.978434782608709</v>
      </c>
      <c r="Z15" s="336">
        <f>Z5*'[1]Table 1c-Avg'!$F$11</f>
        <v>0</v>
      </c>
      <c r="AG15" s="336">
        <f>AG5*'[1]Table 1c-Avg'!$F$11</f>
        <v>92.967652173913038</v>
      </c>
      <c r="AH15" s="336">
        <f>AH5*'[1]Table 1c-Avg'!$F$11</f>
        <v>0</v>
      </c>
      <c r="AI15" s="336">
        <f>AI5*'[1]Table 1c-Avg'!$F$11</f>
        <v>0</v>
      </c>
    </row>
    <row r="16" spans="1:40" x14ac:dyDescent="0.35">
      <c r="A16" s="407">
        <f>A3*A15</f>
        <v>16.390804597701148</v>
      </c>
      <c r="B16" s="343"/>
      <c r="C16" s="344"/>
      <c r="D16" s="345"/>
      <c r="E16" s="346"/>
      <c r="F16" s="343"/>
      <c r="G16" s="347"/>
      <c r="H16" s="345"/>
      <c r="I16" s="346"/>
      <c r="J16" s="343" t="s">
        <v>346</v>
      </c>
      <c r="K16" s="357">
        <f>L16*A16/100</f>
        <v>12.784827586206895</v>
      </c>
      <c r="L16" s="345">
        <v>78</v>
      </c>
      <c r="T16" s="343"/>
      <c r="U16" s="344"/>
      <c r="V16" s="345"/>
      <c r="W16" s="177" t="s">
        <v>360</v>
      </c>
      <c r="X16" s="336">
        <f>X5*'[1]Table 1c-Avg'!$F$12</f>
        <v>24.843130434782612</v>
      </c>
      <c r="Y16" s="336">
        <f>Y5*'[1]Table 1c-Avg'!$F$12</f>
        <v>12.421565217391308</v>
      </c>
      <c r="Z16" s="336">
        <f>Z5*'[1]Table 1c-Avg'!$F$12</f>
        <v>0</v>
      </c>
      <c r="AG16" s="336">
        <f>AG5*'[1]Table 1c-Avg'!$F$12</f>
        <v>18.632347826086956</v>
      </c>
      <c r="AH16" s="336">
        <f>AH5*'[1]Table 1c-Avg'!$F$12</f>
        <v>0</v>
      </c>
      <c r="AI16" s="336">
        <f>AI5*'[1]Table 1c-Avg'!$F$12</f>
        <v>0</v>
      </c>
    </row>
    <row r="17" spans="1:35" x14ac:dyDescent="0.35">
      <c r="A17" s="406"/>
      <c r="B17" s="343" t="s">
        <v>348</v>
      </c>
      <c r="C17" s="357">
        <f>A16*D17/100</f>
        <v>2.7864367816091953</v>
      </c>
      <c r="D17" s="345">
        <v>17</v>
      </c>
      <c r="E17" s="346"/>
      <c r="F17" s="343" t="s">
        <v>348</v>
      </c>
      <c r="G17" s="358">
        <f>A16*H17/100</f>
        <v>0</v>
      </c>
      <c r="H17" s="345">
        <v>0</v>
      </c>
      <c r="I17" s="346"/>
      <c r="J17" s="343" t="s">
        <v>348</v>
      </c>
      <c r="K17" s="357">
        <f>L17*A16/100</f>
        <v>3.6059770114942524</v>
      </c>
      <c r="L17" s="345">
        <v>22</v>
      </c>
      <c r="T17" s="343" t="s">
        <v>348</v>
      </c>
      <c r="U17" s="357">
        <f>A16*V17/100</f>
        <v>12.784827586206895</v>
      </c>
      <c r="V17" s="345">
        <v>78</v>
      </c>
      <c r="W17" s="177"/>
      <c r="X17" s="177"/>
      <c r="Y17" s="177"/>
      <c r="Z17" s="177"/>
      <c r="AG17" s="177"/>
      <c r="AH17" s="177"/>
      <c r="AI17" s="177"/>
    </row>
    <row r="18" spans="1:35" x14ac:dyDescent="0.35">
      <c r="A18" s="406"/>
      <c r="B18" s="346"/>
      <c r="C18" s="348"/>
      <c r="D18" s="348"/>
      <c r="E18" s="346"/>
      <c r="F18" s="346"/>
      <c r="G18" s="348"/>
      <c r="H18" s="348"/>
      <c r="I18" s="346"/>
      <c r="J18" s="346"/>
      <c r="K18" s="348"/>
      <c r="L18" s="348"/>
      <c r="T18" s="346"/>
      <c r="U18" s="348"/>
      <c r="V18" s="348"/>
      <c r="W18" s="177"/>
      <c r="X18" s="177"/>
      <c r="Y18" s="177"/>
      <c r="Z18" s="177"/>
      <c r="AG18" s="177"/>
      <c r="AH18" s="177"/>
      <c r="AI18" s="177"/>
    </row>
    <row r="19" spans="1:35" x14ac:dyDescent="0.35">
      <c r="A19" s="346"/>
      <c r="B19" s="548" t="s">
        <v>41</v>
      </c>
      <c r="C19" s="548"/>
      <c r="D19" s="548"/>
      <c r="E19" s="548"/>
      <c r="F19" s="548"/>
      <c r="G19" s="548"/>
      <c r="H19" s="548"/>
      <c r="I19" s="548"/>
      <c r="J19" s="548"/>
      <c r="K19" s="548"/>
      <c r="L19" s="548"/>
      <c r="T19" s="551" t="str">
        <f>B19</f>
        <v>IGCC</v>
      </c>
      <c r="U19" s="551"/>
      <c r="V19" s="551"/>
      <c r="W19" s="177" t="s">
        <v>361</v>
      </c>
      <c r="X19" s="336">
        <f>C3*'[1]Table 1c-Avg'!$F$11</f>
        <v>235.51805217391305</v>
      </c>
      <c r="Y19" s="336">
        <f>X19</f>
        <v>235.51805217391305</v>
      </c>
      <c r="Z19" s="336">
        <f>X19</f>
        <v>235.51805217391305</v>
      </c>
      <c r="AG19" s="336">
        <f>C3*'[1]Table 1c-Avg'!$F$11</f>
        <v>235.51805217391305</v>
      </c>
      <c r="AH19" s="336">
        <f>AG19</f>
        <v>235.51805217391305</v>
      </c>
      <c r="AI19" s="336">
        <f>AG19</f>
        <v>235.51805217391305</v>
      </c>
    </row>
    <row r="20" spans="1:35" x14ac:dyDescent="0.35">
      <c r="A20" s="243">
        <v>3</v>
      </c>
      <c r="B20" s="246" t="s">
        <v>362</v>
      </c>
      <c r="C20" s="426" t="s">
        <v>338</v>
      </c>
      <c r="D20" s="426" t="s">
        <v>339</v>
      </c>
      <c r="E20" s="346"/>
      <c r="F20" s="246" t="s">
        <v>362</v>
      </c>
      <c r="G20" s="426" t="s">
        <v>338</v>
      </c>
      <c r="H20" s="426" t="s">
        <v>339</v>
      </c>
      <c r="I20" s="346"/>
      <c r="J20" s="246" t="s">
        <v>362</v>
      </c>
      <c r="K20" s="426" t="s">
        <v>338</v>
      </c>
      <c r="L20" s="426" t="s">
        <v>339</v>
      </c>
      <c r="T20" s="246" t="s">
        <v>362</v>
      </c>
      <c r="U20" s="426" t="s">
        <v>338</v>
      </c>
      <c r="V20" s="426" t="s">
        <v>339</v>
      </c>
      <c r="W20" s="177" t="s">
        <v>363</v>
      </c>
      <c r="X20" s="336">
        <f>C3*'[1]Table 1c-Avg'!$F$12</f>
        <v>47.201947826086965</v>
      </c>
      <c r="Y20" s="336">
        <f>X20</f>
        <v>47.201947826086965</v>
      </c>
      <c r="Z20" s="336">
        <f>X20</f>
        <v>47.201947826086965</v>
      </c>
      <c r="AG20" s="336">
        <f>C3*'[1]Table 1c-Avg'!$F$12</f>
        <v>47.201947826086965</v>
      </c>
      <c r="AH20" s="336">
        <f>AG20</f>
        <v>47.201947826086965</v>
      </c>
      <c r="AI20" s="336">
        <f>AG20</f>
        <v>47.201947826086965</v>
      </c>
    </row>
    <row r="21" spans="1:35" x14ac:dyDescent="0.35">
      <c r="A21" s="406">
        <f>A20/A14</f>
        <v>0.13043478260869565</v>
      </c>
      <c r="B21" s="343" t="s">
        <v>341</v>
      </c>
      <c r="C21" s="357">
        <f>A22*D21/100</f>
        <v>0</v>
      </c>
      <c r="D21" s="345">
        <v>0</v>
      </c>
      <c r="E21" s="346"/>
      <c r="F21" s="343" t="s">
        <v>342</v>
      </c>
      <c r="G21" s="359">
        <f>A22*H21/100</f>
        <v>48.521739130434781</v>
      </c>
      <c r="H21" s="345">
        <v>100</v>
      </c>
      <c r="I21" s="346"/>
      <c r="J21" s="343" t="s">
        <v>343</v>
      </c>
      <c r="K21" s="357">
        <f>L21*A22/100</f>
        <v>0</v>
      </c>
      <c r="L21" s="345">
        <v>0</v>
      </c>
      <c r="T21" s="343" t="s">
        <v>342</v>
      </c>
      <c r="U21" s="357">
        <f>A22*V21/100</f>
        <v>0</v>
      </c>
      <c r="V21" s="345">
        <v>0</v>
      </c>
      <c r="W21" s="177"/>
      <c r="X21" s="177"/>
      <c r="Y21" s="177"/>
      <c r="Z21" s="177"/>
      <c r="AG21" s="177"/>
      <c r="AH21" s="177"/>
      <c r="AI21" s="177"/>
    </row>
    <row r="22" spans="1:35" x14ac:dyDescent="0.35">
      <c r="A22" s="407">
        <f>A3*A21</f>
        <v>48.521739130434781</v>
      </c>
      <c r="B22" s="343"/>
      <c r="C22" s="344"/>
      <c r="D22" s="345"/>
      <c r="E22" s="346"/>
      <c r="F22" s="343"/>
      <c r="G22" s="347"/>
      <c r="H22" s="345"/>
      <c r="I22" s="346"/>
      <c r="J22" s="343"/>
      <c r="K22" s="357"/>
      <c r="L22" s="345"/>
      <c r="T22" s="343"/>
      <c r="U22" s="344"/>
      <c r="V22" s="345"/>
      <c r="W22" s="177"/>
      <c r="X22" s="177"/>
      <c r="Y22" s="177"/>
      <c r="Z22" s="177"/>
      <c r="AG22" s="177"/>
      <c r="AH22" s="177"/>
      <c r="AI22" s="177"/>
    </row>
    <row r="23" spans="1:35" x14ac:dyDescent="0.35">
      <c r="A23" s="406"/>
      <c r="B23" s="343" t="s">
        <v>348</v>
      </c>
      <c r="C23" s="357">
        <f>A22*D23/100</f>
        <v>48.521739130434781</v>
      </c>
      <c r="D23" s="345">
        <v>100</v>
      </c>
      <c r="E23" s="346"/>
      <c r="F23" s="343" t="s">
        <v>348</v>
      </c>
      <c r="G23" s="358">
        <f>A22*H23/100</f>
        <v>0</v>
      </c>
      <c r="H23" s="345">
        <v>0</v>
      </c>
      <c r="I23" s="346"/>
      <c r="J23" s="343" t="s">
        <v>348</v>
      </c>
      <c r="K23" s="357">
        <f>L23*A22/100</f>
        <v>48.521739130434781</v>
      </c>
      <c r="L23" s="345">
        <v>100</v>
      </c>
      <c r="T23" s="343" t="s">
        <v>348</v>
      </c>
      <c r="U23" s="357">
        <f>A22*V23/100</f>
        <v>48.521739130434781</v>
      </c>
      <c r="V23" s="345">
        <v>100</v>
      </c>
      <c r="W23" s="177" t="s">
        <v>364</v>
      </c>
      <c r="X23" s="336">
        <f>(K5)*'[1]Table 1c-Avg'!$F$11</f>
        <v>52.681669565217391</v>
      </c>
      <c r="Y23" s="336">
        <f>X23</f>
        <v>52.681669565217391</v>
      </c>
      <c r="Z23" s="336">
        <f>X23</f>
        <v>52.681669565217391</v>
      </c>
      <c r="AG23" s="336">
        <f>(K5)*'[1]Table 1c-Avg'!$F$11</f>
        <v>52.681669565217391</v>
      </c>
      <c r="AH23" s="336">
        <f>AG23</f>
        <v>52.681669565217391</v>
      </c>
      <c r="AI23" s="336">
        <f>AG23</f>
        <v>52.681669565217391</v>
      </c>
    </row>
    <row r="24" spans="1:35" x14ac:dyDescent="0.35">
      <c r="A24" s="406"/>
      <c r="B24" s="349"/>
      <c r="C24" s="350"/>
      <c r="D24" s="351"/>
      <c r="E24" s="346"/>
      <c r="F24" s="352"/>
      <c r="G24" s="350"/>
      <c r="H24" s="351"/>
      <c r="I24" s="346"/>
      <c r="J24" s="352"/>
      <c r="K24" s="350"/>
      <c r="L24" s="353"/>
      <c r="T24" s="352"/>
      <c r="U24" s="350"/>
      <c r="V24" s="351"/>
      <c r="W24" s="177" t="s">
        <v>365</v>
      </c>
      <c r="X24" s="336">
        <f>(K5)*'[1]Table 1c-Avg'!$F$12</f>
        <v>10.55833043478261</v>
      </c>
      <c r="Y24" s="336">
        <f>X24</f>
        <v>10.55833043478261</v>
      </c>
      <c r="Z24" s="336">
        <f>X24</f>
        <v>10.55833043478261</v>
      </c>
      <c r="AG24" s="336">
        <f>(K5)*'[1]Table 1c-Avg'!$F$12</f>
        <v>10.55833043478261</v>
      </c>
      <c r="AH24" s="336">
        <f>AG24</f>
        <v>10.55833043478261</v>
      </c>
      <c r="AI24" s="336">
        <f>AG24</f>
        <v>10.55833043478261</v>
      </c>
    </row>
    <row r="25" spans="1:35" x14ac:dyDescent="0.35">
      <c r="A25" s="346"/>
      <c r="B25" s="550" t="s">
        <v>366</v>
      </c>
      <c r="C25" s="551"/>
      <c r="D25" s="551"/>
      <c r="E25" s="551"/>
      <c r="F25" s="551"/>
      <c r="G25" s="551"/>
      <c r="H25" s="551"/>
      <c r="I25" s="551"/>
      <c r="J25" s="551"/>
      <c r="K25" s="551"/>
      <c r="L25" s="552"/>
      <c r="T25" s="551" t="str">
        <f>B25</f>
        <v>Oil: Oil, Diesel Oil, Residual Oil, Other Oil</v>
      </c>
      <c r="U25" s="551"/>
      <c r="V25" s="551"/>
      <c r="W25" s="177"/>
      <c r="X25" s="177"/>
      <c r="Y25" s="177"/>
      <c r="Z25" s="177"/>
      <c r="AG25" s="177"/>
      <c r="AH25" s="177"/>
      <c r="AI25" s="177"/>
    </row>
    <row r="26" spans="1:35" x14ac:dyDescent="0.35">
      <c r="A26" s="243">
        <v>56</v>
      </c>
      <c r="B26" s="246" t="s">
        <v>367</v>
      </c>
      <c r="C26" s="426" t="s">
        <v>338</v>
      </c>
      <c r="D26" s="426" t="s">
        <v>339</v>
      </c>
      <c r="E26" s="346"/>
      <c r="F26" s="246" t="s">
        <v>367</v>
      </c>
      <c r="G26" s="426" t="s">
        <v>338</v>
      </c>
      <c r="H26" s="426" t="s">
        <v>339</v>
      </c>
      <c r="I26" s="346"/>
      <c r="J26" s="246" t="s">
        <v>367</v>
      </c>
      <c r="K26" s="426" t="s">
        <v>338</v>
      </c>
      <c r="L26" s="426" t="s">
        <v>339</v>
      </c>
      <c r="T26" s="246" t="s">
        <v>367</v>
      </c>
      <c r="U26" s="426" t="s">
        <v>338</v>
      </c>
      <c r="V26" s="426" t="s">
        <v>339</v>
      </c>
      <c r="W26" s="177"/>
      <c r="X26" s="177"/>
      <c r="Y26" s="177"/>
      <c r="Z26" s="177"/>
      <c r="AG26" s="177"/>
      <c r="AH26" s="177"/>
      <c r="AI26" s="177"/>
    </row>
    <row r="27" spans="1:35" x14ac:dyDescent="0.35">
      <c r="A27" s="406">
        <f>A26/A2</f>
        <v>9.1803278688524587E-2</v>
      </c>
      <c r="B27" s="343" t="s">
        <v>341</v>
      </c>
      <c r="C27" s="357">
        <f>A28*D27/100</f>
        <v>0</v>
      </c>
      <c r="D27" s="345">
        <v>0</v>
      </c>
      <c r="E27" s="346"/>
      <c r="F27" s="343" t="s">
        <v>342</v>
      </c>
      <c r="G27" s="359">
        <f>A28*H27/100</f>
        <v>34.150819672131149</v>
      </c>
      <c r="H27" s="345">
        <v>100</v>
      </c>
      <c r="I27" s="346"/>
      <c r="J27" s="343" t="s">
        <v>343</v>
      </c>
      <c r="K27" s="357"/>
      <c r="L27" s="345">
        <v>0</v>
      </c>
      <c r="T27" s="343" t="s">
        <v>342</v>
      </c>
      <c r="U27" s="357">
        <f>A28*V27/100</f>
        <v>2.3905573770491806</v>
      </c>
      <c r="V27" s="345">
        <v>7</v>
      </c>
      <c r="W27" s="177" t="s">
        <v>368</v>
      </c>
      <c r="X27" s="336">
        <f>C5*'[1]Table 1c-Avg'!$F$11</f>
        <v>74.37412173913043</v>
      </c>
      <c r="Y27" s="336">
        <f>X27</f>
        <v>74.37412173913043</v>
      </c>
      <c r="Z27" s="336">
        <f>X27</f>
        <v>74.37412173913043</v>
      </c>
      <c r="AG27" s="336">
        <f>C5*'[1]Table 1c-Avg'!$F$11</f>
        <v>74.37412173913043</v>
      </c>
      <c r="AH27" s="336">
        <f>AG27</f>
        <v>74.37412173913043</v>
      </c>
      <c r="AI27" s="336">
        <f>AG27</f>
        <v>74.37412173913043</v>
      </c>
    </row>
    <row r="28" spans="1:35" x14ac:dyDescent="0.35">
      <c r="A28" s="407">
        <f>A3*A27</f>
        <v>34.150819672131149</v>
      </c>
      <c r="B28" s="343"/>
      <c r="C28" s="344"/>
      <c r="D28" s="345"/>
      <c r="E28" s="346"/>
      <c r="F28" s="343"/>
      <c r="G28" s="347"/>
      <c r="H28" s="345"/>
      <c r="I28" s="346"/>
      <c r="J28" s="343"/>
      <c r="K28" s="357">
        <f>L28*A28/100</f>
        <v>0</v>
      </c>
      <c r="L28" s="345"/>
      <c r="T28" s="343"/>
      <c r="U28" s="344"/>
      <c r="V28" s="345"/>
      <c r="W28" s="177" t="s">
        <v>369</v>
      </c>
      <c r="X28" s="336">
        <f>C5*'[1]Table 1c-Avg'!$F$12</f>
        <v>14.905878260869567</v>
      </c>
      <c r="Y28" s="336">
        <f>X28</f>
        <v>14.905878260869567</v>
      </c>
      <c r="Z28" s="336">
        <f>X28</f>
        <v>14.905878260869567</v>
      </c>
      <c r="AG28" s="336">
        <f>C5*'[1]Table 1c-Avg'!$F$12</f>
        <v>14.905878260869567</v>
      </c>
      <c r="AH28" s="336">
        <f>AG28</f>
        <v>14.905878260869567</v>
      </c>
      <c r="AI28" s="336">
        <f>AG28</f>
        <v>14.905878260869567</v>
      </c>
    </row>
    <row r="29" spans="1:35" x14ac:dyDescent="0.35">
      <c r="A29" s="406"/>
      <c r="B29" s="343" t="s">
        <v>348</v>
      </c>
      <c r="C29" s="357">
        <f>A28*D29/100</f>
        <v>34.150819672131149</v>
      </c>
      <c r="D29" s="345">
        <v>100</v>
      </c>
      <c r="E29" s="346"/>
      <c r="F29" s="343" t="s">
        <v>348</v>
      </c>
      <c r="G29" s="358">
        <f>A28*H29/100</f>
        <v>0</v>
      </c>
      <c r="H29" s="345">
        <v>0</v>
      </c>
      <c r="I29" s="346"/>
      <c r="J29" s="343" t="s">
        <v>348</v>
      </c>
      <c r="K29" s="357">
        <f>L29*A28/100</f>
        <v>34.150819672131149</v>
      </c>
      <c r="L29" s="345">
        <v>100</v>
      </c>
      <c r="T29" s="343" t="s">
        <v>348</v>
      </c>
      <c r="U29" s="357">
        <f>A28*V29/100</f>
        <v>31.760262295081972</v>
      </c>
      <c r="V29" s="345">
        <v>93</v>
      </c>
      <c r="W29" s="177"/>
      <c r="X29" s="177"/>
      <c r="Y29" s="177"/>
      <c r="Z29" s="177"/>
      <c r="AG29" s="177"/>
      <c r="AH29" s="177"/>
      <c r="AI29" s="177"/>
    </row>
    <row r="30" spans="1:35" x14ac:dyDescent="0.35">
      <c r="A30" s="406"/>
      <c r="B30" s="346"/>
      <c r="C30" s="348"/>
      <c r="D30" s="348"/>
      <c r="E30" s="346"/>
      <c r="F30" s="346"/>
      <c r="G30" s="348"/>
      <c r="H30" s="348"/>
      <c r="I30" s="346"/>
      <c r="J30" s="346"/>
      <c r="K30" s="348"/>
      <c r="L30" s="348"/>
      <c r="T30" s="346"/>
      <c r="U30" s="348"/>
      <c r="V30" s="348"/>
      <c r="W30" s="177"/>
      <c r="X30" s="177"/>
      <c r="Y30" s="177"/>
      <c r="Z30" s="177"/>
      <c r="AG30" s="177"/>
      <c r="AH30" s="177"/>
      <c r="AI30" s="177"/>
    </row>
    <row r="31" spans="1:35" x14ac:dyDescent="0.35">
      <c r="A31" s="346"/>
      <c r="B31" s="548" t="s">
        <v>370</v>
      </c>
      <c r="C31" s="548"/>
      <c r="D31" s="548"/>
      <c r="E31" s="548"/>
      <c r="F31" s="548"/>
      <c r="G31" s="548"/>
      <c r="H31" s="548"/>
      <c r="I31" s="548"/>
      <c r="J31" s="548"/>
      <c r="K31" s="548"/>
      <c r="L31" s="548"/>
      <c r="T31" s="551" t="str">
        <f>B31</f>
        <v>Petroleum Coke</v>
      </c>
      <c r="U31" s="551"/>
      <c r="V31" s="551"/>
      <c r="W31" s="177" t="s">
        <v>371</v>
      </c>
      <c r="X31" s="336">
        <f>(K3+K4)*'[1]Table 1c-Avg'!$F$11</f>
        <v>257.21050434782615</v>
      </c>
      <c r="Y31" s="336">
        <f>X31</f>
        <v>257.21050434782615</v>
      </c>
      <c r="Z31" s="336">
        <f>X31</f>
        <v>257.21050434782615</v>
      </c>
      <c r="AG31" s="336">
        <f>(K3+K4)*'[1]Table 1c-Avg'!$F$11</f>
        <v>257.21050434782615</v>
      </c>
      <c r="AH31" s="336">
        <f>AG31</f>
        <v>257.21050434782615</v>
      </c>
      <c r="AI31" s="336">
        <f>AG31</f>
        <v>257.21050434782615</v>
      </c>
    </row>
    <row r="32" spans="1:35" x14ac:dyDescent="0.35">
      <c r="A32" s="243">
        <v>6</v>
      </c>
      <c r="B32" s="246" t="s">
        <v>362</v>
      </c>
      <c r="C32" s="426" t="s">
        <v>338</v>
      </c>
      <c r="D32" s="426" t="s">
        <v>339</v>
      </c>
      <c r="E32" s="346"/>
      <c r="F32" s="246" t="s">
        <v>362</v>
      </c>
      <c r="G32" s="426" t="s">
        <v>338</v>
      </c>
      <c r="H32" s="426" t="s">
        <v>339</v>
      </c>
      <c r="I32" s="346"/>
      <c r="J32" s="246" t="s">
        <v>362</v>
      </c>
      <c r="K32" s="426" t="s">
        <v>338</v>
      </c>
      <c r="L32" s="426" t="s">
        <v>339</v>
      </c>
      <c r="T32" s="246" t="s">
        <v>362</v>
      </c>
      <c r="U32" s="426" t="s">
        <v>338</v>
      </c>
      <c r="V32" s="426" t="s">
        <v>339</v>
      </c>
      <c r="W32" s="177" t="s">
        <v>372</v>
      </c>
      <c r="X32" s="336">
        <f>(K3+K4)*'[1]Table 1c-Avg'!$F$12</f>
        <v>51.549495652173924</v>
      </c>
      <c r="Y32" s="336">
        <f>X32</f>
        <v>51.549495652173924</v>
      </c>
      <c r="Z32" s="336">
        <f>X32</f>
        <v>51.549495652173924</v>
      </c>
      <c r="AG32" s="336">
        <f>(K3+K4)*'[1]Table 1c-Avg'!$F$12</f>
        <v>51.549495652173924</v>
      </c>
      <c r="AH32" s="336">
        <f>AG32</f>
        <v>51.549495652173924</v>
      </c>
      <c r="AI32" s="336">
        <f>AG32</f>
        <v>51.549495652173924</v>
      </c>
    </row>
    <row r="33" spans="1:22" x14ac:dyDescent="0.35">
      <c r="A33" s="406">
        <f>A32/A26</f>
        <v>0.10714285714285714</v>
      </c>
      <c r="B33" s="343" t="s">
        <v>341</v>
      </c>
      <c r="C33" s="357">
        <f>A34*D33/100</f>
        <v>19.928571428571427</v>
      </c>
      <c r="D33" s="345">
        <v>50</v>
      </c>
      <c r="E33" s="346"/>
      <c r="F33" s="343" t="s">
        <v>342</v>
      </c>
      <c r="G33" s="359">
        <f>A34*H33/100</f>
        <v>39.857142857142854</v>
      </c>
      <c r="H33" s="345">
        <v>100</v>
      </c>
      <c r="I33" s="346"/>
      <c r="J33" s="343" t="s">
        <v>343</v>
      </c>
      <c r="K33" s="357">
        <f>L33*A34/100</f>
        <v>6.7757142857142858</v>
      </c>
      <c r="L33" s="345">
        <v>17</v>
      </c>
      <c r="T33" s="343" t="s">
        <v>342</v>
      </c>
      <c r="U33" s="357">
        <f>A34*V33/100</f>
        <v>6.7757142857142858</v>
      </c>
      <c r="V33" s="345">
        <v>17</v>
      </c>
    </row>
    <row r="34" spans="1:22" x14ac:dyDescent="0.35">
      <c r="A34" s="407">
        <f>A33*A3</f>
        <v>39.857142857142854</v>
      </c>
      <c r="B34" s="343"/>
      <c r="C34" s="344"/>
      <c r="D34" s="345"/>
      <c r="E34" s="346"/>
      <c r="F34" s="343"/>
      <c r="G34" s="347"/>
      <c r="H34" s="345"/>
      <c r="I34" s="346">
        <f>8*(0.17+0.66)</f>
        <v>6.6400000000000006</v>
      </c>
      <c r="J34" s="343" t="s">
        <v>346</v>
      </c>
      <c r="K34" s="357">
        <f>L34*A34/100</f>
        <v>26.305714285714284</v>
      </c>
      <c r="L34" s="345">
        <v>66</v>
      </c>
      <c r="T34" s="343"/>
      <c r="U34" s="344"/>
      <c r="V34" s="345"/>
    </row>
    <row r="35" spans="1:22" x14ac:dyDescent="0.35">
      <c r="A35" s="406"/>
      <c r="B35" s="343" t="s">
        <v>348</v>
      </c>
      <c r="C35" s="357">
        <f>A34*D35/100</f>
        <v>19.928571428571427</v>
      </c>
      <c r="D35" s="345">
        <v>50</v>
      </c>
      <c r="E35" s="346"/>
      <c r="F35" s="343" t="s">
        <v>348</v>
      </c>
      <c r="G35" s="358">
        <f>A34*H35/100</f>
        <v>0</v>
      </c>
      <c r="H35" s="345">
        <v>0</v>
      </c>
      <c r="I35" s="346"/>
      <c r="J35" s="343" t="s">
        <v>348</v>
      </c>
      <c r="K35" s="357">
        <f>L35*A34/100</f>
        <v>6.7757142857142858</v>
      </c>
      <c r="L35" s="345">
        <v>17</v>
      </c>
      <c r="T35" s="343" t="s">
        <v>348</v>
      </c>
      <c r="U35" s="357">
        <f>A34*V35/100</f>
        <v>33.081428571428567</v>
      </c>
      <c r="V35" s="345">
        <v>83</v>
      </c>
    </row>
    <row r="38" spans="1:22" x14ac:dyDescent="0.35">
      <c r="B38" s="346" t="s">
        <v>373</v>
      </c>
      <c r="F38" s="346" t="s">
        <v>374</v>
      </c>
      <c r="T38" s="346" t="s">
        <v>374</v>
      </c>
    </row>
  </sheetData>
  <mergeCells count="16">
    <mergeCell ref="AG1:AI1"/>
    <mergeCell ref="B1:D1"/>
    <mergeCell ref="F1:H1"/>
    <mergeCell ref="J1:L1"/>
    <mergeCell ref="T1:V1"/>
    <mergeCell ref="X1:Z1"/>
    <mergeCell ref="B25:L25"/>
    <mergeCell ref="T25:V25"/>
    <mergeCell ref="B31:L31"/>
    <mergeCell ref="T31:V31"/>
    <mergeCell ref="B7:L7"/>
    <mergeCell ref="T7:V7"/>
    <mergeCell ref="B13:L13"/>
    <mergeCell ref="T13:V13"/>
    <mergeCell ref="B19:L19"/>
    <mergeCell ref="T19:V19"/>
  </mergeCells>
  <pageMargins left="0.7" right="0.7" top="0.75" bottom="0.75" header="0.3" footer="0.3"/>
  <pageSetup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0" tint="-0.249977111117893"/>
  </sheetPr>
  <dimension ref="A1:X103"/>
  <sheetViews>
    <sheetView topLeftCell="A48" zoomScaleNormal="100" workbookViewId="0">
      <selection activeCell="H77" sqref="H77"/>
    </sheetView>
  </sheetViews>
  <sheetFormatPr defaultColWidth="9.1796875" defaultRowHeight="12.5" x14ac:dyDescent="0.25"/>
  <cols>
    <col min="1" max="1" width="37.453125" style="13" customWidth="1"/>
    <col min="2" max="5" width="12.26953125" style="13" customWidth="1"/>
    <col min="6" max="6" width="40.26953125" style="13" customWidth="1"/>
    <col min="7" max="10" width="12.26953125" style="13" customWidth="1"/>
    <col min="11" max="11" width="36" style="13" customWidth="1"/>
    <col min="12" max="12" width="11.26953125" style="13" customWidth="1"/>
    <col min="13" max="13" width="11.453125" style="13" customWidth="1"/>
    <col min="14" max="15" width="11.81640625" style="13" customWidth="1"/>
    <col min="16" max="16" width="9.1796875" style="13"/>
    <col min="17" max="17" width="21" style="13" customWidth="1"/>
    <col min="18" max="18" width="10.7265625" style="13" customWidth="1"/>
    <col min="19" max="19" width="12.453125" style="13" customWidth="1"/>
    <col min="20" max="20" width="12.54296875" style="13" customWidth="1"/>
    <col min="21" max="21" width="14.7265625" style="13" customWidth="1"/>
    <col min="22" max="16384" width="9.1796875" style="13"/>
  </cols>
  <sheetData>
    <row r="1" spans="1:8" ht="15.5" x14ac:dyDescent="0.35">
      <c r="A1" s="39" t="s">
        <v>375</v>
      </c>
      <c r="B1" s="126" t="s">
        <v>1</v>
      </c>
      <c r="C1" s="129"/>
      <c r="D1" s="129"/>
      <c r="E1" s="129"/>
      <c r="F1" s="129"/>
      <c r="G1" s="129"/>
      <c r="H1" s="129"/>
    </row>
    <row r="2" spans="1:8" x14ac:dyDescent="0.25">
      <c r="A2" s="14" t="s">
        <v>286</v>
      </c>
      <c r="C2" s="15" t="s">
        <v>287</v>
      </c>
      <c r="D2" s="15" t="s">
        <v>288</v>
      </c>
    </row>
    <row r="3" spans="1:8" x14ac:dyDescent="0.25">
      <c r="A3" s="13" t="s">
        <v>289</v>
      </c>
      <c r="C3" s="16">
        <v>0</v>
      </c>
      <c r="D3" s="16">
        <v>0</v>
      </c>
    </row>
    <row r="4" spans="1:8" x14ac:dyDescent="0.25">
      <c r="A4" s="13" t="s">
        <v>290</v>
      </c>
      <c r="C4" s="16">
        <v>0</v>
      </c>
      <c r="D4" s="16">
        <v>0</v>
      </c>
    </row>
    <row r="5" spans="1:8" x14ac:dyDescent="0.25">
      <c r="A5" s="13" t="s">
        <v>291</v>
      </c>
      <c r="C5" s="16">
        <v>0</v>
      </c>
      <c r="D5" s="16">
        <v>0</v>
      </c>
    </row>
    <row r="6" spans="1:8" x14ac:dyDescent="0.25">
      <c r="A6" s="13" t="s">
        <v>292</v>
      </c>
      <c r="C6" s="16">
        <v>0</v>
      </c>
      <c r="D6" s="16">
        <v>0</v>
      </c>
    </row>
    <row r="7" spans="1:8" x14ac:dyDescent="0.25">
      <c r="A7" s="13" t="s">
        <v>293</v>
      </c>
      <c r="C7" s="16">
        <v>0</v>
      </c>
      <c r="D7" s="16">
        <v>1</v>
      </c>
    </row>
    <row r="8" spans="1:8" x14ac:dyDescent="0.25">
      <c r="A8" s="13" t="s">
        <v>294</v>
      </c>
      <c r="C8" s="16">
        <v>0</v>
      </c>
      <c r="D8" s="16">
        <v>0</v>
      </c>
    </row>
    <row r="9" spans="1:8" x14ac:dyDescent="0.25">
      <c r="A9" s="13" t="s">
        <v>295</v>
      </c>
      <c r="C9" s="16">
        <v>0</v>
      </c>
      <c r="D9" s="16">
        <v>0</v>
      </c>
    </row>
    <row r="10" spans="1:8" x14ac:dyDescent="0.25">
      <c r="A10" s="13" t="s">
        <v>296</v>
      </c>
      <c r="C10" s="16">
        <v>0</v>
      </c>
      <c r="D10" s="16">
        <v>0</v>
      </c>
    </row>
    <row r="12" spans="1:8" x14ac:dyDescent="0.25">
      <c r="A12" s="14" t="s">
        <v>297</v>
      </c>
    </row>
    <row r="13" spans="1:8" x14ac:dyDescent="0.25">
      <c r="A13" s="13" t="s">
        <v>298</v>
      </c>
      <c r="C13" s="13">
        <v>0</v>
      </c>
      <c r="D13" s="16">
        <v>0</v>
      </c>
    </row>
    <row r="14" spans="1:8" x14ac:dyDescent="0.25">
      <c r="A14" s="13" t="s">
        <v>299</v>
      </c>
      <c r="C14" s="13">
        <v>0</v>
      </c>
      <c r="D14" s="16">
        <v>0</v>
      </c>
    </row>
    <row r="15" spans="1:8" x14ac:dyDescent="0.25">
      <c r="A15" s="13" t="s">
        <v>300</v>
      </c>
      <c r="C15" s="13">
        <v>0</v>
      </c>
      <c r="D15" s="16">
        <v>0</v>
      </c>
    </row>
    <row r="16" spans="1:8" x14ac:dyDescent="0.25">
      <c r="A16" s="13" t="s">
        <v>301</v>
      </c>
      <c r="C16" s="13">
        <v>0</v>
      </c>
      <c r="D16" s="16">
        <v>0</v>
      </c>
    </row>
    <row r="17" spans="1:5" x14ac:dyDescent="0.25">
      <c r="A17" s="13" t="s">
        <v>302</v>
      </c>
      <c r="C17" s="13">
        <v>0</v>
      </c>
      <c r="D17" s="16">
        <v>0</v>
      </c>
    </row>
    <row r="19" spans="1:5" x14ac:dyDescent="0.25">
      <c r="A19" s="14" t="s">
        <v>303</v>
      </c>
    </row>
    <row r="20" spans="1:5" x14ac:dyDescent="0.25">
      <c r="A20" s="13" t="s">
        <v>304</v>
      </c>
      <c r="C20" s="13">
        <v>0</v>
      </c>
      <c r="D20" s="16">
        <v>0</v>
      </c>
    </row>
    <row r="21" spans="1:5" x14ac:dyDescent="0.25">
      <c r="A21" s="13" t="s">
        <v>305</v>
      </c>
      <c r="C21" s="13">
        <v>0</v>
      </c>
      <c r="D21" s="16">
        <v>0</v>
      </c>
    </row>
    <row r="23" spans="1:5" ht="15.5" x14ac:dyDescent="0.35">
      <c r="A23" s="39" t="s">
        <v>306</v>
      </c>
    </row>
    <row r="24" spans="1:5" x14ac:dyDescent="0.25">
      <c r="A24" s="13" t="s">
        <v>307</v>
      </c>
      <c r="B24" s="17" t="s">
        <v>184</v>
      </c>
      <c r="C24" s="17" t="s">
        <v>308</v>
      </c>
      <c r="D24" s="17" t="s">
        <v>309</v>
      </c>
      <c r="E24" s="15" t="s">
        <v>45</v>
      </c>
    </row>
    <row r="25" spans="1:5" x14ac:dyDescent="0.25">
      <c r="A25" s="13" t="s">
        <v>310</v>
      </c>
      <c r="B25" s="18">
        <v>2534.4</v>
      </c>
      <c r="C25" s="19">
        <v>0</v>
      </c>
      <c r="D25" s="19">
        <v>352</v>
      </c>
      <c r="E25" s="19">
        <v>2886.4</v>
      </c>
    </row>
    <row r="26" spans="1:5" x14ac:dyDescent="0.25">
      <c r="A26" s="13" t="s">
        <v>311</v>
      </c>
      <c r="B26" s="18">
        <v>8272</v>
      </c>
      <c r="C26" s="19">
        <v>0</v>
      </c>
      <c r="D26" s="19">
        <v>343.33600000000001</v>
      </c>
      <c r="E26" s="19">
        <v>8615.3359999999993</v>
      </c>
    </row>
    <row r="27" spans="1:5" x14ac:dyDescent="0.25">
      <c r="A27" s="13" t="s">
        <v>312</v>
      </c>
      <c r="B27" s="18">
        <v>0</v>
      </c>
      <c r="C27" s="19">
        <v>0</v>
      </c>
      <c r="D27" s="19">
        <v>17865</v>
      </c>
      <c r="E27" s="19">
        <v>17865</v>
      </c>
    </row>
    <row r="28" spans="1:5" x14ac:dyDescent="0.25">
      <c r="A28" s="13" t="s">
        <v>313</v>
      </c>
      <c r="B28" s="18">
        <v>0</v>
      </c>
      <c r="C28" s="19">
        <v>0</v>
      </c>
      <c r="D28" s="19">
        <v>95400</v>
      </c>
      <c r="E28" s="19">
        <v>95400</v>
      </c>
    </row>
    <row r="29" spans="1:5" x14ac:dyDescent="0.25">
      <c r="A29" s="13" t="s">
        <v>314</v>
      </c>
      <c r="B29" s="18">
        <v>6762.24</v>
      </c>
      <c r="C29" s="19">
        <v>0</v>
      </c>
      <c r="D29" s="19">
        <v>11978.5</v>
      </c>
      <c r="E29" s="19">
        <v>18740.739999999998</v>
      </c>
    </row>
    <row r="30" spans="1:5" x14ac:dyDescent="0.25">
      <c r="A30" s="13" t="s">
        <v>315</v>
      </c>
      <c r="B30" s="18">
        <v>2244.2399999999998</v>
      </c>
      <c r="C30" s="19">
        <v>33854.619999999995</v>
      </c>
      <c r="D30" s="19">
        <v>627.5</v>
      </c>
      <c r="E30" s="19">
        <v>36726.359999999993</v>
      </c>
    </row>
    <row r="31" spans="1:5" x14ac:dyDescent="0.25">
      <c r="A31" s="13" t="s">
        <v>316</v>
      </c>
      <c r="B31" s="20">
        <v>2570.4960000000001</v>
      </c>
      <c r="C31" s="21">
        <v>11981.068000000001</v>
      </c>
      <c r="D31" s="21">
        <v>692</v>
      </c>
      <c r="E31" s="21">
        <v>15243.564000000002</v>
      </c>
    </row>
    <row r="32" spans="1:5" x14ac:dyDescent="0.25">
      <c r="B32" s="19">
        <v>22383.375999999997</v>
      </c>
      <c r="C32" s="19">
        <v>45835.687999999995</v>
      </c>
      <c r="D32" s="19">
        <v>127258.336</v>
      </c>
      <c r="E32" s="19">
        <v>195477.39999999997</v>
      </c>
    </row>
    <row r="33" spans="1:8" x14ac:dyDescent="0.25">
      <c r="H33" s="19"/>
    </row>
    <row r="34" spans="1:8" x14ac:dyDescent="0.25">
      <c r="A34" s="13" t="s">
        <v>317</v>
      </c>
    </row>
    <row r="35" spans="1:8" x14ac:dyDescent="0.25">
      <c r="A35" s="13" t="s">
        <v>318</v>
      </c>
      <c r="B35" s="19">
        <v>10310.400000000001</v>
      </c>
      <c r="C35" s="19">
        <v>0</v>
      </c>
      <c r="D35" s="19">
        <v>999.99999999999977</v>
      </c>
      <c r="E35" s="19">
        <v>11310.400000000001</v>
      </c>
    </row>
    <row r="36" spans="1:8" x14ac:dyDescent="0.25">
      <c r="A36" s="13" t="s">
        <v>319</v>
      </c>
      <c r="B36" s="19">
        <v>885.14678399999991</v>
      </c>
      <c r="C36" s="19">
        <v>33484.552794499999</v>
      </c>
      <c r="D36" s="19">
        <v>0</v>
      </c>
      <c r="E36" s="19">
        <v>34369.699578499996</v>
      </c>
    </row>
    <row r="37" spans="1:8" x14ac:dyDescent="0.25">
      <c r="A37" s="13" t="s">
        <v>320</v>
      </c>
      <c r="B37" s="19">
        <v>0</v>
      </c>
      <c r="C37" s="19">
        <v>0</v>
      </c>
      <c r="D37" s="19">
        <v>0</v>
      </c>
      <c r="E37" s="19">
        <v>0</v>
      </c>
    </row>
    <row r="38" spans="1:8" x14ac:dyDescent="0.25">
      <c r="A38" s="13" t="s">
        <v>321</v>
      </c>
      <c r="B38" s="19">
        <v>0</v>
      </c>
      <c r="C38" s="19">
        <v>0</v>
      </c>
      <c r="D38" s="19">
        <v>0</v>
      </c>
      <c r="E38" s="19">
        <v>0</v>
      </c>
    </row>
    <row r="39" spans="1:8" x14ac:dyDescent="0.25">
      <c r="A39" s="13" t="s">
        <v>322</v>
      </c>
      <c r="B39" s="19">
        <v>1163.52</v>
      </c>
      <c r="C39" s="19">
        <v>0</v>
      </c>
      <c r="D39" s="19">
        <v>15881.25</v>
      </c>
      <c r="E39" s="19">
        <v>17044.77</v>
      </c>
    </row>
    <row r="40" spans="1:8" x14ac:dyDescent="0.25">
      <c r="A40" s="13" t="s">
        <v>323</v>
      </c>
      <c r="B40" s="19">
        <v>1252.8</v>
      </c>
      <c r="C40" s="19">
        <v>0</v>
      </c>
      <c r="D40" s="19">
        <v>160</v>
      </c>
      <c r="E40" s="19">
        <v>1412.8</v>
      </c>
    </row>
    <row r="41" spans="1:8" x14ac:dyDescent="0.25">
      <c r="A41" s="13" t="s">
        <v>324</v>
      </c>
      <c r="B41" s="19">
        <v>2074.3199999999997</v>
      </c>
      <c r="C41" s="19">
        <v>0</v>
      </c>
      <c r="D41" s="19">
        <v>2980</v>
      </c>
      <c r="E41" s="19">
        <v>5054.32</v>
      </c>
    </row>
    <row r="42" spans="1:8" x14ac:dyDescent="0.25">
      <c r="A42" s="13" t="s">
        <v>325</v>
      </c>
      <c r="B42" s="21">
        <v>3187.3927423999994</v>
      </c>
      <c r="C42" s="21">
        <v>6527.0019711999994</v>
      </c>
      <c r="D42" s="21">
        <v>18121.5870464</v>
      </c>
      <c r="E42" s="21">
        <v>27835.981759999999</v>
      </c>
    </row>
    <row r="44" spans="1:8" x14ac:dyDescent="0.25">
      <c r="A44" s="13" t="s">
        <v>326</v>
      </c>
      <c r="B44" s="19">
        <v>15686.186784000001</v>
      </c>
      <c r="C44" s="19">
        <v>33484.552794499999</v>
      </c>
      <c r="D44" s="19">
        <v>20021.25</v>
      </c>
      <c r="E44" s="19">
        <v>69191.989578500012</v>
      </c>
    </row>
    <row r="45" spans="1:8" x14ac:dyDescent="0.25">
      <c r="A45" s="13" t="s">
        <v>327</v>
      </c>
      <c r="B45" s="19">
        <v>18873.579526400001</v>
      </c>
      <c r="C45" s="19">
        <v>40011.554765699999</v>
      </c>
      <c r="D45" s="19">
        <v>38142.837046400004</v>
      </c>
      <c r="E45" s="19">
        <v>97027.971338500007</v>
      </c>
    </row>
    <row r="49" spans="1:15" x14ac:dyDescent="0.25">
      <c r="F49" s="40"/>
      <c r="K49" s="73"/>
    </row>
    <row r="50" spans="1:15" ht="15.5" x14ac:dyDescent="0.35">
      <c r="A50" s="39" t="s">
        <v>376</v>
      </c>
    </row>
    <row r="51" spans="1:15" ht="13" x14ac:dyDescent="0.3">
      <c r="A51" s="41" t="s">
        <v>377</v>
      </c>
      <c r="B51" s="42"/>
      <c r="C51" s="42"/>
      <c r="D51" s="42"/>
      <c r="E51" s="43"/>
      <c r="F51" s="41" t="s">
        <v>378</v>
      </c>
      <c r="G51" s="42"/>
      <c r="H51" s="42"/>
      <c r="I51" s="42"/>
      <c r="J51" s="43"/>
      <c r="K51" s="41" t="s">
        <v>379</v>
      </c>
      <c r="L51" s="42"/>
      <c r="M51" s="42"/>
      <c r="N51" s="42"/>
      <c r="O51" s="43"/>
    </row>
    <row r="52" spans="1:15" x14ac:dyDescent="0.25">
      <c r="A52" s="22"/>
      <c r="B52" s="24"/>
      <c r="C52" s="24"/>
      <c r="D52" s="24"/>
      <c r="E52" s="25"/>
      <c r="F52" s="44"/>
      <c r="G52" s="24"/>
      <c r="H52" s="24"/>
      <c r="I52" s="24"/>
      <c r="J52" s="25"/>
      <c r="K52" s="22"/>
      <c r="L52" s="30"/>
      <c r="M52" s="24"/>
      <c r="N52" s="24"/>
      <c r="O52" s="50"/>
    </row>
    <row r="53" spans="1:15" x14ac:dyDescent="0.25">
      <c r="A53" s="44" t="s">
        <v>307</v>
      </c>
      <c r="B53" s="23" t="s">
        <v>184</v>
      </c>
      <c r="C53" s="23" t="s">
        <v>308</v>
      </c>
      <c r="D53" s="23" t="s">
        <v>309</v>
      </c>
      <c r="E53" s="48" t="s">
        <v>45</v>
      </c>
      <c r="F53" s="44" t="s">
        <v>307</v>
      </c>
      <c r="G53" s="23" t="s">
        <v>184</v>
      </c>
      <c r="H53" s="23" t="s">
        <v>308</v>
      </c>
      <c r="I53" s="23" t="s">
        <v>309</v>
      </c>
      <c r="J53" s="48" t="s">
        <v>45</v>
      </c>
      <c r="K53" s="44" t="s">
        <v>307</v>
      </c>
      <c r="L53" s="30" t="s">
        <v>184</v>
      </c>
      <c r="M53" s="30" t="s">
        <v>308</v>
      </c>
      <c r="N53" s="30" t="s">
        <v>309</v>
      </c>
      <c r="O53" s="50" t="s">
        <v>45</v>
      </c>
    </row>
    <row r="54" spans="1:15" x14ac:dyDescent="0.25">
      <c r="A54" s="44" t="s">
        <v>310</v>
      </c>
      <c r="B54" s="26">
        <f>'HCl 1 monitor_2015'!B164</f>
        <v>2534.4</v>
      </c>
      <c r="C54" s="26">
        <f>'HCl 1 monitor_2015'!C164</f>
        <v>0</v>
      </c>
      <c r="D54" s="26">
        <f>'HCl 1 monitor_2015'!D164</f>
        <v>352</v>
      </c>
      <c r="E54" s="29">
        <v>2886.4</v>
      </c>
      <c r="F54" s="44" t="s">
        <v>310</v>
      </c>
      <c r="G54" s="26">
        <f>AVERAGE('PM 1 monitor_2015'!B164,'PM beta 1 monitor_2015'!B164,'PM extractive_2015'!B164)</f>
        <v>806.4</v>
      </c>
      <c r="H54" s="26">
        <v>0</v>
      </c>
      <c r="I54" s="26">
        <f>'PM 1 monitor_2015'!D164</f>
        <v>0</v>
      </c>
      <c r="J54" s="29">
        <f t="shared" ref="J54:J60" si="0">SUM(G54:I54)</f>
        <v>806.4</v>
      </c>
      <c r="K54" s="44" t="s">
        <v>310</v>
      </c>
      <c r="L54" s="26">
        <f>'Hg 1 monitor_2015'!B164</f>
        <v>2534.4</v>
      </c>
      <c r="M54" s="26">
        <f>'Hg 1 monitor_2015'!C164</f>
        <v>0</v>
      </c>
      <c r="N54" s="26">
        <f>'Hg 1 monitor_2015'!D164</f>
        <v>352</v>
      </c>
      <c r="O54" s="29">
        <f t="shared" ref="O54:O61" si="1">SUM(L54:N54)</f>
        <v>2886.4</v>
      </c>
    </row>
    <row r="55" spans="1:15" x14ac:dyDescent="0.25">
      <c r="A55" s="44" t="s">
        <v>311</v>
      </c>
      <c r="B55" s="26">
        <f>'HCl 1 monitor_2015'!B165</f>
        <v>8272</v>
      </c>
      <c r="C55" s="26">
        <f>'HCl 1 monitor_2015'!C165</f>
        <v>0</v>
      </c>
      <c r="D55" s="26">
        <f>'HCl 1 monitor_2015'!D165</f>
        <v>343.33600000000001</v>
      </c>
      <c r="E55" s="29">
        <v>8615.3359999999993</v>
      </c>
      <c r="F55" s="44" t="s">
        <v>311</v>
      </c>
      <c r="G55" s="26">
        <f>'PM 1 monitor_2015'!B165</f>
        <v>4224</v>
      </c>
      <c r="H55" s="26">
        <v>0</v>
      </c>
      <c r="I55" s="26">
        <f>AVERAGE('PM 1 monitor_2015'!D165,'PM beta 1 monitor_2015'!D165,'PM extractive_2015'!D165)</f>
        <v>343.33600000000001</v>
      </c>
      <c r="J55" s="29">
        <f t="shared" si="0"/>
        <v>4567.3360000000002</v>
      </c>
      <c r="K55" s="44" t="s">
        <v>311</v>
      </c>
      <c r="L55" s="26">
        <f>'Hg 1 monitor_2015'!B165</f>
        <v>8272</v>
      </c>
      <c r="M55" s="26">
        <f>'Hg 1 monitor_2015'!C165</f>
        <v>0</v>
      </c>
      <c r="N55" s="26">
        <f>'Hg 1 monitor_2015'!D165</f>
        <v>343.33600000000001</v>
      </c>
      <c r="O55" s="29">
        <f t="shared" si="1"/>
        <v>8615.3359999999993</v>
      </c>
    </row>
    <row r="56" spans="1:15" x14ac:dyDescent="0.25">
      <c r="A56" s="44" t="s">
        <v>312</v>
      </c>
      <c r="B56" s="26">
        <f>'HCl 1 monitor_2015'!B166</f>
        <v>0</v>
      </c>
      <c r="C56" s="26">
        <f>'HCl 1 monitor_2015'!C166</f>
        <v>0</v>
      </c>
      <c r="D56" s="26">
        <f>'HCl 1 monitor_2015'!D166</f>
        <v>17865</v>
      </c>
      <c r="E56" s="29">
        <v>17865</v>
      </c>
      <c r="F56" s="44" t="s">
        <v>312</v>
      </c>
      <c r="G56" s="26">
        <v>0</v>
      </c>
      <c r="H56" s="26">
        <v>0</v>
      </c>
      <c r="I56" s="26">
        <f>AVERAGE('PM 1 monitor_2015'!D166,'PM beta 1 monitor_2015'!D166,'PM extractive_2015'!D166)</f>
        <v>365</v>
      </c>
      <c r="J56" s="29">
        <f t="shared" si="0"/>
        <v>365</v>
      </c>
      <c r="K56" s="44" t="s">
        <v>312</v>
      </c>
      <c r="L56" s="26">
        <f>'Hg 1 monitor_2015'!B166</f>
        <v>0</v>
      </c>
      <c r="M56" s="26">
        <f>'Hg 1 monitor_2015'!C166</f>
        <v>0</v>
      </c>
      <c r="N56" s="26">
        <f>'Hg 1 monitor_2015'!D166</f>
        <v>17865</v>
      </c>
      <c r="O56" s="29">
        <f t="shared" si="1"/>
        <v>17865</v>
      </c>
    </row>
    <row r="57" spans="1:15" x14ac:dyDescent="0.25">
      <c r="A57" s="44" t="s">
        <v>313</v>
      </c>
      <c r="B57" s="26">
        <f>'HCl 1 monitor_2015'!B167</f>
        <v>0</v>
      </c>
      <c r="C57" s="26">
        <f>'HCl 1 monitor_2015'!C167</f>
        <v>0</v>
      </c>
      <c r="D57" s="26">
        <f>'HCl 1 monitor_2015'!D167</f>
        <v>45145.4</v>
      </c>
      <c r="E57" s="29">
        <v>45145.4</v>
      </c>
      <c r="F57" s="44" t="s">
        <v>313</v>
      </c>
      <c r="G57" s="26">
        <v>0</v>
      </c>
      <c r="H57" s="26">
        <v>0</v>
      </c>
      <c r="I57" s="26">
        <f>'PM 1 monitor_2015'!E167</f>
        <v>30952</v>
      </c>
      <c r="J57" s="29">
        <f t="shared" si="0"/>
        <v>30952</v>
      </c>
      <c r="K57" s="44" t="s">
        <v>313</v>
      </c>
      <c r="L57" s="26">
        <f>'Hg 1 monitor_2015'!B167</f>
        <v>0</v>
      </c>
      <c r="M57" s="26">
        <f>'Hg 1 monitor_2015'!C167</f>
        <v>0</v>
      </c>
      <c r="N57" s="72">
        <v>98451</v>
      </c>
      <c r="O57" s="29">
        <f t="shared" si="1"/>
        <v>98451</v>
      </c>
    </row>
    <row r="58" spans="1:15" x14ac:dyDescent="0.25">
      <c r="A58" s="44" t="s">
        <v>314</v>
      </c>
      <c r="B58" s="26">
        <f>'HCl 1 monitor_2015'!B168</f>
        <v>4818.24</v>
      </c>
      <c r="C58" s="26">
        <f>'HCl 1 monitor_2015'!C168</f>
        <v>0</v>
      </c>
      <c r="D58" s="26">
        <f>'HCl 1 monitor_2015'!D168</f>
        <v>11978.5</v>
      </c>
      <c r="E58" s="29">
        <v>16796.739999999998</v>
      </c>
      <c r="F58" s="44" t="s">
        <v>314</v>
      </c>
      <c r="G58" s="26">
        <f>'PM 1 monitor_2015'!B168</f>
        <v>2419.1999999999998</v>
      </c>
      <c r="H58" s="26">
        <v>0</v>
      </c>
      <c r="I58" s="26">
        <f>'PM 1 monitor_2015'!D168</f>
        <v>12019.375</v>
      </c>
      <c r="J58" s="29">
        <f t="shared" si="0"/>
        <v>14438.575000000001</v>
      </c>
      <c r="K58" s="44" t="s">
        <v>314</v>
      </c>
      <c r="L58" s="26">
        <f>'Hg 1 monitor_2015'!B168</f>
        <v>6762.24</v>
      </c>
      <c r="M58" s="26">
        <f>'Hg 1 monitor_2015'!C168</f>
        <v>0</v>
      </c>
      <c r="N58" s="26">
        <f>'Hg 1 monitor_2015'!D168</f>
        <v>11978.5</v>
      </c>
      <c r="O58" s="29">
        <f t="shared" si="1"/>
        <v>18740.739999999998</v>
      </c>
    </row>
    <row r="59" spans="1:15" x14ac:dyDescent="0.25">
      <c r="A59" s="44" t="s">
        <v>315</v>
      </c>
      <c r="B59" s="26">
        <f>'HCl 1 monitor_2015'!B169</f>
        <v>2129.04</v>
      </c>
      <c r="C59" s="26">
        <f>'HCl 1 monitor_2015'!C169</f>
        <v>8463.1949999999997</v>
      </c>
      <c r="D59" s="26">
        <f>'HCl 1 monitor_2015'!D169</f>
        <v>502.5</v>
      </c>
      <c r="E59" s="29">
        <v>11094.735000000001</v>
      </c>
      <c r="F59" s="44" t="s">
        <v>315</v>
      </c>
      <c r="G59" s="34">
        <f>L59</f>
        <v>2244.2399999999998</v>
      </c>
      <c r="H59" s="34">
        <f>'HCl 1 monitor_2015'!C169</f>
        <v>8463.1949999999997</v>
      </c>
      <c r="I59" s="26">
        <f>AVERAGE('PM 1 monitor_2015'!D169,'PM beta 1 monitor_2015'!D169,'PM extractive_2015'!D169)</f>
        <v>692.5</v>
      </c>
      <c r="J59" s="70">
        <f t="shared" si="0"/>
        <v>11399.934999999999</v>
      </c>
      <c r="K59" s="44" t="s">
        <v>315</v>
      </c>
      <c r="L59" s="26">
        <f>'Hg 1 monitor_2015'!B169</f>
        <v>2244.2399999999998</v>
      </c>
      <c r="M59" s="72">
        <v>20006</v>
      </c>
      <c r="N59" s="26">
        <f>'Hg 1 monitor_2015'!D169</f>
        <v>627.5</v>
      </c>
      <c r="O59" s="29">
        <f t="shared" si="1"/>
        <v>22877.739999999998</v>
      </c>
    </row>
    <row r="60" spans="1:15" x14ac:dyDescent="0.25">
      <c r="A60" s="44" t="s">
        <v>316</v>
      </c>
      <c r="B60" s="27">
        <f>'HCl 1 monitor_2015'!B170</f>
        <v>2570.4960000000001</v>
      </c>
      <c r="C60" s="27">
        <f>'HCl 1 monitor_2015'!C170</f>
        <v>11981.068000000001</v>
      </c>
      <c r="D60" s="27">
        <f>'HCl 1 monitor_2015'!D170</f>
        <v>692</v>
      </c>
      <c r="E60" s="49">
        <v>15243.564000000002</v>
      </c>
      <c r="F60" s="44" t="s">
        <v>316</v>
      </c>
      <c r="G60" s="27">
        <f>AVERAGE('PM 1 monitor_2015'!B170,'PM beta 1 monitor_2015'!B170,'PM extractive_2015'!B170)</f>
        <v>2305.5360000000001</v>
      </c>
      <c r="H60" s="27">
        <f>AVERAGE('PM 1 monitor_2015'!C170,'PM beta 1 monitor_2015'!C170,'PM extractive_2015'!C170)</f>
        <v>10444.093000000001</v>
      </c>
      <c r="I60" s="26">
        <f>AVERAGE('PM 1 monitor_2015'!D170,'PM beta 1 monitor_2015'!D170,'PM extractive_2015'!D170)</f>
        <v>692</v>
      </c>
      <c r="J60" s="29">
        <f t="shared" si="0"/>
        <v>13441.629000000001</v>
      </c>
      <c r="K60" s="44" t="s">
        <v>316</v>
      </c>
      <c r="L60" s="26">
        <f>'Hg 1 monitor_2015'!B170</f>
        <v>2570.4960000000001</v>
      </c>
      <c r="M60" s="26">
        <f>'Hg 1 monitor_2015'!C170</f>
        <v>11981.068000000001</v>
      </c>
      <c r="N60" s="26">
        <f>'Hg 1 monitor_2015'!D170</f>
        <v>692</v>
      </c>
      <c r="O60" s="29">
        <f t="shared" si="1"/>
        <v>15243.564000000002</v>
      </c>
    </row>
    <row r="61" spans="1:15" x14ac:dyDescent="0.25">
      <c r="A61" s="44"/>
      <c r="B61" s="26">
        <f>SUM(B54:B60)</f>
        <v>20324.175999999999</v>
      </c>
      <c r="C61" s="26">
        <f>SUM(C54:C60)</f>
        <v>20444.262999999999</v>
      </c>
      <c r="D61" s="26">
        <f>SUM(D54:D60)</f>
        <v>76878.736000000004</v>
      </c>
      <c r="E61" s="26">
        <f>SUM(E54:E60)</f>
        <v>117647.17499999999</v>
      </c>
      <c r="F61" s="44"/>
      <c r="G61" s="34">
        <f>SUM(G54:G60)</f>
        <v>11999.376</v>
      </c>
      <c r="H61" s="34">
        <f>SUM(H54:H60)</f>
        <v>18907.288</v>
      </c>
      <c r="I61" s="26">
        <f>SUM(I54:I60)</f>
        <v>45064.210999999996</v>
      </c>
      <c r="J61" s="34">
        <f>SUM(J54:J60)</f>
        <v>75970.875</v>
      </c>
      <c r="K61" s="44"/>
      <c r="L61" s="26">
        <f>SUM(L54:L60)</f>
        <v>22383.375999999997</v>
      </c>
      <c r="M61" s="34">
        <f>SUM(M54:M60)</f>
        <v>31987.067999999999</v>
      </c>
      <c r="N61" s="34">
        <f>SUM(N54:N60)</f>
        <v>130309.336</v>
      </c>
      <c r="O61" s="29">
        <f t="shared" si="1"/>
        <v>184679.78</v>
      </c>
    </row>
    <row r="62" spans="1:15" x14ac:dyDescent="0.25">
      <c r="A62" s="47" t="s">
        <v>380</v>
      </c>
      <c r="B62" s="26">
        <f>B61+B72</f>
        <v>23218.338662399998</v>
      </c>
      <c r="C62" s="26">
        <f>C61+C72</f>
        <v>23355.526051199999</v>
      </c>
      <c r="D62" s="26">
        <f>D61+D72</f>
        <v>87826.268006400001</v>
      </c>
      <c r="E62" s="50"/>
      <c r="F62" s="47" t="s">
        <v>380</v>
      </c>
      <c r="G62" s="34">
        <f>G61+G72</f>
        <v>13906.7180544</v>
      </c>
      <c r="H62" s="34">
        <f>H61+H72</f>
        <v>24163.839891200001</v>
      </c>
      <c r="I62" s="26">
        <f>I61+I72</f>
        <v>51481.354646399996</v>
      </c>
      <c r="J62" s="50"/>
      <c r="K62" s="47" t="s">
        <v>380</v>
      </c>
      <c r="L62" s="26">
        <f>L61+L72</f>
        <v>25570.768742399996</v>
      </c>
      <c r="M62" s="34">
        <f>M61+M72</f>
        <v>38514.069971199999</v>
      </c>
      <c r="N62" s="34">
        <f>N61+N72</f>
        <v>148430.92304639998</v>
      </c>
      <c r="O62" s="29"/>
    </row>
    <row r="63" spans="1:15" x14ac:dyDescent="0.25">
      <c r="A63" s="47" t="s">
        <v>381</v>
      </c>
      <c r="B63" s="26">
        <f>B62+D62</f>
        <v>111044.6066688</v>
      </c>
      <c r="C63" s="30"/>
      <c r="D63" s="26"/>
      <c r="E63" s="50"/>
      <c r="F63" s="47" t="s">
        <v>381</v>
      </c>
      <c r="G63" s="34">
        <f>G62+I62</f>
        <v>65388.072700799996</v>
      </c>
      <c r="H63" s="26"/>
      <c r="I63" s="26"/>
      <c r="J63" s="50"/>
      <c r="K63" s="47" t="s">
        <v>381</v>
      </c>
      <c r="L63" s="34">
        <f>L62+N62</f>
        <v>174001.69178879997</v>
      </c>
      <c r="M63" s="26"/>
      <c r="N63" s="26"/>
      <c r="O63" s="29"/>
    </row>
    <row r="64" spans="1:15" x14ac:dyDescent="0.25">
      <c r="A64" s="44" t="s">
        <v>317</v>
      </c>
      <c r="B64" s="30"/>
      <c r="C64" s="30"/>
      <c r="D64" s="30"/>
      <c r="E64" s="50"/>
      <c r="F64" s="44" t="s">
        <v>317</v>
      </c>
      <c r="G64" s="30"/>
      <c r="H64" s="30"/>
      <c r="I64" s="30"/>
      <c r="J64" s="50"/>
      <c r="K64" s="44" t="s">
        <v>382</v>
      </c>
      <c r="L64" s="26"/>
      <c r="M64" s="26"/>
      <c r="N64" s="26"/>
      <c r="O64" s="29"/>
    </row>
    <row r="65" spans="1:22" x14ac:dyDescent="0.25">
      <c r="A65" s="44" t="s">
        <v>318</v>
      </c>
      <c r="B65" s="26">
        <f>'HCl 1 monitor_2015'!B174</f>
        <v>5532.48</v>
      </c>
      <c r="C65" s="26">
        <f>'HCl 1 monitor_2015'!C174</f>
        <v>0</v>
      </c>
      <c r="D65" s="26">
        <f>'HCl 1 monitor_2015'!D174</f>
        <v>999.99999999999977</v>
      </c>
      <c r="E65" s="29">
        <v>6532.48</v>
      </c>
      <c r="F65" s="44" t="s">
        <v>318</v>
      </c>
      <c r="G65" s="26">
        <f>'PM 1 monitor_2015'!B174</f>
        <v>1036.8000000000002</v>
      </c>
      <c r="H65" s="26">
        <f>'PM 1 monitor_2015'!C174</f>
        <v>0</v>
      </c>
      <c r="I65" s="26">
        <f>'PM 1 monitor_2015'!D174</f>
        <v>0</v>
      </c>
      <c r="J65" s="29">
        <f t="shared" ref="J65:J72" si="2">SUM(G65:I65)</f>
        <v>1036.8000000000002</v>
      </c>
      <c r="K65" s="44" t="s">
        <v>318</v>
      </c>
      <c r="L65" s="72">
        <v>28000</v>
      </c>
      <c r="M65" s="26">
        <v>0</v>
      </c>
      <c r="N65" s="72">
        <v>32000</v>
      </c>
      <c r="O65" s="29">
        <f>SUM(L65:N65)</f>
        <v>60000</v>
      </c>
    </row>
    <row r="66" spans="1:22" x14ac:dyDescent="0.25">
      <c r="A66" s="44" t="s">
        <v>319</v>
      </c>
      <c r="B66" s="26">
        <f>'HCl 1 monitor_2015'!B175</f>
        <v>885.14678399999991</v>
      </c>
      <c r="C66" s="26">
        <f>'HCl 1 monitor_2015'!C175</f>
        <v>8020.6777944999994</v>
      </c>
      <c r="D66" s="26">
        <f>'HCl 1 monitor_2015'!D175</f>
        <v>0</v>
      </c>
      <c r="E66" s="29">
        <v>8905.8245784999999</v>
      </c>
      <c r="F66" s="44" t="s">
        <v>319</v>
      </c>
      <c r="G66" s="34">
        <f>'HCl 1 monitor_2015'!B175/2</f>
        <v>442.57339199999996</v>
      </c>
      <c r="H66" s="34">
        <v>0</v>
      </c>
      <c r="I66" s="34">
        <v>0</v>
      </c>
      <c r="J66" s="29">
        <f t="shared" si="2"/>
        <v>442.57339199999996</v>
      </c>
      <c r="K66" s="44" t="s">
        <v>319</v>
      </c>
      <c r="L66" s="26">
        <f>'Hg 1 monitor_2015'!B175</f>
        <v>885.14678399999991</v>
      </c>
      <c r="M66" s="72">
        <v>20006</v>
      </c>
      <c r="N66" s="26">
        <v>0</v>
      </c>
      <c r="O66" s="70">
        <f>SUM(L66:N66)</f>
        <v>20891.146784</v>
      </c>
    </row>
    <row r="67" spans="1:22" x14ac:dyDescent="0.25">
      <c r="A67" s="44" t="s">
        <v>320</v>
      </c>
      <c r="B67" s="26">
        <f>'HCl 1 monitor_2015'!B176</f>
        <v>0</v>
      </c>
      <c r="C67" s="26">
        <f>'HCl 1 monitor_2015'!C176</f>
        <v>0</v>
      </c>
      <c r="D67" s="26">
        <f>'HCl 1 monitor_2015'!D176</f>
        <v>0</v>
      </c>
      <c r="E67" s="29">
        <v>0</v>
      </c>
      <c r="F67" s="44" t="s">
        <v>320</v>
      </c>
      <c r="G67" s="26">
        <f>'PM 1 monitor_2015'!B176</f>
        <v>388.62815999999998</v>
      </c>
      <c r="H67" s="26">
        <f>'PM 1 monitor_2015'!C176</f>
        <v>5691.8063199999997</v>
      </c>
      <c r="I67" s="26">
        <f>'PM 1 monitor_2015'!D176</f>
        <v>19.055</v>
      </c>
      <c r="J67" s="29">
        <f t="shared" si="2"/>
        <v>6099.4894800000002</v>
      </c>
      <c r="K67" s="44" t="s">
        <v>320</v>
      </c>
      <c r="L67" s="26">
        <f>'Hg 1 monitor_2015'!B176</f>
        <v>0</v>
      </c>
      <c r="M67" s="26">
        <v>0</v>
      </c>
      <c r="N67" s="26">
        <v>0</v>
      </c>
      <c r="O67" s="70">
        <f t="shared" ref="O67:O68" si="3">SUM(L67:N67)</f>
        <v>0</v>
      </c>
    </row>
    <row r="68" spans="1:22" x14ac:dyDescent="0.25">
      <c r="A68" s="44" t="s">
        <v>321</v>
      </c>
      <c r="B68" s="26">
        <f>'HCl 1 monitor_2015'!B177</f>
        <v>0</v>
      </c>
      <c r="C68" s="26">
        <f>'HCl 1 monitor_2015'!C177</f>
        <v>0</v>
      </c>
      <c r="D68" s="26">
        <f>'HCl 1 monitor_2015'!D177</f>
        <v>0</v>
      </c>
      <c r="E68" s="29">
        <v>0</v>
      </c>
      <c r="F68" s="44" t="s">
        <v>321</v>
      </c>
      <c r="G68" s="26">
        <f>'PM 1 monitor_2015'!B177</f>
        <v>816</v>
      </c>
      <c r="H68" s="26">
        <f>'PM 1 monitor_2015'!C177</f>
        <v>9830.1999999999989</v>
      </c>
      <c r="I68" s="26">
        <f>'PM 1 monitor_2015'!D177</f>
        <v>50</v>
      </c>
      <c r="J68" s="29">
        <f t="shared" si="2"/>
        <v>10696.199999999999</v>
      </c>
      <c r="K68" s="44" t="s">
        <v>321</v>
      </c>
      <c r="L68" s="26">
        <f>'Hg 1 monitor_2015'!B177</f>
        <v>0</v>
      </c>
      <c r="M68" s="26">
        <v>0</v>
      </c>
      <c r="N68" s="26">
        <v>0</v>
      </c>
      <c r="O68" s="70">
        <f t="shared" si="3"/>
        <v>0</v>
      </c>
    </row>
    <row r="69" spans="1:22" x14ac:dyDescent="0.25">
      <c r="A69" s="44" t="s">
        <v>322</v>
      </c>
      <c r="B69" s="26">
        <f>'HCl 1 monitor_2015'!B178</f>
        <v>1284.48</v>
      </c>
      <c r="C69" s="26">
        <f>'HCl 1 monitor_2015'!C178</f>
        <v>0</v>
      </c>
      <c r="D69" s="26">
        <f>'HCl 1 monitor_2015'!D178</f>
        <v>1068.75</v>
      </c>
      <c r="E69" s="29">
        <v>2353.23</v>
      </c>
      <c r="F69" s="44" t="s">
        <v>322</v>
      </c>
      <c r="G69" s="26">
        <f>'PM 1 monitor_2015'!B178</f>
        <v>585.61487999999997</v>
      </c>
      <c r="H69" s="26">
        <f>'PM 1 monitor_2015'!C178</f>
        <v>0</v>
      </c>
      <c r="I69" s="26">
        <f>'PM 1 monitor_2015'!D178</f>
        <v>620</v>
      </c>
      <c r="J69" s="29">
        <f t="shared" si="2"/>
        <v>1205.6148800000001</v>
      </c>
      <c r="K69" s="44" t="s">
        <v>322</v>
      </c>
      <c r="L69" s="26">
        <f>'Hg 1 monitor_2015'!B178</f>
        <v>1163.52</v>
      </c>
      <c r="M69" s="26">
        <v>0</v>
      </c>
      <c r="N69" s="26">
        <f>'Hg 1 monitor_2015'!D178</f>
        <v>15881.25</v>
      </c>
      <c r="O69" s="29">
        <f>SUM(L69:N69)</f>
        <v>17044.77</v>
      </c>
    </row>
    <row r="70" spans="1:22" x14ac:dyDescent="0.25">
      <c r="A70" s="44" t="s">
        <v>323</v>
      </c>
      <c r="B70" s="26">
        <f>'HCl 1 monitor_2015'!B179</f>
        <v>1252.8</v>
      </c>
      <c r="C70" s="26">
        <f>'HCl 1 monitor_2015'!C179</f>
        <v>0</v>
      </c>
      <c r="D70" s="26">
        <f>'HCl 1 monitor_2015'!D179</f>
        <v>160</v>
      </c>
      <c r="E70" s="29">
        <v>1412.8</v>
      </c>
      <c r="F70" s="44" t="s">
        <v>323</v>
      </c>
      <c r="G70" s="26">
        <f>'PM 1 monitor_2015'!B179</f>
        <v>5448</v>
      </c>
      <c r="H70" s="26">
        <f>'PM 1 monitor_2015'!C179</f>
        <v>0</v>
      </c>
      <c r="I70" s="26">
        <f>'PM 1 monitor_2015'!D179</f>
        <v>40</v>
      </c>
      <c r="J70" s="29">
        <f t="shared" si="2"/>
        <v>5488</v>
      </c>
      <c r="K70" s="44" t="s">
        <v>323</v>
      </c>
      <c r="L70" s="26">
        <f>'Hg 1 monitor_2015'!B179</f>
        <v>1252.8</v>
      </c>
      <c r="M70" s="26">
        <v>0</v>
      </c>
      <c r="N70" s="26">
        <f>'Hg 1 monitor_2015'!D179</f>
        <v>160</v>
      </c>
      <c r="O70" s="29">
        <f>SUM(L70:N70)</f>
        <v>1412.8</v>
      </c>
    </row>
    <row r="71" spans="1:22" x14ac:dyDescent="0.25">
      <c r="A71" s="44" t="s">
        <v>324</v>
      </c>
      <c r="B71" s="26">
        <f>'HCl 1 monitor_2015'!B180</f>
        <v>2074.3199999999997</v>
      </c>
      <c r="C71" s="26">
        <f>'HCl 1 monitor_2015'!C180</f>
        <v>0</v>
      </c>
      <c r="D71" s="26">
        <f>'HCl 1 monitor_2015'!D180</f>
        <v>1519</v>
      </c>
      <c r="E71" s="29">
        <v>3593.3199999999997</v>
      </c>
      <c r="F71" s="44" t="s">
        <v>324</v>
      </c>
      <c r="G71" s="26">
        <f>'PM 1 monitor_2015'!B180</f>
        <v>1409.28</v>
      </c>
      <c r="H71" s="26">
        <f>'PM 1 monitor_2015'!C180</f>
        <v>0</v>
      </c>
      <c r="I71" s="26">
        <f>'PM 1 monitor_2015'!D180</f>
        <v>1280</v>
      </c>
      <c r="J71" s="29">
        <f t="shared" si="2"/>
        <v>2689.2799999999997</v>
      </c>
      <c r="K71" s="44" t="s">
        <v>324</v>
      </c>
      <c r="L71" s="26">
        <f>'Hg 1 monitor_2015'!B180</f>
        <v>2074.3199999999997</v>
      </c>
      <c r="M71" s="26">
        <v>0</v>
      </c>
      <c r="N71" s="26">
        <f>'Hg 1 monitor_2015'!D180</f>
        <v>2980</v>
      </c>
      <c r="O71" s="29">
        <f>SUM(L71:N71)</f>
        <v>5054.32</v>
      </c>
    </row>
    <row r="72" spans="1:22" x14ac:dyDescent="0.25">
      <c r="A72" s="44" t="s">
        <v>325</v>
      </c>
      <c r="B72" s="27">
        <f>'HCl 1 monitor_2015'!B181</f>
        <v>2894.1626624</v>
      </c>
      <c r="C72" s="27">
        <f>'HCl 1 monitor_2015'!C181</f>
        <v>2911.2630511999996</v>
      </c>
      <c r="D72" s="27">
        <f>'HCl 1 monitor_2015'!D181</f>
        <v>10947.532006400001</v>
      </c>
      <c r="E72" s="49">
        <v>16752.957719999999</v>
      </c>
      <c r="F72" s="44" t="s">
        <v>325</v>
      </c>
      <c r="G72" s="27">
        <f>'PM 1 monitor_2015'!B181</f>
        <v>1907.3420543999998</v>
      </c>
      <c r="H72" s="27">
        <f>'PM 1 monitor_2015'!C181</f>
        <v>5256.5518911999998</v>
      </c>
      <c r="I72" s="27">
        <f>'PM 1 monitor_2015'!D181</f>
        <v>6417.1436463999989</v>
      </c>
      <c r="J72" s="29">
        <f t="shared" si="2"/>
        <v>13581.037591999999</v>
      </c>
      <c r="K72" s="44" t="s">
        <v>325</v>
      </c>
      <c r="L72" s="26">
        <f>'Hg 1 monitor_2015'!B181</f>
        <v>3187.3927423999994</v>
      </c>
      <c r="M72" s="26">
        <f>'Hg 1 monitor_2015'!C181</f>
        <v>6527.0019711999994</v>
      </c>
      <c r="N72" s="26">
        <f>'Hg 1 monitor_2015'!D181</f>
        <v>18121.5870464</v>
      </c>
      <c r="O72" s="29">
        <f>SUM(L72:N72)</f>
        <v>27835.981759999999</v>
      </c>
    </row>
    <row r="73" spans="1:22" x14ac:dyDescent="0.25">
      <c r="A73" s="44"/>
      <c r="B73" s="30"/>
      <c r="C73" s="30"/>
      <c r="D73" s="30"/>
      <c r="E73" s="50"/>
      <c r="F73" s="44"/>
      <c r="G73" s="30"/>
      <c r="H73" s="30"/>
      <c r="I73" s="30"/>
      <c r="J73" s="50"/>
      <c r="K73" s="44"/>
      <c r="L73" s="26"/>
      <c r="M73" s="26"/>
      <c r="N73" s="26"/>
      <c r="O73" s="29"/>
    </row>
    <row r="74" spans="1:22" x14ac:dyDescent="0.25">
      <c r="A74" s="44" t="s">
        <v>326</v>
      </c>
      <c r="B74" s="34">
        <f>SUM(B65:B71)</f>
        <v>11029.226783999999</v>
      </c>
      <c r="C74" s="34">
        <f>SUM(C65:C71)</f>
        <v>8020.6777944999994</v>
      </c>
      <c r="D74" s="34">
        <f>SUM(D65:D71)</f>
        <v>3747.75</v>
      </c>
      <c r="E74" s="34">
        <f>SUM(E65:E71)</f>
        <v>22797.654578499998</v>
      </c>
      <c r="F74" s="44" t="s">
        <v>326</v>
      </c>
      <c r="G74" s="34">
        <f>SUM(G65:G71)</f>
        <v>10126.896432000001</v>
      </c>
      <c r="H74" s="34">
        <f>SUM(H65:H71)</f>
        <v>15522.006319999999</v>
      </c>
      <c r="I74" s="34">
        <f>SUM(I65:I71)</f>
        <v>2009.0550000000001</v>
      </c>
      <c r="J74" s="34">
        <f>SUM(J65:J71)</f>
        <v>27657.957751999998</v>
      </c>
      <c r="K74" s="44" t="s">
        <v>326</v>
      </c>
      <c r="L74" s="34">
        <f>SUM(L65:L71)</f>
        <v>33375.786783999996</v>
      </c>
      <c r="M74" s="34">
        <f>SUM(M65:M71)</f>
        <v>20006</v>
      </c>
      <c r="N74" s="34">
        <f>SUM(N65:N71)</f>
        <v>51021.25</v>
      </c>
      <c r="O74" s="70">
        <f>SUM(O65:O71)</f>
        <v>104403.036784</v>
      </c>
    </row>
    <row r="75" spans="1:22" ht="13" thickBot="1" x14ac:dyDescent="0.3">
      <c r="A75" s="46" t="s">
        <v>327</v>
      </c>
      <c r="B75" s="45">
        <f>SUM(B65:B72)</f>
        <v>13923.389446399999</v>
      </c>
      <c r="C75" s="45">
        <f>SUM(C65:C72)</f>
        <v>10931.940845699999</v>
      </c>
      <c r="D75" s="45">
        <f>SUM(D65:D72)</f>
        <v>14695.282006400001</v>
      </c>
      <c r="E75" s="45">
        <f>SUM(E65:E72)</f>
        <v>39550.612298499997</v>
      </c>
      <c r="F75" s="46" t="s">
        <v>327</v>
      </c>
      <c r="G75" s="215">
        <f>SUM(G65:G72)</f>
        <v>12034.238486400001</v>
      </c>
      <c r="H75" s="215">
        <f>SUM(H65:H72)</f>
        <v>20778.558211199997</v>
      </c>
      <c r="I75" s="215">
        <f>SUM(I65:I72)</f>
        <v>8426.1986463999983</v>
      </c>
      <c r="J75" s="45">
        <f>SUM(J65:J72)</f>
        <v>41238.995343999995</v>
      </c>
      <c r="K75" s="46" t="s">
        <v>327</v>
      </c>
      <c r="L75" s="215">
        <f>SUM(L65:L72)</f>
        <v>36563.179526399996</v>
      </c>
      <c r="M75" s="215">
        <f>SUM(M65:M72)</f>
        <v>26533.001971199999</v>
      </c>
      <c r="N75" s="215">
        <f>SUM(N65:N72)</f>
        <v>69142.837046400004</v>
      </c>
      <c r="O75" s="71">
        <f>SUM(O65:O72)</f>
        <v>132239.01854399999</v>
      </c>
    </row>
    <row r="76" spans="1:22" x14ac:dyDescent="0.25">
      <c r="A76" s="30"/>
      <c r="B76" s="34"/>
      <c r="C76" s="34"/>
      <c r="D76" s="34"/>
      <c r="E76" s="34"/>
      <c r="F76" s="30"/>
      <c r="G76" s="34"/>
      <c r="H76" s="34"/>
      <c r="I76" s="34"/>
      <c r="J76" s="34"/>
      <c r="K76" s="30"/>
      <c r="L76" s="34"/>
      <c r="M76" s="34"/>
      <c r="N76" s="34"/>
      <c r="O76" s="34"/>
    </row>
    <row r="77" spans="1:22" ht="16" thickBot="1" x14ac:dyDescent="0.4">
      <c r="A77" s="39" t="s">
        <v>168</v>
      </c>
      <c r="B77" s="73"/>
      <c r="C77" s="28"/>
      <c r="D77" s="28"/>
      <c r="E77" s="28"/>
      <c r="F77" s="28"/>
      <c r="G77" s="28"/>
      <c r="H77" s="28">
        <f>H74/G63</f>
        <v>0.23738283877894589</v>
      </c>
      <c r="I77" s="28"/>
      <c r="J77" s="28"/>
      <c r="K77" s="28"/>
      <c r="L77" s="28"/>
      <c r="M77" s="28"/>
      <c r="N77" s="28"/>
      <c r="O77" s="28"/>
      <c r="V77" s="28"/>
    </row>
    <row r="78" spans="1:22" ht="13" thickBot="1" x14ac:dyDescent="0.3">
      <c r="A78" s="51" t="s">
        <v>383</v>
      </c>
      <c r="B78" s="69">
        <f>'Regulated Sources_Overview'!K22</f>
        <v>606.52</v>
      </c>
      <c r="C78" s="52"/>
      <c r="D78" s="52"/>
      <c r="E78" s="53"/>
      <c r="F78" s="51" t="s">
        <v>384</v>
      </c>
      <c r="G78" s="69">
        <f>'Regulated Sources_Overview'!K21</f>
        <v>722.58</v>
      </c>
      <c r="H78" s="52"/>
      <c r="I78" s="52"/>
      <c r="J78" s="53"/>
      <c r="K78" s="51" t="s">
        <v>385</v>
      </c>
      <c r="L78" s="69">
        <f>'Regulated Sources_Overview'!K23</f>
        <v>554.78000000000009</v>
      </c>
      <c r="M78" s="52"/>
      <c r="N78" s="52"/>
      <c r="O78" s="53"/>
      <c r="Q78" s="51" t="s">
        <v>386</v>
      </c>
      <c r="R78" s="52" t="s">
        <v>337</v>
      </c>
      <c r="S78" s="159">
        <f>L78+G78+B78</f>
        <v>1883.88</v>
      </c>
      <c r="T78" s="52" t="s">
        <v>387</v>
      </c>
      <c r="U78" s="53"/>
      <c r="V78" s="28"/>
    </row>
    <row r="79" spans="1:22" x14ac:dyDescent="0.25">
      <c r="A79" s="44"/>
      <c r="B79" s="30"/>
      <c r="C79" s="30"/>
      <c r="D79" s="30"/>
      <c r="E79" s="50"/>
      <c r="F79" s="44"/>
      <c r="G79" s="30"/>
      <c r="H79" s="30"/>
      <c r="I79" s="30"/>
      <c r="J79" s="50"/>
      <c r="K79" s="44"/>
      <c r="L79" s="30"/>
      <c r="M79" s="30"/>
      <c r="N79" s="30"/>
      <c r="O79" s="50"/>
      <c r="Q79" s="44"/>
      <c r="R79" s="30"/>
      <c r="S79" s="52">
        <f>S78/1244</f>
        <v>1.5143729903536978</v>
      </c>
      <c r="T79" s="30" t="s">
        <v>388</v>
      </c>
      <c r="U79" s="50"/>
      <c r="V79" s="28"/>
    </row>
    <row r="80" spans="1:22" x14ac:dyDescent="0.25">
      <c r="A80" s="44" t="s">
        <v>307</v>
      </c>
      <c r="B80" s="23" t="s">
        <v>184</v>
      </c>
      <c r="C80" s="23" t="s">
        <v>308</v>
      </c>
      <c r="D80" s="23" t="s">
        <v>309</v>
      </c>
      <c r="E80" s="48" t="s">
        <v>45</v>
      </c>
      <c r="F80" s="44" t="s">
        <v>307</v>
      </c>
      <c r="G80" s="23" t="s">
        <v>184</v>
      </c>
      <c r="H80" s="23" t="s">
        <v>308</v>
      </c>
      <c r="I80" s="23" t="s">
        <v>309</v>
      </c>
      <c r="J80" s="48" t="s">
        <v>45</v>
      </c>
      <c r="K80" s="44" t="s">
        <v>307</v>
      </c>
      <c r="L80" s="23" t="s">
        <v>184</v>
      </c>
      <c r="M80" s="23" t="s">
        <v>308</v>
      </c>
      <c r="N80" s="23" t="s">
        <v>309</v>
      </c>
      <c r="O80" s="76" t="s">
        <v>45</v>
      </c>
      <c r="Q80" s="44" t="s">
        <v>307</v>
      </c>
      <c r="R80" s="23" t="s">
        <v>184</v>
      </c>
      <c r="S80" s="23" t="s">
        <v>308</v>
      </c>
      <c r="T80" s="23" t="s">
        <v>309</v>
      </c>
      <c r="U80" s="76" t="s">
        <v>45</v>
      </c>
      <c r="V80" s="28"/>
    </row>
    <row r="81" spans="1:24" x14ac:dyDescent="0.25">
      <c r="A81" s="44" t="s">
        <v>310</v>
      </c>
      <c r="B81" s="26">
        <f t="shared" ref="B81:D87" si="4">B54*$B$78</f>
        <v>1537164.2879999999</v>
      </c>
      <c r="C81" s="26">
        <f t="shared" si="4"/>
        <v>0</v>
      </c>
      <c r="D81" s="26">
        <f t="shared" si="4"/>
        <v>213495.03999999998</v>
      </c>
      <c r="E81" s="29">
        <f>SUM(B81:D81)</f>
        <v>1750659.328</v>
      </c>
      <c r="F81" s="44" t="s">
        <v>310</v>
      </c>
      <c r="G81" s="34">
        <f>G54*$G$78</f>
        <v>582688.51199999999</v>
      </c>
      <c r="H81" s="26">
        <f>H54*$G$78</f>
        <v>0</v>
      </c>
      <c r="I81" s="26">
        <f>I54*$G$78</f>
        <v>0</v>
      </c>
      <c r="J81" s="70">
        <f t="shared" ref="J81:J87" si="5">SUM(G81:I81)</f>
        <v>582688.51199999999</v>
      </c>
      <c r="K81" s="44" t="s">
        <v>310</v>
      </c>
      <c r="L81" s="26">
        <f>L54*$L$78</f>
        <v>1406034.4320000003</v>
      </c>
      <c r="M81" s="26">
        <f>M54*$L$78</f>
        <v>0</v>
      </c>
      <c r="N81" s="26">
        <f>N54*$L$78</f>
        <v>195282.56000000003</v>
      </c>
      <c r="O81" s="29">
        <f t="shared" ref="O81:O87" si="6">SUM(L81:N81)</f>
        <v>1601316.9920000003</v>
      </c>
      <c r="Q81" s="44" t="s">
        <v>310</v>
      </c>
      <c r="R81" s="26">
        <f>L81+G81+B81</f>
        <v>3525887.2319999998</v>
      </c>
      <c r="S81" s="26">
        <f>M81+H81+C81</f>
        <v>0</v>
      </c>
      <c r="T81" s="26">
        <f>N81+I81+D81</f>
        <v>408777.6</v>
      </c>
      <c r="U81" s="29">
        <f>O81+J81+E81</f>
        <v>3934664.8320000004</v>
      </c>
      <c r="V81" s="18"/>
    </row>
    <row r="82" spans="1:24" x14ac:dyDescent="0.25">
      <c r="A82" s="44" t="s">
        <v>311</v>
      </c>
      <c r="B82" s="26">
        <f t="shared" si="4"/>
        <v>5017133.4399999995</v>
      </c>
      <c r="C82" s="26">
        <f t="shared" si="4"/>
        <v>0</v>
      </c>
      <c r="D82" s="26">
        <f t="shared" si="4"/>
        <v>208240.15072000001</v>
      </c>
      <c r="E82" s="29">
        <f t="shared" ref="E82:E87" si="7">SUM(B82:D82)</f>
        <v>5225373.5907199997</v>
      </c>
      <c r="F82" s="44" t="s">
        <v>311</v>
      </c>
      <c r="G82" s="34">
        <f t="shared" ref="G82:I87" si="8">G55*$G$78</f>
        <v>3052177.9200000004</v>
      </c>
      <c r="H82" s="26">
        <f t="shared" si="8"/>
        <v>0</v>
      </c>
      <c r="I82" s="26">
        <f t="shared" si="8"/>
        <v>248087.72688000003</v>
      </c>
      <c r="J82" s="70">
        <f t="shared" si="5"/>
        <v>3300265.6468800004</v>
      </c>
      <c r="K82" s="44" t="s">
        <v>311</v>
      </c>
      <c r="L82" s="26">
        <f t="shared" ref="L82:N87" si="9">L55*$L$78</f>
        <v>4589140.1600000011</v>
      </c>
      <c r="M82" s="26">
        <f t="shared" si="9"/>
        <v>0</v>
      </c>
      <c r="N82" s="26">
        <f>N55*$L$78</f>
        <v>190475.94608000002</v>
      </c>
      <c r="O82" s="29">
        <f t="shared" si="6"/>
        <v>4779616.1060800012</v>
      </c>
      <c r="Q82" s="44" t="s">
        <v>311</v>
      </c>
      <c r="R82" s="26">
        <f t="shared" ref="R82:T87" si="10">L82+G82+B82</f>
        <v>12658451.520000001</v>
      </c>
      <c r="S82" s="26">
        <f t="shared" si="10"/>
        <v>0</v>
      </c>
      <c r="T82" s="26">
        <f t="shared" si="10"/>
        <v>646803.82368000003</v>
      </c>
      <c r="U82" s="29">
        <f t="shared" ref="U82:U87" si="11">O82+J82+E82</f>
        <v>13305255.343680002</v>
      </c>
      <c r="V82" s="18"/>
      <c r="X82" s="28"/>
    </row>
    <row r="83" spans="1:24" x14ac:dyDescent="0.25">
      <c r="A83" s="44" t="s">
        <v>312</v>
      </c>
      <c r="B83" s="26">
        <f t="shared" si="4"/>
        <v>0</v>
      </c>
      <c r="C83" s="26">
        <f t="shared" si="4"/>
        <v>0</v>
      </c>
      <c r="D83" s="26">
        <f t="shared" si="4"/>
        <v>10835479.799999999</v>
      </c>
      <c r="E83" s="29">
        <f t="shared" si="7"/>
        <v>10835479.799999999</v>
      </c>
      <c r="F83" s="44" t="s">
        <v>312</v>
      </c>
      <c r="G83" s="34">
        <f t="shared" si="8"/>
        <v>0</v>
      </c>
      <c r="H83" s="26">
        <f t="shared" si="8"/>
        <v>0</v>
      </c>
      <c r="I83" s="26">
        <f t="shared" si="8"/>
        <v>263741.7</v>
      </c>
      <c r="J83" s="70">
        <f t="shared" si="5"/>
        <v>263741.7</v>
      </c>
      <c r="K83" s="44" t="s">
        <v>312</v>
      </c>
      <c r="L83" s="26">
        <f t="shared" si="9"/>
        <v>0</v>
      </c>
      <c r="M83" s="26">
        <f t="shared" si="9"/>
        <v>0</v>
      </c>
      <c r="N83" s="26">
        <f t="shared" si="9"/>
        <v>9911144.7000000011</v>
      </c>
      <c r="O83" s="29">
        <f t="shared" si="6"/>
        <v>9911144.7000000011</v>
      </c>
      <c r="Q83" s="44" t="s">
        <v>312</v>
      </c>
      <c r="R83" s="26">
        <f t="shared" si="10"/>
        <v>0</v>
      </c>
      <c r="S83" s="26">
        <f t="shared" si="10"/>
        <v>0</v>
      </c>
      <c r="T83" s="26">
        <f t="shared" si="10"/>
        <v>21010366.199999999</v>
      </c>
      <c r="U83" s="29">
        <f t="shared" si="11"/>
        <v>21010366.199999999</v>
      </c>
      <c r="V83" s="18"/>
    </row>
    <row r="84" spans="1:24" x14ac:dyDescent="0.25">
      <c r="A84" s="44" t="s">
        <v>313</v>
      </c>
      <c r="B84" s="26">
        <f t="shared" si="4"/>
        <v>0</v>
      </c>
      <c r="C84" s="26">
        <f t="shared" si="4"/>
        <v>0</v>
      </c>
      <c r="D84" s="26">
        <f t="shared" si="4"/>
        <v>27381588.008000001</v>
      </c>
      <c r="E84" s="29">
        <f t="shared" si="7"/>
        <v>27381588.008000001</v>
      </c>
      <c r="F84" s="44" t="s">
        <v>313</v>
      </c>
      <c r="G84" s="34">
        <f t="shared" si="8"/>
        <v>0</v>
      </c>
      <c r="H84" s="26">
        <f t="shared" si="8"/>
        <v>0</v>
      </c>
      <c r="I84" s="26">
        <f t="shared" si="8"/>
        <v>22365296.16</v>
      </c>
      <c r="J84" s="70">
        <f t="shared" si="5"/>
        <v>22365296.16</v>
      </c>
      <c r="K84" s="44" t="s">
        <v>313</v>
      </c>
      <c r="L84" s="26">
        <f t="shared" si="9"/>
        <v>0</v>
      </c>
      <c r="M84" s="26">
        <f t="shared" si="9"/>
        <v>0</v>
      </c>
      <c r="N84" s="26">
        <f t="shared" si="9"/>
        <v>54618645.780000009</v>
      </c>
      <c r="O84" s="29">
        <f t="shared" si="6"/>
        <v>54618645.780000009</v>
      </c>
      <c r="Q84" s="44" t="s">
        <v>313</v>
      </c>
      <c r="R84" s="26">
        <f t="shared" si="10"/>
        <v>0</v>
      </c>
      <c r="S84" s="26">
        <f t="shared" si="10"/>
        <v>0</v>
      </c>
      <c r="T84" s="26">
        <f t="shared" si="10"/>
        <v>104365529.94800001</v>
      </c>
      <c r="U84" s="29">
        <f t="shared" si="11"/>
        <v>104365529.94800001</v>
      </c>
      <c r="V84" s="18"/>
    </row>
    <row r="85" spans="1:24" x14ac:dyDescent="0.25">
      <c r="A85" s="44" t="s">
        <v>314</v>
      </c>
      <c r="B85" s="26">
        <f t="shared" si="4"/>
        <v>2922358.9247999997</v>
      </c>
      <c r="C85" s="26">
        <f t="shared" si="4"/>
        <v>0</v>
      </c>
      <c r="D85" s="26">
        <f t="shared" si="4"/>
        <v>7265199.8199999994</v>
      </c>
      <c r="E85" s="29">
        <f t="shared" si="7"/>
        <v>10187558.7448</v>
      </c>
      <c r="F85" s="44" t="s">
        <v>314</v>
      </c>
      <c r="G85" s="34">
        <f t="shared" si="8"/>
        <v>1748065.5360000001</v>
      </c>
      <c r="H85" s="26">
        <f t="shared" si="8"/>
        <v>0</v>
      </c>
      <c r="I85" s="26">
        <f t="shared" si="8"/>
        <v>8684959.9875000007</v>
      </c>
      <c r="J85" s="70">
        <f t="shared" si="5"/>
        <v>10433025.523500001</v>
      </c>
      <c r="K85" s="44" t="s">
        <v>314</v>
      </c>
      <c r="L85" s="26">
        <f t="shared" si="9"/>
        <v>3751555.5072000003</v>
      </c>
      <c r="M85" s="26">
        <f t="shared" si="9"/>
        <v>0</v>
      </c>
      <c r="N85" s="26">
        <f t="shared" si="9"/>
        <v>6645432.2300000014</v>
      </c>
      <c r="O85" s="29">
        <f t="shared" si="6"/>
        <v>10396987.737200001</v>
      </c>
      <c r="Q85" s="44" t="s">
        <v>314</v>
      </c>
      <c r="R85" s="26">
        <f t="shared" si="10"/>
        <v>8421979.9680000003</v>
      </c>
      <c r="S85" s="26">
        <f t="shared" si="10"/>
        <v>0</v>
      </c>
      <c r="T85" s="26">
        <f t="shared" si="10"/>
        <v>22595592.037500001</v>
      </c>
      <c r="U85" s="29">
        <f t="shared" si="11"/>
        <v>31017572.005500004</v>
      </c>
      <c r="V85" s="18"/>
    </row>
    <row r="86" spans="1:24" x14ac:dyDescent="0.25">
      <c r="A86" s="44" t="s">
        <v>315</v>
      </c>
      <c r="B86" s="26">
        <f t="shared" si="4"/>
        <v>1291305.3407999999</v>
      </c>
      <c r="C86" s="26">
        <f t="shared" si="4"/>
        <v>5133097.0313999997</v>
      </c>
      <c r="D86" s="26">
        <f t="shared" si="4"/>
        <v>304776.3</v>
      </c>
      <c r="E86" s="29">
        <f t="shared" si="7"/>
        <v>6729178.672199999</v>
      </c>
      <c r="F86" s="44" t="s">
        <v>315</v>
      </c>
      <c r="G86" s="34">
        <f t="shared" si="8"/>
        <v>1621642.9391999999</v>
      </c>
      <c r="H86" s="26">
        <f t="shared" si="8"/>
        <v>6115335.4430999998</v>
      </c>
      <c r="I86" s="26">
        <f t="shared" si="8"/>
        <v>500386.65</v>
      </c>
      <c r="J86" s="70">
        <f t="shared" si="5"/>
        <v>8237365.0323000001</v>
      </c>
      <c r="K86" s="44" t="s">
        <v>315</v>
      </c>
      <c r="L86" s="26">
        <f t="shared" si="9"/>
        <v>1245059.4672000001</v>
      </c>
      <c r="M86" s="26">
        <f t="shared" si="9"/>
        <v>11098928.680000002</v>
      </c>
      <c r="N86" s="26">
        <f t="shared" si="9"/>
        <v>348124.45000000007</v>
      </c>
      <c r="O86" s="29">
        <f t="shared" si="6"/>
        <v>12692112.597200001</v>
      </c>
      <c r="Q86" s="44" t="s">
        <v>315</v>
      </c>
      <c r="R86" s="26">
        <f t="shared" si="10"/>
        <v>4158007.7471999996</v>
      </c>
      <c r="S86" s="26">
        <f t="shared" si="10"/>
        <v>22347361.1545</v>
      </c>
      <c r="T86" s="26">
        <f t="shared" si="10"/>
        <v>1153287.4000000001</v>
      </c>
      <c r="U86" s="29">
        <f t="shared" si="11"/>
        <v>27658656.3017</v>
      </c>
      <c r="V86" s="18"/>
    </row>
    <row r="87" spans="1:24" x14ac:dyDescent="0.25">
      <c r="A87" s="44" t="s">
        <v>316</v>
      </c>
      <c r="B87" s="26">
        <f t="shared" si="4"/>
        <v>1559057.23392</v>
      </c>
      <c r="C87" s="26">
        <f t="shared" si="4"/>
        <v>7266757.3633600008</v>
      </c>
      <c r="D87" s="26">
        <f t="shared" si="4"/>
        <v>419711.83999999997</v>
      </c>
      <c r="E87" s="29">
        <f t="shared" si="7"/>
        <v>9245526.4372800011</v>
      </c>
      <c r="F87" s="44" t="s">
        <v>316</v>
      </c>
      <c r="G87" s="34">
        <f>G60*$G$78</f>
        <v>1665934.2028800002</v>
      </c>
      <c r="H87" s="26">
        <f t="shared" si="8"/>
        <v>7546692.7199400011</v>
      </c>
      <c r="I87" s="26">
        <f t="shared" si="8"/>
        <v>500025.36000000004</v>
      </c>
      <c r="J87" s="70">
        <f t="shared" si="5"/>
        <v>9712652.2828200012</v>
      </c>
      <c r="K87" s="44" t="s">
        <v>316</v>
      </c>
      <c r="L87" s="26">
        <f t="shared" si="9"/>
        <v>1426059.7708800002</v>
      </c>
      <c r="M87" s="26">
        <f>M60*$L$78</f>
        <v>6646856.9050400015</v>
      </c>
      <c r="N87" s="26">
        <f t="shared" si="9"/>
        <v>383907.76000000007</v>
      </c>
      <c r="O87" s="29">
        <f t="shared" si="6"/>
        <v>8456824.4359200019</v>
      </c>
      <c r="Q87" s="44" t="s">
        <v>316</v>
      </c>
      <c r="R87" s="26">
        <f t="shared" si="10"/>
        <v>4651051.20768</v>
      </c>
      <c r="S87" s="26">
        <f t="shared" si="10"/>
        <v>21460306.988340005</v>
      </c>
      <c r="T87" s="26">
        <f t="shared" si="10"/>
        <v>1303644.96</v>
      </c>
      <c r="U87" s="29">
        <f t="shared" si="11"/>
        <v>27415003.156020001</v>
      </c>
      <c r="V87" s="18"/>
    </row>
    <row r="88" spans="1:24" x14ac:dyDescent="0.25">
      <c r="A88" s="44"/>
      <c r="B88" s="26"/>
      <c r="C88" s="26"/>
      <c r="D88" s="26"/>
      <c r="E88" s="29"/>
      <c r="F88" s="44"/>
      <c r="G88" s="34"/>
      <c r="H88" s="26"/>
      <c r="I88" s="26"/>
      <c r="J88" s="70"/>
      <c r="K88" s="44"/>
      <c r="L88" s="26"/>
      <c r="M88" s="26"/>
      <c r="N88" s="26"/>
      <c r="O88" s="29"/>
      <c r="P88" s="28"/>
      <c r="Q88" s="44"/>
      <c r="R88" s="26"/>
      <c r="S88" s="26"/>
      <c r="T88" s="26"/>
      <c r="U88" s="29"/>
      <c r="V88" s="18"/>
    </row>
    <row r="89" spans="1:24" x14ac:dyDescent="0.25">
      <c r="A89" s="44"/>
      <c r="B89" s="26"/>
      <c r="C89" s="26"/>
      <c r="D89" s="26"/>
      <c r="E89" s="29"/>
      <c r="F89" s="44"/>
      <c r="G89" s="34"/>
      <c r="H89" s="26"/>
      <c r="I89" s="26"/>
      <c r="J89" s="70"/>
      <c r="K89" s="44"/>
      <c r="L89" s="26"/>
      <c r="M89" s="26"/>
      <c r="N89" s="26"/>
      <c r="O89" s="29"/>
      <c r="P89" s="28"/>
      <c r="Q89" s="44"/>
      <c r="R89" s="26"/>
      <c r="S89" s="26"/>
      <c r="T89" s="26"/>
      <c r="U89" s="29"/>
      <c r="V89" s="18"/>
    </row>
    <row r="90" spans="1:24" x14ac:dyDescent="0.25">
      <c r="A90" s="44" t="s">
        <v>317</v>
      </c>
      <c r="B90" s="26"/>
      <c r="C90" s="26"/>
      <c r="D90" s="26"/>
      <c r="E90" s="29"/>
      <c r="F90" s="44" t="s">
        <v>317</v>
      </c>
      <c r="G90" s="34"/>
      <c r="H90" s="26"/>
      <c r="I90" s="26"/>
      <c r="J90" s="70"/>
      <c r="K90" s="44" t="s">
        <v>317</v>
      </c>
      <c r="L90" s="26"/>
      <c r="M90" s="26"/>
      <c r="N90" s="26"/>
      <c r="O90" s="29"/>
      <c r="P90" s="28"/>
      <c r="Q90" s="44" t="s">
        <v>317</v>
      </c>
      <c r="R90" s="26"/>
      <c r="S90" s="26"/>
      <c r="T90" s="26"/>
      <c r="U90" s="29"/>
      <c r="V90" s="18"/>
      <c r="W90" s="28"/>
    </row>
    <row r="91" spans="1:24" x14ac:dyDescent="0.25">
      <c r="A91" s="44" t="s">
        <v>318</v>
      </c>
      <c r="B91" s="26">
        <f t="shared" ref="B91:D98" si="12">B65*$B$78</f>
        <v>3355559.7695999998</v>
      </c>
      <c r="C91" s="26">
        <f t="shared" si="12"/>
        <v>0</v>
      </c>
      <c r="D91" s="26">
        <f t="shared" si="12"/>
        <v>606519.99999999988</v>
      </c>
      <c r="E91" s="29">
        <f t="shared" ref="E91:E98" si="13">SUM(B91:D91)</f>
        <v>3962079.7695999998</v>
      </c>
      <c r="F91" s="44" t="s">
        <v>318</v>
      </c>
      <c r="G91" s="34">
        <f>G65*$G$78</f>
        <v>749170.94400000013</v>
      </c>
      <c r="H91" s="26">
        <f>H65*$G$78</f>
        <v>0</v>
      </c>
      <c r="I91" s="26">
        <f>I65*$G$78</f>
        <v>0</v>
      </c>
      <c r="J91" s="70">
        <f t="shared" ref="J91:J98" si="14">SUM(G91:I91)</f>
        <v>749170.94400000013</v>
      </c>
      <c r="K91" s="44" t="s">
        <v>318</v>
      </c>
      <c r="L91" s="26">
        <f>L65*$L$78</f>
        <v>15533840.000000002</v>
      </c>
      <c r="M91" s="26">
        <f>M65*$L$78</f>
        <v>0</v>
      </c>
      <c r="N91" s="26">
        <f>N65*$L$78</f>
        <v>17752960.000000004</v>
      </c>
      <c r="O91" s="29">
        <f>SUM(L91:N91)</f>
        <v>33286800.000000007</v>
      </c>
      <c r="P91" s="28"/>
      <c r="Q91" s="44" t="s">
        <v>318</v>
      </c>
      <c r="R91" s="26">
        <f>L91+G91+B91</f>
        <v>19638570.713600002</v>
      </c>
      <c r="S91" s="26">
        <f>M91+H91+C91</f>
        <v>0</v>
      </c>
      <c r="T91" s="26">
        <f>N91+I91+D91</f>
        <v>18359480.000000004</v>
      </c>
      <c r="U91" s="29">
        <f t="shared" ref="R91:U98" si="15">O91+J91+E91</f>
        <v>37998050.713600002</v>
      </c>
      <c r="V91" s="18"/>
      <c r="W91" s="28"/>
    </row>
    <row r="92" spans="1:24" x14ac:dyDescent="0.25">
      <c r="A92" s="44" t="s">
        <v>319</v>
      </c>
      <c r="B92" s="26">
        <f t="shared" si="12"/>
        <v>536859.22743167996</v>
      </c>
      <c r="C92" s="26">
        <f t="shared" si="12"/>
        <v>4864701.4959201394</v>
      </c>
      <c r="D92" s="26">
        <f t="shared" si="12"/>
        <v>0</v>
      </c>
      <c r="E92" s="29">
        <f t="shared" si="13"/>
        <v>5401560.7233518194</v>
      </c>
      <c r="F92" s="44" t="s">
        <v>319</v>
      </c>
      <c r="G92" s="34">
        <f t="shared" ref="G92:I98" si="16">G66*$G$78</f>
        <v>319794.68159136001</v>
      </c>
      <c r="H92" s="26">
        <f t="shared" si="16"/>
        <v>0</v>
      </c>
      <c r="I92" s="26">
        <f t="shared" si="16"/>
        <v>0</v>
      </c>
      <c r="J92" s="70">
        <f t="shared" si="14"/>
        <v>319794.68159136001</v>
      </c>
      <c r="K92" s="44" t="s">
        <v>319</v>
      </c>
      <c r="L92" s="26">
        <f t="shared" ref="L92:N98" si="17">L66*$L$78</f>
        <v>491061.73282752006</v>
      </c>
      <c r="M92" s="26">
        <f t="shared" si="17"/>
        <v>11098928.680000002</v>
      </c>
      <c r="N92" s="26">
        <f t="shared" si="17"/>
        <v>0</v>
      </c>
      <c r="O92" s="29">
        <f>SUM(L92:N92)</f>
        <v>11589990.412827522</v>
      </c>
      <c r="P92" s="28"/>
      <c r="Q92" s="44" t="s">
        <v>319</v>
      </c>
      <c r="R92" s="26">
        <f t="shared" si="15"/>
        <v>1347715.64185056</v>
      </c>
      <c r="S92" s="26">
        <f t="shared" si="15"/>
        <v>15963630.17592014</v>
      </c>
      <c r="T92" s="26">
        <f t="shared" si="15"/>
        <v>0</v>
      </c>
      <c r="U92" s="29">
        <f t="shared" si="15"/>
        <v>17311345.817770701</v>
      </c>
      <c r="V92" s="18"/>
      <c r="W92" s="30"/>
    </row>
    <row r="93" spans="1:24" x14ac:dyDescent="0.25">
      <c r="A93" s="44" t="s">
        <v>320</v>
      </c>
      <c r="B93" s="26">
        <f t="shared" si="12"/>
        <v>0</v>
      </c>
      <c r="C93" s="26">
        <f t="shared" si="12"/>
        <v>0</v>
      </c>
      <c r="D93" s="26">
        <f t="shared" si="12"/>
        <v>0</v>
      </c>
      <c r="E93" s="29">
        <f t="shared" si="13"/>
        <v>0</v>
      </c>
      <c r="F93" s="44" t="s">
        <v>320</v>
      </c>
      <c r="G93" s="34">
        <f t="shared" si="16"/>
        <v>280814.93585280003</v>
      </c>
      <c r="H93" s="26">
        <f t="shared" si="16"/>
        <v>4112785.4107055999</v>
      </c>
      <c r="I93" s="26">
        <f t="shared" si="16"/>
        <v>13768.761900000001</v>
      </c>
      <c r="J93" s="70">
        <f t="shared" si="14"/>
        <v>4407369.1084583998</v>
      </c>
      <c r="K93" s="44" t="s">
        <v>320</v>
      </c>
      <c r="L93" s="26">
        <f t="shared" si="17"/>
        <v>0</v>
      </c>
      <c r="M93" s="26">
        <f t="shared" si="17"/>
        <v>0</v>
      </c>
      <c r="N93" s="26">
        <f t="shared" si="17"/>
        <v>0</v>
      </c>
      <c r="O93" s="29">
        <f t="shared" ref="O93:O94" si="18">SUM(L93:N93)</f>
        <v>0</v>
      </c>
      <c r="P93" s="28"/>
      <c r="Q93" s="44" t="s">
        <v>320</v>
      </c>
      <c r="R93" s="26">
        <f t="shared" si="15"/>
        <v>280814.93585280003</v>
      </c>
      <c r="S93" s="26">
        <f t="shared" si="15"/>
        <v>4112785.4107055999</v>
      </c>
      <c r="T93" s="26">
        <f t="shared" si="15"/>
        <v>13768.761900000001</v>
      </c>
      <c r="U93" s="29">
        <f t="shared" si="15"/>
        <v>4407369.1084583998</v>
      </c>
      <c r="V93" s="18"/>
      <c r="W93" s="28"/>
    </row>
    <row r="94" spans="1:24" x14ac:dyDescent="0.25">
      <c r="A94" s="44" t="s">
        <v>321</v>
      </c>
      <c r="B94" s="26">
        <f t="shared" si="12"/>
        <v>0</v>
      </c>
      <c r="C94" s="26">
        <f t="shared" si="12"/>
        <v>0</v>
      </c>
      <c r="D94" s="26">
        <f t="shared" si="12"/>
        <v>0</v>
      </c>
      <c r="E94" s="29">
        <f t="shared" si="13"/>
        <v>0</v>
      </c>
      <c r="F94" s="44" t="s">
        <v>321</v>
      </c>
      <c r="G94" s="34">
        <f>G68*$G$78</f>
        <v>589625.28</v>
      </c>
      <c r="H94" s="26">
        <f t="shared" si="16"/>
        <v>7103105.9159999993</v>
      </c>
      <c r="I94" s="26">
        <f t="shared" si="16"/>
        <v>36129</v>
      </c>
      <c r="J94" s="70">
        <f t="shared" si="14"/>
        <v>7728860.1959999995</v>
      </c>
      <c r="K94" s="44" t="s">
        <v>321</v>
      </c>
      <c r="L94" s="26">
        <f t="shared" si="17"/>
        <v>0</v>
      </c>
      <c r="M94" s="26">
        <f t="shared" si="17"/>
        <v>0</v>
      </c>
      <c r="N94" s="26">
        <f t="shared" si="17"/>
        <v>0</v>
      </c>
      <c r="O94" s="29">
        <f t="shared" si="18"/>
        <v>0</v>
      </c>
      <c r="P94" s="28"/>
      <c r="Q94" s="44" t="s">
        <v>321</v>
      </c>
      <c r="R94" s="26">
        <f t="shared" si="15"/>
        <v>589625.28</v>
      </c>
      <c r="S94" s="26">
        <f t="shared" si="15"/>
        <v>7103105.9159999993</v>
      </c>
      <c r="T94" s="26">
        <f t="shared" si="15"/>
        <v>36129</v>
      </c>
      <c r="U94" s="29">
        <f t="shared" si="15"/>
        <v>7728860.1959999995</v>
      </c>
      <c r="V94" s="18"/>
      <c r="W94" s="28"/>
    </row>
    <row r="95" spans="1:24" x14ac:dyDescent="0.25">
      <c r="A95" s="44" t="s">
        <v>322</v>
      </c>
      <c r="B95" s="26">
        <f t="shared" si="12"/>
        <v>779062.80960000004</v>
      </c>
      <c r="C95" s="26">
        <f t="shared" si="12"/>
        <v>0</v>
      </c>
      <c r="D95" s="26">
        <f t="shared" si="12"/>
        <v>648218.25</v>
      </c>
      <c r="E95" s="29">
        <f t="shared" si="13"/>
        <v>1427281.0596</v>
      </c>
      <c r="F95" s="44" t="s">
        <v>322</v>
      </c>
      <c r="G95" s="34">
        <f t="shared" si="16"/>
        <v>423153.59999040002</v>
      </c>
      <c r="H95" s="26">
        <f t="shared" si="16"/>
        <v>0</v>
      </c>
      <c r="I95" s="26">
        <f t="shared" si="16"/>
        <v>447999.60000000003</v>
      </c>
      <c r="J95" s="70">
        <f t="shared" si="14"/>
        <v>871153.19999040011</v>
      </c>
      <c r="K95" s="44" t="s">
        <v>322</v>
      </c>
      <c r="L95" s="26">
        <f t="shared" si="17"/>
        <v>645497.62560000014</v>
      </c>
      <c r="M95" s="26">
        <f t="shared" si="17"/>
        <v>0</v>
      </c>
      <c r="N95" s="26">
        <f t="shared" si="17"/>
        <v>8810599.8750000019</v>
      </c>
      <c r="O95" s="29">
        <f>SUM(L95:N95)</f>
        <v>9456097.5006000027</v>
      </c>
      <c r="P95" s="28"/>
      <c r="Q95" s="44" t="s">
        <v>322</v>
      </c>
      <c r="R95" s="26">
        <f t="shared" si="15"/>
        <v>1847714.0351904002</v>
      </c>
      <c r="S95" s="26">
        <f t="shared" si="15"/>
        <v>0</v>
      </c>
      <c r="T95" s="26">
        <f t="shared" si="15"/>
        <v>9906817.7250000015</v>
      </c>
      <c r="U95" s="29">
        <f t="shared" si="15"/>
        <v>11754531.760190401</v>
      </c>
      <c r="V95" s="18"/>
      <c r="W95" s="28"/>
    </row>
    <row r="96" spans="1:24" x14ac:dyDescent="0.25">
      <c r="A96" s="44" t="s">
        <v>323</v>
      </c>
      <c r="B96" s="26">
        <f t="shared" si="12"/>
        <v>759848.25599999994</v>
      </c>
      <c r="C96" s="26">
        <f t="shared" si="12"/>
        <v>0</v>
      </c>
      <c r="D96" s="26">
        <f t="shared" si="12"/>
        <v>97043.199999999997</v>
      </c>
      <c r="E96" s="29">
        <f t="shared" si="13"/>
        <v>856891.45599999989</v>
      </c>
      <c r="F96" s="44" t="s">
        <v>323</v>
      </c>
      <c r="G96" s="34">
        <f t="shared" si="16"/>
        <v>3936615.8400000003</v>
      </c>
      <c r="H96" s="26">
        <f t="shared" si="16"/>
        <v>0</v>
      </c>
      <c r="I96" s="26">
        <f t="shared" si="16"/>
        <v>28903.200000000001</v>
      </c>
      <c r="J96" s="70">
        <f t="shared" si="14"/>
        <v>3965519.0400000005</v>
      </c>
      <c r="K96" s="44" t="s">
        <v>323</v>
      </c>
      <c r="L96" s="26">
        <f t="shared" si="17"/>
        <v>695028.38400000008</v>
      </c>
      <c r="M96" s="26">
        <f t="shared" si="17"/>
        <v>0</v>
      </c>
      <c r="N96" s="26">
        <f t="shared" si="17"/>
        <v>88764.800000000017</v>
      </c>
      <c r="O96" s="29">
        <f>SUM(L96:N96)</f>
        <v>783793.18400000012</v>
      </c>
      <c r="P96" s="28"/>
      <c r="Q96" s="44" t="s">
        <v>323</v>
      </c>
      <c r="R96" s="26">
        <f t="shared" si="15"/>
        <v>5391492.4800000004</v>
      </c>
      <c r="S96" s="26">
        <f t="shared" si="15"/>
        <v>0</v>
      </c>
      <c r="T96" s="26">
        <f t="shared" si="15"/>
        <v>214711.2</v>
      </c>
      <c r="U96" s="29">
        <f t="shared" si="15"/>
        <v>5606203.6800000006</v>
      </c>
      <c r="V96" s="18"/>
      <c r="W96" s="28"/>
    </row>
    <row r="97" spans="1:23" x14ac:dyDescent="0.25">
      <c r="A97" s="44" t="s">
        <v>324</v>
      </c>
      <c r="B97" s="26">
        <f t="shared" si="12"/>
        <v>1258116.5663999999</v>
      </c>
      <c r="C97" s="26">
        <f t="shared" si="12"/>
        <v>0</v>
      </c>
      <c r="D97" s="26">
        <f t="shared" si="12"/>
        <v>921303.88</v>
      </c>
      <c r="E97" s="29">
        <f t="shared" si="13"/>
        <v>2179420.4463999998</v>
      </c>
      <c r="F97" s="44" t="s">
        <v>324</v>
      </c>
      <c r="G97" s="34">
        <f t="shared" si="16"/>
        <v>1018317.5424</v>
      </c>
      <c r="H97" s="26">
        <f t="shared" si="16"/>
        <v>0</v>
      </c>
      <c r="I97" s="26">
        <f t="shared" si="16"/>
        <v>924902.40000000002</v>
      </c>
      <c r="J97" s="70">
        <f t="shared" si="14"/>
        <v>1943219.9424000001</v>
      </c>
      <c r="K97" s="44" t="s">
        <v>324</v>
      </c>
      <c r="L97" s="26">
        <f t="shared" si="17"/>
        <v>1150791.2496</v>
      </c>
      <c r="M97" s="26">
        <f t="shared" si="17"/>
        <v>0</v>
      </c>
      <c r="N97" s="26">
        <f t="shared" si="17"/>
        <v>1653244.4000000004</v>
      </c>
      <c r="O97" s="29">
        <f>SUM(L97:N97)</f>
        <v>2804035.6496000001</v>
      </c>
      <c r="P97" s="28"/>
      <c r="Q97" s="44" t="s">
        <v>324</v>
      </c>
      <c r="R97" s="26">
        <f t="shared" si="15"/>
        <v>3427225.3583999998</v>
      </c>
      <c r="S97" s="26">
        <f t="shared" si="15"/>
        <v>0</v>
      </c>
      <c r="T97" s="26">
        <f t="shared" si="15"/>
        <v>3499450.68</v>
      </c>
      <c r="U97" s="29">
        <f t="shared" si="15"/>
        <v>6926676.0384</v>
      </c>
      <c r="V97" s="18"/>
      <c r="W97" s="28"/>
    </row>
    <row r="98" spans="1:23" x14ac:dyDescent="0.25">
      <c r="A98" s="44" t="s">
        <v>325</v>
      </c>
      <c r="B98" s="26">
        <f t="shared" si="12"/>
        <v>1755367.5379988479</v>
      </c>
      <c r="C98" s="26">
        <f t="shared" si="12"/>
        <v>1765739.2658138238</v>
      </c>
      <c r="D98" s="26">
        <f t="shared" si="12"/>
        <v>6639897.1125217285</v>
      </c>
      <c r="E98" s="29">
        <f t="shared" si="13"/>
        <v>10161003.9163344</v>
      </c>
      <c r="F98" s="44" t="s">
        <v>325</v>
      </c>
      <c r="G98" s="34">
        <f t="shared" si="16"/>
        <v>1378207.2216683519</v>
      </c>
      <c r="H98" s="26">
        <f>H72*$G$78</f>
        <v>3798279.265543296</v>
      </c>
      <c r="I98" s="26">
        <f t="shared" si="16"/>
        <v>4636899.6560157118</v>
      </c>
      <c r="J98" s="70">
        <f t="shared" si="14"/>
        <v>9813386.1432273611</v>
      </c>
      <c r="K98" s="44" t="s">
        <v>325</v>
      </c>
      <c r="L98" s="26">
        <f t="shared" si="17"/>
        <v>1768301.745628672</v>
      </c>
      <c r="M98" s="26">
        <f t="shared" si="17"/>
        <v>3621050.1535823364</v>
      </c>
      <c r="N98" s="26">
        <f t="shared" si="17"/>
        <v>10053494.061601793</v>
      </c>
      <c r="O98" s="29">
        <f>SUM(L98:N98)</f>
        <v>15442845.960812801</v>
      </c>
      <c r="P98" s="28"/>
      <c r="Q98" s="44" t="s">
        <v>325</v>
      </c>
      <c r="R98" s="26">
        <f t="shared" si="15"/>
        <v>4901876.5052958718</v>
      </c>
      <c r="S98" s="26">
        <f t="shared" si="15"/>
        <v>9185068.6849394552</v>
      </c>
      <c r="T98" s="26">
        <f t="shared" si="15"/>
        <v>21330290.830139235</v>
      </c>
      <c r="U98" s="29">
        <f t="shared" si="15"/>
        <v>35417236.020374559</v>
      </c>
      <c r="V98" s="18"/>
      <c r="W98" s="28"/>
    </row>
    <row r="99" spans="1:23" x14ac:dyDescent="0.25">
      <c r="A99" s="44"/>
      <c r="B99" s="26"/>
      <c r="C99" s="26"/>
      <c r="D99" s="26"/>
      <c r="E99" s="29"/>
      <c r="F99" s="44"/>
      <c r="G99" s="78"/>
      <c r="H99" s="26"/>
      <c r="I99" s="26"/>
      <c r="J99" s="75"/>
      <c r="K99" s="44"/>
      <c r="L99" s="26"/>
      <c r="M99" s="26"/>
      <c r="N99" s="26"/>
      <c r="O99" s="29"/>
      <c r="P99" s="28"/>
      <c r="Q99" s="44"/>
      <c r="R99" s="26"/>
      <c r="S99" s="26"/>
      <c r="T99" s="26"/>
      <c r="U99" s="29"/>
      <c r="V99" s="18"/>
      <c r="W99" s="28"/>
    </row>
    <row r="100" spans="1:23" x14ac:dyDescent="0.25">
      <c r="A100" s="44" t="s">
        <v>326</v>
      </c>
      <c r="B100" s="26">
        <f>SUM(B91:B97)</f>
        <v>6689446.6290316796</v>
      </c>
      <c r="C100" s="26">
        <f>SUM(C91:C97)</f>
        <v>4864701.4959201394</v>
      </c>
      <c r="D100" s="26">
        <f>SUM(D91:D97)</f>
        <v>2273085.33</v>
      </c>
      <c r="E100" s="26">
        <f>SUM(E91:E97)</f>
        <v>13827233.454951819</v>
      </c>
      <c r="F100" s="44" t="s">
        <v>326</v>
      </c>
      <c r="G100" s="34">
        <f>SUM(G91:G97)</f>
        <v>7317492.8238345599</v>
      </c>
      <c r="H100" s="34">
        <f>SUM(H91:H97)</f>
        <v>11215891.326705599</v>
      </c>
      <c r="I100" s="34">
        <f>SUM(I91:I97)</f>
        <v>1451702.9619</v>
      </c>
      <c r="J100" s="26">
        <f>SUM(J91:J97)</f>
        <v>19985087.112440158</v>
      </c>
      <c r="K100" s="30" t="s">
        <v>326</v>
      </c>
      <c r="L100" s="26">
        <f>SUM(L91:L97)</f>
        <v>18516218.992027525</v>
      </c>
      <c r="M100" s="26">
        <f>SUM(M91:M97)</f>
        <v>11098928.680000002</v>
      </c>
      <c r="N100" s="26">
        <f>SUM(N91:N97)</f>
        <v>28305569.07500001</v>
      </c>
      <c r="O100" s="29">
        <f>SUM(O91:O97)</f>
        <v>57920716.747027531</v>
      </c>
      <c r="Q100" s="44" t="s">
        <v>326</v>
      </c>
      <c r="R100" s="26">
        <f>L100+G100+B100</f>
        <v>32523158.444893766</v>
      </c>
      <c r="S100" s="26">
        <f>M100+H100+C100</f>
        <v>27179521.502625741</v>
      </c>
      <c r="T100" s="26">
        <f t="shared" ref="T100:U101" si="19">N100+I100+D100</f>
        <v>32030357.366900012</v>
      </c>
      <c r="U100" s="29">
        <f t="shared" si="19"/>
        <v>91733037.314419508</v>
      </c>
      <c r="V100" s="18"/>
    </row>
    <row r="101" spans="1:23" ht="13" thickBot="1" x14ac:dyDescent="0.3">
      <c r="A101" s="46" t="s">
        <v>327</v>
      </c>
      <c r="B101" s="54">
        <f>SUM(B91:B98)</f>
        <v>8444814.1670305282</v>
      </c>
      <c r="C101" s="54">
        <f>SUM(C91:C98)</f>
        <v>6630440.7617339632</v>
      </c>
      <c r="D101" s="54">
        <f>SUM(D91:D98)</f>
        <v>8912982.4425217286</v>
      </c>
      <c r="E101" s="54">
        <f>SUM(E91:E98)</f>
        <v>23988237.371286221</v>
      </c>
      <c r="F101" s="46" t="s">
        <v>327</v>
      </c>
      <c r="G101" s="45">
        <f>SUM(G91:G98)</f>
        <v>8695700.0455029123</v>
      </c>
      <c r="H101" s="45">
        <f>SUM(H91:H98)</f>
        <v>15014170.592248894</v>
      </c>
      <c r="I101" s="45">
        <f>SUM(I91:I98)</f>
        <v>6088602.6179157123</v>
      </c>
      <c r="J101" s="217">
        <f>SUM(J91:J98)</f>
        <v>29798473.255667519</v>
      </c>
      <c r="K101" s="74" t="s">
        <v>327</v>
      </c>
      <c r="L101" s="54">
        <f>SUM(L91:L98)</f>
        <v>20284520.737656198</v>
      </c>
      <c r="M101" s="54">
        <f>SUM(M91:M98)</f>
        <v>14719978.833582338</v>
      </c>
      <c r="N101" s="54">
        <f>SUM(N91:N98)</f>
        <v>38359063.136601806</v>
      </c>
      <c r="O101" s="218">
        <f>SUM(O91:O98)</f>
        <v>73363562.707840338</v>
      </c>
      <c r="Q101" s="46" t="s">
        <v>327</v>
      </c>
      <c r="R101" s="54">
        <f>L101+G101+B101</f>
        <v>37425034.950189635</v>
      </c>
      <c r="S101" s="54">
        <f>M101+H101+C101</f>
        <v>36364590.187565193</v>
      </c>
      <c r="T101" s="54">
        <f t="shared" si="19"/>
        <v>53360648.197039247</v>
      </c>
      <c r="U101" s="77">
        <f t="shared" si="19"/>
        <v>127150273.33479407</v>
      </c>
      <c r="V101" s="18"/>
    </row>
    <row r="102" spans="1:23" x14ac:dyDescent="0.25">
      <c r="F102" s="28"/>
      <c r="J102" s="28"/>
      <c r="K102" s="28"/>
      <c r="L102" s="28"/>
      <c r="M102" s="28"/>
      <c r="N102" s="28"/>
      <c r="O102" s="28"/>
      <c r="V102" s="28"/>
    </row>
    <row r="103" spans="1:23" x14ac:dyDescent="0.25">
      <c r="J103" s="28"/>
    </row>
  </sheetData>
  <pageMargins left="0.75" right="0.75" top="1" bottom="1" header="0.5" footer="0.5"/>
  <pageSetup scale="96"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249977111117893"/>
  </sheetPr>
  <dimension ref="A1:E184"/>
  <sheetViews>
    <sheetView workbookViewId="0">
      <pane ySplit="1" topLeftCell="A178" activePane="bottomLeft" state="frozen"/>
      <selection activeCell="I65" sqref="I65"/>
      <selection pane="bottomLeft" activeCell="I65" sqref="I65"/>
    </sheetView>
  </sheetViews>
  <sheetFormatPr defaultColWidth="9.1796875" defaultRowHeight="12.5" x14ac:dyDescent="0.25"/>
  <cols>
    <col min="1" max="1" width="39" style="31" bestFit="1" customWidth="1"/>
    <col min="2" max="5" width="9.1796875" style="31"/>
    <col min="6" max="6" width="1.54296875" style="31" customWidth="1"/>
    <col min="7" max="16384" width="9.1796875" style="31"/>
  </cols>
  <sheetData>
    <row r="1" spans="1:4" x14ac:dyDescent="0.25">
      <c r="B1" s="31" t="s">
        <v>184</v>
      </c>
      <c r="C1" s="31" t="s">
        <v>308</v>
      </c>
      <c r="D1" s="31" t="s">
        <v>389</v>
      </c>
    </row>
    <row r="2" spans="1:4" x14ac:dyDescent="0.25">
      <c r="A2" s="31" t="s">
        <v>390</v>
      </c>
    </row>
    <row r="3" spans="1:4" x14ac:dyDescent="0.25">
      <c r="A3" s="31" t="s">
        <v>391</v>
      </c>
      <c r="B3" s="32">
        <v>230.40000000000003</v>
      </c>
      <c r="C3" s="32"/>
      <c r="D3" s="32"/>
    </row>
    <row r="4" spans="1:4" x14ac:dyDescent="0.25">
      <c r="A4" s="31" t="s">
        <v>392</v>
      </c>
      <c r="B4" s="32">
        <v>441.6</v>
      </c>
      <c r="C4" s="32"/>
      <c r="D4" s="32">
        <v>284</v>
      </c>
    </row>
    <row r="5" spans="1:4" x14ac:dyDescent="0.25">
      <c r="A5" s="31" t="s">
        <v>393</v>
      </c>
      <c r="B5" s="32">
        <v>240</v>
      </c>
      <c r="C5" s="32"/>
      <c r="D5" s="32"/>
    </row>
    <row r="6" spans="1:4" x14ac:dyDescent="0.25">
      <c r="A6" s="31" t="s">
        <v>394</v>
      </c>
      <c r="B6" s="32">
        <v>278.39999999999998</v>
      </c>
      <c r="C6" s="32"/>
      <c r="D6" s="32">
        <v>68</v>
      </c>
    </row>
    <row r="7" spans="1:4" x14ac:dyDescent="0.25">
      <c r="A7" s="31" t="s">
        <v>395</v>
      </c>
      <c r="B7" s="32">
        <v>576</v>
      </c>
      <c r="C7" s="32"/>
      <c r="D7" s="32"/>
    </row>
    <row r="8" spans="1:4" x14ac:dyDescent="0.25">
      <c r="A8" s="31" t="s">
        <v>396</v>
      </c>
      <c r="B8" s="32">
        <v>768</v>
      </c>
      <c r="C8" s="32"/>
      <c r="D8" s="32"/>
    </row>
    <row r="10" spans="1:4" x14ac:dyDescent="0.25">
      <c r="A10" s="31" t="s">
        <v>397</v>
      </c>
      <c r="B10" s="32">
        <v>2534.4</v>
      </c>
      <c r="C10" s="32">
        <v>0</v>
      </c>
      <c r="D10" s="32">
        <v>352</v>
      </c>
    </row>
    <row r="12" spans="1:4" x14ac:dyDescent="0.25">
      <c r="A12" s="31" t="s">
        <v>398</v>
      </c>
    </row>
    <row r="13" spans="1:4" x14ac:dyDescent="0.25">
      <c r="A13" s="31" t="s">
        <v>399</v>
      </c>
      <c r="B13" s="32">
        <v>288</v>
      </c>
    </row>
    <row r="14" spans="1:4" x14ac:dyDescent="0.25">
      <c r="A14" s="31" t="s">
        <v>400</v>
      </c>
      <c r="B14" s="32">
        <v>1907.2</v>
      </c>
    </row>
    <row r="15" spans="1:4" x14ac:dyDescent="0.25">
      <c r="A15" s="31" t="s">
        <v>401</v>
      </c>
      <c r="B15" s="32">
        <v>288</v>
      </c>
    </row>
    <row r="16" spans="1:4" x14ac:dyDescent="0.25">
      <c r="A16" s="31" t="s">
        <v>402</v>
      </c>
      <c r="B16" s="32">
        <v>1382.3999999999999</v>
      </c>
    </row>
    <row r="17" spans="1:4" x14ac:dyDescent="0.25">
      <c r="A17" s="31" t="s">
        <v>403</v>
      </c>
      <c r="B17" s="32">
        <v>144</v>
      </c>
      <c r="D17" s="32">
        <v>73.335999999999999</v>
      </c>
    </row>
    <row r="18" spans="1:4" x14ac:dyDescent="0.25">
      <c r="A18" s="31" t="s">
        <v>404</v>
      </c>
      <c r="B18" s="32">
        <v>364.8</v>
      </c>
      <c r="D18" s="32">
        <v>50</v>
      </c>
    </row>
    <row r="19" spans="1:4" x14ac:dyDescent="0.25">
      <c r="A19" s="31" t="s">
        <v>405</v>
      </c>
      <c r="B19" s="32">
        <v>1632</v>
      </c>
      <c r="D19" s="32">
        <v>20</v>
      </c>
    </row>
    <row r="20" spans="1:4" x14ac:dyDescent="0.25">
      <c r="A20" s="31" t="s">
        <v>406</v>
      </c>
      <c r="B20" s="32">
        <v>720</v>
      </c>
      <c r="D20" s="32"/>
    </row>
    <row r="21" spans="1:4" x14ac:dyDescent="0.25">
      <c r="A21" s="31" t="s">
        <v>407</v>
      </c>
      <c r="B21" s="32">
        <v>1545.6</v>
      </c>
      <c r="D21" s="32">
        <v>200</v>
      </c>
    </row>
    <row r="23" spans="1:4" x14ac:dyDescent="0.25">
      <c r="A23" s="31" t="s">
        <v>397</v>
      </c>
      <c r="B23" s="32">
        <v>8272</v>
      </c>
      <c r="C23" s="32">
        <v>0</v>
      </c>
      <c r="D23" s="32">
        <v>343.33600000000001</v>
      </c>
    </row>
    <row r="25" spans="1:4" x14ac:dyDescent="0.25">
      <c r="A25" s="31" t="s">
        <v>408</v>
      </c>
    </row>
    <row r="26" spans="1:4" x14ac:dyDescent="0.25">
      <c r="A26" s="31" t="s">
        <v>409</v>
      </c>
      <c r="D26" s="32">
        <v>365</v>
      </c>
    </row>
    <row r="27" spans="1:4" x14ac:dyDescent="0.25">
      <c r="A27" s="31" t="s">
        <v>410</v>
      </c>
      <c r="D27" s="32">
        <v>0</v>
      </c>
    </row>
    <row r="28" spans="1:4" x14ac:dyDescent="0.25">
      <c r="A28" s="31" t="s">
        <v>411</v>
      </c>
      <c r="D28" s="32">
        <v>0</v>
      </c>
    </row>
    <row r="29" spans="1:4" x14ac:dyDescent="0.25">
      <c r="A29" s="31" t="s">
        <v>412</v>
      </c>
      <c r="D29" s="32">
        <v>17500</v>
      </c>
    </row>
    <row r="31" spans="1:4" x14ac:dyDescent="0.25">
      <c r="A31" s="31" t="s">
        <v>413</v>
      </c>
      <c r="B31" s="32">
        <v>0</v>
      </c>
      <c r="C31" s="32">
        <v>0</v>
      </c>
      <c r="D31" s="32">
        <v>17865</v>
      </c>
    </row>
    <row r="32" spans="1:4" x14ac:dyDescent="0.25">
      <c r="C32" s="32"/>
      <c r="D32" s="32"/>
    </row>
    <row r="33" spans="1:4" x14ac:dyDescent="0.25">
      <c r="A33" s="31" t="s">
        <v>414</v>
      </c>
    </row>
    <row r="34" spans="1:4" x14ac:dyDescent="0.25">
      <c r="A34" s="31" t="s">
        <v>415</v>
      </c>
      <c r="D34" s="32">
        <v>0</v>
      </c>
    </row>
    <row r="35" spans="1:4" x14ac:dyDescent="0.25">
      <c r="A35" s="31" t="s">
        <v>416</v>
      </c>
      <c r="D35" s="32">
        <v>0</v>
      </c>
    </row>
    <row r="36" spans="1:4" x14ac:dyDescent="0.25">
      <c r="A36" s="31" t="s">
        <v>417</v>
      </c>
      <c r="D36" s="32">
        <v>0</v>
      </c>
    </row>
    <row r="37" spans="1:4" x14ac:dyDescent="0.25">
      <c r="A37" s="31" t="s">
        <v>418</v>
      </c>
      <c r="D37" s="32">
        <v>0</v>
      </c>
    </row>
    <row r="38" spans="1:4" x14ac:dyDescent="0.25">
      <c r="A38" s="31" t="s">
        <v>419</v>
      </c>
      <c r="D38" s="32">
        <v>0</v>
      </c>
    </row>
    <row r="39" spans="1:4" x14ac:dyDescent="0.25">
      <c r="A39" s="31" t="s">
        <v>420</v>
      </c>
      <c r="D39" s="32">
        <v>0</v>
      </c>
    </row>
    <row r="40" spans="1:4" x14ac:dyDescent="0.25">
      <c r="A40" s="31" t="s">
        <v>421</v>
      </c>
      <c r="D40" s="32">
        <v>0</v>
      </c>
    </row>
    <row r="41" spans="1:4" x14ac:dyDescent="0.25">
      <c r="A41" s="31" t="s">
        <v>422</v>
      </c>
      <c r="D41" s="32">
        <v>90000</v>
      </c>
    </row>
    <row r="42" spans="1:4" x14ac:dyDescent="0.25">
      <c r="A42" s="31" t="s">
        <v>423</v>
      </c>
      <c r="D42" s="32"/>
    </row>
    <row r="43" spans="1:4" x14ac:dyDescent="0.25">
      <c r="A43" s="31" t="s">
        <v>424</v>
      </c>
      <c r="D43" s="32">
        <v>0</v>
      </c>
    </row>
    <row r="44" spans="1:4" x14ac:dyDescent="0.25">
      <c r="A44" s="31" t="s">
        <v>425</v>
      </c>
      <c r="D44" s="32">
        <v>5400</v>
      </c>
    </row>
    <row r="46" spans="1:4" x14ac:dyDescent="0.25">
      <c r="A46" s="31" t="s">
        <v>413</v>
      </c>
      <c r="B46" s="32"/>
      <c r="C46" s="32"/>
      <c r="D46" s="32">
        <v>95400</v>
      </c>
    </row>
    <row r="48" spans="1:4" x14ac:dyDescent="0.25">
      <c r="A48" s="31" t="s">
        <v>426</v>
      </c>
    </row>
    <row r="49" spans="1:4" x14ac:dyDescent="0.25">
      <c r="A49" s="31" t="s">
        <v>427</v>
      </c>
      <c r="B49" s="32">
        <v>4320</v>
      </c>
      <c r="C49" s="32"/>
      <c r="D49" s="32">
        <v>0</v>
      </c>
    </row>
    <row r="50" spans="1:4" x14ac:dyDescent="0.25">
      <c r="A50" s="31" t="s">
        <v>428</v>
      </c>
      <c r="B50" s="32">
        <v>230.4</v>
      </c>
      <c r="C50" s="32"/>
      <c r="D50" s="32">
        <v>7250</v>
      </c>
    </row>
    <row r="51" spans="1:4" x14ac:dyDescent="0.25">
      <c r="A51" s="31" t="s">
        <v>429</v>
      </c>
      <c r="B51" s="32">
        <v>2211.84</v>
      </c>
      <c r="C51" s="32"/>
      <c r="D51" s="32">
        <v>4728.5</v>
      </c>
    </row>
    <row r="53" spans="1:4" x14ac:dyDescent="0.25">
      <c r="A53" s="31" t="s">
        <v>413</v>
      </c>
      <c r="B53" s="32">
        <v>6762.24</v>
      </c>
      <c r="C53" s="32">
        <v>0</v>
      </c>
      <c r="D53" s="32">
        <v>11978.5</v>
      </c>
    </row>
    <row r="55" spans="1:4" x14ac:dyDescent="0.25">
      <c r="A55" s="31" t="s">
        <v>430</v>
      </c>
    </row>
    <row r="56" spans="1:4" x14ac:dyDescent="0.25">
      <c r="A56" s="31" t="s">
        <v>431</v>
      </c>
      <c r="B56" s="32">
        <v>768</v>
      </c>
      <c r="C56" s="32"/>
      <c r="D56" s="32">
        <v>50</v>
      </c>
    </row>
    <row r="57" spans="1:4" x14ac:dyDescent="0.25">
      <c r="A57" s="31" t="s">
        <v>432</v>
      </c>
      <c r="B57" s="32">
        <v>630.72</v>
      </c>
      <c r="C57" s="32">
        <v>369.495</v>
      </c>
      <c r="D57" s="32">
        <v>292.5</v>
      </c>
    </row>
    <row r="58" spans="1:4" x14ac:dyDescent="0.25">
      <c r="A58" s="31" t="s">
        <v>433</v>
      </c>
      <c r="B58" s="32">
        <v>90</v>
      </c>
      <c r="C58" s="32"/>
      <c r="D58" s="32">
        <v>200</v>
      </c>
    </row>
    <row r="59" spans="1:4" x14ac:dyDescent="0.25">
      <c r="A59" s="31" t="s">
        <v>434</v>
      </c>
      <c r="B59" s="32">
        <v>614.4</v>
      </c>
      <c r="C59" s="32">
        <v>32283.949999999997</v>
      </c>
      <c r="D59" s="32">
        <v>85</v>
      </c>
    </row>
    <row r="60" spans="1:4" x14ac:dyDescent="0.25">
      <c r="A60" s="31" t="s">
        <v>435</v>
      </c>
      <c r="B60" s="32"/>
      <c r="C60" s="32">
        <v>1201.175</v>
      </c>
      <c r="D60" s="32"/>
    </row>
    <row r="61" spans="1:4" x14ac:dyDescent="0.25">
      <c r="A61" s="31" t="s">
        <v>436</v>
      </c>
      <c r="B61" s="32">
        <v>141.12</v>
      </c>
      <c r="C61" s="32"/>
      <c r="D61" s="32"/>
    </row>
    <row r="62" spans="1:4" x14ac:dyDescent="0.25">
      <c r="A62" s="31" t="s">
        <v>437</v>
      </c>
    </row>
    <row r="63" spans="1:4" x14ac:dyDescent="0.25">
      <c r="A63" s="31" t="s">
        <v>413</v>
      </c>
      <c r="B63" s="33">
        <v>2244.2399999999998</v>
      </c>
      <c r="C63" s="33">
        <v>33854.619999999995</v>
      </c>
      <c r="D63" s="33">
        <v>627.5</v>
      </c>
    </row>
    <row r="65" spans="1:4" x14ac:dyDescent="0.25">
      <c r="A65" s="31" t="s">
        <v>438</v>
      </c>
    </row>
    <row r="66" spans="1:4" x14ac:dyDescent="0.25">
      <c r="A66" s="31" t="s">
        <v>439</v>
      </c>
      <c r="B66" s="32">
        <v>172.8</v>
      </c>
      <c r="C66" s="32"/>
      <c r="D66" s="32"/>
    </row>
    <row r="67" spans="1:4" x14ac:dyDescent="0.25">
      <c r="A67" s="31" t="s">
        <v>440</v>
      </c>
      <c r="B67" s="32">
        <v>614.40000000000009</v>
      </c>
      <c r="C67" s="32"/>
      <c r="D67" s="32">
        <v>50</v>
      </c>
    </row>
    <row r="68" spans="1:4" x14ac:dyDescent="0.25">
      <c r="A68" s="31" t="s">
        <v>441</v>
      </c>
      <c r="B68" s="32">
        <v>575.23199999999997</v>
      </c>
      <c r="C68" s="32">
        <v>2697.279</v>
      </c>
      <c r="D68" s="32">
        <v>290</v>
      </c>
    </row>
    <row r="69" spans="1:4" x14ac:dyDescent="0.25">
      <c r="A69" s="31" t="s">
        <v>442</v>
      </c>
      <c r="B69" s="32">
        <v>0</v>
      </c>
      <c r="C69" s="32">
        <v>5273.9</v>
      </c>
      <c r="D69" s="32"/>
    </row>
    <row r="70" spans="1:4" x14ac:dyDescent="0.25">
      <c r="A70" s="31" t="s">
        <v>443</v>
      </c>
      <c r="B70" s="32">
        <v>322.56</v>
      </c>
      <c r="C70" s="32"/>
      <c r="D70" s="32"/>
    </row>
    <row r="71" spans="1:4" x14ac:dyDescent="0.25">
      <c r="A71" s="31" t="s">
        <v>444</v>
      </c>
      <c r="B71" s="32">
        <v>0</v>
      </c>
      <c r="C71" s="32">
        <v>1558.8249999999998</v>
      </c>
      <c r="D71" s="32"/>
    </row>
    <row r="72" spans="1:4" x14ac:dyDescent="0.25">
      <c r="A72" s="31" t="s">
        <v>445</v>
      </c>
      <c r="B72" s="32">
        <v>130.56</v>
      </c>
      <c r="C72" s="32"/>
      <c r="D72" s="32"/>
    </row>
    <row r="73" spans="1:4" x14ac:dyDescent="0.25">
      <c r="A73" s="31" t="s">
        <v>446</v>
      </c>
      <c r="B73" s="32">
        <v>754.94400000000007</v>
      </c>
      <c r="C73" s="32">
        <v>2451.0639999999999</v>
      </c>
      <c r="D73" s="32">
        <v>352</v>
      </c>
    </row>
    <row r="75" spans="1:4" x14ac:dyDescent="0.25">
      <c r="A75" s="31" t="s">
        <v>413</v>
      </c>
      <c r="B75" s="32">
        <v>2570.4960000000001</v>
      </c>
      <c r="C75" s="32">
        <v>11981.068000000001</v>
      </c>
      <c r="D75" s="32">
        <v>692</v>
      </c>
    </row>
    <row r="77" spans="1:4" x14ac:dyDescent="0.25">
      <c r="A77" s="31" t="s">
        <v>447</v>
      </c>
      <c r="B77" s="32">
        <v>22383.375999999997</v>
      </c>
      <c r="C77" s="32">
        <v>45835.687999999995</v>
      </c>
      <c r="D77" s="32">
        <v>127258.336</v>
      </c>
    </row>
    <row r="79" spans="1:4" x14ac:dyDescent="0.25">
      <c r="A79" s="31" t="s">
        <v>448</v>
      </c>
      <c r="D79" s="32">
        <v>195477.39999999997</v>
      </c>
    </row>
    <row r="83" spans="1:4" x14ac:dyDescent="0.25">
      <c r="A83" s="31" t="s">
        <v>449</v>
      </c>
    </row>
    <row r="84" spans="1:4" x14ac:dyDescent="0.25">
      <c r="A84" s="31" t="s">
        <v>450</v>
      </c>
      <c r="B84" s="32">
        <v>0</v>
      </c>
      <c r="C84" s="32"/>
      <c r="D84" s="32"/>
    </row>
    <row r="85" spans="1:4" x14ac:dyDescent="0.25">
      <c r="A85" s="31" t="s">
        <v>451</v>
      </c>
      <c r="B85" s="32">
        <v>4608</v>
      </c>
      <c r="C85" s="32"/>
    </row>
    <row r="86" spans="1:4" x14ac:dyDescent="0.25">
      <c r="A86" s="31" t="s">
        <v>452</v>
      </c>
      <c r="B86" s="32">
        <v>0</v>
      </c>
      <c r="C86" s="32"/>
      <c r="D86" s="32"/>
    </row>
    <row r="87" spans="1:4" x14ac:dyDescent="0.25">
      <c r="A87" s="31" t="s">
        <v>453</v>
      </c>
      <c r="B87" s="32">
        <v>2937.6</v>
      </c>
      <c r="C87" s="32"/>
      <c r="D87" s="32"/>
    </row>
    <row r="88" spans="1:4" x14ac:dyDescent="0.25">
      <c r="A88" s="31" t="s">
        <v>454</v>
      </c>
      <c r="B88" s="32">
        <v>0</v>
      </c>
      <c r="C88" s="32"/>
      <c r="D88" s="32"/>
    </row>
    <row r="89" spans="1:4" x14ac:dyDescent="0.25">
      <c r="A89" s="31" t="s">
        <v>455</v>
      </c>
      <c r="B89" s="32">
        <v>2764.8</v>
      </c>
      <c r="C89" s="32"/>
    </row>
    <row r="90" spans="1:4" x14ac:dyDescent="0.25">
      <c r="A90" s="31" t="s">
        <v>456</v>
      </c>
      <c r="B90" s="32">
        <v>0</v>
      </c>
      <c r="C90" s="32"/>
      <c r="D90" s="32">
        <v>0</v>
      </c>
    </row>
    <row r="91" spans="1:4" x14ac:dyDescent="0.25">
      <c r="A91" s="31" t="s">
        <v>457</v>
      </c>
      <c r="B91" s="32"/>
      <c r="C91" s="32"/>
      <c r="D91" s="32">
        <v>999.99999999999977</v>
      </c>
    </row>
    <row r="93" spans="1:4" x14ac:dyDescent="0.25">
      <c r="A93" s="31" t="s">
        <v>413</v>
      </c>
      <c r="B93" s="32">
        <v>10310.400000000001</v>
      </c>
      <c r="C93" s="32">
        <v>0</v>
      </c>
      <c r="D93" s="32">
        <v>999.99999999999977</v>
      </c>
    </row>
    <row r="95" spans="1:4" x14ac:dyDescent="0.25">
      <c r="A95" s="31" t="s">
        <v>458</v>
      </c>
    </row>
    <row r="96" spans="1:4" x14ac:dyDescent="0.25">
      <c r="A96" s="31" t="s">
        <v>459</v>
      </c>
      <c r="B96" s="32">
        <v>288</v>
      </c>
      <c r="C96" s="32"/>
      <c r="D96" s="32"/>
    </row>
    <row r="97" spans="1:4" x14ac:dyDescent="0.25">
      <c r="A97" s="31" t="s">
        <v>460</v>
      </c>
      <c r="B97" s="32">
        <v>96</v>
      </c>
      <c r="C97" s="32"/>
      <c r="D97" s="32"/>
    </row>
    <row r="98" spans="1:4" x14ac:dyDescent="0.25">
      <c r="A98" s="31" t="s">
        <v>461</v>
      </c>
      <c r="B98" s="32">
        <v>48</v>
      </c>
      <c r="C98" s="32"/>
      <c r="D98" s="32"/>
    </row>
    <row r="99" spans="1:4" x14ac:dyDescent="0.25">
      <c r="A99" s="31" t="s">
        <v>462</v>
      </c>
      <c r="B99" s="32">
        <v>288</v>
      </c>
      <c r="C99" s="32">
        <v>32283.949999999997</v>
      </c>
      <c r="D99" s="32"/>
    </row>
    <row r="100" spans="1:4" x14ac:dyDescent="0.25">
      <c r="A100" s="31" t="s">
        <v>463</v>
      </c>
      <c r="B100" s="32">
        <v>34.024608000000001</v>
      </c>
      <c r="C100" s="32">
        <v>171.18630899999999</v>
      </c>
      <c r="D100" s="32"/>
    </row>
    <row r="101" spans="1:4" x14ac:dyDescent="0.25">
      <c r="A101" s="31" t="s">
        <v>464</v>
      </c>
      <c r="B101" s="32">
        <v>35.122176000000003</v>
      </c>
      <c r="C101" s="32">
        <v>210.67398550000001</v>
      </c>
      <c r="D101" s="32"/>
    </row>
    <row r="102" spans="1:4" x14ac:dyDescent="0.25">
      <c r="A102" s="31" t="s">
        <v>465</v>
      </c>
      <c r="B102" s="32"/>
      <c r="C102" s="32">
        <v>818.74249999999984</v>
      </c>
      <c r="D102" s="32"/>
    </row>
    <row r="103" spans="1:4" x14ac:dyDescent="0.25">
      <c r="A103" s="31" t="s">
        <v>466</v>
      </c>
      <c r="B103" s="32">
        <v>96</v>
      </c>
      <c r="C103" s="32"/>
      <c r="D103" s="32"/>
    </row>
    <row r="105" spans="1:4" x14ac:dyDescent="0.25">
      <c r="A105" s="31" t="s">
        <v>413</v>
      </c>
      <c r="B105" s="32">
        <v>885.14678399999991</v>
      </c>
      <c r="C105" s="32">
        <v>33484.552794499999</v>
      </c>
      <c r="D105" s="32">
        <v>0</v>
      </c>
    </row>
    <row r="107" spans="1:4" x14ac:dyDescent="0.25">
      <c r="A107" s="31" t="s">
        <v>467</v>
      </c>
    </row>
    <row r="108" spans="1:4" x14ac:dyDescent="0.25">
      <c r="A108" s="31" t="s">
        <v>459</v>
      </c>
      <c r="B108" s="32">
        <v>0</v>
      </c>
      <c r="C108" s="32"/>
      <c r="D108" s="32"/>
    </row>
    <row r="109" spans="1:4" x14ac:dyDescent="0.25">
      <c r="A109" s="31" t="s">
        <v>460</v>
      </c>
      <c r="B109" s="32">
        <v>0</v>
      </c>
      <c r="C109" s="32"/>
      <c r="D109" s="32"/>
    </row>
    <row r="110" spans="1:4" x14ac:dyDescent="0.25">
      <c r="A110" s="31" t="s">
        <v>468</v>
      </c>
      <c r="B110" s="32">
        <v>0</v>
      </c>
      <c r="C110" s="32"/>
      <c r="D110" s="32"/>
    </row>
    <row r="111" spans="1:4" x14ac:dyDescent="0.25">
      <c r="A111" s="31" t="s">
        <v>469</v>
      </c>
      <c r="B111" s="32">
        <v>0</v>
      </c>
      <c r="C111" s="32">
        <v>0</v>
      </c>
      <c r="D111" s="32"/>
    </row>
    <row r="112" spans="1:4" x14ac:dyDescent="0.25">
      <c r="A112" s="31" t="s">
        <v>470</v>
      </c>
      <c r="B112" s="32">
        <v>0</v>
      </c>
      <c r="C112" s="32">
        <v>0</v>
      </c>
      <c r="D112" s="32"/>
    </row>
    <row r="113" spans="1:4" x14ac:dyDescent="0.25">
      <c r="A113" s="31" t="s">
        <v>471</v>
      </c>
      <c r="B113" s="32"/>
      <c r="C113" s="32">
        <v>0</v>
      </c>
      <c r="D113" s="32">
        <v>0</v>
      </c>
    </row>
    <row r="114" spans="1:4" x14ac:dyDescent="0.25">
      <c r="A114" s="31" t="s">
        <v>472</v>
      </c>
      <c r="B114" s="32">
        <v>0</v>
      </c>
      <c r="C114" s="32"/>
      <c r="D114" s="32"/>
    </row>
    <row r="116" spans="1:4" x14ac:dyDescent="0.25">
      <c r="A116" s="31" t="s">
        <v>413</v>
      </c>
      <c r="B116" s="32">
        <v>0</v>
      </c>
      <c r="C116" s="32">
        <v>0</v>
      </c>
      <c r="D116" s="32">
        <v>0</v>
      </c>
    </row>
    <row r="117" spans="1:4" x14ac:dyDescent="0.25">
      <c r="B117" s="32"/>
      <c r="C117" s="32"/>
      <c r="D117" s="32"/>
    </row>
    <row r="118" spans="1:4" x14ac:dyDescent="0.25">
      <c r="A118" s="31" t="s">
        <v>473</v>
      </c>
      <c r="B118" s="32"/>
      <c r="C118" s="32"/>
      <c r="D118" s="32"/>
    </row>
    <row r="119" spans="1:4" x14ac:dyDescent="0.25">
      <c r="A119" s="31" t="s">
        <v>459</v>
      </c>
      <c r="B119" s="32">
        <v>0</v>
      </c>
      <c r="C119" s="32"/>
      <c r="D119" s="32"/>
    </row>
    <row r="120" spans="1:4" x14ac:dyDescent="0.25">
      <c r="A120" s="31" t="s">
        <v>460</v>
      </c>
      <c r="B120" s="32">
        <v>0</v>
      </c>
      <c r="C120" s="32"/>
      <c r="D120" s="32"/>
    </row>
    <row r="121" spans="1:4" x14ac:dyDescent="0.25">
      <c r="A121" s="31" t="s">
        <v>468</v>
      </c>
      <c r="B121" s="32">
        <v>0</v>
      </c>
      <c r="C121" s="32"/>
      <c r="D121" s="32"/>
    </row>
    <row r="122" spans="1:4" x14ac:dyDescent="0.25">
      <c r="A122" s="31" t="s">
        <v>474</v>
      </c>
      <c r="B122" s="32">
        <v>0</v>
      </c>
      <c r="C122" s="32">
        <v>0</v>
      </c>
      <c r="D122" s="32"/>
    </row>
    <row r="123" spans="1:4" x14ac:dyDescent="0.25">
      <c r="A123" s="31" t="s">
        <v>471</v>
      </c>
      <c r="B123" s="32"/>
      <c r="C123" s="32">
        <v>0</v>
      </c>
      <c r="D123" s="32">
        <v>0</v>
      </c>
    </row>
    <row r="124" spans="1:4" x14ac:dyDescent="0.25">
      <c r="A124" s="31" t="s">
        <v>472</v>
      </c>
      <c r="B124" s="32">
        <v>0</v>
      </c>
      <c r="C124" s="32"/>
      <c r="D124" s="32"/>
    </row>
    <row r="125" spans="1:4" x14ac:dyDescent="0.25">
      <c r="B125" s="32"/>
      <c r="C125" s="32"/>
      <c r="D125" s="32"/>
    </row>
    <row r="126" spans="1:4" x14ac:dyDescent="0.25">
      <c r="A126" s="31" t="s">
        <v>413</v>
      </c>
      <c r="B126" s="32">
        <v>0</v>
      </c>
      <c r="C126" s="32">
        <v>0</v>
      </c>
      <c r="D126" s="32">
        <v>0</v>
      </c>
    </row>
    <row r="128" spans="1:4" x14ac:dyDescent="0.25">
      <c r="A128" s="31" t="s">
        <v>475</v>
      </c>
    </row>
    <row r="129" spans="1:4" x14ac:dyDescent="0.25">
      <c r="A129" s="31" t="s">
        <v>461</v>
      </c>
      <c r="B129" s="32">
        <v>144</v>
      </c>
      <c r="C129" s="32"/>
      <c r="D129" s="32"/>
    </row>
    <row r="130" spans="1:4" x14ac:dyDescent="0.25">
      <c r="A130" s="31" t="s">
        <v>476</v>
      </c>
      <c r="B130" s="32">
        <v>172.8</v>
      </c>
      <c r="C130" s="32"/>
      <c r="D130" s="32">
        <v>15750</v>
      </c>
    </row>
    <row r="131" spans="1:4" x14ac:dyDescent="0.25">
      <c r="A131" s="31" t="s">
        <v>463</v>
      </c>
      <c r="B131" s="32">
        <v>164.16000000000003</v>
      </c>
      <c r="C131" s="32"/>
      <c r="D131" s="32"/>
    </row>
    <row r="132" spans="1:4" x14ac:dyDescent="0.25">
      <c r="A132" s="31" t="s">
        <v>464</v>
      </c>
      <c r="B132" s="32">
        <v>95.04</v>
      </c>
      <c r="C132" s="32"/>
      <c r="D132" s="32">
        <v>93.75</v>
      </c>
    </row>
    <row r="133" spans="1:4" x14ac:dyDescent="0.25">
      <c r="A133" s="31" t="s">
        <v>477</v>
      </c>
      <c r="B133" s="32">
        <v>587.52</v>
      </c>
      <c r="C133" s="32"/>
      <c r="D133" s="32">
        <v>37.5</v>
      </c>
    </row>
    <row r="135" spans="1:4" x14ac:dyDescent="0.25">
      <c r="A135" s="31" t="s">
        <v>413</v>
      </c>
      <c r="B135" s="32">
        <v>1163.52</v>
      </c>
      <c r="C135" s="32">
        <v>0</v>
      </c>
      <c r="D135" s="32">
        <v>15881.25</v>
      </c>
    </row>
    <row r="137" spans="1:4" x14ac:dyDescent="0.25">
      <c r="A137" s="31" t="s">
        <v>478</v>
      </c>
    </row>
    <row r="138" spans="1:4" x14ac:dyDescent="0.25">
      <c r="A138" s="31" t="s">
        <v>479</v>
      </c>
      <c r="B138" s="32">
        <v>576</v>
      </c>
      <c r="C138" s="32"/>
      <c r="D138" s="32"/>
    </row>
    <row r="139" spans="1:4" x14ac:dyDescent="0.25">
      <c r="A139" s="31" t="s">
        <v>480</v>
      </c>
      <c r="B139" s="32">
        <v>489.6</v>
      </c>
      <c r="C139" s="32"/>
      <c r="D139" s="32"/>
    </row>
    <row r="140" spans="1:4" x14ac:dyDescent="0.25">
      <c r="A140" s="31" t="s">
        <v>481</v>
      </c>
      <c r="B140" s="32">
        <v>187.2</v>
      </c>
      <c r="C140" s="32"/>
      <c r="D140" s="32">
        <v>160</v>
      </c>
    </row>
    <row r="142" spans="1:4" x14ac:dyDescent="0.25">
      <c r="A142" s="31" t="s">
        <v>413</v>
      </c>
      <c r="B142" s="32">
        <v>1252.8</v>
      </c>
      <c r="C142" s="32">
        <v>0</v>
      </c>
      <c r="D142" s="32">
        <v>160</v>
      </c>
    </row>
    <row r="144" spans="1:4" x14ac:dyDescent="0.25">
      <c r="A144" s="31" t="s">
        <v>482</v>
      </c>
    </row>
    <row r="145" spans="1:4" x14ac:dyDescent="0.25">
      <c r="A145" s="31" t="s">
        <v>483</v>
      </c>
      <c r="B145" s="32">
        <v>994.31999999999994</v>
      </c>
      <c r="C145" s="32"/>
      <c r="D145" s="32">
        <v>230</v>
      </c>
    </row>
    <row r="146" spans="1:4" x14ac:dyDescent="0.25">
      <c r="A146" s="31" t="s">
        <v>484</v>
      </c>
      <c r="B146" s="32">
        <v>503.99999999999994</v>
      </c>
      <c r="C146" s="32"/>
      <c r="D146" s="32">
        <v>50</v>
      </c>
    </row>
    <row r="147" spans="1:4" x14ac:dyDescent="0.25">
      <c r="A147" s="31" t="s">
        <v>485</v>
      </c>
      <c r="B147" s="32">
        <v>184.31999999999996</v>
      </c>
      <c r="C147" s="32"/>
      <c r="D147" s="32">
        <v>2700</v>
      </c>
    </row>
    <row r="148" spans="1:4" x14ac:dyDescent="0.25">
      <c r="A148" s="31" t="s">
        <v>486</v>
      </c>
      <c r="B148" s="32">
        <v>391.67999999999995</v>
      </c>
      <c r="C148" s="32"/>
      <c r="D148" s="32"/>
    </row>
    <row r="149" spans="1:4" x14ac:dyDescent="0.25">
      <c r="B149" s="32"/>
      <c r="C149" s="32"/>
      <c r="D149" s="32"/>
    </row>
    <row r="150" spans="1:4" x14ac:dyDescent="0.25">
      <c r="A150" s="31" t="s">
        <v>413</v>
      </c>
      <c r="B150" s="32">
        <v>2074.3199999999997</v>
      </c>
      <c r="C150" s="32">
        <v>0</v>
      </c>
      <c r="D150" s="32">
        <v>2980</v>
      </c>
    </row>
    <row r="151" spans="1:4" x14ac:dyDescent="0.25">
      <c r="B151" s="32"/>
      <c r="C151" s="32"/>
      <c r="D151" s="32"/>
    </row>
    <row r="152" spans="1:4" x14ac:dyDescent="0.25">
      <c r="A152" s="31" t="s">
        <v>487</v>
      </c>
      <c r="B152" s="32">
        <v>3187.3927423999994</v>
      </c>
      <c r="C152" s="32">
        <v>6527.0019711999994</v>
      </c>
      <c r="D152" s="32">
        <v>18121.5870464</v>
      </c>
    </row>
    <row r="154" spans="1:4" x14ac:dyDescent="0.25">
      <c r="A154" s="31" t="s">
        <v>488</v>
      </c>
      <c r="B154" s="32">
        <v>18873.579526400001</v>
      </c>
      <c r="C154" s="32">
        <v>40011.554765699999</v>
      </c>
      <c r="D154" s="32">
        <v>38142.837046400004</v>
      </c>
    </row>
    <row r="156" spans="1:4" x14ac:dyDescent="0.25">
      <c r="A156" s="31" t="s">
        <v>489</v>
      </c>
      <c r="C156" s="32"/>
      <c r="D156" s="32">
        <v>97027.971338500007</v>
      </c>
    </row>
    <row r="161" spans="1:5" x14ac:dyDescent="0.25">
      <c r="A161" s="31" t="s">
        <v>490</v>
      </c>
    </row>
    <row r="163" spans="1:5" x14ac:dyDescent="0.25">
      <c r="A163" s="31" t="s">
        <v>307</v>
      </c>
      <c r="B163" s="31" t="s">
        <v>184</v>
      </c>
      <c r="C163" s="31" t="s">
        <v>308</v>
      </c>
      <c r="D163" s="31" t="s">
        <v>309</v>
      </c>
      <c r="E163" s="31" t="s">
        <v>45</v>
      </c>
    </row>
    <row r="164" spans="1:5" x14ac:dyDescent="0.25">
      <c r="A164" s="31" t="s">
        <v>310</v>
      </c>
      <c r="B164" s="32">
        <v>2534.4</v>
      </c>
      <c r="C164" s="32">
        <v>0</v>
      </c>
      <c r="D164" s="32">
        <v>352</v>
      </c>
      <c r="E164" s="32">
        <v>2886.4</v>
      </c>
    </row>
    <row r="165" spans="1:5" x14ac:dyDescent="0.25">
      <c r="A165" s="31" t="s">
        <v>311</v>
      </c>
      <c r="B165" s="32">
        <v>8272</v>
      </c>
      <c r="C165" s="32">
        <v>0</v>
      </c>
      <c r="D165" s="32">
        <v>343.33600000000001</v>
      </c>
      <c r="E165" s="32">
        <v>8615.3359999999993</v>
      </c>
    </row>
    <row r="166" spans="1:5" x14ac:dyDescent="0.25">
      <c r="A166" s="31" t="s">
        <v>312</v>
      </c>
      <c r="B166" s="32">
        <v>0</v>
      </c>
      <c r="C166" s="32">
        <v>0</v>
      </c>
      <c r="D166" s="32">
        <v>17865</v>
      </c>
      <c r="E166" s="32">
        <v>17865</v>
      </c>
    </row>
    <row r="167" spans="1:5" x14ac:dyDescent="0.25">
      <c r="A167" s="31" t="s">
        <v>313</v>
      </c>
      <c r="B167" s="32">
        <v>0</v>
      </c>
      <c r="C167" s="32">
        <v>0</v>
      </c>
      <c r="D167" s="32">
        <v>95400</v>
      </c>
      <c r="E167" s="32">
        <v>95400</v>
      </c>
    </row>
    <row r="168" spans="1:5" x14ac:dyDescent="0.25">
      <c r="A168" s="31" t="s">
        <v>314</v>
      </c>
      <c r="B168" s="32">
        <v>6762.24</v>
      </c>
      <c r="C168" s="32">
        <v>0</v>
      </c>
      <c r="D168" s="32">
        <v>11978.5</v>
      </c>
      <c r="E168" s="32">
        <v>18740.739999999998</v>
      </c>
    </row>
    <row r="169" spans="1:5" x14ac:dyDescent="0.25">
      <c r="A169" s="31" t="s">
        <v>315</v>
      </c>
      <c r="B169" s="32">
        <v>2244.2399999999998</v>
      </c>
      <c r="C169" s="32">
        <v>33854.619999999995</v>
      </c>
      <c r="D169" s="32">
        <v>627.5</v>
      </c>
      <c r="E169" s="32">
        <v>36726.359999999993</v>
      </c>
    </row>
    <row r="170" spans="1:5" x14ac:dyDescent="0.25">
      <c r="A170" s="31" t="s">
        <v>316</v>
      </c>
      <c r="B170" s="32">
        <v>2570.4960000000001</v>
      </c>
      <c r="C170" s="32">
        <v>11981.068000000001</v>
      </c>
      <c r="D170" s="32">
        <v>692</v>
      </c>
      <c r="E170" s="32">
        <v>15243.564000000002</v>
      </c>
    </row>
    <row r="171" spans="1:5" x14ac:dyDescent="0.25">
      <c r="B171" s="32">
        <v>22383.375999999997</v>
      </c>
      <c r="C171" s="32">
        <v>45835.687999999995</v>
      </c>
      <c r="D171" s="32">
        <v>127258.336</v>
      </c>
      <c r="E171" s="32">
        <v>195477.39999999997</v>
      </c>
    </row>
    <row r="173" spans="1:5" x14ac:dyDescent="0.25">
      <c r="A173" s="31" t="s">
        <v>317</v>
      </c>
    </row>
    <row r="174" spans="1:5" x14ac:dyDescent="0.25">
      <c r="A174" s="31" t="s">
        <v>318</v>
      </c>
      <c r="B174" s="32">
        <v>10310.400000000001</v>
      </c>
      <c r="C174" s="32">
        <v>0</v>
      </c>
      <c r="D174" s="32">
        <v>999.99999999999977</v>
      </c>
      <c r="E174" s="32">
        <v>11310.400000000001</v>
      </c>
    </row>
    <row r="175" spans="1:5" x14ac:dyDescent="0.25">
      <c r="A175" s="31" t="s">
        <v>319</v>
      </c>
      <c r="B175" s="32">
        <v>885.14678399999991</v>
      </c>
      <c r="C175" s="32">
        <v>33484.552794499999</v>
      </c>
      <c r="D175" s="32">
        <v>0</v>
      </c>
      <c r="E175" s="32">
        <v>34369.699578499996</v>
      </c>
    </row>
    <row r="176" spans="1:5" x14ac:dyDescent="0.25">
      <c r="A176" s="31" t="s">
        <v>320</v>
      </c>
      <c r="B176" s="32">
        <v>0</v>
      </c>
      <c r="C176" s="32">
        <v>0</v>
      </c>
      <c r="D176" s="32">
        <v>0</v>
      </c>
      <c r="E176" s="32">
        <v>0</v>
      </c>
    </row>
    <row r="177" spans="1:5" x14ac:dyDescent="0.25">
      <c r="A177" s="31" t="s">
        <v>321</v>
      </c>
      <c r="B177" s="32">
        <v>0</v>
      </c>
      <c r="C177" s="32">
        <v>0</v>
      </c>
      <c r="D177" s="32">
        <v>0</v>
      </c>
      <c r="E177" s="32">
        <v>0</v>
      </c>
    </row>
    <row r="178" spans="1:5" x14ac:dyDescent="0.25">
      <c r="A178" s="31" t="s">
        <v>322</v>
      </c>
      <c r="B178" s="32">
        <v>1163.52</v>
      </c>
      <c r="C178" s="32">
        <v>0</v>
      </c>
      <c r="D178" s="32">
        <v>15881.25</v>
      </c>
      <c r="E178" s="32">
        <v>17044.77</v>
      </c>
    </row>
    <row r="179" spans="1:5" x14ac:dyDescent="0.25">
      <c r="A179" s="31" t="s">
        <v>323</v>
      </c>
      <c r="B179" s="32">
        <v>1252.8</v>
      </c>
      <c r="C179" s="32">
        <v>0</v>
      </c>
      <c r="D179" s="32">
        <v>160</v>
      </c>
      <c r="E179" s="32">
        <v>1412.8</v>
      </c>
    </row>
    <row r="180" spans="1:5" x14ac:dyDescent="0.25">
      <c r="A180" s="31" t="s">
        <v>324</v>
      </c>
      <c r="B180" s="32">
        <v>2074.3199999999997</v>
      </c>
      <c r="C180" s="32">
        <v>0</v>
      </c>
      <c r="D180" s="32">
        <v>2980</v>
      </c>
      <c r="E180" s="32">
        <v>5054.32</v>
      </c>
    </row>
    <row r="181" spans="1:5" x14ac:dyDescent="0.25">
      <c r="A181" s="31" t="s">
        <v>325</v>
      </c>
      <c r="B181" s="32">
        <v>3187.3927423999994</v>
      </c>
      <c r="C181" s="32">
        <v>6527.0019711999994</v>
      </c>
      <c r="D181" s="32">
        <v>18121.5870464</v>
      </c>
      <c r="E181" s="32">
        <v>27835.981759999999</v>
      </c>
    </row>
    <row r="183" spans="1:5" x14ac:dyDescent="0.25">
      <c r="A183" s="31" t="s">
        <v>326</v>
      </c>
      <c r="B183" s="32">
        <v>15686.186784000001</v>
      </c>
      <c r="C183" s="32">
        <v>33484.552794499999</v>
      </c>
      <c r="D183" s="32">
        <v>20021.25</v>
      </c>
      <c r="E183" s="32">
        <v>69191.989578500012</v>
      </c>
    </row>
    <row r="184" spans="1:5" x14ac:dyDescent="0.25">
      <c r="A184" s="31" t="s">
        <v>327</v>
      </c>
      <c r="B184" s="32">
        <v>18873.579526400001</v>
      </c>
      <c r="C184" s="32">
        <v>40011.554765699999</v>
      </c>
      <c r="D184" s="32">
        <v>38142.837046400004</v>
      </c>
      <c r="E184" s="32">
        <v>97027.971338500007</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249977111117893"/>
  </sheetPr>
  <dimension ref="A1:F186"/>
  <sheetViews>
    <sheetView topLeftCell="A165" workbookViewId="0">
      <selection activeCell="I65" sqref="I65"/>
    </sheetView>
  </sheetViews>
  <sheetFormatPr defaultColWidth="9.1796875" defaultRowHeight="12.5" x14ac:dyDescent="0.25"/>
  <cols>
    <col min="1" max="1" width="39" style="31" bestFit="1" customWidth="1"/>
    <col min="2" max="3" width="6.54296875" style="31" bestFit="1" customWidth="1"/>
    <col min="4" max="5" width="7.54296875" style="31" bestFit="1" customWidth="1"/>
    <col min="6" max="16384" width="9.1796875" style="31"/>
  </cols>
  <sheetData>
    <row r="1" spans="1:4" x14ac:dyDescent="0.25">
      <c r="B1" s="31" t="s">
        <v>184</v>
      </c>
      <c r="C1" s="31" t="s">
        <v>308</v>
      </c>
      <c r="D1" s="31" t="s">
        <v>389</v>
      </c>
    </row>
    <row r="2" spans="1:4" x14ac:dyDescent="0.25">
      <c r="A2" s="31" t="s">
        <v>390</v>
      </c>
    </row>
    <row r="3" spans="1:4" x14ac:dyDescent="0.25">
      <c r="A3" s="31" t="s">
        <v>391</v>
      </c>
      <c r="B3" s="32">
        <v>230.40000000000003</v>
      </c>
      <c r="C3" s="32"/>
      <c r="D3" s="32"/>
    </row>
    <row r="4" spans="1:4" x14ac:dyDescent="0.25">
      <c r="A4" s="31" t="s">
        <v>392</v>
      </c>
      <c r="B4" s="32">
        <v>441.6</v>
      </c>
      <c r="C4" s="32"/>
      <c r="D4" s="32">
        <v>284</v>
      </c>
    </row>
    <row r="5" spans="1:4" x14ac:dyDescent="0.25">
      <c r="A5" s="31" t="s">
        <v>393</v>
      </c>
      <c r="B5" s="32">
        <v>240</v>
      </c>
      <c r="C5" s="32"/>
      <c r="D5" s="32"/>
    </row>
    <row r="6" spans="1:4" x14ac:dyDescent="0.25">
      <c r="A6" s="31" t="s">
        <v>394</v>
      </c>
      <c r="B6" s="32">
        <v>278.39999999999998</v>
      </c>
      <c r="C6" s="32"/>
      <c r="D6" s="32">
        <v>68</v>
      </c>
    </row>
    <row r="7" spans="1:4" x14ac:dyDescent="0.25">
      <c r="A7" s="31" t="s">
        <v>395</v>
      </c>
      <c r="B7" s="32">
        <v>576</v>
      </c>
      <c r="C7" s="32"/>
      <c r="D7" s="32"/>
    </row>
    <row r="8" spans="1:4" x14ac:dyDescent="0.25">
      <c r="A8" s="31" t="s">
        <v>396</v>
      </c>
      <c r="B8" s="32">
        <v>768</v>
      </c>
      <c r="C8" s="32"/>
      <c r="D8" s="32"/>
    </row>
    <row r="10" spans="1:4" x14ac:dyDescent="0.25">
      <c r="A10" s="31" t="s">
        <v>397</v>
      </c>
      <c r="B10" s="32">
        <v>2534.4</v>
      </c>
      <c r="C10" s="32">
        <v>0</v>
      </c>
      <c r="D10" s="32">
        <v>352</v>
      </c>
    </row>
    <row r="12" spans="1:4" x14ac:dyDescent="0.25">
      <c r="A12" s="31" t="s">
        <v>398</v>
      </c>
    </row>
    <row r="13" spans="1:4" x14ac:dyDescent="0.25">
      <c r="A13" s="31" t="s">
        <v>399</v>
      </c>
      <c r="B13" s="32">
        <v>288</v>
      </c>
    </row>
    <row r="14" spans="1:4" x14ac:dyDescent="0.25">
      <c r="A14" s="31" t="s">
        <v>400</v>
      </c>
      <c r="B14" s="32">
        <v>1907.2</v>
      </c>
    </row>
    <row r="15" spans="1:4" x14ac:dyDescent="0.25">
      <c r="A15" s="31" t="s">
        <v>401</v>
      </c>
      <c r="B15" s="32">
        <v>288</v>
      </c>
    </row>
    <row r="16" spans="1:4" x14ac:dyDescent="0.25">
      <c r="A16" s="31" t="s">
        <v>402</v>
      </c>
      <c r="B16" s="32">
        <v>1382.3999999999999</v>
      </c>
    </row>
    <row r="17" spans="1:4" x14ac:dyDescent="0.25">
      <c r="A17" s="31" t="s">
        <v>403</v>
      </c>
      <c r="B17" s="32">
        <v>144</v>
      </c>
      <c r="D17" s="32">
        <v>73.335999999999999</v>
      </c>
    </row>
    <row r="18" spans="1:4" x14ac:dyDescent="0.25">
      <c r="A18" s="31" t="s">
        <v>404</v>
      </c>
      <c r="B18" s="32">
        <v>364.8</v>
      </c>
      <c r="D18" s="32">
        <v>50</v>
      </c>
    </row>
    <row r="19" spans="1:4" x14ac:dyDescent="0.25">
      <c r="A19" s="31" t="s">
        <v>405</v>
      </c>
      <c r="B19" s="32">
        <v>1632</v>
      </c>
      <c r="D19" s="32">
        <v>20</v>
      </c>
    </row>
    <row r="20" spans="1:4" x14ac:dyDescent="0.25">
      <c r="A20" s="31" t="s">
        <v>406</v>
      </c>
      <c r="B20" s="32">
        <v>720</v>
      </c>
      <c r="D20" s="32"/>
    </row>
    <row r="21" spans="1:4" x14ac:dyDescent="0.25">
      <c r="A21" s="31" t="s">
        <v>407</v>
      </c>
      <c r="B21" s="32">
        <v>1545.6</v>
      </c>
      <c r="D21" s="32">
        <v>200</v>
      </c>
    </row>
    <row r="23" spans="1:4" x14ac:dyDescent="0.25">
      <c r="A23" s="31" t="s">
        <v>397</v>
      </c>
      <c r="B23" s="32">
        <v>8272</v>
      </c>
      <c r="C23" s="32">
        <v>0</v>
      </c>
      <c r="D23" s="32">
        <v>343.33600000000001</v>
      </c>
    </row>
    <row r="25" spans="1:4" x14ac:dyDescent="0.25">
      <c r="A25" s="31" t="s">
        <v>408</v>
      </c>
    </row>
    <row r="26" spans="1:4" x14ac:dyDescent="0.25">
      <c r="A26" s="31" t="s">
        <v>409</v>
      </c>
      <c r="D26" s="32">
        <v>365</v>
      </c>
    </row>
    <row r="27" spans="1:4" x14ac:dyDescent="0.25">
      <c r="A27" s="31" t="s">
        <v>410</v>
      </c>
      <c r="D27" s="32">
        <v>0</v>
      </c>
    </row>
    <row r="28" spans="1:4" x14ac:dyDescent="0.25">
      <c r="A28" s="31" t="s">
        <v>411</v>
      </c>
      <c r="D28" s="32">
        <v>0</v>
      </c>
    </row>
    <row r="29" spans="1:4" x14ac:dyDescent="0.25">
      <c r="A29" s="31" t="s">
        <v>412</v>
      </c>
      <c r="D29" s="32">
        <v>17500</v>
      </c>
    </row>
    <row r="31" spans="1:4" x14ac:dyDescent="0.25">
      <c r="A31" s="31" t="s">
        <v>413</v>
      </c>
      <c r="B31" s="32">
        <v>0</v>
      </c>
      <c r="C31" s="32">
        <v>0</v>
      </c>
      <c r="D31" s="32">
        <v>17865</v>
      </c>
    </row>
    <row r="32" spans="1:4" x14ac:dyDescent="0.25">
      <c r="C32" s="32"/>
      <c r="D32" s="32"/>
    </row>
    <row r="33" spans="1:4" x14ac:dyDescent="0.25">
      <c r="A33" s="31" t="s">
        <v>414</v>
      </c>
    </row>
    <row r="34" spans="1:4" x14ac:dyDescent="0.25">
      <c r="A34" s="31" t="s">
        <v>415</v>
      </c>
      <c r="D34" s="32">
        <v>0</v>
      </c>
    </row>
    <row r="35" spans="1:4" x14ac:dyDescent="0.25">
      <c r="A35" s="31" t="s">
        <v>416</v>
      </c>
      <c r="D35" s="32">
        <v>0</v>
      </c>
    </row>
    <row r="36" spans="1:4" x14ac:dyDescent="0.25">
      <c r="A36" s="31" t="s">
        <v>417</v>
      </c>
      <c r="D36" s="32">
        <v>12390</v>
      </c>
    </row>
    <row r="37" spans="1:4" x14ac:dyDescent="0.25">
      <c r="A37" s="31" t="s">
        <v>418</v>
      </c>
      <c r="D37" s="32">
        <v>21000</v>
      </c>
    </row>
    <row r="38" spans="1:4" x14ac:dyDescent="0.25">
      <c r="A38" s="31" t="s">
        <v>419</v>
      </c>
      <c r="D38" s="32">
        <v>6800</v>
      </c>
    </row>
    <row r="39" spans="1:4" x14ac:dyDescent="0.25">
      <c r="A39" s="31" t="s">
        <v>420</v>
      </c>
      <c r="D39" s="32">
        <v>2400</v>
      </c>
    </row>
    <row r="40" spans="1:4" x14ac:dyDescent="0.25">
      <c r="A40" s="31" t="s">
        <v>421</v>
      </c>
      <c r="D40" s="32">
        <v>0</v>
      </c>
    </row>
    <row r="41" spans="1:4" x14ac:dyDescent="0.25">
      <c r="A41" s="31" t="s">
        <v>422</v>
      </c>
      <c r="D41" s="32">
        <v>0</v>
      </c>
    </row>
    <row r="42" spans="1:4" x14ac:dyDescent="0.25">
      <c r="A42" s="31" t="s">
        <v>423</v>
      </c>
      <c r="D42" s="32"/>
    </row>
    <row r="43" spans="1:4" x14ac:dyDescent="0.25">
      <c r="A43" s="31" t="s">
        <v>424</v>
      </c>
      <c r="D43" s="32">
        <v>0</v>
      </c>
    </row>
    <row r="44" spans="1:4" x14ac:dyDescent="0.25">
      <c r="A44" s="31" t="s">
        <v>425</v>
      </c>
      <c r="D44" s="32">
        <v>2555.4</v>
      </c>
    </row>
    <row r="46" spans="1:4" x14ac:dyDescent="0.25">
      <c r="A46" s="31" t="s">
        <v>413</v>
      </c>
      <c r="B46" s="32"/>
      <c r="C46" s="32"/>
      <c r="D46" s="32">
        <v>45145.4</v>
      </c>
    </row>
    <row r="48" spans="1:4" x14ac:dyDescent="0.25">
      <c r="A48" s="31" t="s">
        <v>426</v>
      </c>
    </row>
    <row r="49" spans="1:4" x14ac:dyDescent="0.25">
      <c r="A49" s="31" t="s">
        <v>427</v>
      </c>
      <c r="B49" s="32">
        <v>2376</v>
      </c>
      <c r="C49" s="32"/>
      <c r="D49" s="32">
        <v>0</v>
      </c>
    </row>
    <row r="50" spans="1:4" x14ac:dyDescent="0.25">
      <c r="A50" s="31" t="s">
        <v>428</v>
      </c>
      <c r="B50" s="32">
        <v>230.4</v>
      </c>
      <c r="C50" s="32"/>
      <c r="D50" s="32">
        <v>7250</v>
      </c>
    </row>
    <row r="51" spans="1:4" x14ac:dyDescent="0.25">
      <c r="A51" s="31" t="s">
        <v>429</v>
      </c>
      <c r="B51" s="32">
        <v>2211.84</v>
      </c>
      <c r="C51" s="32"/>
      <c r="D51" s="32">
        <v>4728.5</v>
      </c>
    </row>
    <row r="53" spans="1:4" x14ac:dyDescent="0.25">
      <c r="A53" s="31" t="s">
        <v>413</v>
      </c>
      <c r="B53" s="32">
        <v>4818.24</v>
      </c>
      <c r="C53" s="32">
        <v>0</v>
      </c>
      <c r="D53" s="32">
        <v>11978.5</v>
      </c>
    </row>
    <row r="55" spans="1:4" x14ac:dyDescent="0.25">
      <c r="A55" s="31" t="s">
        <v>430</v>
      </c>
    </row>
    <row r="56" spans="1:4" x14ac:dyDescent="0.25">
      <c r="A56" s="31" t="s">
        <v>431</v>
      </c>
      <c r="B56" s="32">
        <v>768</v>
      </c>
      <c r="C56" s="32"/>
      <c r="D56" s="32">
        <v>50</v>
      </c>
    </row>
    <row r="57" spans="1:4" x14ac:dyDescent="0.25">
      <c r="A57" s="31" t="s">
        <v>432</v>
      </c>
      <c r="B57" s="32">
        <v>630.72</v>
      </c>
      <c r="C57" s="32">
        <v>369.495</v>
      </c>
      <c r="D57" s="32">
        <v>292.5</v>
      </c>
    </row>
    <row r="58" spans="1:4" x14ac:dyDescent="0.25">
      <c r="A58" s="31" t="s">
        <v>433</v>
      </c>
      <c r="B58" s="32">
        <v>90</v>
      </c>
      <c r="C58" s="32"/>
      <c r="D58" s="32">
        <v>75</v>
      </c>
    </row>
    <row r="59" spans="1:4" x14ac:dyDescent="0.25">
      <c r="A59" s="31" t="s">
        <v>434</v>
      </c>
      <c r="B59" s="32">
        <v>499.2</v>
      </c>
      <c r="C59" s="32">
        <v>6892.5249999999996</v>
      </c>
      <c r="D59" s="32">
        <v>85</v>
      </c>
    </row>
    <row r="60" spans="1:4" x14ac:dyDescent="0.25">
      <c r="A60" s="31" t="s">
        <v>435</v>
      </c>
      <c r="B60" s="32"/>
      <c r="C60" s="32">
        <v>1201.175</v>
      </c>
      <c r="D60" s="32"/>
    </row>
    <row r="61" spans="1:4" x14ac:dyDescent="0.25">
      <c r="A61" s="31" t="s">
        <v>436</v>
      </c>
      <c r="B61" s="32">
        <v>141.12</v>
      </c>
      <c r="C61" s="32"/>
      <c r="D61" s="32"/>
    </row>
    <row r="62" spans="1:4" x14ac:dyDescent="0.25">
      <c r="A62" s="31" t="s">
        <v>437</v>
      </c>
    </row>
    <row r="63" spans="1:4" x14ac:dyDescent="0.25">
      <c r="A63" s="31" t="s">
        <v>413</v>
      </c>
      <c r="B63" s="32">
        <v>2129.04</v>
      </c>
      <c r="C63" s="32">
        <v>8463.1949999999997</v>
      </c>
      <c r="D63" s="32">
        <v>502.5</v>
      </c>
    </row>
    <row r="65" spans="1:4" x14ac:dyDescent="0.25">
      <c r="A65" s="31" t="s">
        <v>438</v>
      </c>
    </row>
    <row r="66" spans="1:4" x14ac:dyDescent="0.25">
      <c r="A66" s="31" t="s">
        <v>439</v>
      </c>
      <c r="B66" s="32">
        <v>172.8</v>
      </c>
      <c r="C66" s="32"/>
      <c r="D66" s="32"/>
    </row>
    <row r="67" spans="1:4" x14ac:dyDescent="0.25">
      <c r="A67" s="31" t="s">
        <v>440</v>
      </c>
      <c r="B67" s="32">
        <v>614.40000000000009</v>
      </c>
      <c r="C67" s="32"/>
      <c r="D67" s="32">
        <v>50</v>
      </c>
    </row>
    <row r="68" spans="1:4" x14ac:dyDescent="0.25">
      <c r="A68" s="31" t="s">
        <v>441</v>
      </c>
      <c r="B68" s="32">
        <v>575.23199999999997</v>
      </c>
      <c r="C68" s="32">
        <v>2697.279</v>
      </c>
      <c r="D68" s="32">
        <v>290</v>
      </c>
    </row>
    <row r="69" spans="1:4" x14ac:dyDescent="0.25">
      <c r="A69" s="31" t="s">
        <v>442</v>
      </c>
      <c r="B69" s="32">
        <v>0</v>
      </c>
      <c r="C69" s="32">
        <v>5273.9</v>
      </c>
      <c r="D69" s="32"/>
    </row>
    <row r="70" spans="1:4" x14ac:dyDescent="0.25">
      <c r="A70" s="31" t="s">
        <v>443</v>
      </c>
      <c r="B70" s="32">
        <v>322.56</v>
      </c>
      <c r="C70" s="32"/>
      <c r="D70" s="32"/>
    </row>
    <row r="71" spans="1:4" x14ac:dyDescent="0.25">
      <c r="A71" s="31" t="s">
        <v>444</v>
      </c>
      <c r="B71" s="32">
        <v>0</v>
      </c>
      <c r="C71" s="32">
        <v>1558.8249999999998</v>
      </c>
      <c r="D71" s="32"/>
    </row>
    <row r="72" spans="1:4" x14ac:dyDescent="0.25">
      <c r="A72" s="31" t="s">
        <v>445</v>
      </c>
      <c r="B72" s="32">
        <v>130.56</v>
      </c>
      <c r="C72" s="32"/>
      <c r="D72" s="32"/>
    </row>
    <row r="73" spans="1:4" x14ac:dyDescent="0.25">
      <c r="A73" s="31" t="s">
        <v>446</v>
      </c>
      <c r="B73" s="32">
        <v>754.94400000000007</v>
      </c>
      <c r="C73" s="32">
        <v>2451.0639999999999</v>
      </c>
      <c r="D73" s="32">
        <v>352</v>
      </c>
    </row>
    <row r="75" spans="1:4" x14ac:dyDescent="0.25">
      <c r="A75" s="31" t="s">
        <v>413</v>
      </c>
      <c r="B75" s="32">
        <v>2570.4960000000001</v>
      </c>
      <c r="C75" s="32">
        <v>11981.068000000001</v>
      </c>
      <c r="D75" s="32">
        <v>692</v>
      </c>
    </row>
    <row r="77" spans="1:4" x14ac:dyDescent="0.25">
      <c r="A77" s="31" t="s">
        <v>447</v>
      </c>
      <c r="B77" s="32">
        <v>20324.175999999999</v>
      </c>
      <c r="C77" s="32">
        <v>20444.262999999999</v>
      </c>
      <c r="D77" s="32">
        <v>76878.736000000004</v>
      </c>
    </row>
    <row r="79" spans="1:4" x14ac:dyDescent="0.25">
      <c r="A79" s="31" t="s">
        <v>448</v>
      </c>
      <c r="D79" s="32">
        <v>117647.175</v>
      </c>
    </row>
    <row r="83" spans="1:4" x14ac:dyDescent="0.25">
      <c r="A83" s="31" t="s">
        <v>449</v>
      </c>
    </row>
    <row r="84" spans="1:4" x14ac:dyDescent="0.25">
      <c r="A84" s="31" t="s">
        <v>450</v>
      </c>
      <c r="B84" s="32">
        <v>0</v>
      </c>
      <c r="C84" s="32"/>
      <c r="D84" s="32"/>
    </row>
    <row r="85" spans="1:4" x14ac:dyDescent="0.25">
      <c r="A85" s="31" t="s">
        <v>451</v>
      </c>
      <c r="B85" s="32">
        <v>3225.6</v>
      </c>
      <c r="C85" s="32"/>
    </row>
    <row r="86" spans="1:4" x14ac:dyDescent="0.25">
      <c r="A86" s="31" t="s">
        <v>452</v>
      </c>
      <c r="B86" s="32">
        <v>0</v>
      </c>
      <c r="C86" s="32"/>
      <c r="D86" s="32"/>
    </row>
    <row r="87" spans="1:4" x14ac:dyDescent="0.25">
      <c r="A87" s="31" t="s">
        <v>453</v>
      </c>
      <c r="B87" s="32">
        <v>1615.68</v>
      </c>
      <c r="C87" s="32"/>
      <c r="D87" s="32"/>
    </row>
    <row r="88" spans="1:4" x14ac:dyDescent="0.25">
      <c r="A88" s="31" t="s">
        <v>454</v>
      </c>
      <c r="B88" s="32">
        <v>0</v>
      </c>
      <c r="C88" s="32"/>
      <c r="D88" s="32"/>
    </row>
    <row r="89" spans="1:4" x14ac:dyDescent="0.25">
      <c r="A89" s="31" t="s">
        <v>455</v>
      </c>
      <c r="B89" s="32">
        <v>691.19999999999982</v>
      </c>
      <c r="C89" s="32"/>
    </row>
    <row r="90" spans="1:4" x14ac:dyDescent="0.25">
      <c r="A90" s="31" t="s">
        <v>456</v>
      </c>
      <c r="B90" s="32">
        <v>0</v>
      </c>
      <c r="C90" s="32"/>
      <c r="D90" s="32">
        <v>0</v>
      </c>
    </row>
    <row r="91" spans="1:4" x14ac:dyDescent="0.25">
      <c r="A91" s="31" t="s">
        <v>457</v>
      </c>
      <c r="B91" s="32"/>
      <c r="C91" s="32"/>
      <c r="D91" s="32">
        <v>999.99999999999977</v>
      </c>
    </row>
    <row r="93" spans="1:4" x14ac:dyDescent="0.25">
      <c r="A93" s="31" t="s">
        <v>413</v>
      </c>
      <c r="B93" s="32">
        <v>5532.48</v>
      </c>
      <c r="C93" s="32">
        <v>0</v>
      </c>
      <c r="D93" s="32">
        <v>999.99999999999977</v>
      </c>
    </row>
    <row r="95" spans="1:4" x14ac:dyDescent="0.25">
      <c r="A95" s="31" t="s">
        <v>458</v>
      </c>
    </row>
    <row r="96" spans="1:4" x14ac:dyDescent="0.25">
      <c r="A96" s="31" t="s">
        <v>459</v>
      </c>
      <c r="B96" s="32">
        <v>288</v>
      </c>
      <c r="C96" s="32"/>
      <c r="D96" s="32"/>
    </row>
    <row r="97" spans="1:4" x14ac:dyDescent="0.25">
      <c r="A97" s="31" t="s">
        <v>460</v>
      </c>
      <c r="B97" s="32">
        <v>96</v>
      </c>
      <c r="C97" s="32"/>
      <c r="D97" s="32"/>
    </row>
    <row r="98" spans="1:4" x14ac:dyDescent="0.25">
      <c r="A98" s="31" t="s">
        <v>461</v>
      </c>
      <c r="B98" s="32">
        <v>48</v>
      </c>
      <c r="C98" s="32"/>
      <c r="D98" s="32"/>
    </row>
    <row r="99" spans="1:4" x14ac:dyDescent="0.25">
      <c r="A99" s="31" t="s">
        <v>462</v>
      </c>
      <c r="B99" s="32">
        <v>288</v>
      </c>
      <c r="C99" s="32">
        <v>6820.0749999999998</v>
      </c>
      <c r="D99" s="32"/>
    </row>
    <row r="100" spans="1:4" x14ac:dyDescent="0.25">
      <c r="A100" s="31" t="s">
        <v>463</v>
      </c>
      <c r="B100" s="32">
        <v>34.024608000000001</v>
      </c>
      <c r="C100" s="32">
        <v>171.18630899999999</v>
      </c>
      <c r="D100" s="32"/>
    </row>
    <row r="101" spans="1:4" x14ac:dyDescent="0.25">
      <c r="A101" s="31" t="s">
        <v>464</v>
      </c>
      <c r="B101" s="32">
        <v>35.122176000000003</v>
      </c>
      <c r="C101" s="32">
        <v>210.67398550000001</v>
      </c>
      <c r="D101" s="32"/>
    </row>
    <row r="102" spans="1:4" x14ac:dyDescent="0.25">
      <c r="A102" s="31" t="s">
        <v>465</v>
      </c>
      <c r="B102" s="32"/>
      <c r="C102" s="32">
        <v>818.74249999999984</v>
      </c>
      <c r="D102" s="32"/>
    </row>
    <row r="103" spans="1:4" x14ac:dyDescent="0.25">
      <c r="A103" s="31" t="s">
        <v>466</v>
      </c>
      <c r="B103" s="32">
        <v>96</v>
      </c>
      <c r="C103" s="32"/>
      <c r="D103" s="32"/>
    </row>
    <row r="105" spans="1:4" x14ac:dyDescent="0.25">
      <c r="A105" s="31" t="s">
        <v>413</v>
      </c>
      <c r="B105" s="32">
        <v>885.14678399999991</v>
      </c>
      <c r="C105" s="32">
        <v>8020.6777944999994</v>
      </c>
      <c r="D105" s="32">
        <v>0</v>
      </c>
    </row>
    <row r="107" spans="1:4" x14ac:dyDescent="0.25">
      <c r="A107" s="31" t="s">
        <v>467</v>
      </c>
    </row>
    <row r="108" spans="1:4" x14ac:dyDescent="0.25">
      <c r="A108" s="31" t="s">
        <v>459</v>
      </c>
      <c r="B108" s="32">
        <v>0</v>
      </c>
      <c r="C108" s="32"/>
      <c r="D108" s="32"/>
    </row>
    <row r="109" spans="1:4" x14ac:dyDescent="0.25">
      <c r="A109" s="31" t="s">
        <v>460</v>
      </c>
      <c r="B109" s="32">
        <v>0</v>
      </c>
      <c r="C109" s="32"/>
      <c r="D109" s="32"/>
    </row>
    <row r="110" spans="1:4" x14ac:dyDescent="0.25">
      <c r="A110" s="31" t="s">
        <v>468</v>
      </c>
      <c r="B110" s="32">
        <v>0</v>
      </c>
      <c r="C110" s="32"/>
      <c r="D110" s="32"/>
    </row>
    <row r="111" spans="1:4" x14ac:dyDescent="0.25">
      <c r="A111" s="31" t="s">
        <v>469</v>
      </c>
      <c r="B111" s="32">
        <v>0</v>
      </c>
      <c r="C111" s="32">
        <v>0</v>
      </c>
      <c r="D111" s="32"/>
    </row>
    <row r="112" spans="1:4" x14ac:dyDescent="0.25">
      <c r="A112" s="31" t="s">
        <v>470</v>
      </c>
      <c r="B112" s="32">
        <v>0</v>
      </c>
      <c r="C112" s="32">
        <v>0</v>
      </c>
      <c r="D112" s="32"/>
    </row>
    <row r="113" spans="1:4" x14ac:dyDescent="0.25">
      <c r="A113" s="31" t="s">
        <v>471</v>
      </c>
      <c r="B113" s="32"/>
      <c r="C113" s="32">
        <v>0</v>
      </c>
      <c r="D113" s="32">
        <v>0</v>
      </c>
    </row>
    <row r="114" spans="1:4" x14ac:dyDescent="0.25">
      <c r="A114" s="31" t="s">
        <v>472</v>
      </c>
      <c r="B114" s="32">
        <v>0</v>
      </c>
      <c r="C114" s="32"/>
      <c r="D114" s="32"/>
    </row>
    <row r="116" spans="1:4" x14ac:dyDescent="0.25">
      <c r="A116" s="31" t="s">
        <v>413</v>
      </c>
      <c r="B116" s="32">
        <v>0</v>
      </c>
      <c r="C116" s="32">
        <v>0</v>
      </c>
      <c r="D116" s="32">
        <v>0</v>
      </c>
    </row>
    <row r="117" spans="1:4" x14ac:dyDescent="0.25">
      <c r="B117" s="32"/>
      <c r="C117" s="32"/>
      <c r="D117" s="32"/>
    </row>
    <row r="118" spans="1:4" x14ac:dyDescent="0.25">
      <c r="A118" s="31" t="s">
        <v>473</v>
      </c>
      <c r="B118" s="32"/>
      <c r="C118" s="32"/>
      <c r="D118" s="32"/>
    </row>
    <row r="119" spans="1:4" x14ac:dyDescent="0.25">
      <c r="A119" s="31" t="s">
        <v>459</v>
      </c>
      <c r="B119" s="32">
        <v>0</v>
      </c>
      <c r="C119" s="32"/>
      <c r="D119" s="32"/>
    </row>
    <row r="120" spans="1:4" x14ac:dyDescent="0.25">
      <c r="A120" s="31" t="s">
        <v>460</v>
      </c>
      <c r="B120" s="32">
        <v>0</v>
      </c>
      <c r="C120" s="32"/>
      <c r="D120" s="32"/>
    </row>
    <row r="121" spans="1:4" x14ac:dyDescent="0.25">
      <c r="A121" s="31" t="s">
        <v>468</v>
      </c>
      <c r="B121" s="32">
        <v>0</v>
      </c>
      <c r="C121" s="32"/>
      <c r="D121" s="32"/>
    </row>
    <row r="122" spans="1:4" x14ac:dyDescent="0.25">
      <c r="A122" s="31" t="s">
        <v>474</v>
      </c>
      <c r="B122" s="32">
        <v>0</v>
      </c>
      <c r="C122" s="32">
        <v>0</v>
      </c>
      <c r="D122" s="32"/>
    </row>
    <row r="123" spans="1:4" x14ac:dyDescent="0.25">
      <c r="A123" s="31" t="s">
        <v>471</v>
      </c>
      <c r="B123" s="32"/>
      <c r="C123" s="32">
        <v>0</v>
      </c>
      <c r="D123" s="32">
        <v>0</v>
      </c>
    </row>
    <row r="124" spans="1:4" x14ac:dyDescent="0.25">
      <c r="A124" s="31" t="s">
        <v>472</v>
      </c>
      <c r="B124" s="32">
        <v>0</v>
      </c>
      <c r="C124" s="32"/>
      <c r="D124" s="32"/>
    </row>
    <row r="125" spans="1:4" x14ac:dyDescent="0.25">
      <c r="B125" s="32"/>
      <c r="C125" s="32"/>
      <c r="D125" s="32"/>
    </row>
    <row r="126" spans="1:4" x14ac:dyDescent="0.25">
      <c r="A126" s="31" t="s">
        <v>413</v>
      </c>
      <c r="B126" s="32">
        <v>0</v>
      </c>
      <c r="C126" s="32">
        <v>0</v>
      </c>
      <c r="D126" s="32">
        <v>0</v>
      </c>
    </row>
    <row r="128" spans="1:4" x14ac:dyDescent="0.25">
      <c r="A128" s="31" t="s">
        <v>475</v>
      </c>
    </row>
    <row r="129" spans="1:4" x14ac:dyDescent="0.25">
      <c r="A129" s="31" t="s">
        <v>461</v>
      </c>
      <c r="B129" s="32">
        <v>144</v>
      </c>
      <c r="C129" s="32"/>
      <c r="D129" s="32"/>
    </row>
    <row r="130" spans="1:4" x14ac:dyDescent="0.25">
      <c r="A130" s="31" t="s">
        <v>476</v>
      </c>
      <c r="B130" s="32">
        <v>293.76</v>
      </c>
      <c r="C130" s="32"/>
      <c r="D130" s="32">
        <v>937.5</v>
      </c>
    </row>
    <row r="131" spans="1:4" x14ac:dyDescent="0.25">
      <c r="A131" s="31" t="s">
        <v>463</v>
      </c>
      <c r="B131" s="32">
        <v>164.16000000000003</v>
      </c>
      <c r="C131" s="32"/>
      <c r="D131" s="32"/>
    </row>
    <row r="132" spans="1:4" x14ac:dyDescent="0.25">
      <c r="A132" s="31" t="s">
        <v>464</v>
      </c>
      <c r="B132" s="32">
        <v>95.04</v>
      </c>
      <c r="C132" s="32"/>
      <c r="D132" s="32">
        <v>93.75</v>
      </c>
    </row>
    <row r="133" spans="1:4" x14ac:dyDescent="0.25">
      <c r="A133" s="31" t="s">
        <v>477</v>
      </c>
      <c r="B133" s="32">
        <v>587.52</v>
      </c>
      <c r="C133" s="32"/>
      <c r="D133" s="32">
        <v>37.5</v>
      </c>
    </row>
    <row r="135" spans="1:4" x14ac:dyDescent="0.25">
      <c r="A135" s="31" t="s">
        <v>413</v>
      </c>
      <c r="B135" s="32">
        <v>1284.48</v>
      </c>
      <c r="C135" s="32">
        <v>0</v>
      </c>
      <c r="D135" s="32">
        <v>1068.75</v>
      </c>
    </row>
    <row r="137" spans="1:4" x14ac:dyDescent="0.25">
      <c r="A137" s="31" t="s">
        <v>478</v>
      </c>
    </row>
    <row r="138" spans="1:4" x14ac:dyDescent="0.25">
      <c r="A138" s="31" t="s">
        <v>479</v>
      </c>
      <c r="B138" s="32">
        <v>576</v>
      </c>
      <c r="C138" s="32"/>
      <c r="D138" s="32"/>
    </row>
    <row r="139" spans="1:4" x14ac:dyDescent="0.25">
      <c r="A139" s="31" t="s">
        <v>480</v>
      </c>
      <c r="B139" s="32">
        <v>489.6</v>
      </c>
      <c r="C139" s="32"/>
      <c r="D139" s="32"/>
    </row>
    <row r="140" spans="1:4" x14ac:dyDescent="0.25">
      <c r="A140" s="31" t="s">
        <v>481</v>
      </c>
      <c r="B140" s="32">
        <v>187.2</v>
      </c>
      <c r="C140" s="32"/>
      <c r="D140" s="32">
        <v>160</v>
      </c>
    </row>
    <row r="142" spans="1:4" x14ac:dyDescent="0.25">
      <c r="A142" s="31" t="s">
        <v>413</v>
      </c>
      <c r="B142" s="32">
        <v>1252.8</v>
      </c>
      <c r="C142" s="32">
        <v>0</v>
      </c>
      <c r="D142" s="32">
        <v>160</v>
      </c>
    </row>
    <row r="144" spans="1:4" x14ac:dyDescent="0.25">
      <c r="A144" s="31" t="s">
        <v>482</v>
      </c>
    </row>
    <row r="145" spans="1:6" x14ac:dyDescent="0.25">
      <c r="A145" s="31" t="s">
        <v>483</v>
      </c>
      <c r="B145" s="32">
        <v>994.31999999999994</v>
      </c>
      <c r="C145" s="32"/>
      <c r="D145" s="32">
        <v>230</v>
      </c>
    </row>
    <row r="146" spans="1:6" x14ac:dyDescent="0.25">
      <c r="A146" s="31" t="s">
        <v>484</v>
      </c>
      <c r="B146" s="32">
        <v>503.99999999999994</v>
      </c>
      <c r="C146" s="32"/>
      <c r="D146" s="32">
        <v>50</v>
      </c>
    </row>
    <row r="147" spans="1:6" x14ac:dyDescent="0.25">
      <c r="A147" s="31" t="s">
        <v>485</v>
      </c>
      <c r="B147" s="32">
        <v>184.31999999999996</v>
      </c>
      <c r="C147" s="32"/>
      <c r="D147" s="32">
        <v>1239</v>
      </c>
    </row>
    <row r="148" spans="1:6" x14ac:dyDescent="0.25">
      <c r="A148" s="31" t="s">
        <v>486</v>
      </c>
      <c r="B148" s="32">
        <v>391.67999999999995</v>
      </c>
      <c r="C148" s="32"/>
      <c r="D148" s="32"/>
    </row>
    <row r="149" spans="1:6" x14ac:dyDescent="0.25">
      <c r="B149" s="32"/>
      <c r="C149" s="32"/>
      <c r="D149" s="32"/>
    </row>
    <row r="150" spans="1:6" x14ac:dyDescent="0.25">
      <c r="A150" s="31" t="s">
        <v>413</v>
      </c>
      <c r="B150" s="32">
        <v>2074.3199999999997</v>
      </c>
      <c r="C150" s="32">
        <v>0</v>
      </c>
      <c r="D150" s="32">
        <v>1519</v>
      </c>
    </row>
    <row r="151" spans="1:6" x14ac:dyDescent="0.25">
      <c r="B151" s="32"/>
      <c r="C151" s="32"/>
      <c r="D151" s="32"/>
    </row>
    <row r="152" spans="1:6" x14ac:dyDescent="0.25">
      <c r="A152" s="31" t="s">
        <v>487</v>
      </c>
      <c r="B152" s="32">
        <v>2894.1626624</v>
      </c>
      <c r="C152" s="32">
        <v>2911.2630511999996</v>
      </c>
      <c r="D152" s="32">
        <v>10947.532006400001</v>
      </c>
    </row>
    <row r="154" spans="1:6" x14ac:dyDescent="0.25">
      <c r="A154" s="31" t="s">
        <v>488</v>
      </c>
      <c r="B154" s="32">
        <v>13923.389446399999</v>
      </c>
      <c r="C154" s="32">
        <v>10931.940845699999</v>
      </c>
      <c r="D154" s="32">
        <v>14695.282006400001</v>
      </c>
    </row>
    <row r="156" spans="1:6" x14ac:dyDescent="0.25">
      <c r="A156" s="31" t="s">
        <v>489</v>
      </c>
      <c r="C156" s="32"/>
      <c r="D156" s="32">
        <v>39550.612298499997</v>
      </c>
      <c r="F156" s="32"/>
    </row>
    <row r="161" spans="1:5" x14ac:dyDescent="0.25">
      <c r="A161" s="31" t="s">
        <v>490</v>
      </c>
    </row>
    <row r="163" spans="1:5" x14ac:dyDescent="0.25">
      <c r="A163" s="31" t="s">
        <v>307</v>
      </c>
      <c r="B163" s="31" t="s">
        <v>184</v>
      </c>
      <c r="C163" s="31" t="s">
        <v>308</v>
      </c>
      <c r="D163" s="31" t="s">
        <v>309</v>
      </c>
      <c r="E163" s="31" t="s">
        <v>45</v>
      </c>
    </row>
    <row r="164" spans="1:5" x14ac:dyDescent="0.25">
      <c r="A164" s="31" t="s">
        <v>310</v>
      </c>
      <c r="B164" s="32">
        <v>2534.4</v>
      </c>
      <c r="C164" s="32">
        <v>0</v>
      </c>
      <c r="D164" s="32">
        <v>352</v>
      </c>
      <c r="E164" s="32">
        <v>2886.4</v>
      </c>
    </row>
    <row r="165" spans="1:5" x14ac:dyDescent="0.25">
      <c r="A165" s="31" t="s">
        <v>311</v>
      </c>
      <c r="B165" s="32">
        <v>8272</v>
      </c>
      <c r="C165" s="32">
        <v>0</v>
      </c>
      <c r="D165" s="32">
        <v>343.33600000000001</v>
      </c>
      <c r="E165" s="32">
        <v>8615.3359999999993</v>
      </c>
    </row>
    <row r="166" spans="1:5" x14ac:dyDescent="0.25">
      <c r="A166" s="31" t="s">
        <v>312</v>
      </c>
      <c r="B166" s="32">
        <v>0</v>
      </c>
      <c r="C166" s="32">
        <v>0</v>
      </c>
      <c r="D166" s="32">
        <v>17865</v>
      </c>
      <c r="E166" s="32">
        <v>17865</v>
      </c>
    </row>
    <row r="167" spans="1:5" x14ac:dyDescent="0.25">
      <c r="A167" s="31" t="s">
        <v>313</v>
      </c>
      <c r="B167" s="32">
        <v>0</v>
      </c>
      <c r="C167" s="32">
        <v>0</v>
      </c>
      <c r="D167" s="32">
        <v>45145.4</v>
      </c>
      <c r="E167" s="32">
        <v>45145.4</v>
      </c>
    </row>
    <row r="168" spans="1:5" x14ac:dyDescent="0.25">
      <c r="A168" s="31" t="s">
        <v>314</v>
      </c>
      <c r="B168" s="32">
        <v>4818.24</v>
      </c>
      <c r="C168" s="32">
        <v>0</v>
      </c>
      <c r="D168" s="32">
        <v>11978.5</v>
      </c>
      <c r="E168" s="32">
        <v>16796.739999999998</v>
      </c>
    </row>
    <row r="169" spans="1:5" x14ac:dyDescent="0.25">
      <c r="A169" s="31" t="s">
        <v>315</v>
      </c>
      <c r="B169" s="32">
        <v>2129.04</v>
      </c>
      <c r="C169" s="32">
        <v>8463.1949999999997</v>
      </c>
      <c r="D169" s="32">
        <v>502.5</v>
      </c>
      <c r="E169" s="32">
        <v>11094.735000000001</v>
      </c>
    </row>
    <row r="170" spans="1:5" x14ac:dyDescent="0.25">
      <c r="A170" s="31" t="s">
        <v>316</v>
      </c>
      <c r="B170" s="32">
        <v>2570.4960000000001</v>
      </c>
      <c r="C170" s="32">
        <v>11981.068000000001</v>
      </c>
      <c r="D170" s="32">
        <v>692</v>
      </c>
      <c r="E170" s="32">
        <v>15243.564000000002</v>
      </c>
    </row>
    <row r="171" spans="1:5" x14ac:dyDescent="0.25">
      <c r="B171" s="216">
        <v>20324.175999999999</v>
      </c>
      <c r="C171" s="216">
        <v>20444.262999999999</v>
      </c>
      <c r="D171" s="216">
        <v>76878.736000000004</v>
      </c>
      <c r="E171" s="32">
        <v>117647.175</v>
      </c>
    </row>
    <row r="173" spans="1:5" x14ac:dyDescent="0.25">
      <c r="A173" s="31" t="s">
        <v>317</v>
      </c>
    </row>
    <row r="174" spans="1:5" x14ac:dyDescent="0.25">
      <c r="A174" s="31" t="s">
        <v>318</v>
      </c>
      <c r="B174" s="32">
        <v>5532.48</v>
      </c>
      <c r="C174" s="32">
        <v>0</v>
      </c>
      <c r="D174" s="32">
        <v>999.99999999999977</v>
      </c>
      <c r="E174" s="32">
        <v>6532.48</v>
      </c>
    </row>
    <row r="175" spans="1:5" x14ac:dyDescent="0.25">
      <c r="A175" s="31" t="s">
        <v>319</v>
      </c>
      <c r="B175" s="32">
        <v>885.14678399999991</v>
      </c>
      <c r="C175" s="32">
        <v>8020.6777944999994</v>
      </c>
      <c r="D175" s="32">
        <v>0</v>
      </c>
      <c r="E175" s="32">
        <v>8905.8245784999999</v>
      </c>
    </row>
    <row r="176" spans="1:5" x14ac:dyDescent="0.25">
      <c r="A176" s="31" t="s">
        <v>320</v>
      </c>
      <c r="B176" s="32">
        <v>0</v>
      </c>
      <c r="C176" s="32">
        <v>0</v>
      </c>
      <c r="D176" s="32">
        <v>0</v>
      </c>
      <c r="E176" s="32">
        <v>0</v>
      </c>
    </row>
    <row r="177" spans="1:5" x14ac:dyDescent="0.25">
      <c r="A177" s="31" t="s">
        <v>321</v>
      </c>
      <c r="B177" s="32">
        <v>0</v>
      </c>
      <c r="C177" s="32">
        <v>0</v>
      </c>
      <c r="D177" s="32">
        <v>0</v>
      </c>
      <c r="E177" s="32">
        <v>0</v>
      </c>
    </row>
    <row r="178" spans="1:5" x14ac:dyDescent="0.25">
      <c r="A178" s="31" t="s">
        <v>322</v>
      </c>
      <c r="B178" s="32">
        <v>1284.48</v>
      </c>
      <c r="C178" s="32">
        <v>0</v>
      </c>
      <c r="D178" s="32">
        <v>1068.75</v>
      </c>
      <c r="E178" s="32">
        <v>2353.23</v>
      </c>
    </row>
    <row r="179" spans="1:5" x14ac:dyDescent="0.25">
      <c r="A179" s="31" t="s">
        <v>323</v>
      </c>
      <c r="B179" s="32">
        <v>1252.8</v>
      </c>
      <c r="C179" s="32">
        <v>0</v>
      </c>
      <c r="D179" s="32">
        <v>160</v>
      </c>
      <c r="E179" s="32">
        <v>1412.8</v>
      </c>
    </row>
    <row r="180" spans="1:5" x14ac:dyDescent="0.25">
      <c r="A180" s="31" t="s">
        <v>324</v>
      </c>
      <c r="B180" s="32">
        <v>2074.3199999999997</v>
      </c>
      <c r="C180" s="32">
        <v>0</v>
      </c>
      <c r="D180" s="32">
        <v>1519</v>
      </c>
      <c r="E180" s="32">
        <v>3593.3199999999997</v>
      </c>
    </row>
    <row r="181" spans="1:5" x14ac:dyDescent="0.25">
      <c r="A181" s="31" t="s">
        <v>325</v>
      </c>
      <c r="B181" s="216">
        <v>2894.1626624</v>
      </c>
      <c r="C181" s="216">
        <v>2911.2630511999996</v>
      </c>
      <c r="D181" s="216">
        <v>10947.532006400001</v>
      </c>
      <c r="E181" s="32">
        <v>16752.957719999999</v>
      </c>
    </row>
    <row r="183" spans="1:5" x14ac:dyDescent="0.25">
      <c r="A183" s="31" t="s">
        <v>326</v>
      </c>
      <c r="B183" s="32">
        <v>11029.226783999999</v>
      </c>
      <c r="C183" s="32">
        <v>8020.6777944999994</v>
      </c>
      <c r="D183" s="32">
        <v>3747.75</v>
      </c>
      <c r="E183" s="32">
        <v>22797.654578499998</v>
      </c>
    </row>
    <row r="184" spans="1:5" x14ac:dyDescent="0.25">
      <c r="A184" s="31" t="s">
        <v>327</v>
      </c>
      <c r="B184" s="32">
        <v>13923.389446399999</v>
      </c>
      <c r="C184" s="32">
        <v>10931.940845699999</v>
      </c>
      <c r="D184" s="32">
        <v>14695.282006400001</v>
      </c>
      <c r="E184" s="32">
        <v>39550.612298499997</v>
      </c>
    </row>
    <row r="186" spans="1:5" x14ac:dyDescent="0.25">
      <c r="B186" s="32"/>
      <c r="C186" s="32"/>
      <c r="D186" s="32"/>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249977111117893"/>
  </sheetPr>
  <dimension ref="A1:F186"/>
  <sheetViews>
    <sheetView topLeftCell="A159" workbookViewId="0">
      <selection activeCell="C176" sqref="C176"/>
    </sheetView>
  </sheetViews>
  <sheetFormatPr defaultColWidth="9.1796875" defaultRowHeight="12.5" x14ac:dyDescent="0.25"/>
  <cols>
    <col min="1" max="1" width="39" style="31" bestFit="1" customWidth="1"/>
    <col min="2" max="16384" width="9.1796875" style="31"/>
  </cols>
  <sheetData>
    <row r="1" spans="1:4" x14ac:dyDescent="0.25">
      <c r="B1" s="31" t="s">
        <v>184</v>
      </c>
      <c r="C1" s="31" t="s">
        <v>308</v>
      </c>
      <c r="D1" s="31" t="s">
        <v>389</v>
      </c>
    </row>
    <row r="2" spans="1:4" x14ac:dyDescent="0.25">
      <c r="A2" s="31" t="s">
        <v>390</v>
      </c>
    </row>
    <row r="3" spans="1:4" x14ac:dyDescent="0.25">
      <c r="A3" s="31" t="s">
        <v>391</v>
      </c>
      <c r="B3" s="32">
        <v>48</v>
      </c>
      <c r="C3" s="32"/>
      <c r="D3" s="32"/>
    </row>
    <row r="4" spans="1:4" x14ac:dyDescent="0.25">
      <c r="A4" s="31" t="s">
        <v>392</v>
      </c>
      <c r="B4" s="32">
        <v>48</v>
      </c>
      <c r="C4" s="32"/>
      <c r="D4" s="32">
        <v>0</v>
      </c>
    </row>
    <row r="5" spans="1:4" x14ac:dyDescent="0.25">
      <c r="A5" s="31" t="s">
        <v>393</v>
      </c>
      <c r="B5" s="32">
        <v>240</v>
      </c>
      <c r="C5" s="32"/>
      <c r="D5" s="32"/>
    </row>
    <row r="6" spans="1:4" x14ac:dyDescent="0.25">
      <c r="A6" s="31" t="s">
        <v>394</v>
      </c>
      <c r="B6" s="32">
        <v>86.4</v>
      </c>
      <c r="C6" s="32"/>
      <c r="D6" s="32">
        <v>0</v>
      </c>
    </row>
    <row r="7" spans="1:4" x14ac:dyDescent="0.25">
      <c r="A7" s="31" t="s">
        <v>395</v>
      </c>
      <c r="B7" s="32">
        <v>192</v>
      </c>
      <c r="C7" s="32"/>
      <c r="D7" s="32"/>
    </row>
    <row r="8" spans="1:4" x14ac:dyDescent="0.25">
      <c r="A8" s="31" t="s">
        <v>396</v>
      </c>
      <c r="B8" s="32">
        <v>192</v>
      </c>
      <c r="C8" s="32"/>
      <c r="D8" s="32"/>
    </row>
    <row r="10" spans="1:4" x14ac:dyDescent="0.25">
      <c r="A10" s="31" t="s">
        <v>397</v>
      </c>
      <c r="B10" s="32">
        <v>806.4</v>
      </c>
      <c r="C10" s="32">
        <v>0</v>
      </c>
      <c r="D10" s="32">
        <v>0</v>
      </c>
    </row>
    <row r="12" spans="1:4" x14ac:dyDescent="0.25">
      <c r="A12" s="31" t="s">
        <v>398</v>
      </c>
    </row>
    <row r="13" spans="1:4" x14ac:dyDescent="0.25">
      <c r="A13" s="31" t="s">
        <v>399</v>
      </c>
      <c r="B13" s="32">
        <v>96</v>
      </c>
    </row>
    <row r="14" spans="1:4" x14ac:dyDescent="0.25">
      <c r="A14" s="31" t="s">
        <v>400</v>
      </c>
      <c r="B14" s="32">
        <v>508.8</v>
      </c>
    </row>
    <row r="15" spans="1:4" x14ac:dyDescent="0.25">
      <c r="A15" s="31" t="s">
        <v>401</v>
      </c>
      <c r="B15" s="32">
        <v>192</v>
      </c>
    </row>
    <row r="16" spans="1:4" x14ac:dyDescent="0.25">
      <c r="A16" s="31" t="s">
        <v>402</v>
      </c>
      <c r="B16" s="32">
        <v>480</v>
      </c>
    </row>
    <row r="17" spans="1:4" x14ac:dyDescent="0.25">
      <c r="A17" s="31" t="s">
        <v>403</v>
      </c>
      <c r="B17" s="32">
        <v>144</v>
      </c>
      <c r="D17" s="32">
        <v>73.335999999999999</v>
      </c>
    </row>
    <row r="18" spans="1:4" x14ac:dyDescent="0.25">
      <c r="A18" s="31" t="s">
        <v>404</v>
      </c>
      <c r="B18" s="32">
        <v>288</v>
      </c>
      <c r="D18" s="32">
        <v>50</v>
      </c>
    </row>
    <row r="19" spans="1:4" x14ac:dyDescent="0.25">
      <c r="A19" s="31" t="s">
        <v>405</v>
      </c>
      <c r="B19" s="32">
        <v>1440</v>
      </c>
      <c r="D19" s="32">
        <v>20</v>
      </c>
    </row>
    <row r="20" spans="1:4" x14ac:dyDescent="0.25">
      <c r="A20" s="31" t="s">
        <v>406</v>
      </c>
      <c r="B20" s="32">
        <v>576</v>
      </c>
      <c r="D20" s="32"/>
    </row>
    <row r="21" spans="1:4" x14ac:dyDescent="0.25">
      <c r="A21" s="31" t="s">
        <v>407</v>
      </c>
      <c r="B21" s="32">
        <v>499.2</v>
      </c>
      <c r="D21" s="32">
        <v>200</v>
      </c>
    </row>
    <row r="23" spans="1:4" x14ac:dyDescent="0.25">
      <c r="A23" s="31" t="s">
        <v>397</v>
      </c>
      <c r="B23" s="32">
        <v>4224</v>
      </c>
      <c r="C23" s="32">
        <v>0</v>
      </c>
      <c r="D23" s="32">
        <v>343.33600000000001</v>
      </c>
    </row>
    <row r="25" spans="1:4" x14ac:dyDescent="0.25">
      <c r="A25" s="31" t="s">
        <v>408</v>
      </c>
    </row>
    <row r="26" spans="1:4" x14ac:dyDescent="0.25">
      <c r="A26" s="31" t="s">
        <v>409</v>
      </c>
      <c r="D26" s="32">
        <v>365</v>
      </c>
    </row>
    <row r="27" spans="1:4" x14ac:dyDescent="0.25">
      <c r="A27" s="31" t="s">
        <v>410</v>
      </c>
      <c r="D27" s="32">
        <v>0</v>
      </c>
    </row>
    <row r="28" spans="1:4" x14ac:dyDescent="0.25">
      <c r="A28" s="31" t="s">
        <v>411</v>
      </c>
      <c r="D28" s="32">
        <v>0</v>
      </c>
    </row>
    <row r="29" spans="1:4" x14ac:dyDescent="0.25">
      <c r="A29" s="31" t="s">
        <v>412</v>
      </c>
      <c r="D29" s="32">
        <v>0</v>
      </c>
    </row>
    <row r="31" spans="1:4" x14ac:dyDescent="0.25">
      <c r="A31" s="31" t="s">
        <v>413</v>
      </c>
      <c r="B31" s="32">
        <v>0</v>
      </c>
      <c r="C31" s="32">
        <v>0</v>
      </c>
      <c r="D31" s="32">
        <v>365</v>
      </c>
    </row>
    <row r="32" spans="1:4" x14ac:dyDescent="0.25">
      <c r="C32" s="32"/>
      <c r="D32" s="32"/>
    </row>
    <row r="33" spans="1:4" x14ac:dyDescent="0.25">
      <c r="A33" s="31" t="s">
        <v>414</v>
      </c>
    </row>
    <row r="34" spans="1:4" x14ac:dyDescent="0.25">
      <c r="A34" s="31" t="s">
        <v>415</v>
      </c>
      <c r="D34" s="32">
        <v>0</v>
      </c>
    </row>
    <row r="35" spans="1:4" x14ac:dyDescent="0.25">
      <c r="A35" s="31" t="s">
        <v>416</v>
      </c>
      <c r="D35" s="32">
        <v>20000</v>
      </c>
    </row>
    <row r="36" spans="1:4" x14ac:dyDescent="0.25">
      <c r="A36" s="31" t="s">
        <v>417</v>
      </c>
      <c r="D36" s="32">
        <v>0</v>
      </c>
    </row>
    <row r="37" spans="1:4" x14ac:dyDescent="0.25">
      <c r="A37" s="31" t="s">
        <v>418</v>
      </c>
      <c r="D37" s="32">
        <v>0</v>
      </c>
    </row>
    <row r="38" spans="1:4" x14ac:dyDescent="0.25">
      <c r="A38" s="31" t="s">
        <v>419</v>
      </c>
      <c r="D38" s="32">
        <v>6800</v>
      </c>
    </row>
    <row r="39" spans="1:4" x14ac:dyDescent="0.25">
      <c r="A39" s="31" t="s">
        <v>420</v>
      </c>
      <c r="D39" s="32">
        <v>2400</v>
      </c>
    </row>
    <row r="40" spans="1:4" x14ac:dyDescent="0.25">
      <c r="A40" s="31" t="s">
        <v>421</v>
      </c>
      <c r="D40" s="32">
        <v>0</v>
      </c>
    </row>
    <row r="41" spans="1:4" x14ac:dyDescent="0.25">
      <c r="A41" s="31" t="s">
        <v>422</v>
      </c>
      <c r="D41" s="32">
        <v>0</v>
      </c>
    </row>
    <row r="42" spans="1:4" x14ac:dyDescent="0.25">
      <c r="A42" s="31" t="s">
        <v>423</v>
      </c>
      <c r="D42" s="32"/>
    </row>
    <row r="43" spans="1:4" x14ac:dyDescent="0.25">
      <c r="A43" s="31" t="s">
        <v>424</v>
      </c>
      <c r="D43" s="32">
        <v>0</v>
      </c>
    </row>
    <row r="44" spans="1:4" x14ac:dyDescent="0.25">
      <c r="A44" s="31" t="s">
        <v>425</v>
      </c>
      <c r="D44" s="32">
        <v>1752</v>
      </c>
    </row>
    <row r="46" spans="1:4" x14ac:dyDescent="0.25">
      <c r="A46" s="31" t="s">
        <v>413</v>
      </c>
      <c r="B46" s="32"/>
      <c r="C46" s="32"/>
      <c r="D46" s="32">
        <v>30952</v>
      </c>
    </row>
    <row r="48" spans="1:4" x14ac:dyDescent="0.25">
      <c r="A48" s="31" t="s">
        <v>426</v>
      </c>
    </row>
    <row r="49" spans="1:4" x14ac:dyDescent="0.25">
      <c r="A49" s="31" t="s">
        <v>427</v>
      </c>
      <c r="B49" s="32">
        <v>460.8</v>
      </c>
      <c r="C49" s="32"/>
      <c r="D49" s="32">
        <v>0</v>
      </c>
    </row>
    <row r="50" spans="1:4" x14ac:dyDescent="0.25">
      <c r="A50" s="31" t="s">
        <v>428</v>
      </c>
      <c r="B50" s="32">
        <v>115.2</v>
      </c>
      <c r="C50" s="32"/>
      <c r="D50" s="32">
        <v>7250</v>
      </c>
    </row>
    <row r="51" spans="1:4" x14ac:dyDescent="0.25">
      <c r="A51" s="31" t="s">
        <v>429</v>
      </c>
      <c r="B51" s="32">
        <v>1843.2</v>
      </c>
      <c r="C51" s="32"/>
      <c r="D51" s="32">
        <v>4769.375</v>
      </c>
    </row>
    <row r="53" spans="1:4" x14ac:dyDescent="0.25">
      <c r="A53" s="31" t="s">
        <v>413</v>
      </c>
      <c r="B53" s="32">
        <v>2419.1999999999998</v>
      </c>
      <c r="C53" s="32">
        <v>0</v>
      </c>
      <c r="D53" s="32">
        <v>12019.375</v>
      </c>
    </row>
    <row r="55" spans="1:4" x14ac:dyDescent="0.25">
      <c r="A55" s="31" t="s">
        <v>430</v>
      </c>
    </row>
    <row r="56" spans="1:4" x14ac:dyDescent="0.25">
      <c r="A56" s="31" t="s">
        <v>431</v>
      </c>
      <c r="B56" s="32">
        <v>768</v>
      </c>
      <c r="C56" s="32"/>
      <c r="D56" s="32">
        <v>50</v>
      </c>
    </row>
    <row r="57" spans="1:4" x14ac:dyDescent="0.25">
      <c r="A57" s="31" t="s">
        <v>432</v>
      </c>
      <c r="B57" s="32">
        <v>630.72</v>
      </c>
      <c r="C57" s="32">
        <v>369.495</v>
      </c>
      <c r="D57" s="32">
        <v>292.5</v>
      </c>
    </row>
    <row r="58" spans="1:4" x14ac:dyDescent="0.25">
      <c r="A58" s="31" t="s">
        <v>433</v>
      </c>
      <c r="B58" s="32">
        <v>90</v>
      </c>
      <c r="C58" s="32"/>
      <c r="D58" s="32">
        <v>0</v>
      </c>
    </row>
    <row r="59" spans="1:4" x14ac:dyDescent="0.25">
      <c r="A59" s="31" t="s">
        <v>434</v>
      </c>
      <c r="B59" s="32">
        <v>2073.6</v>
      </c>
      <c r="C59" s="32">
        <v>24697.399999999998</v>
      </c>
      <c r="D59" s="32">
        <v>350</v>
      </c>
    </row>
    <row r="60" spans="1:4" x14ac:dyDescent="0.25">
      <c r="A60" s="31" t="s">
        <v>435</v>
      </c>
      <c r="B60" s="32"/>
      <c r="C60" s="32">
        <v>1402.9999999999998</v>
      </c>
      <c r="D60" s="32"/>
    </row>
    <row r="61" spans="1:4" x14ac:dyDescent="0.25">
      <c r="A61" s="31" t="s">
        <v>436</v>
      </c>
      <c r="B61" s="32">
        <v>76.8</v>
      </c>
      <c r="C61" s="32"/>
      <c r="D61" s="32"/>
    </row>
    <row r="62" spans="1:4" x14ac:dyDescent="0.25">
      <c r="A62" s="31" t="s">
        <v>437</v>
      </c>
    </row>
    <row r="63" spans="1:4" x14ac:dyDescent="0.25">
      <c r="A63" s="31" t="s">
        <v>413</v>
      </c>
      <c r="B63" s="32">
        <v>3639.12</v>
      </c>
      <c r="C63" s="32">
        <v>26469.894999999997</v>
      </c>
      <c r="D63" s="32">
        <v>692.5</v>
      </c>
    </row>
    <row r="65" spans="1:4" x14ac:dyDescent="0.25">
      <c r="A65" s="31" t="s">
        <v>438</v>
      </c>
    </row>
    <row r="66" spans="1:4" x14ac:dyDescent="0.25">
      <c r="A66" s="31" t="s">
        <v>439</v>
      </c>
      <c r="B66" s="32">
        <v>76.8</v>
      </c>
      <c r="C66" s="32"/>
      <c r="D66" s="32"/>
    </row>
    <row r="67" spans="1:4" x14ac:dyDescent="0.25">
      <c r="A67" s="31" t="s">
        <v>440</v>
      </c>
      <c r="B67" s="32">
        <v>614.40000000000009</v>
      </c>
      <c r="C67" s="32"/>
      <c r="D67" s="32">
        <v>50</v>
      </c>
    </row>
    <row r="68" spans="1:4" x14ac:dyDescent="0.25">
      <c r="A68" s="31" t="s">
        <v>441</v>
      </c>
      <c r="B68" s="32">
        <v>575.23199999999997</v>
      </c>
      <c r="C68" s="32">
        <v>2697.279</v>
      </c>
      <c r="D68" s="32">
        <v>290</v>
      </c>
    </row>
    <row r="69" spans="1:4" x14ac:dyDescent="0.25">
      <c r="A69" s="31" t="s">
        <v>442</v>
      </c>
      <c r="B69" s="32">
        <v>0</v>
      </c>
      <c r="C69" s="32">
        <v>4715</v>
      </c>
      <c r="D69" s="32"/>
    </row>
    <row r="70" spans="1:4" x14ac:dyDescent="0.25">
      <c r="A70" s="31" t="s">
        <v>443</v>
      </c>
      <c r="B70" s="32">
        <v>153.6</v>
      </c>
      <c r="C70" s="32"/>
      <c r="D70" s="32"/>
    </row>
    <row r="71" spans="1:4" x14ac:dyDescent="0.25">
      <c r="A71" s="31" t="s">
        <v>444</v>
      </c>
      <c r="B71" s="32">
        <v>0</v>
      </c>
      <c r="C71" s="32">
        <v>580.75</v>
      </c>
      <c r="D71" s="32"/>
    </row>
    <row r="72" spans="1:4" x14ac:dyDescent="0.25">
      <c r="A72" s="31" t="s">
        <v>445</v>
      </c>
      <c r="B72" s="32">
        <v>130.56</v>
      </c>
      <c r="C72" s="32"/>
      <c r="D72" s="32"/>
    </row>
    <row r="73" spans="1:4" x14ac:dyDescent="0.25">
      <c r="A73" s="31" t="s">
        <v>446</v>
      </c>
      <c r="B73" s="32">
        <v>754.94400000000007</v>
      </c>
      <c r="C73" s="32">
        <v>2451.0639999999999</v>
      </c>
      <c r="D73" s="32">
        <v>352</v>
      </c>
    </row>
    <row r="75" spans="1:4" x14ac:dyDescent="0.25">
      <c r="A75" s="31" t="s">
        <v>413</v>
      </c>
      <c r="B75" s="32">
        <v>2305.5360000000001</v>
      </c>
      <c r="C75" s="32">
        <v>10444.093000000001</v>
      </c>
      <c r="D75" s="32">
        <v>692</v>
      </c>
    </row>
    <row r="77" spans="1:4" x14ac:dyDescent="0.25">
      <c r="A77" s="31" t="s">
        <v>447</v>
      </c>
      <c r="B77" s="32">
        <v>13394.255999999999</v>
      </c>
      <c r="C77" s="32">
        <v>36913.987999999998</v>
      </c>
      <c r="D77" s="32">
        <v>45064.210999999996</v>
      </c>
    </row>
    <row r="79" spans="1:4" x14ac:dyDescent="0.25">
      <c r="A79" s="31" t="s">
        <v>448</v>
      </c>
      <c r="D79" s="32">
        <v>95372.454999999987</v>
      </c>
    </row>
    <row r="83" spans="1:4" x14ac:dyDescent="0.25">
      <c r="A83" s="31" t="s">
        <v>449</v>
      </c>
    </row>
    <row r="84" spans="1:4" x14ac:dyDescent="0.25">
      <c r="A84" s="31" t="s">
        <v>450</v>
      </c>
      <c r="B84" s="32">
        <v>460.80000000000007</v>
      </c>
      <c r="C84" s="32"/>
      <c r="D84" s="32"/>
    </row>
    <row r="85" spans="1:4" x14ac:dyDescent="0.25">
      <c r="A85" s="31" t="s">
        <v>451</v>
      </c>
      <c r="B85" s="32">
        <v>0</v>
      </c>
      <c r="C85" s="32"/>
    </row>
    <row r="86" spans="1:4" x14ac:dyDescent="0.25">
      <c r="A86" s="31" t="s">
        <v>452</v>
      </c>
      <c r="B86" s="32">
        <v>0</v>
      </c>
      <c r="C86" s="32"/>
      <c r="D86" s="32"/>
    </row>
    <row r="87" spans="1:4" x14ac:dyDescent="0.25">
      <c r="A87" s="31" t="s">
        <v>453</v>
      </c>
      <c r="B87" s="32">
        <v>0</v>
      </c>
      <c r="C87" s="32"/>
      <c r="D87" s="32"/>
    </row>
    <row r="88" spans="1:4" x14ac:dyDescent="0.25">
      <c r="A88" s="31" t="s">
        <v>454</v>
      </c>
      <c r="B88" s="32">
        <v>0</v>
      </c>
      <c r="C88" s="32"/>
      <c r="D88" s="32"/>
    </row>
    <row r="89" spans="1:4" x14ac:dyDescent="0.25">
      <c r="A89" s="31" t="s">
        <v>455</v>
      </c>
      <c r="B89" s="32">
        <v>0</v>
      </c>
      <c r="C89" s="32"/>
    </row>
    <row r="90" spans="1:4" x14ac:dyDescent="0.25">
      <c r="A90" s="31" t="s">
        <v>456</v>
      </c>
      <c r="B90" s="32">
        <v>576</v>
      </c>
      <c r="C90" s="32"/>
      <c r="D90" s="32">
        <v>0</v>
      </c>
    </row>
    <row r="91" spans="1:4" x14ac:dyDescent="0.25">
      <c r="A91" s="31" t="s">
        <v>457</v>
      </c>
      <c r="B91" s="32"/>
      <c r="C91" s="32"/>
      <c r="D91" s="32">
        <v>0</v>
      </c>
    </row>
    <row r="93" spans="1:4" x14ac:dyDescent="0.25">
      <c r="A93" s="31" t="s">
        <v>413</v>
      </c>
      <c r="B93" s="32">
        <v>1036.8000000000002</v>
      </c>
      <c r="C93" s="32">
        <v>0</v>
      </c>
      <c r="D93" s="32">
        <v>0</v>
      </c>
    </row>
    <row r="95" spans="1:4" x14ac:dyDescent="0.25">
      <c r="A95" s="31" t="s">
        <v>458</v>
      </c>
    </row>
    <row r="96" spans="1:4" x14ac:dyDescent="0.25">
      <c r="A96" s="31" t="s">
        <v>459</v>
      </c>
      <c r="B96" s="32">
        <v>0</v>
      </c>
      <c r="C96" s="32"/>
      <c r="D96" s="32"/>
    </row>
    <row r="97" spans="1:4" x14ac:dyDescent="0.25">
      <c r="A97" s="31" t="s">
        <v>460</v>
      </c>
      <c r="B97" s="32">
        <v>0</v>
      </c>
      <c r="C97" s="32"/>
      <c r="D97" s="32"/>
    </row>
    <row r="98" spans="1:4" x14ac:dyDescent="0.25">
      <c r="A98" s="31" t="s">
        <v>461</v>
      </c>
      <c r="B98" s="32">
        <v>0</v>
      </c>
      <c r="C98" s="32"/>
      <c r="D98" s="32"/>
    </row>
    <row r="99" spans="1:4" x14ac:dyDescent="0.25">
      <c r="A99" s="31" t="s">
        <v>462</v>
      </c>
      <c r="B99" s="32">
        <v>0</v>
      </c>
      <c r="C99" s="32">
        <v>0</v>
      </c>
      <c r="D99" s="32"/>
    </row>
    <row r="100" spans="1:4" x14ac:dyDescent="0.25">
      <c r="A100" s="31" t="s">
        <v>463</v>
      </c>
      <c r="B100" s="32">
        <v>0</v>
      </c>
      <c r="C100" s="32">
        <v>0</v>
      </c>
      <c r="D100" s="32"/>
    </row>
    <row r="101" spans="1:4" x14ac:dyDescent="0.25">
      <c r="A101" s="31" t="s">
        <v>464</v>
      </c>
      <c r="B101" s="32">
        <v>0</v>
      </c>
      <c r="C101" s="32">
        <v>0</v>
      </c>
      <c r="D101" s="32"/>
    </row>
    <row r="102" spans="1:4" x14ac:dyDescent="0.25">
      <c r="A102" s="31" t="s">
        <v>465</v>
      </c>
      <c r="B102" s="32"/>
      <c r="C102" s="32">
        <v>0</v>
      </c>
      <c r="D102" s="32"/>
    </row>
    <row r="103" spans="1:4" x14ac:dyDescent="0.25">
      <c r="A103" s="31" t="s">
        <v>466</v>
      </c>
      <c r="B103" s="32">
        <v>0</v>
      </c>
      <c r="C103" s="32"/>
      <c r="D103" s="32"/>
    </row>
    <row r="105" spans="1:4" x14ac:dyDescent="0.25">
      <c r="A105" s="31" t="s">
        <v>413</v>
      </c>
      <c r="B105" s="32">
        <v>0</v>
      </c>
      <c r="C105" s="32">
        <v>0</v>
      </c>
      <c r="D105" s="32">
        <v>0</v>
      </c>
    </row>
    <row r="107" spans="1:4" x14ac:dyDescent="0.25">
      <c r="A107" s="31" t="s">
        <v>467</v>
      </c>
    </row>
    <row r="108" spans="1:4" x14ac:dyDescent="0.25">
      <c r="A108" s="31" t="s">
        <v>459</v>
      </c>
      <c r="B108" s="32">
        <v>175.61088000000001</v>
      </c>
      <c r="C108" s="32"/>
      <c r="D108" s="32"/>
    </row>
    <row r="109" spans="1:4" x14ac:dyDescent="0.25">
      <c r="A109" s="31" t="s">
        <v>460</v>
      </c>
      <c r="B109" s="32">
        <v>36.585599999999999</v>
      </c>
      <c r="C109" s="32"/>
      <c r="D109" s="32"/>
    </row>
    <row r="110" spans="1:4" x14ac:dyDescent="0.25">
      <c r="A110" s="31" t="s">
        <v>468</v>
      </c>
      <c r="B110" s="32">
        <v>18.2928</v>
      </c>
      <c r="C110" s="32"/>
      <c r="D110" s="32"/>
    </row>
    <row r="111" spans="1:4" x14ac:dyDescent="0.25">
      <c r="A111" s="31" t="s">
        <v>469</v>
      </c>
      <c r="B111" s="32">
        <v>109.7568</v>
      </c>
      <c r="C111" s="32">
        <v>5090.0097099999994</v>
      </c>
      <c r="D111" s="32"/>
    </row>
    <row r="112" spans="1:4" x14ac:dyDescent="0.25">
      <c r="A112" s="31" t="s">
        <v>470</v>
      </c>
      <c r="B112" s="32">
        <v>11.796480000000001</v>
      </c>
      <c r="C112" s="32">
        <v>89.026559999999989</v>
      </c>
      <c r="D112" s="32"/>
    </row>
    <row r="113" spans="1:4" x14ac:dyDescent="0.25">
      <c r="A113" s="31" t="s">
        <v>471</v>
      </c>
      <c r="B113" s="32"/>
      <c r="C113" s="32">
        <v>512.77004999999986</v>
      </c>
      <c r="D113" s="32">
        <v>19.055</v>
      </c>
    </row>
    <row r="114" spans="1:4" x14ac:dyDescent="0.25">
      <c r="A114" s="31" t="s">
        <v>472</v>
      </c>
      <c r="B114" s="32">
        <v>36.585599999999999</v>
      </c>
      <c r="C114" s="32"/>
      <c r="D114" s="32"/>
    </row>
    <row r="116" spans="1:4" x14ac:dyDescent="0.25">
      <c r="A116" s="31" t="s">
        <v>413</v>
      </c>
      <c r="B116" s="32">
        <v>388.62815999999998</v>
      </c>
      <c r="C116" s="32">
        <v>5691.8063199999997</v>
      </c>
      <c r="D116" s="32">
        <v>19.055</v>
      </c>
    </row>
    <row r="117" spans="1:4" x14ac:dyDescent="0.25">
      <c r="B117" s="32"/>
      <c r="C117" s="32"/>
      <c r="D117" s="32"/>
    </row>
    <row r="118" spans="1:4" x14ac:dyDescent="0.25">
      <c r="A118" s="31" t="s">
        <v>473</v>
      </c>
      <c r="B118" s="32"/>
      <c r="C118" s="32"/>
      <c r="D118" s="32"/>
    </row>
    <row r="119" spans="1:4" x14ac:dyDescent="0.25">
      <c r="A119" s="31" t="s">
        <v>459</v>
      </c>
      <c r="B119" s="32">
        <v>460.8</v>
      </c>
      <c r="C119" s="32"/>
      <c r="D119" s="32"/>
    </row>
    <row r="120" spans="1:4" x14ac:dyDescent="0.25">
      <c r="A120" s="31" t="s">
        <v>460</v>
      </c>
      <c r="B120" s="32">
        <v>96</v>
      </c>
      <c r="C120" s="32"/>
      <c r="D120" s="32"/>
    </row>
    <row r="121" spans="1:4" x14ac:dyDescent="0.25">
      <c r="A121" s="31" t="s">
        <v>468</v>
      </c>
      <c r="B121" s="32">
        <v>48</v>
      </c>
      <c r="C121" s="32"/>
      <c r="D121" s="32"/>
    </row>
    <row r="122" spans="1:4" x14ac:dyDescent="0.25">
      <c r="A122" s="31" t="s">
        <v>474</v>
      </c>
      <c r="B122" s="32">
        <v>115.2</v>
      </c>
      <c r="C122" s="32">
        <v>8484.6999999999989</v>
      </c>
      <c r="D122" s="32"/>
    </row>
    <row r="123" spans="1:4" x14ac:dyDescent="0.25">
      <c r="A123" s="31" t="s">
        <v>471</v>
      </c>
      <c r="B123" s="32"/>
      <c r="C123" s="32">
        <v>1345.4999999999998</v>
      </c>
      <c r="D123" s="32">
        <v>50</v>
      </c>
    </row>
    <row r="124" spans="1:4" x14ac:dyDescent="0.25">
      <c r="A124" s="31" t="s">
        <v>472</v>
      </c>
      <c r="B124" s="32">
        <v>96</v>
      </c>
      <c r="C124" s="32"/>
      <c r="D124" s="32"/>
    </row>
    <row r="125" spans="1:4" x14ac:dyDescent="0.25">
      <c r="B125" s="32"/>
      <c r="C125" s="32"/>
      <c r="D125" s="32"/>
    </row>
    <row r="126" spans="1:4" x14ac:dyDescent="0.25">
      <c r="A126" s="31" t="s">
        <v>413</v>
      </c>
      <c r="B126" s="32">
        <v>816</v>
      </c>
      <c r="C126" s="32">
        <v>9830.1999999999989</v>
      </c>
      <c r="D126" s="32">
        <v>50</v>
      </c>
    </row>
    <row r="128" spans="1:4" x14ac:dyDescent="0.25">
      <c r="A128" s="31" t="s">
        <v>475</v>
      </c>
    </row>
    <row r="129" spans="1:4" x14ac:dyDescent="0.25">
      <c r="A129" s="31" t="s">
        <v>461</v>
      </c>
      <c r="B129" s="32">
        <v>144</v>
      </c>
      <c r="C129" s="32"/>
      <c r="D129" s="32"/>
    </row>
    <row r="130" spans="1:4" x14ac:dyDescent="0.25">
      <c r="A130" s="31" t="s">
        <v>476</v>
      </c>
      <c r="B130" s="32">
        <v>86.4</v>
      </c>
      <c r="C130" s="32"/>
      <c r="D130" s="32">
        <v>600</v>
      </c>
    </row>
    <row r="131" spans="1:4" x14ac:dyDescent="0.25">
      <c r="A131" s="31" t="s">
        <v>463</v>
      </c>
      <c r="B131" s="32">
        <v>32.927040000000005</v>
      </c>
      <c r="C131" s="32"/>
      <c r="D131" s="32"/>
    </row>
    <row r="132" spans="1:4" x14ac:dyDescent="0.25">
      <c r="A132" s="31" t="s">
        <v>464</v>
      </c>
      <c r="B132" s="32">
        <v>5.4878400000000003</v>
      </c>
      <c r="C132" s="32"/>
      <c r="D132" s="32">
        <v>0</v>
      </c>
    </row>
    <row r="133" spans="1:4" x14ac:dyDescent="0.25">
      <c r="A133" s="31" t="s">
        <v>477</v>
      </c>
      <c r="B133" s="32">
        <v>316.79999999999995</v>
      </c>
      <c r="C133" s="32"/>
      <c r="D133" s="32">
        <v>20</v>
      </c>
    </row>
    <row r="135" spans="1:4" x14ac:dyDescent="0.25">
      <c r="A135" s="31" t="s">
        <v>413</v>
      </c>
      <c r="B135" s="32">
        <v>585.61487999999997</v>
      </c>
      <c r="C135" s="32">
        <v>0</v>
      </c>
      <c r="D135" s="32">
        <v>620</v>
      </c>
    </row>
    <row r="137" spans="1:4" x14ac:dyDescent="0.25">
      <c r="A137" s="31" t="s">
        <v>478</v>
      </c>
    </row>
    <row r="138" spans="1:4" x14ac:dyDescent="0.25">
      <c r="A138" s="31" t="s">
        <v>479</v>
      </c>
      <c r="B138" s="32">
        <v>4608</v>
      </c>
      <c r="C138" s="32"/>
      <c r="D138" s="32"/>
    </row>
    <row r="139" spans="1:4" x14ac:dyDescent="0.25">
      <c r="A139" s="31" t="s">
        <v>480</v>
      </c>
      <c r="B139" s="32">
        <v>489.6</v>
      </c>
      <c r="C139" s="32"/>
      <c r="D139" s="32"/>
    </row>
    <row r="140" spans="1:4" x14ac:dyDescent="0.25">
      <c r="A140" s="31" t="s">
        <v>481</v>
      </c>
      <c r="B140" s="32">
        <v>350.4</v>
      </c>
      <c r="C140" s="32"/>
      <c r="D140" s="32">
        <v>40</v>
      </c>
    </row>
    <row r="142" spans="1:4" x14ac:dyDescent="0.25">
      <c r="A142" s="31" t="s">
        <v>413</v>
      </c>
      <c r="B142" s="32">
        <v>5448</v>
      </c>
      <c r="C142" s="32">
        <v>0</v>
      </c>
      <c r="D142" s="32">
        <v>40</v>
      </c>
    </row>
    <row r="144" spans="1:4" x14ac:dyDescent="0.25">
      <c r="A144" s="31" t="s">
        <v>482</v>
      </c>
    </row>
    <row r="145" spans="1:6" x14ac:dyDescent="0.25">
      <c r="A145" s="31" t="s">
        <v>483</v>
      </c>
      <c r="B145" s="32">
        <v>662.4</v>
      </c>
      <c r="C145" s="32"/>
      <c r="D145" s="32">
        <v>230</v>
      </c>
    </row>
    <row r="146" spans="1:6" x14ac:dyDescent="0.25">
      <c r="A146" s="31" t="s">
        <v>484</v>
      </c>
      <c r="B146" s="32">
        <v>240</v>
      </c>
      <c r="C146" s="32"/>
      <c r="D146" s="32">
        <v>50</v>
      </c>
    </row>
    <row r="147" spans="1:6" x14ac:dyDescent="0.25">
      <c r="A147" s="31" t="s">
        <v>485</v>
      </c>
      <c r="B147" s="32">
        <v>115.2</v>
      </c>
      <c r="C147" s="32"/>
      <c r="D147" s="32">
        <v>1000</v>
      </c>
    </row>
    <row r="148" spans="1:6" x14ac:dyDescent="0.25">
      <c r="A148" s="31" t="s">
        <v>486</v>
      </c>
      <c r="B148" s="32">
        <v>391.67999999999995</v>
      </c>
      <c r="C148" s="32"/>
      <c r="D148" s="32"/>
    </row>
    <row r="149" spans="1:6" x14ac:dyDescent="0.25">
      <c r="B149" s="32"/>
      <c r="C149" s="32"/>
      <c r="D149" s="32"/>
    </row>
    <row r="150" spans="1:6" x14ac:dyDescent="0.25">
      <c r="A150" s="31" t="s">
        <v>413</v>
      </c>
      <c r="B150" s="32">
        <v>1409.28</v>
      </c>
      <c r="C150" s="32">
        <v>0</v>
      </c>
      <c r="D150" s="32">
        <v>1280</v>
      </c>
    </row>
    <row r="151" spans="1:6" x14ac:dyDescent="0.25">
      <c r="B151" s="32"/>
      <c r="C151" s="32"/>
      <c r="D151" s="32"/>
    </row>
    <row r="152" spans="1:6" x14ac:dyDescent="0.25">
      <c r="A152" s="31" t="s">
        <v>487</v>
      </c>
      <c r="B152" s="32">
        <v>1907.3420543999998</v>
      </c>
      <c r="C152" s="32">
        <v>5256.5518911999998</v>
      </c>
      <c r="D152" s="32">
        <v>6417.1436463999989</v>
      </c>
    </row>
    <row r="154" spans="1:6" x14ac:dyDescent="0.25">
      <c r="A154" s="31" t="s">
        <v>488</v>
      </c>
      <c r="B154" s="32">
        <v>11591.665094400001</v>
      </c>
      <c r="C154" s="32">
        <v>20778.558211199997</v>
      </c>
      <c r="D154" s="32">
        <v>8426.1986463999983</v>
      </c>
    </row>
    <row r="156" spans="1:6" x14ac:dyDescent="0.25">
      <c r="A156" s="31" t="s">
        <v>489</v>
      </c>
      <c r="C156" s="32"/>
      <c r="D156" s="32">
        <v>40796.421951999997</v>
      </c>
      <c r="F156" s="32"/>
    </row>
    <row r="161" spans="1:5" x14ac:dyDescent="0.25">
      <c r="A161" s="31" t="s">
        <v>490</v>
      </c>
    </row>
    <row r="163" spans="1:5" x14ac:dyDescent="0.25">
      <c r="A163" s="31" t="s">
        <v>307</v>
      </c>
      <c r="B163" s="31" t="s">
        <v>184</v>
      </c>
      <c r="C163" s="31" t="s">
        <v>308</v>
      </c>
      <c r="D163" s="31" t="s">
        <v>309</v>
      </c>
      <c r="E163" s="31" t="s">
        <v>45</v>
      </c>
    </row>
    <row r="164" spans="1:5" x14ac:dyDescent="0.25">
      <c r="A164" s="31" t="s">
        <v>310</v>
      </c>
      <c r="B164" s="32">
        <v>806.4</v>
      </c>
      <c r="C164" s="32">
        <v>0</v>
      </c>
      <c r="D164" s="32">
        <v>0</v>
      </c>
      <c r="E164" s="32">
        <v>806.4</v>
      </c>
    </row>
    <row r="165" spans="1:5" x14ac:dyDescent="0.25">
      <c r="A165" s="31" t="s">
        <v>311</v>
      </c>
      <c r="B165" s="32">
        <v>4224</v>
      </c>
      <c r="C165" s="32">
        <v>0</v>
      </c>
      <c r="D165" s="32">
        <v>343.33600000000001</v>
      </c>
      <c r="E165" s="32">
        <v>4567.3360000000002</v>
      </c>
    </row>
    <row r="166" spans="1:5" x14ac:dyDescent="0.25">
      <c r="A166" s="31" t="s">
        <v>312</v>
      </c>
      <c r="B166" s="32">
        <v>0</v>
      </c>
      <c r="C166" s="32">
        <v>0</v>
      </c>
      <c r="D166" s="32">
        <v>365</v>
      </c>
      <c r="E166" s="32">
        <v>365</v>
      </c>
    </row>
    <row r="167" spans="1:5" x14ac:dyDescent="0.25">
      <c r="A167" s="31" t="s">
        <v>313</v>
      </c>
      <c r="B167" s="32">
        <v>0</v>
      </c>
      <c r="C167" s="32">
        <v>0</v>
      </c>
      <c r="D167" s="32">
        <v>30952</v>
      </c>
      <c r="E167" s="32">
        <v>30952</v>
      </c>
    </row>
    <row r="168" spans="1:5" x14ac:dyDescent="0.25">
      <c r="A168" s="31" t="s">
        <v>314</v>
      </c>
      <c r="B168" s="32">
        <v>2419.1999999999998</v>
      </c>
      <c r="C168" s="32">
        <v>0</v>
      </c>
      <c r="D168" s="32">
        <v>12019.375</v>
      </c>
      <c r="E168" s="32">
        <v>14438.575000000001</v>
      </c>
    </row>
    <row r="169" spans="1:5" x14ac:dyDescent="0.25">
      <c r="A169" s="31" t="s">
        <v>315</v>
      </c>
      <c r="B169" s="32">
        <v>3639.12</v>
      </c>
      <c r="C169" s="32">
        <v>26469.894999999997</v>
      </c>
      <c r="D169" s="32">
        <v>692.5</v>
      </c>
      <c r="E169" s="32">
        <v>30801.514999999996</v>
      </c>
    </row>
    <row r="170" spans="1:5" x14ac:dyDescent="0.25">
      <c r="A170" s="31" t="s">
        <v>316</v>
      </c>
      <c r="B170" s="32">
        <v>2305.5360000000001</v>
      </c>
      <c r="C170" s="32">
        <v>10444.093000000001</v>
      </c>
      <c r="D170" s="32">
        <v>692</v>
      </c>
      <c r="E170" s="32">
        <v>13441.629000000001</v>
      </c>
    </row>
    <row r="171" spans="1:5" x14ac:dyDescent="0.25">
      <c r="B171" s="32">
        <v>13394.255999999999</v>
      </c>
      <c r="C171" s="32">
        <v>36913.987999999998</v>
      </c>
      <c r="D171" s="32">
        <v>45064.210999999996</v>
      </c>
      <c r="E171" s="32">
        <v>95372.454999999987</v>
      </c>
    </row>
    <row r="173" spans="1:5" x14ac:dyDescent="0.25">
      <c r="A173" s="31" t="s">
        <v>317</v>
      </c>
    </row>
    <row r="174" spans="1:5" x14ac:dyDescent="0.25">
      <c r="A174" s="31" t="s">
        <v>318</v>
      </c>
      <c r="B174" s="32">
        <v>1036.8000000000002</v>
      </c>
      <c r="C174" s="32">
        <v>0</v>
      </c>
      <c r="D174" s="32">
        <v>0</v>
      </c>
      <c r="E174" s="32">
        <v>1036.8000000000002</v>
      </c>
    </row>
    <row r="175" spans="1:5" x14ac:dyDescent="0.25">
      <c r="A175" s="31" t="s">
        <v>319</v>
      </c>
      <c r="B175" s="32">
        <v>0</v>
      </c>
      <c r="C175" s="32">
        <v>0</v>
      </c>
      <c r="D175" s="32">
        <v>0</v>
      </c>
      <c r="E175" s="32">
        <v>0</v>
      </c>
    </row>
    <row r="176" spans="1:5" x14ac:dyDescent="0.25">
      <c r="A176" s="31" t="s">
        <v>320</v>
      </c>
      <c r="B176" s="32">
        <v>388.62815999999998</v>
      </c>
      <c r="C176" s="32">
        <v>5691.8063199999997</v>
      </c>
      <c r="D176" s="32">
        <v>19.055</v>
      </c>
      <c r="E176" s="32">
        <v>6099.4894800000002</v>
      </c>
    </row>
    <row r="177" spans="1:5" x14ac:dyDescent="0.25">
      <c r="A177" s="31" t="s">
        <v>321</v>
      </c>
      <c r="B177" s="32">
        <v>816</v>
      </c>
      <c r="C177" s="32">
        <v>9830.1999999999989</v>
      </c>
      <c r="D177" s="32">
        <v>50</v>
      </c>
      <c r="E177" s="32">
        <v>10696.199999999999</v>
      </c>
    </row>
    <row r="178" spans="1:5" x14ac:dyDescent="0.25">
      <c r="A178" s="31" t="s">
        <v>322</v>
      </c>
      <c r="B178" s="32">
        <v>585.61487999999997</v>
      </c>
      <c r="C178" s="32">
        <v>0</v>
      </c>
      <c r="D178" s="32">
        <v>620</v>
      </c>
      <c r="E178" s="32">
        <v>1205.6148800000001</v>
      </c>
    </row>
    <row r="179" spans="1:5" x14ac:dyDescent="0.25">
      <c r="A179" s="31" t="s">
        <v>323</v>
      </c>
      <c r="B179" s="32">
        <v>5448</v>
      </c>
      <c r="C179" s="32">
        <v>0</v>
      </c>
      <c r="D179" s="32">
        <v>40</v>
      </c>
      <c r="E179" s="32">
        <v>5488</v>
      </c>
    </row>
    <row r="180" spans="1:5" x14ac:dyDescent="0.25">
      <c r="A180" s="31" t="s">
        <v>324</v>
      </c>
      <c r="B180" s="32">
        <v>1409.28</v>
      </c>
      <c r="C180" s="32">
        <v>0</v>
      </c>
      <c r="D180" s="32">
        <v>1280</v>
      </c>
      <c r="E180" s="32">
        <v>2689.2799999999997</v>
      </c>
    </row>
    <row r="181" spans="1:5" x14ac:dyDescent="0.25">
      <c r="A181" s="31" t="s">
        <v>325</v>
      </c>
      <c r="B181" s="32">
        <v>1907.3420543999998</v>
      </c>
      <c r="C181" s="32">
        <v>5256.5518911999998</v>
      </c>
      <c r="D181" s="32">
        <v>6417.1436463999989</v>
      </c>
      <c r="E181" s="32">
        <v>13581.037591999999</v>
      </c>
    </row>
    <row r="183" spans="1:5" x14ac:dyDescent="0.25">
      <c r="A183" s="31" t="s">
        <v>326</v>
      </c>
      <c r="B183" s="32">
        <v>9684.3230400000011</v>
      </c>
      <c r="C183" s="32">
        <v>15522.006319999999</v>
      </c>
      <c r="D183" s="32">
        <v>2009.0550000000001</v>
      </c>
      <c r="E183" s="32">
        <v>27215.38436</v>
      </c>
    </row>
    <row r="184" spans="1:5" x14ac:dyDescent="0.25">
      <c r="A184" s="31" t="s">
        <v>327</v>
      </c>
      <c r="B184" s="32">
        <v>11591.665094400001</v>
      </c>
      <c r="C184" s="32">
        <v>20778.558211199997</v>
      </c>
      <c r="D184" s="32">
        <v>8426.1986463999983</v>
      </c>
      <c r="E184" s="32">
        <v>40796.421951999997</v>
      </c>
    </row>
    <row r="186" spans="1:5" x14ac:dyDescent="0.25">
      <c r="C186" s="32"/>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F184"/>
  <sheetViews>
    <sheetView topLeftCell="A169" zoomScaleNormal="100" workbookViewId="0">
      <selection activeCell="I65" sqref="I65"/>
    </sheetView>
  </sheetViews>
  <sheetFormatPr defaultColWidth="9.1796875" defaultRowHeight="12.5" x14ac:dyDescent="0.25"/>
  <cols>
    <col min="1" max="1" width="39" style="31" bestFit="1" customWidth="1"/>
    <col min="2" max="2" width="6.54296875" style="31" customWidth="1"/>
    <col min="3" max="3" width="6.54296875" style="31" bestFit="1" customWidth="1"/>
    <col min="4" max="5" width="7.54296875" style="31" bestFit="1" customWidth="1"/>
    <col min="6" max="16384" width="9.1796875" style="31"/>
  </cols>
  <sheetData>
    <row r="1" spans="1:4" x14ac:dyDescent="0.25">
      <c r="B1" s="31" t="s">
        <v>184</v>
      </c>
      <c r="C1" s="31" t="s">
        <v>308</v>
      </c>
      <c r="D1" s="31" t="s">
        <v>389</v>
      </c>
    </row>
    <row r="2" spans="1:4" x14ac:dyDescent="0.25">
      <c r="A2" s="31" t="s">
        <v>390</v>
      </c>
    </row>
    <row r="3" spans="1:4" x14ac:dyDescent="0.25">
      <c r="A3" s="31" t="s">
        <v>391</v>
      </c>
      <c r="B3" s="32">
        <v>48</v>
      </c>
      <c r="C3" s="32"/>
      <c r="D3" s="32"/>
    </row>
    <row r="4" spans="1:4" x14ac:dyDescent="0.25">
      <c r="A4" s="31" t="s">
        <v>392</v>
      </c>
      <c r="B4" s="32">
        <v>48</v>
      </c>
      <c r="C4" s="32"/>
      <c r="D4" s="32">
        <v>0</v>
      </c>
    </row>
    <row r="5" spans="1:4" x14ac:dyDescent="0.25">
      <c r="A5" s="31" t="s">
        <v>393</v>
      </c>
      <c r="B5" s="32">
        <v>240</v>
      </c>
      <c r="C5" s="32"/>
      <c r="D5" s="32"/>
    </row>
    <row r="6" spans="1:4" x14ac:dyDescent="0.25">
      <c r="A6" s="31" t="s">
        <v>394</v>
      </c>
      <c r="B6" s="32">
        <v>86.4</v>
      </c>
      <c r="C6" s="32"/>
      <c r="D6" s="32">
        <v>0</v>
      </c>
    </row>
    <row r="7" spans="1:4" x14ac:dyDescent="0.25">
      <c r="A7" s="31" t="s">
        <v>395</v>
      </c>
      <c r="B7" s="32">
        <v>192</v>
      </c>
      <c r="C7" s="32"/>
      <c r="D7" s="32"/>
    </row>
    <row r="8" spans="1:4" x14ac:dyDescent="0.25">
      <c r="A8" s="31" t="s">
        <v>396</v>
      </c>
      <c r="B8" s="32">
        <v>192</v>
      </c>
      <c r="C8" s="32"/>
      <c r="D8" s="32"/>
    </row>
    <row r="10" spans="1:4" x14ac:dyDescent="0.25">
      <c r="A10" s="31" t="s">
        <v>397</v>
      </c>
      <c r="B10" s="32">
        <v>806.4</v>
      </c>
      <c r="C10" s="32">
        <v>0</v>
      </c>
      <c r="D10" s="32">
        <v>0</v>
      </c>
    </row>
    <row r="12" spans="1:4" x14ac:dyDescent="0.25">
      <c r="A12" s="31" t="s">
        <v>398</v>
      </c>
    </row>
    <row r="13" spans="1:4" x14ac:dyDescent="0.25">
      <c r="A13" s="31" t="s">
        <v>399</v>
      </c>
      <c r="B13" s="32">
        <v>96</v>
      </c>
    </row>
    <row r="14" spans="1:4" x14ac:dyDescent="0.25">
      <c r="A14" s="31" t="s">
        <v>400</v>
      </c>
      <c r="B14" s="32">
        <v>508.8</v>
      </c>
    </row>
    <row r="15" spans="1:4" x14ac:dyDescent="0.25">
      <c r="A15" s="31" t="s">
        <v>401</v>
      </c>
      <c r="B15" s="32">
        <v>192</v>
      </c>
    </row>
    <row r="16" spans="1:4" x14ac:dyDescent="0.25">
      <c r="A16" s="31" t="s">
        <v>402</v>
      </c>
      <c r="B16" s="32">
        <v>480</v>
      </c>
    </row>
    <row r="17" spans="1:4" x14ac:dyDescent="0.25">
      <c r="A17" s="31" t="s">
        <v>403</v>
      </c>
      <c r="B17" s="32">
        <v>144</v>
      </c>
      <c r="D17" s="32">
        <v>73.335999999999999</v>
      </c>
    </row>
    <row r="18" spans="1:4" x14ac:dyDescent="0.25">
      <c r="A18" s="31" t="s">
        <v>404</v>
      </c>
      <c r="B18" s="32">
        <v>288</v>
      </c>
      <c r="D18" s="32">
        <v>50</v>
      </c>
    </row>
    <row r="19" spans="1:4" x14ac:dyDescent="0.25">
      <c r="A19" s="31" t="s">
        <v>405</v>
      </c>
      <c r="B19" s="32">
        <v>1440</v>
      </c>
      <c r="D19" s="32">
        <v>20</v>
      </c>
    </row>
    <row r="20" spans="1:4" x14ac:dyDescent="0.25">
      <c r="A20" s="31" t="s">
        <v>406</v>
      </c>
      <c r="B20" s="32">
        <v>576</v>
      </c>
      <c r="D20" s="32"/>
    </row>
    <row r="21" spans="1:4" x14ac:dyDescent="0.25">
      <c r="A21" s="31" t="s">
        <v>407</v>
      </c>
      <c r="B21" s="32">
        <v>1545.6</v>
      </c>
      <c r="D21" s="32">
        <v>200</v>
      </c>
    </row>
    <row r="23" spans="1:4" x14ac:dyDescent="0.25">
      <c r="A23" s="31" t="s">
        <v>397</v>
      </c>
      <c r="B23" s="32">
        <v>5270.4</v>
      </c>
      <c r="C23" s="32">
        <v>0</v>
      </c>
      <c r="D23" s="32">
        <v>343.33600000000001</v>
      </c>
    </row>
    <row r="25" spans="1:4" x14ac:dyDescent="0.25">
      <c r="A25" s="31" t="s">
        <v>408</v>
      </c>
    </row>
    <row r="26" spans="1:4" x14ac:dyDescent="0.25">
      <c r="A26" s="31" t="s">
        <v>409</v>
      </c>
      <c r="D26" s="32">
        <v>365</v>
      </c>
    </row>
    <row r="27" spans="1:4" x14ac:dyDescent="0.25">
      <c r="A27" s="31" t="s">
        <v>410</v>
      </c>
      <c r="D27" s="32">
        <v>0</v>
      </c>
    </row>
    <row r="28" spans="1:4" x14ac:dyDescent="0.25">
      <c r="A28" s="31" t="s">
        <v>411</v>
      </c>
      <c r="D28" s="32">
        <v>0</v>
      </c>
    </row>
    <row r="29" spans="1:4" x14ac:dyDescent="0.25">
      <c r="A29" s="31" t="s">
        <v>412</v>
      </c>
      <c r="D29" s="32">
        <v>0</v>
      </c>
    </row>
    <row r="31" spans="1:4" x14ac:dyDescent="0.25">
      <c r="A31" s="31" t="s">
        <v>413</v>
      </c>
      <c r="B31" s="32">
        <v>0</v>
      </c>
      <c r="C31" s="32">
        <v>0</v>
      </c>
      <c r="D31" s="32">
        <v>365</v>
      </c>
    </row>
    <row r="32" spans="1:4" x14ac:dyDescent="0.25">
      <c r="C32" s="32"/>
      <c r="D32" s="32"/>
    </row>
    <row r="33" spans="1:4" x14ac:dyDescent="0.25">
      <c r="A33" s="31" t="s">
        <v>414</v>
      </c>
    </row>
    <row r="34" spans="1:4" x14ac:dyDescent="0.25">
      <c r="A34" s="31" t="s">
        <v>415</v>
      </c>
      <c r="D34" s="32">
        <v>0</v>
      </c>
    </row>
    <row r="35" spans="1:4" x14ac:dyDescent="0.25">
      <c r="A35" s="31" t="s">
        <v>416</v>
      </c>
      <c r="D35" s="32">
        <v>56000</v>
      </c>
    </row>
    <row r="36" spans="1:4" x14ac:dyDescent="0.25">
      <c r="A36" s="31" t="s">
        <v>417</v>
      </c>
      <c r="D36" s="32">
        <v>0</v>
      </c>
    </row>
    <row r="37" spans="1:4" x14ac:dyDescent="0.25">
      <c r="A37" s="31" t="s">
        <v>418</v>
      </c>
      <c r="D37" s="32">
        <v>9000</v>
      </c>
    </row>
    <row r="38" spans="1:4" x14ac:dyDescent="0.25">
      <c r="A38" s="31" t="s">
        <v>419</v>
      </c>
      <c r="D38" s="32">
        <v>6800</v>
      </c>
    </row>
    <row r="39" spans="1:4" x14ac:dyDescent="0.25">
      <c r="A39" s="31" t="s">
        <v>420</v>
      </c>
      <c r="D39" s="32">
        <v>2400</v>
      </c>
    </row>
    <row r="40" spans="1:4" x14ac:dyDescent="0.25">
      <c r="A40" s="31" t="s">
        <v>421</v>
      </c>
      <c r="D40" s="32">
        <v>0</v>
      </c>
    </row>
    <row r="41" spans="1:4" x14ac:dyDescent="0.25">
      <c r="A41" s="31" t="s">
        <v>422</v>
      </c>
      <c r="D41" s="32">
        <v>0</v>
      </c>
    </row>
    <row r="42" spans="1:4" x14ac:dyDescent="0.25">
      <c r="A42" s="31" t="s">
        <v>423</v>
      </c>
      <c r="D42" s="32"/>
    </row>
    <row r="43" spans="1:4" x14ac:dyDescent="0.25">
      <c r="A43" s="31" t="s">
        <v>424</v>
      </c>
      <c r="D43" s="32">
        <v>0</v>
      </c>
    </row>
    <row r="44" spans="1:4" x14ac:dyDescent="0.25">
      <c r="A44" s="31" t="s">
        <v>425</v>
      </c>
      <c r="D44" s="32">
        <v>4452</v>
      </c>
    </row>
    <row r="46" spans="1:4" x14ac:dyDescent="0.25">
      <c r="A46" s="31" t="s">
        <v>413</v>
      </c>
      <c r="B46" s="32"/>
      <c r="C46" s="32"/>
      <c r="D46" s="32">
        <v>78652</v>
      </c>
    </row>
    <row r="48" spans="1:4" x14ac:dyDescent="0.25">
      <c r="A48" s="31" t="s">
        <v>426</v>
      </c>
    </row>
    <row r="49" spans="1:4" x14ac:dyDescent="0.25">
      <c r="A49" s="31" t="s">
        <v>427</v>
      </c>
      <c r="B49" s="32">
        <v>921.6</v>
      </c>
      <c r="C49" s="32"/>
      <c r="D49" s="32">
        <v>2000</v>
      </c>
    </row>
    <row r="50" spans="1:4" x14ac:dyDescent="0.25">
      <c r="A50" s="31" t="s">
        <v>428</v>
      </c>
      <c r="B50" s="32">
        <v>115.2</v>
      </c>
      <c r="C50" s="32"/>
      <c r="D50" s="32">
        <v>7250</v>
      </c>
    </row>
    <row r="51" spans="1:4" x14ac:dyDescent="0.25">
      <c r="A51" s="31" t="s">
        <v>429</v>
      </c>
      <c r="B51" s="32">
        <v>1843.2</v>
      </c>
      <c r="C51" s="32"/>
      <c r="D51" s="32">
        <v>4769.375</v>
      </c>
    </row>
    <row r="53" spans="1:4" x14ac:dyDescent="0.25">
      <c r="A53" s="31" t="s">
        <v>413</v>
      </c>
      <c r="B53" s="32">
        <v>2880</v>
      </c>
      <c r="C53" s="32">
        <v>0</v>
      </c>
      <c r="D53" s="32">
        <v>14019.375</v>
      </c>
    </row>
    <row r="55" spans="1:4" x14ac:dyDescent="0.25">
      <c r="A55" s="31" t="s">
        <v>430</v>
      </c>
    </row>
    <row r="56" spans="1:4" x14ac:dyDescent="0.25">
      <c r="A56" s="31" t="s">
        <v>431</v>
      </c>
      <c r="B56" s="32">
        <v>768</v>
      </c>
      <c r="C56" s="32"/>
      <c r="D56" s="32">
        <v>50</v>
      </c>
    </row>
    <row r="57" spans="1:4" x14ac:dyDescent="0.25">
      <c r="A57" s="31" t="s">
        <v>432</v>
      </c>
      <c r="B57" s="32">
        <v>630.72</v>
      </c>
      <c r="C57" s="32">
        <v>369.495</v>
      </c>
      <c r="D57" s="32">
        <v>292.5</v>
      </c>
    </row>
    <row r="58" spans="1:4" x14ac:dyDescent="0.25">
      <c r="A58" s="31" t="s">
        <v>433</v>
      </c>
      <c r="B58" s="32">
        <v>90</v>
      </c>
      <c r="C58" s="32"/>
      <c r="D58" s="32">
        <v>0</v>
      </c>
    </row>
    <row r="59" spans="1:4" x14ac:dyDescent="0.25">
      <c r="A59" s="31" t="s">
        <v>434</v>
      </c>
      <c r="B59" s="32">
        <v>2073.6</v>
      </c>
      <c r="C59" s="32">
        <v>24697.399999999998</v>
      </c>
      <c r="D59" s="32">
        <v>350</v>
      </c>
    </row>
    <row r="60" spans="1:4" x14ac:dyDescent="0.25">
      <c r="A60" s="31" t="s">
        <v>435</v>
      </c>
      <c r="B60" s="32"/>
      <c r="C60" s="32">
        <v>1402.9999999999998</v>
      </c>
      <c r="D60" s="32"/>
    </row>
    <row r="61" spans="1:4" x14ac:dyDescent="0.25">
      <c r="A61" s="31" t="s">
        <v>436</v>
      </c>
      <c r="B61" s="32">
        <v>76.8</v>
      </c>
      <c r="C61" s="32"/>
      <c r="D61" s="32"/>
    </row>
    <row r="62" spans="1:4" x14ac:dyDescent="0.25">
      <c r="A62" s="31" t="s">
        <v>437</v>
      </c>
    </row>
    <row r="63" spans="1:4" x14ac:dyDescent="0.25">
      <c r="A63" s="31" t="s">
        <v>413</v>
      </c>
      <c r="B63" s="32">
        <v>3639.12</v>
      </c>
      <c r="C63" s="32">
        <v>26469.894999999997</v>
      </c>
      <c r="D63" s="32">
        <v>692.5</v>
      </c>
    </row>
    <row r="65" spans="1:4" x14ac:dyDescent="0.25">
      <c r="A65" s="31" t="s">
        <v>438</v>
      </c>
    </row>
    <row r="66" spans="1:4" x14ac:dyDescent="0.25">
      <c r="A66" s="31" t="s">
        <v>439</v>
      </c>
      <c r="B66" s="32">
        <v>76.8</v>
      </c>
      <c r="C66" s="32"/>
      <c r="D66" s="32"/>
    </row>
    <row r="67" spans="1:4" x14ac:dyDescent="0.25">
      <c r="A67" s="31" t="s">
        <v>440</v>
      </c>
      <c r="B67" s="32">
        <v>614.40000000000009</v>
      </c>
      <c r="C67" s="32"/>
      <c r="D67" s="32">
        <v>50</v>
      </c>
    </row>
    <row r="68" spans="1:4" x14ac:dyDescent="0.25">
      <c r="A68" s="31" t="s">
        <v>441</v>
      </c>
      <c r="B68" s="32">
        <v>575.23199999999997</v>
      </c>
      <c r="C68" s="32">
        <v>2697.279</v>
      </c>
      <c r="D68" s="32">
        <v>290</v>
      </c>
    </row>
    <row r="69" spans="1:4" x14ac:dyDescent="0.25">
      <c r="A69" s="31" t="s">
        <v>442</v>
      </c>
      <c r="B69" s="32">
        <v>0</v>
      </c>
      <c r="C69" s="32">
        <v>4715</v>
      </c>
      <c r="D69" s="32"/>
    </row>
    <row r="70" spans="1:4" x14ac:dyDescent="0.25">
      <c r="A70" s="31" t="s">
        <v>443</v>
      </c>
      <c r="B70" s="32">
        <v>153.6</v>
      </c>
      <c r="C70" s="32"/>
      <c r="D70" s="32"/>
    </row>
    <row r="71" spans="1:4" x14ac:dyDescent="0.25">
      <c r="A71" s="31" t="s">
        <v>444</v>
      </c>
      <c r="B71" s="32">
        <v>0</v>
      </c>
      <c r="C71" s="32">
        <v>580.75</v>
      </c>
      <c r="D71" s="32"/>
    </row>
    <row r="72" spans="1:4" x14ac:dyDescent="0.25">
      <c r="A72" s="31" t="s">
        <v>445</v>
      </c>
      <c r="B72" s="32">
        <v>130.56</v>
      </c>
      <c r="C72" s="32"/>
      <c r="D72" s="32"/>
    </row>
    <row r="73" spans="1:4" x14ac:dyDescent="0.25">
      <c r="A73" s="31" t="s">
        <v>446</v>
      </c>
      <c r="B73" s="32">
        <v>754.94400000000007</v>
      </c>
      <c r="C73" s="32">
        <v>2451.0639999999999</v>
      </c>
      <c r="D73" s="32">
        <v>352</v>
      </c>
    </row>
    <row r="75" spans="1:4" x14ac:dyDescent="0.25">
      <c r="A75" s="31" t="s">
        <v>413</v>
      </c>
      <c r="B75" s="32">
        <v>2305.5360000000001</v>
      </c>
      <c r="C75" s="32">
        <v>10444.093000000001</v>
      </c>
      <c r="D75" s="32">
        <v>692</v>
      </c>
    </row>
    <row r="77" spans="1:4" x14ac:dyDescent="0.25">
      <c r="A77" s="31" t="s">
        <v>447</v>
      </c>
      <c r="B77" s="32">
        <v>14901.455999999998</v>
      </c>
      <c r="C77" s="32">
        <v>36913.987999999998</v>
      </c>
      <c r="D77" s="32">
        <v>94764.210999999996</v>
      </c>
    </row>
    <row r="79" spans="1:4" x14ac:dyDescent="0.25">
      <c r="A79" s="31" t="s">
        <v>448</v>
      </c>
      <c r="D79" s="32">
        <v>146579.655</v>
      </c>
    </row>
    <row r="83" spans="1:4" x14ac:dyDescent="0.25">
      <c r="A83" s="31" t="s">
        <v>449</v>
      </c>
    </row>
    <row r="84" spans="1:4" x14ac:dyDescent="0.25">
      <c r="A84" s="31" t="s">
        <v>450</v>
      </c>
      <c r="B84" s="32">
        <v>460.80000000000007</v>
      </c>
      <c r="C84" s="32"/>
      <c r="D84" s="32"/>
    </row>
    <row r="85" spans="1:4" x14ac:dyDescent="0.25">
      <c r="A85" s="31" t="s">
        <v>451</v>
      </c>
      <c r="B85" s="32">
        <v>0</v>
      </c>
      <c r="C85" s="32"/>
    </row>
    <row r="86" spans="1:4" x14ac:dyDescent="0.25">
      <c r="A86" s="31" t="s">
        <v>452</v>
      </c>
      <c r="B86" s="32">
        <v>367.2</v>
      </c>
      <c r="C86" s="32"/>
      <c r="D86" s="32"/>
    </row>
    <row r="87" spans="1:4" x14ac:dyDescent="0.25">
      <c r="A87" s="31" t="s">
        <v>453</v>
      </c>
      <c r="B87" s="32">
        <v>0</v>
      </c>
      <c r="C87" s="32"/>
      <c r="D87" s="32"/>
    </row>
    <row r="88" spans="1:4" x14ac:dyDescent="0.25">
      <c r="A88" s="31" t="s">
        <v>454</v>
      </c>
      <c r="B88" s="32">
        <v>691.2</v>
      </c>
      <c r="C88" s="32"/>
      <c r="D88" s="32"/>
    </row>
    <row r="89" spans="1:4" x14ac:dyDescent="0.25">
      <c r="A89" s="31" t="s">
        <v>455</v>
      </c>
      <c r="B89" s="32">
        <v>0</v>
      </c>
      <c r="C89" s="32"/>
    </row>
    <row r="90" spans="1:4" x14ac:dyDescent="0.25">
      <c r="A90" s="31" t="s">
        <v>456</v>
      </c>
      <c r="B90" s="32">
        <v>230.4</v>
      </c>
      <c r="C90" s="32"/>
      <c r="D90" s="32">
        <v>1000</v>
      </c>
    </row>
    <row r="91" spans="1:4" x14ac:dyDescent="0.25">
      <c r="A91" s="31" t="s">
        <v>457</v>
      </c>
      <c r="B91" s="32"/>
      <c r="C91" s="32"/>
      <c r="D91" s="32">
        <v>0</v>
      </c>
    </row>
    <row r="93" spans="1:4" x14ac:dyDescent="0.25">
      <c r="A93" s="31" t="s">
        <v>413</v>
      </c>
      <c r="B93" s="32">
        <v>1749.6000000000001</v>
      </c>
      <c r="C93" s="32">
        <v>0</v>
      </c>
      <c r="D93" s="32">
        <v>1000</v>
      </c>
    </row>
    <row r="95" spans="1:4" x14ac:dyDescent="0.25">
      <c r="A95" s="31" t="s">
        <v>458</v>
      </c>
    </row>
    <row r="96" spans="1:4" x14ac:dyDescent="0.25">
      <c r="A96" s="31" t="s">
        <v>459</v>
      </c>
      <c r="B96" s="32">
        <v>0</v>
      </c>
      <c r="C96" s="32"/>
      <c r="D96" s="32"/>
    </row>
    <row r="97" spans="1:4" x14ac:dyDescent="0.25">
      <c r="A97" s="31" t="s">
        <v>460</v>
      </c>
      <c r="B97" s="32">
        <v>0</v>
      </c>
      <c r="C97" s="32"/>
      <c r="D97" s="32"/>
    </row>
    <row r="98" spans="1:4" x14ac:dyDescent="0.25">
      <c r="A98" s="31" t="s">
        <v>461</v>
      </c>
      <c r="B98" s="32">
        <v>0</v>
      </c>
      <c r="C98" s="32"/>
      <c r="D98" s="32"/>
    </row>
    <row r="99" spans="1:4" x14ac:dyDescent="0.25">
      <c r="A99" s="31" t="s">
        <v>462</v>
      </c>
      <c r="B99" s="32">
        <v>0</v>
      </c>
      <c r="C99" s="32">
        <v>0</v>
      </c>
      <c r="D99" s="32"/>
    </row>
    <row r="100" spans="1:4" x14ac:dyDescent="0.25">
      <c r="A100" s="31" t="s">
        <v>463</v>
      </c>
      <c r="B100" s="32">
        <v>0</v>
      </c>
      <c r="C100" s="32">
        <v>0</v>
      </c>
      <c r="D100" s="32"/>
    </row>
    <row r="101" spans="1:4" x14ac:dyDescent="0.25">
      <c r="A101" s="31" t="s">
        <v>464</v>
      </c>
      <c r="B101" s="32">
        <v>0</v>
      </c>
      <c r="C101" s="32">
        <v>0</v>
      </c>
      <c r="D101" s="32"/>
    </row>
    <row r="102" spans="1:4" x14ac:dyDescent="0.25">
      <c r="A102" s="31" t="s">
        <v>465</v>
      </c>
      <c r="B102" s="32"/>
      <c r="C102" s="32">
        <v>0</v>
      </c>
      <c r="D102" s="32"/>
    </row>
    <row r="103" spans="1:4" x14ac:dyDescent="0.25">
      <c r="A103" s="31" t="s">
        <v>466</v>
      </c>
      <c r="B103" s="32">
        <v>0</v>
      </c>
      <c r="C103" s="32"/>
      <c r="D103" s="32"/>
    </row>
    <row r="105" spans="1:4" x14ac:dyDescent="0.25">
      <c r="A105" s="31" t="s">
        <v>413</v>
      </c>
      <c r="B105" s="32">
        <v>0</v>
      </c>
      <c r="C105" s="32">
        <v>0</v>
      </c>
      <c r="D105" s="32">
        <v>0</v>
      </c>
    </row>
    <row r="107" spans="1:4" x14ac:dyDescent="0.25">
      <c r="A107" s="31" t="s">
        <v>467</v>
      </c>
    </row>
    <row r="108" spans="1:4" x14ac:dyDescent="0.25">
      <c r="A108" s="31" t="s">
        <v>459</v>
      </c>
      <c r="B108" s="32">
        <v>175.61088000000001</v>
      </c>
      <c r="C108" s="32"/>
      <c r="D108" s="32"/>
    </row>
    <row r="109" spans="1:4" x14ac:dyDescent="0.25">
      <c r="A109" s="31" t="s">
        <v>460</v>
      </c>
      <c r="B109" s="32">
        <v>36.585599999999999</v>
      </c>
      <c r="C109" s="32"/>
      <c r="D109" s="32"/>
    </row>
    <row r="110" spans="1:4" x14ac:dyDescent="0.25">
      <c r="A110" s="31" t="s">
        <v>468</v>
      </c>
      <c r="B110" s="32">
        <v>18.2928</v>
      </c>
      <c r="C110" s="32"/>
      <c r="D110" s="32"/>
    </row>
    <row r="111" spans="1:4" x14ac:dyDescent="0.25">
      <c r="A111" s="31" t="s">
        <v>469</v>
      </c>
      <c r="B111" s="32">
        <v>109.7568</v>
      </c>
      <c r="C111" s="32">
        <v>5090.0097099999994</v>
      </c>
      <c r="D111" s="32"/>
    </row>
    <row r="112" spans="1:4" x14ac:dyDescent="0.25">
      <c r="A112" s="31" t="s">
        <v>470</v>
      </c>
      <c r="B112" s="32">
        <v>11.796480000000001</v>
      </c>
      <c r="C112" s="32">
        <v>89.026559999999989</v>
      </c>
      <c r="D112" s="32"/>
    </row>
    <row r="113" spans="1:4" x14ac:dyDescent="0.25">
      <c r="A113" s="31" t="s">
        <v>471</v>
      </c>
      <c r="B113" s="32"/>
      <c r="C113" s="32">
        <v>512.77004999999986</v>
      </c>
      <c r="D113" s="32">
        <v>19.055</v>
      </c>
    </row>
    <row r="114" spans="1:4" x14ac:dyDescent="0.25">
      <c r="A114" s="31" t="s">
        <v>472</v>
      </c>
      <c r="B114" s="32">
        <v>36.585599999999999</v>
      </c>
      <c r="C114" s="32"/>
      <c r="D114" s="32"/>
    </row>
    <row r="116" spans="1:4" x14ac:dyDescent="0.25">
      <c r="A116" s="31" t="s">
        <v>413</v>
      </c>
      <c r="B116" s="32">
        <v>388.62815999999998</v>
      </c>
      <c r="C116" s="32">
        <v>5691.8063199999997</v>
      </c>
      <c r="D116" s="32">
        <v>19.055</v>
      </c>
    </row>
    <row r="117" spans="1:4" x14ac:dyDescent="0.25">
      <c r="B117" s="32"/>
      <c r="C117" s="32"/>
      <c r="D117" s="32"/>
    </row>
    <row r="118" spans="1:4" x14ac:dyDescent="0.25">
      <c r="A118" s="31" t="s">
        <v>473</v>
      </c>
      <c r="B118" s="32"/>
      <c r="C118" s="32"/>
      <c r="D118" s="32"/>
    </row>
    <row r="119" spans="1:4" x14ac:dyDescent="0.25">
      <c r="A119" s="31" t="s">
        <v>459</v>
      </c>
      <c r="B119" s="32">
        <v>460.8</v>
      </c>
      <c r="C119" s="32"/>
      <c r="D119" s="32"/>
    </row>
    <row r="120" spans="1:4" x14ac:dyDescent="0.25">
      <c r="A120" s="31" t="s">
        <v>460</v>
      </c>
      <c r="B120" s="32">
        <v>96</v>
      </c>
      <c r="C120" s="32"/>
      <c r="D120" s="32"/>
    </row>
    <row r="121" spans="1:4" x14ac:dyDescent="0.25">
      <c r="A121" s="31" t="s">
        <v>468</v>
      </c>
      <c r="B121" s="32">
        <v>48</v>
      </c>
      <c r="C121" s="32"/>
      <c r="D121" s="32"/>
    </row>
    <row r="122" spans="1:4" x14ac:dyDescent="0.25">
      <c r="A122" s="31" t="s">
        <v>474</v>
      </c>
      <c r="B122" s="32">
        <v>115.2</v>
      </c>
      <c r="C122" s="32">
        <v>8484.6999999999989</v>
      </c>
      <c r="D122" s="32"/>
    </row>
    <row r="123" spans="1:4" x14ac:dyDescent="0.25">
      <c r="A123" s="31" t="s">
        <v>471</v>
      </c>
      <c r="B123" s="32"/>
      <c r="C123" s="32">
        <v>1345.4999999999998</v>
      </c>
      <c r="D123" s="32">
        <v>50</v>
      </c>
    </row>
    <row r="124" spans="1:4" x14ac:dyDescent="0.25">
      <c r="A124" s="31" t="s">
        <v>472</v>
      </c>
      <c r="B124" s="32">
        <v>96</v>
      </c>
      <c r="C124" s="32"/>
      <c r="D124" s="32"/>
    </row>
    <row r="125" spans="1:4" x14ac:dyDescent="0.25">
      <c r="B125" s="32"/>
      <c r="C125" s="32"/>
      <c r="D125" s="32"/>
    </row>
    <row r="126" spans="1:4" x14ac:dyDescent="0.25">
      <c r="A126" s="31" t="s">
        <v>413</v>
      </c>
      <c r="B126" s="32">
        <v>816</v>
      </c>
      <c r="C126" s="32">
        <v>9830.1999999999989</v>
      </c>
      <c r="D126" s="32">
        <v>50</v>
      </c>
    </row>
    <row r="128" spans="1:4" x14ac:dyDescent="0.25">
      <c r="A128" s="31" t="s">
        <v>475</v>
      </c>
    </row>
    <row r="129" spans="1:4" x14ac:dyDescent="0.25">
      <c r="A129" s="31" t="s">
        <v>461</v>
      </c>
      <c r="B129" s="32">
        <v>144</v>
      </c>
      <c r="C129" s="32"/>
      <c r="D129" s="32"/>
    </row>
    <row r="130" spans="1:4" x14ac:dyDescent="0.25">
      <c r="A130" s="31" t="s">
        <v>476</v>
      </c>
      <c r="B130" s="32">
        <v>201.60000000000002</v>
      </c>
      <c r="C130" s="32"/>
      <c r="D130" s="32">
        <v>600</v>
      </c>
    </row>
    <row r="131" spans="1:4" x14ac:dyDescent="0.25">
      <c r="A131" s="31" t="s">
        <v>463</v>
      </c>
      <c r="B131" s="32">
        <v>32.927040000000005</v>
      </c>
      <c r="C131" s="32"/>
      <c r="D131" s="32"/>
    </row>
    <row r="132" spans="1:4" x14ac:dyDescent="0.25">
      <c r="A132" s="31" t="s">
        <v>464</v>
      </c>
      <c r="B132" s="32">
        <v>5.4878400000000003</v>
      </c>
      <c r="C132" s="32"/>
      <c r="D132" s="32">
        <v>0</v>
      </c>
    </row>
    <row r="133" spans="1:4" x14ac:dyDescent="0.25">
      <c r="A133" s="31" t="s">
        <v>477</v>
      </c>
      <c r="B133" s="32">
        <v>316.79999999999995</v>
      </c>
      <c r="C133" s="32"/>
      <c r="D133" s="32">
        <v>20</v>
      </c>
    </row>
    <row r="135" spans="1:4" x14ac:dyDescent="0.25">
      <c r="A135" s="31" t="s">
        <v>413</v>
      </c>
      <c r="B135" s="32">
        <v>700.81488000000002</v>
      </c>
      <c r="C135" s="32">
        <v>0</v>
      </c>
      <c r="D135" s="32">
        <v>620</v>
      </c>
    </row>
    <row r="137" spans="1:4" x14ac:dyDescent="0.25">
      <c r="A137" s="31" t="s">
        <v>478</v>
      </c>
    </row>
    <row r="138" spans="1:4" x14ac:dyDescent="0.25">
      <c r="A138" s="31" t="s">
        <v>479</v>
      </c>
      <c r="B138" s="32">
        <v>4608</v>
      </c>
      <c r="C138" s="32"/>
      <c r="D138" s="32"/>
    </row>
    <row r="139" spans="1:4" x14ac:dyDescent="0.25">
      <c r="A139" s="31" t="s">
        <v>480</v>
      </c>
      <c r="B139" s="32">
        <v>489.6</v>
      </c>
      <c r="C139" s="32"/>
      <c r="D139" s="32"/>
    </row>
    <row r="140" spans="1:4" x14ac:dyDescent="0.25">
      <c r="A140" s="31" t="s">
        <v>481</v>
      </c>
      <c r="B140" s="32">
        <v>350.4</v>
      </c>
      <c r="C140" s="32"/>
      <c r="D140" s="32">
        <v>40</v>
      </c>
    </row>
    <row r="142" spans="1:4" x14ac:dyDescent="0.25">
      <c r="A142" s="31" t="s">
        <v>413</v>
      </c>
      <c r="B142" s="32">
        <v>5448</v>
      </c>
      <c r="C142" s="32">
        <v>0</v>
      </c>
      <c r="D142" s="32">
        <v>40</v>
      </c>
    </row>
    <row r="144" spans="1:4" x14ac:dyDescent="0.25">
      <c r="A144" s="31" t="s">
        <v>482</v>
      </c>
    </row>
    <row r="145" spans="1:6" x14ac:dyDescent="0.25">
      <c r="A145" s="31" t="s">
        <v>483</v>
      </c>
      <c r="B145" s="32">
        <v>662.4</v>
      </c>
      <c r="C145" s="32"/>
      <c r="D145" s="32">
        <v>230</v>
      </c>
    </row>
    <row r="146" spans="1:6" x14ac:dyDescent="0.25">
      <c r="A146" s="31" t="s">
        <v>484</v>
      </c>
      <c r="B146" s="32">
        <v>240</v>
      </c>
      <c r="C146" s="32"/>
      <c r="D146" s="32">
        <v>50</v>
      </c>
    </row>
    <row r="147" spans="1:6" x14ac:dyDescent="0.25">
      <c r="A147" s="31" t="s">
        <v>485</v>
      </c>
      <c r="B147" s="32">
        <v>115.2</v>
      </c>
      <c r="C147" s="32"/>
      <c r="D147" s="32">
        <v>5600</v>
      </c>
    </row>
    <row r="148" spans="1:6" x14ac:dyDescent="0.25">
      <c r="A148" s="31" t="s">
        <v>486</v>
      </c>
      <c r="B148" s="32">
        <v>391.67999999999995</v>
      </c>
      <c r="C148" s="32"/>
      <c r="D148" s="32"/>
    </row>
    <row r="149" spans="1:6" x14ac:dyDescent="0.25">
      <c r="B149" s="32"/>
      <c r="C149" s="32"/>
      <c r="D149" s="32"/>
    </row>
    <row r="150" spans="1:6" x14ac:dyDescent="0.25">
      <c r="A150" s="31" t="s">
        <v>413</v>
      </c>
      <c r="B150" s="32">
        <v>1409.28</v>
      </c>
      <c r="C150" s="32">
        <v>0</v>
      </c>
      <c r="D150" s="32">
        <v>5880</v>
      </c>
    </row>
    <row r="151" spans="1:6" x14ac:dyDescent="0.25">
      <c r="B151" s="32"/>
      <c r="C151" s="32"/>
      <c r="D151" s="32"/>
    </row>
    <row r="152" spans="1:6" x14ac:dyDescent="0.25">
      <c r="A152" s="31" t="s">
        <v>487</v>
      </c>
      <c r="B152" s="32">
        <v>2121.9673343999998</v>
      </c>
      <c r="C152" s="32">
        <v>5256.5518911999998</v>
      </c>
      <c r="D152" s="32">
        <v>13494.423646399999</v>
      </c>
    </row>
    <row r="154" spans="1:6" x14ac:dyDescent="0.25">
      <c r="A154" s="31" t="s">
        <v>488</v>
      </c>
      <c r="B154" s="32">
        <v>12634.290374400001</v>
      </c>
      <c r="C154" s="32">
        <v>20778.558211199997</v>
      </c>
      <c r="D154" s="32">
        <v>21103.478646399999</v>
      </c>
    </row>
    <row r="156" spans="1:6" x14ac:dyDescent="0.25">
      <c r="A156" s="31" t="s">
        <v>489</v>
      </c>
      <c r="C156" s="32"/>
      <c r="D156" s="32">
        <v>54516.327231999996</v>
      </c>
      <c r="F156" s="32"/>
    </row>
    <row r="161" spans="1:5" x14ac:dyDescent="0.25">
      <c r="A161" s="31" t="s">
        <v>490</v>
      </c>
    </row>
    <row r="163" spans="1:5" x14ac:dyDescent="0.25">
      <c r="A163" s="31" t="s">
        <v>307</v>
      </c>
      <c r="B163" s="31" t="s">
        <v>184</v>
      </c>
      <c r="C163" s="31" t="s">
        <v>308</v>
      </c>
      <c r="D163" s="31" t="s">
        <v>309</v>
      </c>
      <c r="E163" s="31" t="s">
        <v>45</v>
      </c>
    </row>
    <row r="164" spans="1:5" x14ac:dyDescent="0.25">
      <c r="A164" s="31" t="s">
        <v>310</v>
      </c>
      <c r="B164" s="32">
        <v>806.4</v>
      </c>
      <c r="C164" s="32">
        <v>0</v>
      </c>
      <c r="D164" s="32">
        <v>0</v>
      </c>
      <c r="E164" s="32">
        <v>806.4</v>
      </c>
    </row>
    <row r="165" spans="1:5" x14ac:dyDescent="0.25">
      <c r="A165" s="31" t="s">
        <v>311</v>
      </c>
      <c r="B165" s="32">
        <v>5270.4</v>
      </c>
      <c r="C165" s="32">
        <v>0</v>
      </c>
      <c r="D165" s="32">
        <v>343.33600000000001</v>
      </c>
      <c r="E165" s="32">
        <v>5613.7359999999999</v>
      </c>
    </row>
    <row r="166" spans="1:5" x14ac:dyDescent="0.25">
      <c r="A166" s="31" t="s">
        <v>312</v>
      </c>
      <c r="B166" s="32">
        <v>0</v>
      </c>
      <c r="C166" s="32">
        <v>0</v>
      </c>
      <c r="D166" s="32">
        <v>365</v>
      </c>
      <c r="E166" s="32">
        <v>365</v>
      </c>
    </row>
    <row r="167" spans="1:5" x14ac:dyDescent="0.25">
      <c r="A167" s="31" t="s">
        <v>313</v>
      </c>
      <c r="B167" s="32">
        <v>0</v>
      </c>
      <c r="C167" s="32">
        <v>0</v>
      </c>
      <c r="D167" s="32">
        <v>78652</v>
      </c>
      <c r="E167" s="32">
        <v>78652</v>
      </c>
    </row>
    <row r="168" spans="1:5" x14ac:dyDescent="0.25">
      <c r="A168" s="31" t="s">
        <v>314</v>
      </c>
      <c r="B168" s="32">
        <v>2880</v>
      </c>
      <c r="C168" s="32">
        <v>0</v>
      </c>
      <c r="D168" s="32">
        <v>14019.375</v>
      </c>
      <c r="E168" s="32">
        <v>16899.375</v>
      </c>
    </row>
    <row r="169" spans="1:5" x14ac:dyDescent="0.25">
      <c r="A169" s="31" t="s">
        <v>315</v>
      </c>
      <c r="B169" s="32">
        <v>3639.12</v>
      </c>
      <c r="C169" s="32">
        <v>26469.894999999997</v>
      </c>
      <c r="D169" s="32">
        <v>692.5</v>
      </c>
      <c r="E169" s="32">
        <v>30801.514999999996</v>
      </c>
    </row>
    <row r="170" spans="1:5" x14ac:dyDescent="0.25">
      <c r="A170" s="31" t="s">
        <v>316</v>
      </c>
      <c r="B170" s="32">
        <v>2305.5360000000001</v>
      </c>
      <c r="C170" s="32">
        <v>10444.093000000001</v>
      </c>
      <c r="D170" s="32">
        <v>692</v>
      </c>
      <c r="E170" s="32">
        <v>13441.629000000001</v>
      </c>
    </row>
    <row r="171" spans="1:5" x14ac:dyDescent="0.25">
      <c r="B171" s="32">
        <v>14901.455999999998</v>
      </c>
      <c r="C171" s="32">
        <v>36913.987999999998</v>
      </c>
      <c r="D171" s="32">
        <v>94764.210999999996</v>
      </c>
      <c r="E171" s="32">
        <v>146579.655</v>
      </c>
    </row>
    <row r="173" spans="1:5" x14ac:dyDescent="0.25">
      <c r="A173" s="31" t="s">
        <v>317</v>
      </c>
    </row>
    <row r="174" spans="1:5" x14ac:dyDescent="0.25">
      <c r="A174" s="31" t="s">
        <v>318</v>
      </c>
      <c r="B174" s="32">
        <v>1749.6000000000001</v>
      </c>
      <c r="C174" s="32">
        <v>0</v>
      </c>
      <c r="D174" s="32">
        <v>1000</v>
      </c>
      <c r="E174" s="32">
        <v>2749.6000000000004</v>
      </c>
    </row>
    <row r="175" spans="1:5" x14ac:dyDescent="0.25">
      <c r="A175" s="31" t="s">
        <v>319</v>
      </c>
      <c r="B175" s="32">
        <v>0</v>
      </c>
      <c r="C175" s="32">
        <v>0</v>
      </c>
      <c r="D175" s="32">
        <v>0</v>
      </c>
      <c r="E175" s="32">
        <v>0</v>
      </c>
    </row>
    <row r="176" spans="1:5" x14ac:dyDescent="0.25">
      <c r="A176" s="31" t="s">
        <v>320</v>
      </c>
      <c r="B176" s="32">
        <v>388.62815999999998</v>
      </c>
      <c r="C176" s="32">
        <v>5691.8063199999997</v>
      </c>
      <c r="D176" s="32">
        <v>19.055</v>
      </c>
      <c r="E176" s="32">
        <v>6099.4894800000002</v>
      </c>
    </row>
    <row r="177" spans="1:5" x14ac:dyDescent="0.25">
      <c r="A177" s="31" t="s">
        <v>321</v>
      </c>
      <c r="B177" s="32">
        <v>816</v>
      </c>
      <c r="C177" s="32">
        <v>9830.1999999999989</v>
      </c>
      <c r="D177" s="32">
        <v>50</v>
      </c>
      <c r="E177" s="32">
        <v>10696.199999999999</v>
      </c>
    </row>
    <row r="178" spans="1:5" x14ac:dyDescent="0.25">
      <c r="A178" s="31" t="s">
        <v>322</v>
      </c>
      <c r="B178" s="32">
        <v>700.81488000000002</v>
      </c>
      <c r="C178" s="32">
        <v>0</v>
      </c>
      <c r="D178" s="32">
        <v>620</v>
      </c>
      <c r="E178" s="32">
        <v>1320.8148799999999</v>
      </c>
    </row>
    <row r="179" spans="1:5" x14ac:dyDescent="0.25">
      <c r="A179" s="31" t="s">
        <v>323</v>
      </c>
      <c r="B179" s="32">
        <v>5448</v>
      </c>
      <c r="C179" s="32">
        <v>0</v>
      </c>
      <c r="D179" s="32">
        <v>40</v>
      </c>
      <c r="E179" s="32">
        <v>5488</v>
      </c>
    </row>
    <row r="180" spans="1:5" x14ac:dyDescent="0.25">
      <c r="A180" s="31" t="s">
        <v>324</v>
      </c>
      <c r="B180" s="32">
        <v>1409.28</v>
      </c>
      <c r="C180" s="32">
        <v>0</v>
      </c>
      <c r="D180" s="32">
        <v>5880</v>
      </c>
      <c r="E180" s="32">
        <v>7289.28</v>
      </c>
    </row>
    <row r="181" spans="1:5" x14ac:dyDescent="0.25">
      <c r="A181" s="31" t="s">
        <v>325</v>
      </c>
      <c r="B181" s="32">
        <v>2121.9673343999998</v>
      </c>
      <c r="C181" s="32">
        <v>5256.5518911999998</v>
      </c>
      <c r="D181" s="32">
        <v>13494.423646399999</v>
      </c>
      <c r="E181" s="32">
        <v>20872.942872</v>
      </c>
    </row>
    <row r="183" spans="1:5" x14ac:dyDescent="0.25">
      <c r="A183" s="31" t="s">
        <v>326</v>
      </c>
      <c r="B183" s="32">
        <v>10512.323040000001</v>
      </c>
      <c r="C183" s="32">
        <v>15522.006319999999</v>
      </c>
      <c r="D183" s="32">
        <v>7609.0550000000003</v>
      </c>
      <c r="E183" s="32">
        <v>33643.384359999996</v>
      </c>
    </row>
    <row r="184" spans="1:5" x14ac:dyDescent="0.25">
      <c r="A184" s="31" t="s">
        <v>327</v>
      </c>
      <c r="B184" s="32">
        <v>12634.290374400001</v>
      </c>
      <c r="C184" s="32">
        <v>20778.558211199997</v>
      </c>
      <c r="D184" s="32">
        <v>21103.478646399999</v>
      </c>
      <c r="E184" s="32">
        <v>54516.327231999996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21"/>
  <sheetViews>
    <sheetView zoomScaleNormal="100" workbookViewId="0">
      <pane xSplit="4" ySplit="4" topLeftCell="E75" activePane="bottomRight" state="frozen"/>
      <selection pane="topRight" activeCell="E1" sqref="E1"/>
      <selection pane="bottomLeft" activeCell="A6" sqref="A6"/>
      <selection pane="bottomRight" activeCell="A75" sqref="A75:L75"/>
    </sheetView>
  </sheetViews>
  <sheetFormatPr defaultColWidth="9.1796875" defaultRowHeight="13" x14ac:dyDescent="0.3"/>
  <cols>
    <col min="1" max="1" width="2.7265625" style="130" customWidth="1"/>
    <col min="2" max="3" width="2.453125" style="130" customWidth="1"/>
    <col min="4" max="4" width="65.26953125" style="130" customWidth="1"/>
    <col min="5" max="5" width="15" style="130" customWidth="1"/>
    <col min="6" max="6" width="19.1796875" style="130" bestFit="1" customWidth="1"/>
    <col min="7" max="7" width="21.26953125" style="130" customWidth="1"/>
    <col min="8" max="8" width="15" style="131" customWidth="1"/>
    <col min="9" max="9" width="13.1796875" style="130" customWidth="1"/>
    <col min="10" max="11" width="15.26953125" style="130" customWidth="1"/>
    <col min="12" max="12" width="19" style="158" customWidth="1"/>
    <col min="13" max="13" width="10" style="152" bestFit="1" customWidth="1"/>
    <col min="14" max="14" width="11" style="130" customWidth="1"/>
    <col min="15" max="15" width="12.453125" style="130" bestFit="1" customWidth="1"/>
    <col min="16" max="16" width="33.54296875" style="130" customWidth="1"/>
    <col min="17" max="17" width="12.453125" style="130" bestFit="1" customWidth="1"/>
    <col min="18" max="16384" width="9.1796875" style="130"/>
  </cols>
  <sheetData>
    <row r="1" spans="1:23" s="161" customFormat="1" ht="15.5" x14ac:dyDescent="0.35">
      <c r="A1" s="133" t="s">
        <v>69</v>
      </c>
      <c r="B1" s="162"/>
      <c r="C1" s="162"/>
      <c r="D1" s="162"/>
      <c r="E1" s="162"/>
      <c r="F1" s="162"/>
      <c r="G1" s="162"/>
      <c r="H1" s="162"/>
      <c r="I1" s="162"/>
      <c r="J1" s="163"/>
      <c r="K1" s="162"/>
      <c r="L1" s="162"/>
      <c r="M1" s="185"/>
      <c r="N1" s="250"/>
    </row>
    <row r="2" spans="1:23" s="134" customFormat="1" x14ac:dyDescent="0.3">
      <c r="A2" s="135"/>
      <c r="B2" s="135"/>
      <c r="C2" s="135"/>
      <c r="D2" s="135"/>
      <c r="E2" s="135"/>
      <c r="F2" s="135"/>
      <c r="G2" s="135"/>
      <c r="H2" s="135"/>
      <c r="I2" s="135"/>
      <c r="J2" s="136"/>
      <c r="K2" s="135"/>
      <c r="L2" s="135"/>
      <c r="M2" s="186"/>
      <c r="N2" s="182"/>
    </row>
    <row r="3" spans="1:23" s="139" customFormat="1" ht="14.25" customHeight="1" x14ac:dyDescent="0.3">
      <c r="A3" s="501" t="s">
        <v>70</v>
      </c>
      <c r="B3" s="502"/>
      <c r="C3" s="502"/>
      <c r="D3" s="503"/>
      <c r="E3" s="137" t="s">
        <v>71</v>
      </c>
      <c r="F3" s="137" t="s">
        <v>72</v>
      </c>
      <c r="G3" s="137" t="s">
        <v>73</v>
      </c>
      <c r="H3" s="137" t="s">
        <v>74</v>
      </c>
      <c r="I3" s="137" t="s">
        <v>75</v>
      </c>
      <c r="J3" s="137" t="s">
        <v>76</v>
      </c>
      <c r="K3" s="137" t="s">
        <v>77</v>
      </c>
      <c r="L3" s="138" t="s">
        <v>78</v>
      </c>
    </row>
    <row r="4" spans="1:23" s="142" customFormat="1" ht="51" customHeight="1" x14ac:dyDescent="0.3">
      <c r="A4" s="504"/>
      <c r="B4" s="505"/>
      <c r="C4" s="505"/>
      <c r="D4" s="506"/>
      <c r="E4" s="140" t="s">
        <v>79</v>
      </c>
      <c r="F4" s="140" t="s">
        <v>80</v>
      </c>
      <c r="G4" s="140" t="s">
        <v>81</v>
      </c>
      <c r="H4" s="140" t="s">
        <v>82</v>
      </c>
      <c r="I4" s="140" t="s">
        <v>83</v>
      </c>
      <c r="J4" s="140" t="s">
        <v>84</v>
      </c>
      <c r="K4" s="140" t="s">
        <v>85</v>
      </c>
      <c r="L4" s="141" t="s">
        <v>86</v>
      </c>
      <c r="M4" s="139"/>
      <c r="P4" s="142" t="s">
        <v>87</v>
      </c>
    </row>
    <row r="5" spans="1:23" x14ac:dyDescent="0.3">
      <c r="A5" s="507" t="s">
        <v>88</v>
      </c>
      <c r="B5" s="507"/>
      <c r="C5" s="507"/>
      <c r="D5" s="507"/>
      <c r="E5" s="251" t="s">
        <v>12</v>
      </c>
      <c r="F5" s="423"/>
      <c r="G5" s="423"/>
      <c r="H5" s="252"/>
      <c r="I5" s="253"/>
      <c r="J5" s="253"/>
      <c r="K5" s="253"/>
      <c r="L5" s="55"/>
    </row>
    <row r="6" spans="1:23" x14ac:dyDescent="0.3">
      <c r="A6" s="507" t="s">
        <v>89</v>
      </c>
      <c r="B6" s="507"/>
      <c r="C6" s="507"/>
      <c r="D6" s="507"/>
      <c r="E6" s="251" t="s">
        <v>12</v>
      </c>
      <c r="F6" s="423"/>
      <c r="G6" s="423"/>
      <c r="H6" s="252"/>
      <c r="I6" s="253"/>
      <c r="J6" s="253"/>
      <c r="K6" s="253"/>
      <c r="L6" s="55"/>
    </row>
    <row r="7" spans="1:23" x14ac:dyDescent="0.3">
      <c r="A7" s="507" t="s">
        <v>90</v>
      </c>
      <c r="B7" s="507"/>
      <c r="C7" s="507"/>
      <c r="D7" s="507"/>
      <c r="E7" s="143">
        <v>160.6</v>
      </c>
      <c r="F7" s="423">
        <v>1</v>
      </c>
      <c r="G7" s="143">
        <f>E7*F7</f>
        <v>160.6</v>
      </c>
      <c r="H7" s="252">
        <v>0</v>
      </c>
      <c r="I7" s="256">
        <f>G7*H7</f>
        <v>0</v>
      </c>
      <c r="J7" s="256">
        <f>I7*0.05</f>
        <v>0</v>
      </c>
      <c r="K7" s="256">
        <f>I7*0.1</f>
        <v>0</v>
      </c>
      <c r="L7" s="128">
        <f>(I7*$F$84)+(J7*$F$85)+(K7*$F$86)</f>
        <v>0</v>
      </c>
      <c r="M7" s="184"/>
    </row>
    <row r="8" spans="1:23" x14ac:dyDescent="0.3">
      <c r="A8" s="492" t="s">
        <v>91</v>
      </c>
      <c r="B8" s="492"/>
      <c r="C8" s="492"/>
      <c r="D8" s="492"/>
      <c r="E8" s="423"/>
      <c r="F8" s="423"/>
      <c r="G8" s="423"/>
      <c r="H8" s="252"/>
      <c r="I8" s="253"/>
      <c r="J8" s="253"/>
      <c r="K8" s="253"/>
      <c r="L8" s="55"/>
    </row>
    <row r="9" spans="1:23" x14ac:dyDescent="0.3">
      <c r="A9" s="424"/>
      <c r="B9" s="491" t="s">
        <v>92</v>
      </c>
      <c r="C9" s="491"/>
      <c r="D9" s="492"/>
      <c r="E9" s="423">
        <v>1</v>
      </c>
      <c r="F9" s="423">
        <v>1</v>
      </c>
      <c r="G9" s="423">
        <f>E9*F9</f>
        <v>1</v>
      </c>
      <c r="H9" s="252">
        <f>'Table 1c-Year 2'!E11</f>
        <v>159.94434782608695</v>
      </c>
      <c r="I9" s="256">
        <f>G9*H9</f>
        <v>159.94434782608695</v>
      </c>
      <c r="J9" s="285">
        <f>I9*0.05</f>
        <v>7.9972173913043481</v>
      </c>
      <c r="K9" s="285">
        <f>I9*0.1</f>
        <v>15.994434782608696</v>
      </c>
      <c r="L9" s="286">
        <f>(I9*$F$84)+(J9*$F$85)+(K9*$F$86)</f>
        <v>27810.787316869562</v>
      </c>
      <c r="M9" s="188"/>
      <c r="N9" s="184"/>
      <c r="O9" s="184"/>
      <c r="P9" s="184"/>
    </row>
    <row r="10" spans="1:23" x14ac:dyDescent="0.3">
      <c r="A10" s="424"/>
      <c r="B10" s="491" t="s">
        <v>94</v>
      </c>
      <c r="C10" s="491"/>
      <c r="D10" s="492"/>
      <c r="E10" s="423"/>
      <c r="F10" s="423"/>
      <c r="G10" s="423"/>
      <c r="H10" s="252"/>
      <c r="I10" s="253"/>
      <c r="J10" s="253"/>
      <c r="K10" s="253"/>
      <c r="L10" s="55"/>
    </row>
    <row r="11" spans="1:23" x14ac:dyDescent="0.3">
      <c r="A11" s="424"/>
      <c r="B11" s="425"/>
      <c r="C11" s="254" t="s">
        <v>95</v>
      </c>
      <c r="D11" s="255"/>
      <c r="E11" s="423"/>
      <c r="F11" s="423"/>
      <c r="G11" s="423"/>
      <c r="H11" s="252"/>
      <c r="I11" s="253"/>
      <c r="J11" s="253"/>
      <c r="K11" s="253"/>
      <c r="L11" s="55"/>
    </row>
    <row r="12" spans="1:23" ht="14.5" x14ac:dyDescent="0.3">
      <c r="A12" s="424"/>
      <c r="B12" s="425"/>
      <c r="C12" s="425"/>
      <c r="D12" s="422" t="s">
        <v>96</v>
      </c>
      <c r="E12" s="423">
        <v>27.8</v>
      </c>
      <c r="F12" s="423">
        <v>1</v>
      </c>
      <c r="G12" s="143">
        <f>E12*F12</f>
        <v>27.8</v>
      </c>
      <c r="H12" s="306">
        <f>('%CEMSCPMSvs.testing_2137.13'!Y4+'%CEMSCPMSvs.testing_2137.13'!Y5)*'Table 1c-Year 1'!F11</f>
        <v>192.13314782608694</v>
      </c>
      <c r="I12" s="256">
        <f>G12*H12</f>
        <v>5341.3015095652172</v>
      </c>
      <c r="J12" s="256">
        <f t="shared" ref="J12:J14" si="0">I12*0.05</f>
        <v>267.06507547826089</v>
      </c>
      <c r="K12" s="256">
        <f t="shared" ref="K12:K14" si="1">I12*0.1</f>
        <v>534.13015095652179</v>
      </c>
      <c r="L12" s="128">
        <f t="shared" ref="L12:L18" si="2">(I12*$F$84)+(J12*$F$85)+(K12*$F$86)</f>
        <v>928734.2897500298</v>
      </c>
      <c r="M12" s="239"/>
      <c r="P12" s="338" t="s">
        <v>98</v>
      </c>
      <c r="U12" s="130">
        <v>1340574</v>
      </c>
      <c r="V12" s="130">
        <f>L12/U12</f>
        <v>0.69278852920467637</v>
      </c>
      <c r="W12" s="130">
        <f>H12/V12</f>
        <v>277.33303847662785</v>
      </c>
    </row>
    <row r="13" spans="1:23" ht="14.5" x14ac:dyDescent="0.3">
      <c r="A13" s="424"/>
      <c r="B13" s="425"/>
      <c r="C13" s="425"/>
      <c r="D13" s="422" t="s">
        <v>99</v>
      </c>
      <c r="E13" s="423">
        <v>26.4</v>
      </c>
      <c r="F13" s="423">
        <v>1</v>
      </c>
      <c r="G13" s="143">
        <f t="shared" ref="G13:G14" si="3">E13*F13</f>
        <v>26.4</v>
      </c>
      <c r="H13" s="257">
        <f>'%CEMSCPMSvs.testing_2137.13'!K5*'Table 1c-Year 2'!F11</f>
        <v>52.681669565217391</v>
      </c>
      <c r="I13" s="256">
        <f t="shared" ref="I13:I14" si="4">G13*H13</f>
        <v>1390.796076521739</v>
      </c>
      <c r="J13" s="256">
        <f t="shared" si="0"/>
        <v>69.539803826086953</v>
      </c>
      <c r="K13" s="256">
        <f t="shared" si="1"/>
        <v>139.07960765217391</v>
      </c>
      <c r="L13" s="128">
        <f t="shared" si="2"/>
        <v>241828.70111383926</v>
      </c>
      <c r="M13" s="239"/>
      <c r="U13" s="130">
        <v>247590</v>
      </c>
      <c r="V13" s="130">
        <f>L13/U13</f>
        <v>0.9767304863437104</v>
      </c>
      <c r="W13" s="130">
        <f>H13/V13</f>
        <v>53.93675154179509</v>
      </c>
    </row>
    <row r="14" spans="1:23" ht="14.5" x14ac:dyDescent="0.3">
      <c r="A14" s="424"/>
      <c r="B14" s="425"/>
      <c r="C14" s="425"/>
      <c r="D14" s="422" t="s">
        <v>100</v>
      </c>
      <c r="E14" s="423">
        <v>27.8</v>
      </c>
      <c r="F14" s="423">
        <v>1</v>
      </c>
      <c r="G14" s="143">
        <f t="shared" si="3"/>
        <v>27.8</v>
      </c>
      <c r="H14" s="257">
        <f>'%CEMSCPMSvs.testing_2137.13'!C5*'Table 1c-Year 2'!F11</f>
        <v>74.37412173913043</v>
      </c>
      <c r="I14" s="256">
        <f t="shared" si="4"/>
        <v>2067.600584347826</v>
      </c>
      <c r="J14" s="256">
        <f t="shared" si="0"/>
        <v>103.38002921739131</v>
      </c>
      <c r="K14" s="256">
        <f t="shared" si="1"/>
        <v>206.76005843478262</v>
      </c>
      <c r="L14" s="128">
        <f t="shared" si="2"/>
        <v>359510.04764517286</v>
      </c>
      <c r="M14" s="239"/>
      <c r="P14" s="338"/>
      <c r="U14" s="130">
        <v>411476</v>
      </c>
      <c r="V14" s="130">
        <f>L14/U14</f>
        <v>0.87370842441642493</v>
      </c>
      <c r="W14" s="130">
        <f>H14/V14</f>
        <v>85.124647606330512</v>
      </c>
    </row>
    <row r="15" spans="1:23" ht="14.5" x14ac:dyDescent="0.3">
      <c r="A15" s="424"/>
      <c r="B15" s="425"/>
      <c r="C15" s="425"/>
      <c r="D15" s="422" t="s">
        <v>101</v>
      </c>
      <c r="E15" s="423">
        <v>2.5</v>
      </c>
      <c r="F15" s="423">
        <v>4</v>
      </c>
      <c r="G15" s="145">
        <f t="shared" ref="G15:G18" si="5">E15*F15</f>
        <v>10</v>
      </c>
      <c r="H15" s="252">
        <f>('%CEMSCPMSvs.testing_2137.13'!K3+'%CEMSCPMSvs.testing_2137.13'!K4)*'Table 1c-Year 2'!F11</f>
        <v>257.21050434782615</v>
      </c>
      <c r="I15" s="256">
        <f t="shared" ref="I15:I18" si="6">G15*H15</f>
        <v>2572.1050434782615</v>
      </c>
      <c r="J15" s="256">
        <f t="shared" ref="J15:J18" si="7">I15*0.05</f>
        <v>128.60525217391307</v>
      </c>
      <c r="K15" s="256">
        <f t="shared" ref="K15:K18" si="8">I15*0.1</f>
        <v>257.21050434782615</v>
      </c>
      <c r="L15" s="55">
        <f t="shared" si="2"/>
        <v>447232.22353940876</v>
      </c>
      <c r="M15" s="184"/>
      <c r="O15" s="238"/>
    </row>
    <row r="16" spans="1:23" ht="14.5" x14ac:dyDescent="0.3">
      <c r="A16" s="424"/>
      <c r="B16" s="425"/>
      <c r="C16" s="425"/>
      <c r="D16" s="422" t="s">
        <v>102</v>
      </c>
      <c r="E16" s="423">
        <v>0.4</v>
      </c>
      <c r="F16" s="423">
        <v>365</v>
      </c>
      <c r="G16" s="145">
        <f t="shared" si="5"/>
        <v>146</v>
      </c>
      <c r="H16" s="252">
        <f>H15</f>
        <v>257.21050434782615</v>
      </c>
      <c r="I16" s="256">
        <f t="shared" si="6"/>
        <v>37552.73363478262</v>
      </c>
      <c r="J16" s="285">
        <f t="shared" si="7"/>
        <v>1877.6366817391311</v>
      </c>
      <c r="K16" s="285">
        <f t="shared" si="8"/>
        <v>3755.2733634782621</v>
      </c>
      <c r="L16" s="55">
        <f t="shared" si="2"/>
        <v>6529590.4636753686</v>
      </c>
      <c r="M16" s="184"/>
    </row>
    <row r="17" spans="1:16" ht="14.5" x14ac:dyDescent="0.3">
      <c r="A17" s="424"/>
      <c r="B17" s="425"/>
      <c r="C17" s="425"/>
      <c r="D17" s="422" t="s">
        <v>103</v>
      </c>
      <c r="E17" s="423">
        <v>0.25</v>
      </c>
      <c r="F17" s="423">
        <v>365</v>
      </c>
      <c r="G17" s="144">
        <f t="shared" si="5"/>
        <v>91.25</v>
      </c>
      <c r="H17" s="252">
        <f>H15</f>
        <v>257.21050434782615</v>
      </c>
      <c r="I17" s="256">
        <f t="shared" si="6"/>
        <v>23470.458521739136</v>
      </c>
      <c r="J17" s="287">
        <f t="shared" si="7"/>
        <v>1173.5229260869569</v>
      </c>
      <c r="K17" s="285">
        <f t="shared" si="8"/>
        <v>2347.0458521739138</v>
      </c>
      <c r="L17" s="55">
        <f t="shared" si="2"/>
        <v>4080994.0397971054</v>
      </c>
      <c r="M17" s="184"/>
    </row>
    <row r="18" spans="1:16" ht="14.5" x14ac:dyDescent="0.3">
      <c r="A18" s="424"/>
      <c r="B18" s="425"/>
      <c r="C18" s="425"/>
      <c r="D18" s="422" t="s">
        <v>104</v>
      </c>
      <c r="E18" s="423">
        <v>14</v>
      </c>
      <c r="F18" s="423">
        <v>1</v>
      </c>
      <c r="G18" s="145">
        <f t="shared" si="5"/>
        <v>14</v>
      </c>
      <c r="H18" s="252">
        <f>H15</f>
        <v>257.21050434782615</v>
      </c>
      <c r="I18" s="256">
        <f t="shared" si="6"/>
        <v>3600.947060869566</v>
      </c>
      <c r="J18" s="285">
        <f t="shared" si="7"/>
        <v>180.04735304347832</v>
      </c>
      <c r="K18" s="285">
        <f t="shared" si="8"/>
        <v>360.09470608695665</v>
      </c>
      <c r="L18" s="55">
        <f t="shared" si="2"/>
        <v>626125.11295517231</v>
      </c>
      <c r="M18" s="184"/>
    </row>
    <row r="19" spans="1:16" x14ac:dyDescent="0.3">
      <c r="A19" s="424"/>
      <c r="B19" s="425"/>
      <c r="C19" s="367" t="s">
        <v>105</v>
      </c>
      <c r="D19" s="255"/>
      <c r="E19" s="423"/>
      <c r="F19" s="423"/>
      <c r="G19" s="423"/>
      <c r="H19" s="252"/>
      <c r="I19" s="253"/>
      <c r="J19" s="253"/>
      <c r="K19" s="253"/>
      <c r="L19" s="55"/>
      <c r="P19" s="338"/>
    </row>
    <row r="20" spans="1:16" ht="26" x14ac:dyDescent="0.3">
      <c r="A20" s="424"/>
      <c r="B20" s="425"/>
      <c r="C20" s="425"/>
      <c r="D20" s="422" t="s">
        <v>106</v>
      </c>
      <c r="E20" s="423">
        <v>27.8</v>
      </c>
      <c r="F20" s="423">
        <v>1</v>
      </c>
      <c r="G20" s="143">
        <f>E20*F20</f>
        <v>27.8</v>
      </c>
      <c r="H20" s="307">
        <f>'%CEMSCPMSvs.testing_2137.13'!Y8*'Table 1c-Year 1'!F11</f>
        <v>0</v>
      </c>
      <c r="I20" s="256">
        <f t="shared" ref="I20:I26" si="9">G20*H20</f>
        <v>0</v>
      </c>
      <c r="J20" s="256">
        <f t="shared" ref="J20:J26" si="10">I20*0.05</f>
        <v>0</v>
      </c>
      <c r="K20" s="256">
        <f t="shared" ref="K20:K26" si="11">I20*0.1</f>
        <v>0</v>
      </c>
      <c r="L20" s="128">
        <f t="shared" ref="L20:L26" si="12">(I20*$F$84)+(J20*$F$85)+(K20*$F$86)</f>
        <v>0</v>
      </c>
      <c r="N20" s="240"/>
      <c r="O20" s="238"/>
      <c r="P20" s="338" t="s">
        <v>107</v>
      </c>
    </row>
    <row r="21" spans="1:16" x14ac:dyDescent="0.3">
      <c r="A21" s="424"/>
      <c r="B21" s="425"/>
      <c r="C21" s="425"/>
      <c r="D21" s="422" t="s">
        <v>108</v>
      </c>
      <c r="E21" s="423">
        <v>26.4</v>
      </c>
      <c r="F21" s="423">
        <v>1</v>
      </c>
      <c r="G21" s="143">
        <f>E21*F21</f>
        <v>26.4</v>
      </c>
      <c r="H21" s="252">
        <f>H7*0</f>
        <v>0</v>
      </c>
      <c r="I21" s="256">
        <f>G21*H21</f>
        <v>0</v>
      </c>
      <c r="J21" s="256">
        <f>I21*0.05</f>
        <v>0</v>
      </c>
      <c r="K21" s="256">
        <f>I21*0.1</f>
        <v>0</v>
      </c>
      <c r="L21" s="128">
        <f t="shared" si="12"/>
        <v>0</v>
      </c>
      <c r="P21" s="338"/>
    </row>
    <row r="22" spans="1:16" x14ac:dyDescent="0.3">
      <c r="A22" s="424"/>
      <c r="B22" s="425"/>
      <c r="C22" s="425"/>
      <c r="D22" s="422" t="s">
        <v>109</v>
      </c>
      <c r="E22" s="423">
        <v>27.8</v>
      </c>
      <c r="F22" s="423">
        <v>1</v>
      </c>
      <c r="G22" s="143">
        <f t="shared" ref="G22:G26" si="13">E22*F22</f>
        <v>27.8</v>
      </c>
      <c r="H22" s="252">
        <f>H7*0</f>
        <v>0</v>
      </c>
      <c r="I22" s="256">
        <f t="shared" si="9"/>
        <v>0</v>
      </c>
      <c r="J22" s="256">
        <f t="shared" si="10"/>
        <v>0</v>
      </c>
      <c r="K22" s="256">
        <f t="shared" si="11"/>
        <v>0</v>
      </c>
      <c r="L22" s="128">
        <f t="shared" si="12"/>
        <v>0</v>
      </c>
      <c r="N22" s="238"/>
      <c r="P22" s="338"/>
    </row>
    <row r="23" spans="1:16" x14ac:dyDescent="0.3">
      <c r="A23" s="424"/>
      <c r="B23" s="425"/>
      <c r="C23" s="425"/>
      <c r="D23" s="422" t="s">
        <v>110</v>
      </c>
      <c r="E23" s="423">
        <v>2.46</v>
      </c>
      <c r="F23" s="423">
        <v>4</v>
      </c>
      <c r="G23" s="144">
        <f t="shared" si="13"/>
        <v>9.84</v>
      </c>
      <c r="H23" s="307">
        <f>'Regulated Sources_Overview'!D131*'Table 1c-Year 2'!F11</f>
        <v>0</v>
      </c>
      <c r="I23" s="256">
        <f t="shared" ref="I23" si="14">G23*H23</f>
        <v>0</v>
      </c>
      <c r="J23" s="256">
        <f t="shared" si="10"/>
        <v>0</v>
      </c>
      <c r="K23" s="256">
        <f t="shared" ref="K23" si="15">I23*0.1</f>
        <v>0</v>
      </c>
      <c r="L23" s="128">
        <f t="shared" si="12"/>
        <v>0</v>
      </c>
      <c r="N23" s="238"/>
    </row>
    <row r="24" spans="1:16" x14ac:dyDescent="0.3">
      <c r="A24" s="424"/>
      <c r="B24" s="425"/>
      <c r="C24" s="425"/>
      <c r="D24" s="422" t="s">
        <v>111</v>
      </c>
      <c r="E24" s="423">
        <f>ROUND(0.121,2)</f>
        <v>0.12</v>
      </c>
      <c r="F24" s="423">
        <v>365</v>
      </c>
      <c r="G24" s="143">
        <f t="shared" si="13"/>
        <v>43.8</v>
      </c>
      <c r="H24" s="307">
        <f>H23</f>
        <v>0</v>
      </c>
      <c r="I24" s="256">
        <f t="shared" si="9"/>
        <v>0</v>
      </c>
      <c r="J24" s="256">
        <f t="shared" si="10"/>
        <v>0</v>
      </c>
      <c r="K24" s="256">
        <f t="shared" si="11"/>
        <v>0</v>
      </c>
      <c r="L24" s="128">
        <f t="shared" si="12"/>
        <v>0</v>
      </c>
    </row>
    <row r="25" spans="1:16" x14ac:dyDescent="0.3">
      <c r="A25" s="424"/>
      <c r="B25" s="425"/>
      <c r="C25" s="425"/>
      <c r="D25" s="422" t="s">
        <v>112</v>
      </c>
      <c r="E25" s="423">
        <v>0</v>
      </c>
      <c r="F25" s="423">
        <v>365</v>
      </c>
      <c r="G25" s="145">
        <f t="shared" si="13"/>
        <v>0</v>
      </c>
      <c r="H25" s="307">
        <f>H23</f>
        <v>0</v>
      </c>
      <c r="I25" s="256">
        <f t="shared" si="9"/>
        <v>0</v>
      </c>
      <c r="J25" s="256">
        <f t="shared" si="10"/>
        <v>0</v>
      </c>
      <c r="K25" s="256">
        <f t="shared" si="11"/>
        <v>0</v>
      </c>
      <c r="L25" s="128">
        <f t="shared" si="12"/>
        <v>0</v>
      </c>
    </row>
    <row r="26" spans="1:16" x14ac:dyDescent="0.3">
      <c r="A26" s="424"/>
      <c r="B26" s="425"/>
      <c r="C26" s="425"/>
      <c r="D26" s="422" t="s">
        <v>113</v>
      </c>
      <c r="E26" s="423">
        <v>7.3</v>
      </c>
      <c r="F26" s="423">
        <v>365</v>
      </c>
      <c r="G26" s="143">
        <f t="shared" si="13"/>
        <v>2664.5</v>
      </c>
      <c r="H26" s="307">
        <f>H23</f>
        <v>0</v>
      </c>
      <c r="I26" s="256">
        <f t="shared" si="9"/>
        <v>0</v>
      </c>
      <c r="J26" s="256">
        <f t="shared" si="10"/>
        <v>0</v>
      </c>
      <c r="K26" s="256">
        <f t="shared" si="11"/>
        <v>0</v>
      </c>
      <c r="L26" s="128">
        <f t="shared" si="12"/>
        <v>0</v>
      </c>
    </row>
    <row r="27" spans="1:16" x14ac:dyDescent="0.3">
      <c r="A27" s="424"/>
      <c r="B27" s="491" t="s">
        <v>114</v>
      </c>
      <c r="C27" s="491"/>
      <c r="D27" s="492"/>
      <c r="E27" s="251" t="s">
        <v>115</v>
      </c>
      <c r="F27" s="423"/>
      <c r="G27" s="423"/>
      <c r="H27" s="257"/>
      <c r="I27" s="253"/>
      <c r="J27" s="253"/>
      <c r="K27" s="253"/>
      <c r="L27" s="55"/>
    </row>
    <row r="28" spans="1:16" x14ac:dyDescent="0.3">
      <c r="A28" s="424"/>
      <c r="B28" s="491" t="s">
        <v>116</v>
      </c>
      <c r="C28" s="491"/>
      <c r="D28" s="492"/>
      <c r="E28" s="251" t="s">
        <v>117</v>
      </c>
      <c r="F28" s="423"/>
      <c r="G28" s="423"/>
      <c r="H28" s="257"/>
      <c r="I28" s="253"/>
      <c r="J28" s="253"/>
      <c r="K28" s="253"/>
      <c r="L28" s="55"/>
    </row>
    <row r="29" spans="1:16" x14ac:dyDescent="0.3">
      <c r="A29" s="424"/>
      <c r="B29" s="491" t="s">
        <v>118</v>
      </c>
      <c r="C29" s="491"/>
      <c r="D29" s="492"/>
      <c r="E29" s="423"/>
      <c r="F29" s="423"/>
      <c r="G29" s="423"/>
      <c r="H29" s="257"/>
      <c r="I29" s="253"/>
      <c r="J29" s="253"/>
      <c r="K29" s="253"/>
      <c r="L29" s="55"/>
    </row>
    <row r="30" spans="1:16" x14ac:dyDescent="0.3">
      <c r="A30" s="424"/>
      <c r="B30" s="425"/>
      <c r="C30" s="254" t="s">
        <v>95</v>
      </c>
      <c r="D30" s="255"/>
      <c r="E30" s="423"/>
      <c r="F30" s="423"/>
      <c r="G30" s="423"/>
      <c r="H30" s="252"/>
      <c r="I30" s="253"/>
      <c r="J30" s="253"/>
      <c r="K30" s="253"/>
      <c r="L30" s="55"/>
    </row>
    <row r="31" spans="1:16" x14ac:dyDescent="0.3">
      <c r="A31" s="424"/>
      <c r="B31" s="425"/>
      <c r="C31" s="425"/>
      <c r="D31" s="422" t="s">
        <v>119</v>
      </c>
      <c r="E31" s="423">
        <v>5</v>
      </c>
      <c r="F31" s="423">
        <v>1</v>
      </c>
      <c r="G31" s="423">
        <f>E31*F31</f>
        <v>5</v>
      </c>
      <c r="H31" s="252">
        <v>0</v>
      </c>
      <c r="I31" s="256">
        <f t="shared" ref="I31" si="16">G31*H31</f>
        <v>0</v>
      </c>
      <c r="J31" s="256">
        <f t="shared" ref="J31:J39" si="17">I31*0.05</f>
        <v>0</v>
      </c>
      <c r="K31" s="256">
        <f t="shared" ref="K31" si="18">I31*0.1</f>
        <v>0</v>
      </c>
      <c r="L31" s="128">
        <f>(I31*$F$84)+(J31*$F$85)+(K31*$F$86)</f>
        <v>0</v>
      </c>
    </row>
    <row r="32" spans="1:16" x14ac:dyDescent="0.3">
      <c r="A32" s="424"/>
      <c r="B32" s="425"/>
      <c r="C32" s="425"/>
      <c r="D32" s="422" t="s">
        <v>120</v>
      </c>
      <c r="E32" s="423">
        <v>3</v>
      </c>
      <c r="F32" s="423">
        <v>1</v>
      </c>
      <c r="G32" s="423">
        <f>E32*F32</f>
        <v>3</v>
      </c>
      <c r="H32" s="252">
        <v>0</v>
      </c>
      <c r="I32" s="256">
        <f t="shared" ref="I32" si="19">G32*H32</f>
        <v>0</v>
      </c>
      <c r="J32" s="256">
        <f>I32*0.05</f>
        <v>0</v>
      </c>
      <c r="K32" s="256">
        <f t="shared" ref="K32" si="20">I32*0.1</f>
        <v>0</v>
      </c>
      <c r="L32" s="128">
        <f>(I32*$F$84)+(J32*$F$85)+(K32*$F$86)</f>
        <v>0</v>
      </c>
    </row>
    <row r="33" spans="1:16" x14ac:dyDescent="0.3">
      <c r="A33" s="424"/>
      <c r="B33" s="425"/>
      <c r="C33" s="425"/>
      <c r="D33" s="422" t="s">
        <v>121</v>
      </c>
      <c r="E33" s="251" t="s">
        <v>115</v>
      </c>
      <c r="F33" s="423"/>
      <c r="G33" s="423"/>
      <c r="H33" s="258"/>
      <c r="I33" s="253"/>
      <c r="J33" s="253"/>
      <c r="K33" s="253"/>
      <c r="L33" s="55"/>
    </row>
    <row r="34" spans="1:16" x14ac:dyDescent="0.3">
      <c r="A34" s="424"/>
      <c r="B34" s="425"/>
      <c r="C34" s="425"/>
      <c r="D34" s="422" t="s">
        <v>122</v>
      </c>
      <c r="E34" s="423">
        <v>16.5</v>
      </c>
      <c r="F34" s="423">
        <v>1</v>
      </c>
      <c r="G34" s="423">
        <f>E34*F34</f>
        <v>16.5</v>
      </c>
      <c r="H34" s="252">
        <v>0</v>
      </c>
      <c r="I34" s="256">
        <f>G34*H34</f>
        <v>0</v>
      </c>
      <c r="J34" s="256">
        <f>I34*0.05</f>
        <v>0</v>
      </c>
      <c r="K34" s="256">
        <f>I34*0.1</f>
        <v>0</v>
      </c>
      <c r="L34" s="128">
        <f t="shared" ref="L34:L39" si="21">(I34*$F$84)+(J34*$F$85)+(K34*$F$86)</f>
        <v>0</v>
      </c>
    </row>
    <row r="35" spans="1:16" x14ac:dyDescent="0.3">
      <c r="A35" s="424"/>
      <c r="B35" s="425"/>
      <c r="C35" s="425"/>
      <c r="D35" s="422" t="s">
        <v>123</v>
      </c>
      <c r="E35" s="423">
        <v>4</v>
      </c>
      <c r="F35" s="423">
        <v>1</v>
      </c>
      <c r="G35" s="423">
        <f t="shared" ref="G35:G39" si="22">E35*F35</f>
        <v>4</v>
      </c>
      <c r="H35" s="252">
        <v>0</v>
      </c>
      <c r="I35" s="256">
        <f t="shared" ref="I35" si="23">G35*H35</f>
        <v>0</v>
      </c>
      <c r="J35" s="256">
        <f t="shared" si="17"/>
        <v>0</v>
      </c>
      <c r="K35" s="256">
        <f t="shared" ref="K35" si="24">I35*0.1</f>
        <v>0</v>
      </c>
      <c r="L35" s="128">
        <f t="shared" si="21"/>
        <v>0</v>
      </c>
    </row>
    <row r="36" spans="1:16" x14ac:dyDescent="0.3">
      <c r="A36" s="424"/>
      <c r="B36" s="425"/>
      <c r="C36" s="425"/>
      <c r="D36" s="422" t="s">
        <v>124</v>
      </c>
      <c r="E36" s="423">
        <v>10</v>
      </c>
      <c r="F36" s="423">
        <v>1</v>
      </c>
      <c r="G36" s="423">
        <f t="shared" si="22"/>
        <v>10</v>
      </c>
      <c r="H36" s="263">
        <f>H37*0.1</f>
        <v>30.989217391304347</v>
      </c>
      <c r="I36" s="256">
        <f>G36*H36</f>
        <v>309.89217391304345</v>
      </c>
      <c r="J36" s="285">
        <f>I36*0.05</f>
        <v>15.494608695652174</v>
      </c>
      <c r="K36" s="285">
        <f t="shared" ref="K36" si="25">I36*0.1</f>
        <v>30.989217391304347</v>
      </c>
      <c r="L36" s="55">
        <f t="shared" si="21"/>
        <v>53883.400426434775</v>
      </c>
      <c r="M36" s="184"/>
    </row>
    <row r="37" spans="1:16" x14ac:dyDescent="0.3">
      <c r="A37" s="424"/>
      <c r="B37" s="425"/>
      <c r="C37" s="425"/>
      <c r="D37" s="422" t="s">
        <v>125</v>
      </c>
      <c r="E37" s="249">
        <v>65</v>
      </c>
      <c r="F37" s="423">
        <v>2</v>
      </c>
      <c r="G37" s="423">
        <f t="shared" si="22"/>
        <v>130</v>
      </c>
      <c r="H37" s="252">
        <f>'Regulated Sources_Overview'!D148</f>
        <v>309.89217391304345</v>
      </c>
      <c r="I37" s="256">
        <f t="shared" ref="I37:I39" si="26">G37*H37</f>
        <v>40285.982608695645</v>
      </c>
      <c r="J37" s="256">
        <f t="shared" si="17"/>
        <v>2014.2991304347825</v>
      </c>
      <c r="K37" s="256">
        <f t="shared" ref="K37:K39" si="27">I37*0.1</f>
        <v>4028.5982608695649</v>
      </c>
      <c r="L37" s="55">
        <f t="shared" si="21"/>
        <v>7004842.0554365199</v>
      </c>
      <c r="M37" s="184"/>
      <c r="N37" s="338"/>
      <c r="P37" s="338"/>
    </row>
    <row r="38" spans="1:16" x14ac:dyDescent="0.3">
      <c r="A38" s="424"/>
      <c r="B38" s="425"/>
      <c r="C38" s="425"/>
      <c r="D38" s="422" t="s">
        <v>126</v>
      </c>
      <c r="E38" s="423">
        <v>20</v>
      </c>
      <c r="F38" s="423">
        <v>1</v>
      </c>
      <c r="G38" s="423">
        <f t="shared" si="22"/>
        <v>20</v>
      </c>
      <c r="H38" s="252">
        <f>H37</f>
        <v>309.89217391304345</v>
      </c>
      <c r="I38" s="256">
        <f t="shared" si="26"/>
        <v>6197.8434782608692</v>
      </c>
      <c r="J38" s="256">
        <f t="shared" si="17"/>
        <v>309.89217391304351</v>
      </c>
      <c r="K38" s="256">
        <f t="shared" si="27"/>
        <v>619.78434782608701</v>
      </c>
      <c r="L38" s="128">
        <f t="shared" si="21"/>
        <v>1077668.0085286957</v>
      </c>
      <c r="M38" s="239"/>
      <c r="N38" s="338"/>
      <c r="P38" s="338"/>
    </row>
    <row r="39" spans="1:16" x14ac:dyDescent="0.3">
      <c r="A39" s="424"/>
      <c r="B39" s="425"/>
      <c r="C39" s="425"/>
      <c r="D39" s="422" t="s">
        <v>127</v>
      </c>
      <c r="E39" s="423">
        <v>5</v>
      </c>
      <c r="F39" s="423">
        <v>1</v>
      </c>
      <c r="G39" s="423">
        <f t="shared" si="22"/>
        <v>5</v>
      </c>
      <c r="H39" s="263">
        <f>H38*0.1</f>
        <v>30.989217391304347</v>
      </c>
      <c r="I39" s="256">
        <f t="shared" si="26"/>
        <v>154.94608695652173</v>
      </c>
      <c r="J39" s="256">
        <f t="shared" si="17"/>
        <v>7.7473043478260868</v>
      </c>
      <c r="K39" s="256">
        <f t="shared" si="27"/>
        <v>15.494608695652174</v>
      </c>
      <c r="L39" s="128">
        <f t="shared" si="21"/>
        <v>26941.700213217387</v>
      </c>
      <c r="P39" s="338"/>
    </row>
    <row r="40" spans="1:16" x14ac:dyDescent="0.3">
      <c r="A40" s="424"/>
      <c r="B40" s="425"/>
      <c r="C40" s="367" t="s">
        <v>105</v>
      </c>
      <c r="D40" s="255"/>
      <c r="E40" s="423"/>
      <c r="F40" s="423"/>
      <c r="G40" s="423"/>
      <c r="H40" s="252"/>
      <c r="I40" s="253"/>
      <c r="J40" s="253"/>
      <c r="K40" s="253"/>
      <c r="L40" s="55"/>
    </row>
    <row r="41" spans="1:16" x14ac:dyDescent="0.3">
      <c r="A41" s="424"/>
      <c r="B41" s="425"/>
      <c r="C41" s="425"/>
      <c r="D41" s="422" t="s">
        <v>128</v>
      </c>
      <c r="E41" s="423">
        <v>3</v>
      </c>
      <c r="F41" s="423">
        <v>1</v>
      </c>
      <c r="G41" s="423">
        <f>E41*F41</f>
        <v>3</v>
      </c>
      <c r="H41" s="307">
        <f>H20</f>
        <v>0</v>
      </c>
      <c r="I41" s="256">
        <f t="shared" ref="I41:I42" si="28">G41*H41</f>
        <v>0</v>
      </c>
      <c r="J41" s="256">
        <f t="shared" ref="J41:J42" si="29">I41*0.05</f>
        <v>0</v>
      </c>
      <c r="K41" s="256">
        <f t="shared" ref="K41:K42" si="30">I41*0.1</f>
        <v>0</v>
      </c>
      <c r="L41" s="128">
        <f t="shared" ref="L41:L42" si="31">(I41*$F$84)+(J41*$F$85)+(K41*$F$86)</f>
        <v>0</v>
      </c>
    </row>
    <row r="42" spans="1:16" x14ac:dyDescent="0.3">
      <c r="A42" s="424"/>
      <c r="B42" s="425"/>
      <c r="C42" s="425"/>
      <c r="D42" s="422" t="s">
        <v>119</v>
      </c>
      <c r="E42" s="423">
        <v>5</v>
      </c>
      <c r="F42" s="423">
        <v>1</v>
      </c>
      <c r="G42" s="423">
        <f>E42*F42</f>
        <v>5</v>
      </c>
      <c r="H42" s="307">
        <f>H23</f>
        <v>0</v>
      </c>
      <c r="I42" s="256">
        <f t="shared" si="28"/>
        <v>0</v>
      </c>
      <c r="J42" s="256">
        <f t="shared" si="29"/>
        <v>0</v>
      </c>
      <c r="K42" s="256">
        <f t="shared" si="30"/>
        <v>0</v>
      </c>
      <c r="L42" s="128">
        <f t="shared" si="31"/>
        <v>0</v>
      </c>
    </row>
    <row r="43" spans="1:16" x14ac:dyDescent="0.3">
      <c r="A43" s="424"/>
      <c r="B43" s="425"/>
      <c r="C43" s="425"/>
      <c r="D43" s="422" t="s">
        <v>120</v>
      </c>
      <c r="E43" s="423">
        <v>4</v>
      </c>
      <c r="F43" s="423">
        <v>1</v>
      </c>
      <c r="G43" s="423">
        <f>E43*F43</f>
        <v>4</v>
      </c>
      <c r="H43" s="307">
        <f>H42</f>
        <v>0</v>
      </c>
      <c r="I43" s="256">
        <f>G43*H43</f>
        <v>0</v>
      </c>
      <c r="J43" s="256">
        <f>I43*0.05</f>
        <v>0</v>
      </c>
      <c r="K43" s="256">
        <f>I43*0.1</f>
        <v>0</v>
      </c>
      <c r="L43" s="128">
        <f>(I43*$F$84)+(J43*$F$85)+(K43*$F$86)</f>
        <v>0</v>
      </c>
    </row>
    <row r="44" spans="1:16" x14ac:dyDescent="0.3">
      <c r="A44" s="424"/>
      <c r="B44" s="425"/>
      <c r="C44" s="425"/>
      <c r="D44" s="422" t="s">
        <v>121</v>
      </c>
      <c r="E44" s="251" t="s">
        <v>115</v>
      </c>
      <c r="F44" s="423"/>
      <c r="G44" s="423"/>
      <c r="H44" s="306"/>
      <c r="I44" s="253"/>
      <c r="J44" s="253"/>
      <c r="K44" s="253"/>
      <c r="L44" s="55"/>
    </row>
    <row r="45" spans="1:16" x14ac:dyDescent="0.3">
      <c r="A45" s="424"/>
      <c r="B45" s="425"/>
      <c r="C45" s="425"/>
      <c r="D45" s="422" t="s">
        <v>122</v>
      </c>
      <c r="E45" s="423">
        <v>16.5</v>
      </c>
      <c r="F45" s="423">
        <v>1</v>
      </c>
      <c r="G45" s="423">
        <f>E45*F45</f>
        <v>16.5</v>
      </c>
      <c r="H45" s="307">
        <f>H41</f>
        <v>0</v>
      </c>
      <c r="I45" s="256">
        <f>G45*H45</f>
        <v>0</v>
      </c>
      <c r="J45" s="256">
        <f>I45*0.05</f>
        <v>0</v>
      </c>
      <c r="K45" s="256">
        <f>I45*0.1</f>
        <v>0</v>
      </c>
      <c r="L45" s="128">
        <f t="shared" ref="L45:L50" si="32">(I45*$F$84)+(J45*$F$85)+(K45*$F$86)</f>
        <v>0</v>
      </c>
    </row>
    <row r="46" spans="1:16" x14ac:dyDescent="0.3">
      <c r="A46" s="424"/>
      <c r="B46" s="425"/>
      <c r="C46" s="425"/>
      <c r="D46" s="422" t="s">
        <v>123</v>
      </c>
      <c r="E46" s="423">
        <v>3</v>
      </c>
      <c r="F46" s="423">
        <v>1</v>
      </c>
      <c r="G46" s="423">
        <f t="shared" ref="G46" si="33">E46*F46</f>
        <v>3</v>
      </c>
      <c r="H46" s="307">
        <f>H41</f>
        <v>0</v>
      </c>
      <c r="I46" s="256">
        <f t="shared" ref="I46:I50" si="34">G46*H46</f>
        <v>0</v>
      </c>
      <c r="J46" s="256">
        <f t="shared" ref="J46:J50" si="35">I46*0.05</f>
        <v>0</v>
      </c>
      <c r="K46" s="256">
        <f t="shared" ref="K46:K50" si="36">I46*0.1</f>
        <v>0</v>
      </c>
      <c r="L46" s="128">
        <f t="shared" si="32"/>
        <v>0</v>
      </c>
    </row>
    <row r="47" spans="1:16" x14ac:dyDescent="0.3">
      <c r="A47" s="424"/>
      <c r="B47" s="425"/>
      <c r="C47" s="425"/>
      <c r="D47" s="422" t="s">
        <v>124</v>
      </c>
      <c r="E47" s="423">
        <v>10</v>
      </c>
      <c r="F47" s="423">
        <v>1</v>
      </c>
      <c r="G47" s="423">
        <f t="shared" ref="G47" si="37">E47*F47</f>
        <v>10</v>
      </c>
      <c r="H47" s="378">
        <f>0.1*H41</f>
        <v>0</v>
      </c>
      <c r="I47" s="256">
        <f t="shared" si="34"/>
        <v>0</v>
      </c>
      <c r="J47" s="256">
        <f t="shared" si="35"/>
        <v>0</v>
      </c>
      <c r="K47" s="256">
        <f t="shared" si="36"/>
        <v>0</v>
      </c>
      <c r="L47" s="128">
        <f t="shared" si="32"/>
        <v>0</v>
      </c>
    </row>
    <row r="48" spans="1:16" x14ac:dyDescent="0.3">
      <c r="A48" s="424"/>
      <c r="B48" s="425"/>
      <c r="C48" s="425"/>
      <c r="D48" s="422" t="s">
        <v>125</v>
      </c>
      <c r="E48" s="423">
        <v>75</v>
      </c>
      <c r="F48" s="423">
        <v>2</v>
      </c>
      <c r="G48" s="423">
        <f>E48*F48</f>
        <v>150</v>
      </c>
      <c r="H48" s="307">
        <f>H20</f>
        <v>0</v>
      </c>
      <c r="I48" s="256">
        <f t="shared" si="34"/>
        <v>0</v>
      </c>
      <c r="J48" s="256">
        <f t="shared" si="35"/>
        <v>0</v>
      </c>
      <c r="K48" s="256">
        <f t="shared" si="36"/>
        <v>0</v>
      </c>
      <c r="L48" s="128">
        <f t="shared" si="32"/>
        <v>0</v>
      </c>
      <c r="P48" s="338"/>
    </row>
    <row r="49" spans="1:16" x14ac:dyDescent="0.3">
      <c r="A49" s="424"/>
      <c r="B49" s="425"/>
      <c r="C49" s="425"/>
      <c r="D49" s="422" t="s">
        <v>126</v>
      </c>
      <c r="E49" s="423">
        <v>20</v>
      </c>
      <c r="F49" s="423">
        <v>1</v>
      </c>
      <c r="G49" s="423">
        <f>E49*F49</f>
        <v>20</v>
      </c>
      <c r="H49" s="307">
        <f>H41</f>
        <v>0</v>
      </c>
      <c r="I49" s="256">
        <f t="shared" si="34"/>
        <v>0</v>
      </c>
      <c r="J49" s="256">
        <f t="shared" si="35"/>
        <v>0</v>
      </c>
      <c r="K49" s="256">
        <f t="shared" si="36"/>
        <v>0</v>
      </c>
      <c r="L49" s="128">
        <f t="shared" si="32"/>
        <v>0</v>
      </c>
      <c r="P49" s="338"/>
    </row>
    <row r="50" spans="1:16" x14ac:dyDescent="0.3">
      <c r="A50" s="424"/>
      <c r="B50" s="425"/>
      <c r="C50" s="425"/>
      <c r="D50" s="422" t="s">
        <v>127</v>
      </c>
      <c r="E50" s="423">
        <v>5</v>
      </c>
      <c r="F50" s="423">
        <v>1</v>
      </c>
      <c r="G50" s="423">
        <f>E50*F50</f>
        <v>5</v>
      </c>
      <c r="H50" s="378">
        <f>H41*0.1</f>
        <v>0</v>
      </c>
      <c r="I50" s="256">
        <f t="shared" si="34"/>
        <v>0</v>
      </c>
      <c r="J50" s="256">
        <f t="shared" si="35"/>
        <v>0</v>
      </c>
      <c r="K50" s="256">
        <f t="shared" si="36"/>
        <v>0</v>
      </c>
      <c r="L50" s="128">
        <f t="shared" si="32"/>
        <v>0</v>
      </c>
      <c r="P50" s="338"/>
    </row>
    <row r="51" spans="1:16" s="134" customFormat="1" x14ac:dyDescent="0.3">
      <c r="A51" s="146" t="s">
        <v>129</v>
      </c>
      <c r="B51" s="147"/>
      <c r="C51" s="148"/>
      <c r="D51" s="148"/>
      <c r="E51" s="148"/>
      <c r="F51" s="421"/>
      <c r="G51" s="149"/>
      <c r="H51" s="149"/>
      <c r="I51" s="490">
        <f>SUM(I7:K50)</f>
        <v>141570.23379600004</v>
      </c>
      <c r="J51" s="490"/>
      <c r="K51" s="490"/>
      <c r="L51" s="288">
        <f>SUM(L7:L50)</f>
        <v>21405160.830397829</v>
      </c>
      <c r="M51" s="186"/>
    </row>
    <row r="52" spans="1:16" x14ac:dyDescent="0.3">
      <c r="A52" s="498" t="s">
        <v>130</v>
      </c>
      <c r="B52" s="499"/>
      <c r="C52" s="499"/>
      <c r="D52" s="491"/>
      <c r="E52" s="423"/>
      <c r="F52" s="423"/>
      <c r="G52" s="423"/>
      <c r="H52" s="252"/>
      <c r="I52" s="253"/>
      <c r="J52" s="253"/>
      <c r="K52" s="253"/>
      <c r="L52" s="55"/>
    </row>
    <row r="53" spans="1:16" ht="12.75" customHeight="1" x14ac:dyDescent="0.3">
      <c r="A53" s="424"/>
      <c r="B53" s="491" t="s">
        <v>92</v>
      </c>
      <c r="C53" s="491"/>
      <c r="D53" s="492"/>
      <c r="E53" s="251" t="s">
        <v>131</v>
      </c>
      <c r="F53" s="423"/>
      <c r="G53" s="423"/>
      <c r="H53" s="252"/>
      <c r="I53" s="253"/>
      <c r="J53" s="253"/>
      <c r="K53" s="253"/>
      <c r="L53" s="55"/>
    </row>
    <row r="54" spans="1:16" x14ac:dyDescent="0.3">
      <c r="A54" s="424"/>
      <c r="B54" s="491" t="s">
        <v>132</v>
      </c>
      <c r="C54" s="491"/>
      <c r="D54" s="492"/>
      <c r="E54" s="251" t="s">
        <v>115</v>
      </c>
      <c r="F54" s="423"/>
      <c r="G54" s="423"/>
      <c r="H54" s="252"/>
      <c r="I54" s="253"/>
      <c r="J54" s="253"/>
      <c r="K54" s="253"/>
      <c r="L54" s="55"/>
    </row>
    <row r="55" spans="1:16" x14ac:dyDescent="0.3">
      <c r="A55" s="424"/>
      <c r="B55" s="491" t="s">
        <v>133</v>
      </c>
      <c r="C55" s="491"/>
      <c r="D55" s="492"/>
      <c r="E55" s="251" t="s">
        <v>115</v>
      </c>
      <c r="F55" s="423"/>
      <c r="G55" s="423"/>
      <c r="H55" s="252"/>
      <c r="I55" s="253"/>
      <c r="J55" s="253"/>
      <c r="K55" s="253"/>
      <c r="L55" s="55"/>
    </row>
    <row r="56" spans="1:16" x14ac:dyDescent="0.3">
      <c r="A56" s="424"/>
      <c r="B56" s="491" t="s">
        <v>134</v>
      </c>
      <c r="C56" s="491"/>
      <c r="D56" s="492"/>
      <c r="E56" s="251" t="s">
        <v>12</v>
      </c>
      <c r="F56" s="423"/>
      <c r="G56" s="423"/>
      <c r="H56" s="252"/>
      <c r="I56" s="253"/>
      <c r="J56" s="253"/>
      <c r="K56" s="253"/>
      <c r="L56" s="55"/>
    </row>
    <row r="57" spans="1:16" x14ac:dyDescent="0.3">
      <c r="A57" s="424"/>
      <c r="B57" s="491" t="s">
        <v>135</v>
      </c>
      <c r="C57" s="491"/>
      <c r="D57" s="492"/>
      <c r="E57" s="423"/>
      <c r="F57" s="423"/>
      <c r="G57" s="423"/>
      <c r="H57" s="252"/>
      <c r="I57" s="253"/>
      <c r="J57" s="253"/>
      <c r="K57" s="253"/>
      <c r="L57" s="55"/>
    </row>
    <row r="58" spans="1:16" x14ac:dyDescent="0.3">
      <c r="A58" s="424"/>
      <c r="B58" s="425"/>
      <c r="C58" s="254" t="s">
        <v>95</v>
      </c>
      <c r="D58" s="255"/>
      <c r="E58" s="423"/>
      <c r="F58" s="423"/>
      <c r="G58" s="423"/>
      <c r="H58" s="252"/>
      <c r="I58" s="253"/>
      <c r="J58" s="253"/>
      <c r="K58" s="253"/>
      <c r="L58" s="55"/>
    </row>
    <row r="59" spans="1:16" x14ac:dyDescent="0.3">
      <c r="A59" s="424"/>
      <c r="B59" s="425"/>
      <c r="C59" s="425"/>
      <c r="D59" s="422" t="s">
        <v>136</v>
      </c>
      <c r="E59" s="423">
        <v>1</v>
      </c>
      <c r="F59" s="423">
        <v>12</v>
      </c>
      <c r="G59" s="423">
        <f t="shared" ref="G59:G66" si="38">E59*F59</f>
        <v>12</v>
      </c>
      <c r="H59" s="263">
        <f>H61*0.1</f>
        <v>30.989217391304347</v>
      </c>
      <c r="I59" s="256">
        <f>G59*H59</f>
        <v>371.87060869565215</v>
      </c>
      <c r="J59" s="285">
        <f t="shared" ref="J59:J61" si="39">I59*0.05</f>
        <v>18.593530434782608</v>
      </c>
      <c r="K59" s="285">
        <f t="shared" ref="K59:K61" si="40">I59*0.1</f>
        <v>37.187060869565215</v>
      </c>
      <c r="L59" s="55">
        <f t="shared" ref="L59:L60" si="41">(I59*$F$84)+(J59*$F$85)+(K59*$F$86)</f>
        <v>64660.080511721731</v>
      </c>
      <c r="M59" s="184"/>
    </row>
    <row r="60" spans="1:16" x14ac:dyDescent="0.3">
      <c r="A60" s="424"/>
      <c r="B60" s="425"/>
      <c r="C60" s="425"/>
      <c r="D60" s="422" t="s">
        <v>137</v>
      </c>
      <c r="E60" s="423">
        <v>1</v>
      </c>
      <c r="F60" s="423">
        <v>12</v>
      </c>
      <c r="G60" s="423">
        <f t="shared" si="38"/>
        <v>12</v>
      </c>
      <c r="H60" s="263">
        <f>H61*0.1</f>
        <v>30.989217391304347</v>
      </c>
      <c r="I60" s="256">
        <f t="shared" ref="I60:I61" si="42">G60*H60</f>
        <v>371.87060869565215</v>
      </c>
      <c r="J60" s="285">
        <f t="shared" si="39"/>
        <v>18.593530434782608</v>
      </c>
      <c r="K60" s="285">
        <f t="shared" si="40"/>
        <v>37.187060869565215</v>
      </c>
      <c r="L60" s="55">
        <f t="shared" si="41"/>
        <v>64660.080511721731</v>
      </c>
      <c r="M60" s="184"/>
    </row>
    <row r="61" spans="1:16" x14ac:dyDescent="0.3">
      <c r="A61" s="424"/>
      <c r="B61" s="425"/>
      <c r="C61" s="425"/>
      <c r="D61" s="422" t="s">
        <v>138</v>
      </c>
      <c r="E61" s="423">
        <v>2</v>
      </c>
      <c r="F61" s="423">
        <v>12</v>
      </c>
      <c r="G61" s="423">
        <f t="shared" si="38"/>
        <v>24</v>
      </c>
      <c r="H61" s="252">
        <f>'Regulated Sources_Overview'!D148</f>
        <v>309.89217391304345</v>
      </c>
      <c r="I61" s="256">
        <f t="shared" si="42"/>
        <v>7437.4121739130424</v>
      </c>
      <c r="J61" s="285">
        <f t="shared" si="39"/>
        <v>371.87060869565215</v>
      </c>
      <c r="K61" s="285">
        <f t="shared" si="40"/>
        <v>743.7412173913043</v>
      </c>
      <c r="L61" s="55">
        <f>(I61*$F$84)+(J61*$F$85)+(K61*$F$86)</f>
        <v>1293201.6102344345</v>
      </c>
      <c r="M61" s="184"/>
    </row>
    <row r="62" spans="1:16" x14ac:dyDescent="0.3">
      <c r="A62" s="424"/>
      <c r="B62" s="425"/>
      <c r="C62" s="367" t="s">
        <v>139</v>
      </c>
      <c r="D62" s="255"/>
      <c r="E62" s="423"/>
      <c r="F62" s="423"/>
      <c r="G62" s="423"/>
      <c r="H62" s="252"/>
      <c r="I62" s="253"/>
      <c r="J62" s="253"/>
      <c r="K62" s="253"/>
      <c r="L62" s="55"/>
    </row>
    <row r="63" spans="1:16" x14ac:dyDescent="0.3">
      <c r="A63" s="424"/>
      <c r="B63" s="425"/>
      <c r="C63" s="425"/>
      <c r="D63" s="422" t="s">
        <v>136</v>
      </c>
      <c r="E63" s="423">
        <v>1</v>
      </c>
      <c r="F63" s="423">
        <v>12</v>
      </c>
      <c r="G63" s="423">
        <f t="shared" si="38"/>
        <v>12</v>
      </c>
      <c r="H63" s="378">
        <f>H20*0.1</f>
        <v>0</v>
      </c>
      <c r="I63" s="256">
        <f t="shared" ref="I63:I66" si="43">G63*H63</f>
        <v>0</v>
      </c>
      <c r="J63" s="256">
        <f t="shared" ref="J63:J66" si="44">I63*0.05</f>
        <v>0</v>
      </c>
      <c r="K63" s="256">
        <f t="shared" ref="K63:K66" si="45">I63*0.1</f>
        <v>0</v>
      </c>
      <c r="L63" s="128">
        <f t="shared" ref="L63:L66" si="46">(I63*$F$84)+(J63*$F$85)+(K63*$F$86)</f>
        <v>0</v>
      </c>
    </row>
    <row r="64" spans="1:16" x14ac:dyDescent="0.3">
      <c r="A64" s="424"/>
      <c r="B64" s="425"/>
      <c r="C64" s="425"/>
      <c r="D64" s="422" t="s">
        <v>137</v>
      </c>
      <c r="E64" s="423">
        <v>1</v>
      </c>
      <c r="F64" s="423">
        <v>12</v>
      </c>
      <c r="G64" s="423">
        <f t="shared" si="38"/>
        <v>12</v>
      </c>
      <c r="H64" s="378">
        <f>H20*0.1</f>
        <v>0</v>
      </c>
      <c r="I64" s="256">
        <f t="shared" si="43"/>
        <v>0</v>
      </c>
      <c r="J64" s="256">
        <f t="shared" si="44"/>
        <v>0</v>
      </c>
      <c r="K64" s="256">
        <f t="shared" si="45"/>
        <v>0</v>
      </c>
      <c r="L64" s="128">
        <f t="shared" si="46"/>
        <v>0</v>
      </c>
    </row>
    <row r="65" spans="1:13" x14ac:dyDescent="0.3">
      <c r="A65" s="424"/>
      <c r="B65" s="425"/>
      <c r="C65" s="425"/>
      <c r="D65" s="422" t="s">
        <v>138</v>
      </c>
      <c r="E65" s="423">
        <v>2</v>
      </c>
      <c r="F65" s="423">
        <v>12</v>
      </c>
      <c r="G65" s="423">
        <f t="shared" si="38"/>
        <v>24</v>
      </c>
      <c r="H65" s="307">
        <f>H20</f>
        <v>0</v>
      </c>
      <c r="I65" s="256">
        <f t="shared" si="43"/>
        <v>0</v>
      </c>
      <c r="J65" s="256">
        <f t="shared" si="44"/>
        <v>0</v>
      </c>
      <c r="K65" s="256">
        <f t="shared" si="45"/>
        <v>0</v>
      </c>
      <c r="L65" s="128">
        <f t="shared" si="46"/>
        <v>0</v>
      </c>
    </row>
    <row r="66" spans="1:13" x14ac:dyDescent="0.3">
      <c r="A66" s="424"/>
      <c r="B66" s="491" t="s">
        <v>140</v>
      </c>
      <c r="C66" s="491"/>
      <c r="D66" s="492"/>
      <c r="E66" s="423">
        <f xml:space="preserve"> 16+ 64</f>
        <v>80</v>
      </c>
      <c r="F66" s="423">
        <v>1</v>
      </c>
      <c r="G66" s="423">
        <f t="shared" si="38"/>
        <v>80</v>
      </c>
      <c r="H66" s="307">
        <f>H42</f>
        <v>0</v>
      </c>
      <c r="I66" s="256">
        <f t="shared" si="43"/>
        <v>0</v>
      </c>
      <c r="J66" s="256">
        <f t="shared" si="44"/>
        <v>0</v>
      </c>
      <c r="K66" s="256">
        <f t="shared" si="45"/>
        <v>0</v>
      </c>
      <c r="L66" s="128">
        <f t="shared" si="46"/>
        <v>0</v>
      </c>
    </row>
    <row r="67" spans="1:13" x14ac:dyDescent="0.3">
      <c r="A67" s="424"/>
      <c r="B67" s="491" t="s">
        <v>141</v>
      </c>
      <c r="C67" s="491"/>
      <c r="D67" s="492"/>
      <c r="E67" s="251" t="s">
        <v>12</v>
      </c>
      <c r="F67" s="423"/>
      <c r="G67" s="423"/>
      <c r="H67" s="252"/>
      <c r="I67" s="253"/>
      <c r="J67" s="253"/>
      <c r="K67" s="253"/>
      <c r="L67" s="55"/>
    </row>
    <row r="68" spans="1:13" s="134" customFormat="1" x14ac:dyDescent="0.3">
      <c r="A68" s="146" t="s">
        <v>142</v>
      </c>
      <c r="B68" s="150"/>
      <c r="C68" s="148"/>
      <c r="D68" s="148"/>
      <c r="E68" s="148"/>
      <c r="F68" s="421"/>
      <c r="G68" s="149"/>
      <c r="H68" s="149"/>
      <c r="I68" s="490">
        <f>SUM(I53:K66)</f>
        <v>9408.3263999999981</v>
      </c>
      <c r="J68" s="490"/>
      <c r="K68" s="490"/>
      <c r="L68" s="288">
        <f>SUM(L53:L66)</f>
        <v>1422521.771257878</v>
      </c>
      <c r="M68" s="186"/>
    </row>
    <row r="69" spans="1:13" s="134" customFormat="1" ht="14.5" x14ac:dyDescent="0.3">
      <c r="A69" s="227" t="s">
        <v>143</v>
      </c>
      <c r="B69" s="228"/>
      <c r="C69" s="229"/>
      <c r="D69" s="223"/>
      <c r="E69" s="224"/>
      <c r="F69" s="225"/>
      <c r="G69" s="226"/>
      <c r="H69" s="226"/>
      <c r="I69" s="493">
        <f>ROUND(I51+I68,-3)</f>
        <v>151000</v>
      </c>
      <c r="J69" s="494"/>
      <c r="K69" s="495"/>
      <c r="L69" s="289">
        <f>ROUND(L51+L68,-5)</f>
        <v>22800000</v>
      </c>
      <c r="M69" s="186"/>
    </row>
    <row r="70" spans="1:13" s="134" customFormat="1" ht="14.5" x14ac:dyDescent="0.3">
      <c r="A70" s="230" t="s">
        <v>144</v>
      </c>
      <c r="B70" s="226"/>
      <c r="C70" s="224"/>
      <c r="D70" s="224"/>
      <c r="E70" s="224"/>
      <c r="F70" s="225"/>
      <c r="G70" s="226"/>
      <c r="H70" s="226"/>
      <c r="I70" s="225"/>
      <c r="J70" s="225"/>
      <c r="K70" s="225"/>
      <c r="L70" s="289">
        <f>ROUND(H104+K115,-5)</f>
        <v>41100000</v>
      </c>
      <c r="M70" s="186"/>
    </row>
    <row r="71" spans="1:13" s="134" customFormat="1" ht="14.5" x14ac:dyDescent="0.3">
      <c r="A71" s="230" t="s">
        <v>145</v>
      </c>
      <c r="B71" s="226"/>
      <c r="C71" s="224"/>
      <c r="D71" s="224"/>
      <c r="E71" s="224"/>
      <c r="F71" s="225"/>
      <c r="G71" s="226"/>
      <c r="H71" s="226"/>
      <c r="I71" s="225"/>
      <c r="J71" s="225"/>
      <c r="K71" s="225"/>
      <c r="L71" s="289">
        <f>ROUND(L69+L70,-6)</f>
        <v>64000000</v>
      </c>
      <c r="M71" s="186"/>
    </row>
    <row r="72" spans="1:13" s="152" customFormat="1" x14ac:dyDescent="0.3">
      <c r="A72" s="259"/>
      <c r="B72" s="259"/>
      <c r="C72" s="259"/>
      <c r="D72" s="259"/>
      <c r="E72" s="259"/>
      <c r="F72" s="259"/>
      <c r="G72" s="259"/>
      <c r="H72" s="260"/>
      <c r="I72" s="259"/>
      <c r="J72" s="260"/>
      <c r="K72" s="259"/>
      <c r="L72" s="174"/>
    </row>
    <row r="73" spans="1:13" s="152" customFormat="1" x14ac:dyDescent="0.3">
      <c r="A73" s="261" t="s">
        <v>146</v>
      </c>
      <c r="B73" s="259"/>
      <c r="C73" s="259"/>
      <c r="D73" s="259"/>
      <c r="E73" s="259"/>
      <c r="F73" s="259"/>
      <c r="G73" s="259"/>
      <c r="H73" s="260"/>
      <c r="I73" s="259"/>
      <c r="J73" s="259"/>
      <c r="K73" s="259"/>
      <c r="L73" s="38"/>
    </row>
    <row r="74" spans="1:13" s="152" customFormat="1" ht="56.25" customHeight="1" x14ac:dyDescent="0.3">
      <c r="A74" s="496" t="s">
        <v>147</v>
      </c>
      <c r="B74" s="496"/>
      <c r="C74" s="496"/>
      <c r="D74" s="496"/>
      <c r="E74" s="496"/>
      <c r="F74" s="496"/>
      <c r="G74" s="496"/>
      <c r="H74" s="496"/>
      <c r="I74" s="496"/>
      <c r="J74" s="496"/>
      <c r="K74" s="496"/>
      <c r="L74" s="496"/>
    </row>
    <row r="75" spans="1:13" s="152" customFormat="1" ht="27.75" customHeight="1" x14ac:dyDescent="0.3">
      <c r="A75" s="497" t="s">
        <v>148</v>
      </c>
      <c r="B75" s="497"/>
      <c r="C75" s="497"/>
      <c r="D75" s="497"/>
      <c r="E75" s="497"/>
      <c r="F75" s="497"/>
      <c r="G75" s="497"/>
      <c r="H75" s="497"/>
      <c r="I75" s="497"/>
      <c r="J75" s="497"/>
      <c r="K75" s="497"/>
      <c r="L75" s="497"/>
    </row>
    <row r="76" spans="1:13" s="152" customFormat="1" ht="27.75" customHeight="1" x14ac:dyDescent="0.3">
      <c r="A76" s="500" t="s">
        <v>149</v>
      </c>
      <c r="B76" s="500"/>
      <c r="C76" s="500"/>
      <c r="D76" s="500"/>
      <c r="E76" s="500"/>
      <c r="F76" s="500"/>
      <c r="G76" s="500"/>
      <c r="H76" s="500"/>
      <c r="I76" s="500"/>
      <c r="J76" s="500"/>
      <c r="K76" s="500"/>
      <c r="L76" s="500"/>
    </row>
    <row r="77" spans="1:13" s="152" customFormat="1" ht="27.75" customHeight="1" x14ac:dyDescent="0.3">
      <c r="A77" s="500" t="s">
        <v>150</v>
      </c>
      <c r="B77" s="500"/>
      <c r="C77" s="500"/>
      <c r="D77" s="500"/>
      <c r="E77" s="500"/>
      <c r="F77" s="500"/>
      <c r="G77" s="500"/>
      <c r="H77" s="500"/>
      <c r="I77" s="500"/>
      <c r="J77" s="500"/>
      <c r="K77" s="500"/>
      <c r="L77" s="500"/>
    </row>
    <row r="78" spans="1:13" s="151" customFormat="1" ht="15" customHeight="1" x14ac:dyDescent="0.3">
      <c r="A78" s="478" t="s">
        <v>151</v>
      </c>
      <c r="B78" s="478"/>
      <c r="C78" s="478"/>
      <c r="D78" s="478"/>
      <c r="E78" s="478"/>
      <c r="F78" s="478"/>
      <c r="G78" s="478"/>
      <c r="H78" s="478"/>
      <c r="I78" s="478"/>
      <c r="J78" s="478"/>
      <c r="K78" s="478"/>
      <c r="L78" s="478"/>
    </row>
    <row r="79" spans="1:13" s="152" customFormat="1" ht="15" customHeight="1" x14ac:dyDescent="0.3">
      <c r="A79" s="259"/>
      <c r="B79" s="153"/>
      <c r="C79" s="153"/>
      <c r="D79" s="153"/>
      <c r="E79" s="153"/>
      <c r="F79" s="153"/>
      <c r="G79" s="153"/>
      <c r="H79" s="153"/>
      <c r="I79" s="153"/>
      <c r="J79" s="259"/>
      <c r="K79" s="259"/>
      <c r="L79" s="156"/>
    </row>
    <row r="80" spans="1:13" s="152" customFormat="1" ht="15" customHeight="1" x14ac:dyDescent="0.3">
      <c r="A80" s="259"/>
      <c r="B80" s="153"/>
      <c r="C80" s="153"/>
      <c r="D80" s="153"/>
      <c r="E80" s="153"/>
      <c r="F80" s="153"/>
      <c r="G80" s="153"/>
      <c r="H80" s="153"/>
      <c r="I80" s="153"/>
      <c r="J80" s="259"/>
      <c r="K80" s="259"/>
      <c r="L80" s="156"/>
    </row>
    <row r="81" spans="1:12" s="152" customFormat="1" ht="15.5" x14ac:dyDescent="0.35">
      <c r="A81" s="259"/>
      <c r="B81" s="259"/>
      <c r="C81" s="259"/>
      <c r="D81" s="290" t="s">
        <v>152</v>
      </c>
      <c r="E81" s="259"/>
      <c r="F81" s="259"/>
      <c r="G81" s="259"/>
      <c r="H81" s="260"/>
      <c r="I81" s="259"/>
      <c r="J81" s="259"/>
      <c r="K81" s="259"/>
      <c r="L81" s="156"/>
    </row>
    <row r="82" spans="1:12" s="152" customFormat="1" x14ac:dyDescent="0.3">
      <c r="A82" s="291"/>
      <c r="B82" s="259"/>
      <c r="C82" s="259"/>
      <c r="D82" s="259"/>
      <c r="E82" s="259"/>
      <c r="F82" s="259"/>
      <c r="G82" s="259"/>
      <c r="H82" s="260"/>
      <c r="I82" s="259"/>
      <c r="J82" s="259"/>
      <c r="K82" s="259"/>
      <c r="L82" s="156"/>
    </row>
    <row r="83" spans="1:12" ht="26" x14ac:dyDescent="0.3">
      <c r="A83" s="255"/>
      <c r="B83" s="255"/>
      <c r="C83" s="255"/>
      <c r="D83" s="262"/>
      <c r="E83" s="420" t="s">
        <v>153</v>
      </c>
      <c r="F83" s="420" t="s">
        <v>154</v>
      </c>
      <c r="G83" s="420" t="s">
        <v>155</v>
      </c>
      <c r="H83" s="292" t="s">
        <v>156</v>
      </c>
      <c r="I83" s="264"/>
      <c r="J83" s="255"/>
      <c r="K83" s="255"/>
      <c r="L83" s="157"/>
    </row>
    <row r="84" spans="1:12" ht="78" x14ac:dyDescent="0.3">
      <c r="A84" s="255"/>
      <c r="B84" s="255"/>
      <c r="C84" s="255"/>
      <c r="D84" s="255"/>
      <c r="E84" s="423" t="s">
        <v>157</v>
      </c>
      <c r="F84" s="293">
        <f>G84*H84</f>
        <v>157.24799999999999</v>
      </c>
      <c r="G84" s="293">
        <f>'Table 1a-Year 1'!G84</f>
        <v>74.88</v>
      </c>
      <c r="H84" s="263">
        <v>2.1</v>
      </c>
      <c r="I84" s="264"/>
      <c r="J84" s="255"/>
      <c r="K84" s="255"/>
    </row>
    <row r="85" spans="1:12" ht="91" x14ac:dyDescent="0.3">
      <c r="A85" s="255"/>
      <c r="B85" s="255"/>
      <c r="C85" s="255"/>
      <c r="D85" s="255"/>
      <c r="E85" s="423" t="s">
        <v>158</v>
      </c>
      <c r="F85" s="293">
        <f>G85*H85</f>
        <v>181.98599999999999</v>
      </c>
      <c r="G85" s="293">
        <f>'Table 1a-Year 1'!G85</f>
        <v>86.66</v>
      </c>
      <c r="H85" s="263">
        <v>2.1</v>
      </c>
      <c r="I85" s="265"/>
      <c r="J85" s="266"/>
      <c r="K85" s="255"/>
    </row>
    <row r="86" spans="1:12" ht="52" x14ac:dyDescent="0.3">
      <c r="A86" s="255"/>
      <c r="B86" s="255"/>
      <c r="C86" s="255"/>
      <c r="D86" s="255"/>
      <c r="E86" s="423" t="s">
        <v>159</v>
      </c>
      <c r="F86" s="293">
        <f>G86*H86</f>
        <v>75.305999999999997</v>
      </c>
      <c r="G86" s="293">
        <f>'Table 1a-Year 1'!G86</f>
        <v>35.86</v>
      </c>
      <c r="H86" s="263">
        <v>2.1</v>
      </c>
      <c r="I86" s="255"/>
      <c r="J86" s="255"/>
      <c r="K86" s="255"/>
    </row>
    <row r="87" spans="1:12" x14ac:dyDescent="0.3">
      <c r="A87" s="255"/>
      <c r="B87" s="255"/>
      <c r="C87" s="255"/>
      <c r="D87" s="267"/>
      <c r="E87" s="255"/>
      <c r="F87" s="268"/>
      <c r="G87" s="255"/>
      <c r="H87" s="269"/>
      <c r="I87" s="255"/>
      <c r="J87" s="255"/>
      <c r="K87" s="255"/>
    </row>
    <row r="88" spans="1:12" x14ac:dyDescent="0.3">
      <c r="A88" s="255"/>
      <c r="B88" s="255"/>
      <c r="C88" s="255"/>
      <c r="D88" s="267"/>
      <c r="E88" s="255"/>
      <c r="F88" s="268"/>
      <c r="G88" s="255"/>
      <c r="H88" s="269"/>
      <c r="I88" s="255"/>
      <c r="J88" s="255"/>
      <c r="K88" s="255"/>
    </row>
    <row r="89" spans="1:12" s="152" customFormat="1" x14ac:dyDescent="0.3">
      <c r="A89" s="259"/>
      <c r="B89" s="259"/>
      <c r="C89" s="259"/>
      <c r="D89" s="255"/>
      <c r="E89" s="270"/>
      <c r="F89" s="271"/>
      <c r="G89" s="259"/>
      <c r="H89" s="260"/>
      <c r="I89" s="259"/>
      <c r="J89" s="259"/>
      <c r="K89" s="38"/>
      <c r="L89" s="259"/>
    </row>
    <row r="90" spans="1:12" ht="15" customHeight="1" x14ac:dyDescent="0.3">
      <c r="A90" s="255"/>
      <c r="B90" s="255"/>
      <c r="C90" s="255"/>
      <c r="D90" s="262"/>
      <c r="E90" s="479" t="s">
        <v>163</v>
      </c>
      <c r="F90" s="480"/>
      <c r="G90" s="480"/>
      <c r="H90" s="481"/>
      <c r="I90" s="294"/>
      <c r="J90" s="255"/>
      <c r="K90" s="158"/>
      <c r="L90" s="255"/>
    </row>
    <row r="91" spans="1:12" x14ac:dyDescent="0.3">
      <c r="A91" s="255"/>
      <c r="B91" s="255"/>
      <c r="C91" s="255"/>
      <c r="D91" s="295" t="s">
        <v>9</v>
      </c>
      <c r="E91" s="420" t="s">
        <v>165</v>
      </c>
      <c r="F91" s="420" t="s">
        <v>166</v>
      </c>
      <c r="G91" s="420" t="s">
        <v>167</v>
      </c>
      <c r="H91" s="420" t="s">
        <v>168</v>
      </c>
      <c r="I91" s="259"/>
      <c r="J91" s="255"/>
      <c r="K91" s="158"/>
      <c r="L91" s="255"/>
    </row>
    <row r="92" spans="1:12" x14ac:dyDescent="0.3">
      <c r="A92" s="255"/>
      <c r="B92" s="255"/>
      <c r="C92" s="255"/>
      <c r="D92" s="296" t="s">
        <v>11</v>
      </c>
      <c r="E92" s="403" t="s">
        <v>169</v>
      </c>
      <c r="F92" s="169">
        <f>'Table 1a-Year 1'!F92</f>
        <v>5167.0448330540685</v>
      </c>
      <c r="G92" s="372">
        <f>H12</f>
        <v>192.13314782608694</v>
      </c>
      <c r="H92" s="297">
        <f>F92*G92</f>
        <v>992760.58873319603</v>
      </c>
      <c r="I92" s="415"/>
      <c r="J92" s="154"/>
      <c r="K92" s="158"/>
      <c r="L92" s="255"/>
    </row>
    <row r="93" spans="1:12" x14ac:dyDescent="0.3">
      <c r="A93" s="255"/>
      <c r="B93" s="255"/>
      <c r="C93" s="255"/>
      <c r="D93" s="296" t="s">
        <v>14</v>
      </c>
      <c r="E93" s="423" t="s">
        <v>170</v>
      </c>
      <c r="F93" s="169">
        <f>'Summary Info_2015'!C61</f>
        <v>20444.262999999999</v>
      </c>
      <c r="G93" s="413">
        <f>H13</f>
        <v>52.681669565217391</v>
      </c>
      <c r="H93" s="297">
        <f t="shared" ref="H93:H94" si="47">F93*G93</f>
        <v>1077037.9078704</v>
      </c>
      <c r="I93" s="415"/>
      <c r="J93" s="154"/>
      <c r="K93" s="158"/>
      <c r="L93" s="255"/>
    </row>
    <row r="94" spans="1:12" s="152" customFormat="1" x14ac:dyDescent="0.3">
      <c r="A94" s="259"/>
      <c r="B94" s="259"/>
      <c r="C94" s="259"/>
      <c r="D94" s="296" t="s">
        <v>20</v>
      </c>
      <c r="E94" s="423" t="s">
        <v>171</v>
      </c>
      <c r="F94" s="169">
        <f>'Summary Info_2015'!M66</f>
        <v>20006</v>
      </c>
      <c r="G94" s="413">
        <f>H14</f>
        <v>74.37412173913043</v>
      </c>
      <c r="H94" s="297">
        <f t="shared" si="47"/>
        <v>1487928.6795130435</v>
      </c>
      <c r="I94" s="415"/>
      <c r="J94" s="154"/>
      <c r="K94" s="38"/>
      <c r="L94" s="259"/>
    </row>
    <row r="95" spans="1:12" x14ac:dyDescent="0.3">
      <c r="A95" s="255"/>
      <c r="B95" s="255"/>
      <c r="C95" s="255"/>
      <c r="D95" s="255"/>
      <c r="E95" s="272" t="s">
        <v>45</v>
      </c>
      <c r="F95" s="273">
        <f>SUM(F92:F94)</f>
        <v>45617.307833054067</v>
      </c>
      <c r="G95" s="374">
        <f>SUM(G92:G94)</f>
        <v>319.18893913043473</v>
      </c>
      <c r="H95" s="277">
        <f>SUM(H92:H94)</f>
        <v>3557727.1761166397</v>
      </c>
      <c r="I95" s="415"/>
      <c r="J95" s="255"/>
      <c r="K95" s="255"/>
      <c r="L95" s="255"/>
    </row>
    <row r="96" spans="1:12" x14ac:dyDescent="0.3">
      <c r="A96" s="255"/>
      <c r="B96" s="255"/>
      <c r="C96" s="255"/>
      <c r="D96" s="255"/>
      <c r="E96" s="274"/>
      <c r="F96" s="255"/>
      <c r="G96" s="269"/>
      <c r="H96" s="275"/>
      <c r="I96" s="255"/>
      <c r="J96" s="255"/>
      <c r="K96" s="255"/>
      <c r="L96" s="255"/>
    </row>
    <row r="97" spans="1:13" ht="30" customHeight="1" x14ac:dyDescent="0.3">
      <c r="A97" s="255"/>
      <c r="B97" s="255"/>
      <c r="C97" s="255"/>
      <c r="D97" s="255"/>
      <c r="E97" s="479" t="s">
        <v>172</v>
      </c>
      <c r="F97" s="480"/>
      <c r="G97" s="480"/>
      <c r="H97" s="481"/>
      <c r="I97" s="255"/>
      <c r="J97" s="255"/>
      <c r="K97" s="255"/>
      <c r="L97" s="255"/>
    </row>
    <row r="98" spans="1:13" s="152" customFormat="1" x14ac:dyDescent="0.3">
      <c r="A98" s="259"/>
      <c r="B98" s="259"/>
      <c r="C98" s="259"/>
      <c r="D98" s="295" t="s">
        <v>173</v>
      </c>
      <c r="E98" s="420" t="s">
        <v>174</v>
      </c>
      <c r="F98" s="420" t="s">
        <v>175</v>
      </c>
      <c r="G98" s="420" t="s">
        <v>176</v>
      </c>
      <c r="H98" s="420" t="s">
        <v>168</v>
      </c>
      <c r="I98" s="259"/>
      <c r="J98" s="259"/>
      <c r="K98" s="259"/>
      <c r="L98" s="259"/>
    </row>
    <row r="99" spans="1:13" x14ac:dyDescent="0.3">
      <c r="A99" s="255"/>
      <c r="B99" s="255"/>
      <c r="C99" s="255"/>
      <c r="D99" s="296" t="s">
        <v>63</v>
      </c>
      <c r="E99" s="423" t="s">
        <v>11</v>
      </c>
      <c r="F99" s="276">
        <f>'Table 1a-Year 1'!F99</f>
        <v>7940.8962315002973</v>
      </c>
      <c r="G99" s="373">
        <f>'Regulated Sources_Overview'!E117*'Table 1c-Year 2'!F11</f>
        <v>0</v>
      </c>
      <c r="H99" s="299">
        <f>F99*G99</f>
        <v>0</v>
      </c>
      <c r="I99" s="415"/>
      <c r="J99" s="255"/>
      <c r="K99" s="255"/>
      <c r="L99" s="255"/>
    </row>
    <row r="100" spans="1:13" x14ac:dyDescent="0.3">
      <c r="A100" s="255"/>
      <c r="B100" s="255"/>
      <c r="C100" s="255"/>
      <c r="D100" s="296" t="s">
        <v>177</v>
      </c>
      <c r="E100" s="423" t="s">
        <v>14</v>
      </c>
      <c r="F100" s="276">
        <f>'Summary Info_2015'!B63</f>
        <v>111044.6066688</v>
      </c>
      <c r="G100" s="298">
        <f>'Regulated Sources_Overview'!K17</f>
        <v>0</v>
      </c>
      <c r="H100" s="299">
        <f t="shared" ref="H100:H101" si="48">F100*G100</f>
        <v>0</v>
      </c>
      <c r="I100" s="415"/>
      <c r="J100" s="255"/>
      <c r="K100" s="255"/>
      <c r="L100" s="255"/>
    </row>
    <row r="101" spans="1:13" x14ac:dyDescent="0.3">
      <c r="A101" s="255"/>
      <c r="B101" s="255"/>
      <c r="C101" s="255"/>
      <c r="D101" s="296" t="s">
        <v>178</v>
      </c>
      <c r="E101" s="423" t="s">
        <v>20</v>
      </c>
      <c r="F101" s="276">
        <f>'Summary Info_2015'!L63</f>
        <v>174001.69178879997</v>
      </c>
      <c r="G101" s="298">
        <f>'Regulated Sources_Overview'!K18</f>
        <v>0</v>
      </c>
      <c r="H101" s="299">
        <f t="shared" si="48"/>
        <v>0</v>
      </c>
      <c r="I101" s="415"/>
      <c r="J101" s="255"/>
      <c r="K101" s="255"/>
      <c r="L101" s="255"/>
    </row>
    <row r="102" spans="1:13" x14ac:dyDescent="0.3">
      <c r="A102" s="255"/>
      <c r="B102" s="255"/>
      <c r="C102" s="255"/>
      <c r="D102" s="255"/>
      <c r="E102" s="272" t="s">
        <v>45</v>
      </c>
      <c r="F102" s="277">
        <f>SUM(F99:F101)</f>
        <v>292987.19468910026</v>
      </c>
      <c r="G102" s="374">
        <f>SUM(G99:G101)</f>
        <v>0</v>
      </c>
      <c r="H102" s="277">
        <f>SUM(H99:H101)</f>
        <v>0</v>
      </c>
      <c r="I102" s="255"/>
      <c r="J102" s="255"/>
      <c r="K102" s="255"/>
    </row>
    <row r="103" spans="1:13" x14ac:dyDescent="0.3">
      <c r="A103" s="255"/>
      <c r="B103" s="255"/>
      <c r="C103" s="255"/>
      <c r="D103" s="255"/>
      <c r="E103" s="278"/>
      <c r="F103" s="279"/>
      <c r="G103" s="280"/>
      <c r="H103" s="275"/>
      <c r="I103" s="255"/>
      <c r="J103" s="255"/>
      <c r="K103" s="255"/>
    </row>
    <row r="104" spans="1:13" x14ac:dyDescent="0.3">
      <c r="A104" s="255"/>
      <c r="B104" s="255"/>
      <c r="C104" s="255"/>
      <c r="D104" s="255"/>
      <c r="E104" s="424"/>
      <c r="F104" s="482" t="s">
        <v>179</v>
      </c>
      <c r="G104" s="482"/>
      <c r="H104" s="281">
        <f>H95+H102</f>
        <v>3557727.1761166397</v>
      </c>
      <c r="I104" s="415"/>
      <c r="J104" s="301"/>
      <c r="K104" s="255"/>
    </row>
    <row r="105" spans="1:13" x14ac:dyDescent="0.3">
      <c r="A105" s="255"/>
      <c r="B105" s="255"/>
      <c r="C105" s="255"/>
      <c r="D105" s="255"/>
      <c r="E105" s="255"/>
      <c r="F105" s="279"/>
      <c r="G105" s="280"/>
      <c r="H105" s="269"/>
      <c r="I105" s="255"/>
      <c r="J105" s="255"/>
      <c r="K105" s="255"/>
    </row>
    <row r="106" spans="1:13" x14ac:dyDescent="0.3">
      <c r="A106" s="255"/>
      <c r="B106" s="255"/>
      <c r="C106" s="255"/>
      <c r="D106" s="255"/>
      <c r="E106" s="255"/>
      <c r="F106" s="279"/>
      <c r="G106" s="280"/>
      <c r="H106" s="269"/>
      <c r="I106" s="255"/>
      <c r="J106" s="255"/>
      <c r="K106" s="255"/>
    </row>
    <row r="107" spans="1:13" x14ac:dyDescent="0.3">
      <c r="A107" s="255"/>
      <c r="B107" s="255"/>
      <c r="C107" s="255"/>
      <c r="D107" s="255"/>
      <c r="E107" s="255"/>
      <c r="F107" s="279"/>
      <c r="G107" s="280"/>
      <c r="H107" s="269"/>
      <c r="I107" s="255"/>
      <c r="J107" s="255"/>
      <c r="K107" s="255"/>
    </row>
    <row r="108" spans="1:13" ht="12.75" customHeight="1" x14ac:dyDescent="0.3">
      <c r="A108" s="255"/>
      <c r="B108" s="255"/>
      <c r="C108" s="255"/>
      <c r="D108" s="255"/>
      <c r="E108" s="302"/>
      <c r="F108" s="302"/>
      <c r="G108" s="302"/>
      <c r="H108" s="302"/>
      <c r="I108" s="302"/>
      <c r="J108" s="302"/>
      <c r="K108" s="302"/>
      <c r="L108" s="302"/>
      <c r="M108" s="151"/>
    </row>
    <row r="109" spans="1:13" ht="12.75" customHeight="1" x14ac:dyDescent="0.35">
      <c r="A109" s="255"/>
      <c r="B109" s="255"/>
      <c r="C109" s="255"/>
      <c r="D109" s="255"/>
      <c r="E109" s="479" t="s">
        <v>180</v>
      </c>
      <c r="F109" s="483"/>
      <c r="G109" s="483"/>
      <c r="H109" s="483"/>
      <c r="I109" s="483"/>
      <c r="J109" s="483"/>
      <c r="K109" s="484"/>
      <c r="L109" s="255"/>
    </row>
    <row r="110" spans="1:13" ht="12.75" customHeight="1" x14ac:dyDescent="0.35">
      <c r="A110" s="255"/>
      <c r="B110" s="255"/>
      <c r="C110" s="255"/>
      <c r="D110" s="255"/>
      <c r="E110" s="485" t="s">
        <v>174</v>
      </c>
      <c r="F110" s="479" t="s">
        <v>181</v>
      </c>
      <c r="G110" s="483"/>
      <c r="H110" s="483"/>
      <c r="I110" s="484"/>
      <c r="J110" s="487" t="s">
        <v>182</v>
      </c>
      <c r="K110" s="489" t="s">
        <v>183</v>
      </c>
      <c r="L110" s="255"/>
    </row>
    <row r="111" spans="1:13" x14ac:dyDescent="0.3">
      <c r="A111" s="255"/>
      <c r="B111" s="255"/>
      <c r="C111" s="255"/>
      <c r="D111" s="255"/>
      <c r="E111" s="486"/>
      <c r="F111" s="420" t="s">
        <v>184</v>
      </c>
      <c r="G111" s="420" t="s">
        <v>185</v>
      </c>
      <c r="H111" s="292" t="s">
        <v>186</v>
      </c>
      <c r="I111" s="420" t="s">
        <v>45</v>
      </c>
      <c r="J111" s="488"/>
      <c r="K111" s="489"/>
      <c r="L111" s="255"/>
    </row>
    <row r="112" spans="1:13" x14ac:dyDescent="0.3">
      <c r="A112" s="255"/>
      <c r="B112" s="255"/>
      <c r="C112" s="255"/>
      <c r="D112" s="255"/>
      <c r="E112" s="282" t="s">
        <v>11</v>
      </c>
      <c r="F112" s="168">
        <f>'Table 1a-Year 1'!F112</f>
        <v>0</v>
      </c>
      <c r="G112" s="168">
        <f>'Table 1a-Year 1'!G112</f>
        <v>14290</v>
      </c>
      <c r="H112" s="168">
        <f>'Table 1a-Year 1'!H112</f>
        <v>13693</v>
      </c>
      <c r="I112" s="168">
        <f>F112+G112+H112</f>
        <v>27983</v>
      </c>
      <c r="J112" s="375">
        <f>'%CEMSCPMSvs.testing_2137.13'!Y3*'Table 1c-Year 2'!F11</f>
        <v>117.75902608695652</v>
      </c>
      <c r="K112" s="168">
        <f>I112*J112</f>
        <v>3295250.8269913043</v>
      </c>
      <c r="L112" s="415"/>
    </row>
    <row r="113" spans="1:14" x14ac:dyDescent="0.3">
      <c r="A113" s="255"/>
      <c r="B113" s="255"/>
      <c r="C113" s="255"/>
      <c r="D113" s="255"/>
      <c r="E113" s="282" t="s">
        <v>14</v>
      </c>
      <c r="F113" s="168">
        <f>'Summary of CEMS Costs_2018'!G47</f>
        <v>14788.7065664</v>
      </c>
      <c r="G113" s="168">
        <f>'Summary of CEMS Costs_2018'!H47</f>
        <v>10931.940845699999</v>
      </c>
      <c r="H113" s="168">
        <f>'Summary of CEMS Costs_2018'!I47</f>
        <v>15897.235325044843</v>
      </c>
      <c r="I113" s="168">
        <f>F113+G113+H113</f>
        <v>41617.882737144842</v>
      </c>
      <c r="J113" s="412">
        <f>('%CEMSCPMSvs.testing_2137.13'!K3+'%CEMSCPMSvs.testing_2137.13'!K4)*'Table 1c-Year 2'!F11</f>
        <v>257.21050434782615</v>
      </c>
      <c r="K113" s="168">
        <f t="shared" ref="K113" si="49">I113*J113</f>
        <v>10704556.608709712</v>
      </c>
      <c r="L113" s="415"/>
    </row>
    <row r="114" spans="1:14" x14ac:dyDescent="0.3">
      <c r="A114" s="255"/>
      <c r="B114" s="255"/>
      <c r="C114" s="255"/>
      <c r="D114" s="255"/>
      <c r="E114" s="282" t="s">
        <v>20</v>
      </c>
      <c r="F114" s="168">
        <f>'Summary of CEMS Costs_2018'!B47</f>
        <v>19959.2166464</v>
      </c>
      <c r="G114" s="168">
        <f>'Summary of CEMS Costs_2018'!C47</f>
        <v>40011.554765699999</v>
      </c>
      <c r="H114" s="168">
        <f>'Summary of CEMS Costs_2018'!D47</f>
        <v>40035.286058200538</v>
      </c>
      <c r="I114" s="168">
        <f>F114+G114+H114</f>
        <v>100006.05747030054</v>
      </c>
      <c r="J114" s="412">
        <f>'%CEMSCPMSvs.testing_2137.13'!C3*'Table 1c-Year 2'!F11</f>
        <v>235.51805217391305</v>
      </c>
      <c r="K114" s="168">
        <f>I114*J114</f>
        <v>23553231.860997591</v>
      </c>
      <c r="L114" s="415"/>
    </row>
    <row r="115" spans="1:14" x14ac:dyDescent="0.3">
      <c r="A115" s="255"/>
      <c r="B115" s="255"/>
      <c r="C115" s="255"/>
      <c r="D115" s="255"/>
      <c r="E115" s="283" t="s">
        <v>45</v>
      </c>
      <c r="F115" s="132"/>
      <c r="G115" s="132"/>
      <c r="H115" s="132"/>
      <c r="I115" s="132"/>
      <c r="J115" s="304"/>
      <c r="K115" s="132">
        <f>SUM(K112:K114)</f>
        <v>37553039.296698608</v>
      </c>
      <c r="L115" s="415"/>
    </row>
    <row r="116" spans="1:14" ht="15.5" x14ac:dyDescent="0.35">
      <c r="A116" s="255"/>
      <c r="B116" s="255"/>
      <c r="C116" s="255"/>
      <c r="D116" s="255"/>
      <c r="E116" s="255"/>
      <c r="F116" s="305"/>
      <c r="G116" s="255"/>
      <c r="H116" s="269"/>
      <c r="I116" s="255"/>
      <c r="J116" s="269"/>
      <c r="K116" s="284"/>
    </row>
    <row r="117" spans="1:14" x14ac:dyDescent="0.3">
      <c r="A117" s="255"/>
      <c r="B117" s="255"/>
      <c r="C117" s="255"/>
      <c r="D117" s="255"/>
      <c r="E117" s="255"/>
      <c r="F117" s="255"/>
      <c r="G117" s="255"/>
      <c r="H117" s="269"/>
      <c r="I117" s="255"/>
      <c r="J117" s="269"/>
      <c r="K117" s="301">
        <f>K115+H95</f>
        <v>41110766.472815245</v>
      </c>
      <c r="L117" s="415"/>
    </row>
    <row r="118" spans="1:14" x14ac:dyDescent="0.3">
      <c r="A118" s="255"/>
      <c r="B118" s="255"/>
      <c r="C118" s="255"/>
      <c r="D118" s="255"/>
      <c r="E118" s="255"/>
      <c r="F118" s="255"/>
      <c r="G118" s="255"/>
      <c r="H118" s="269"/>
      <c r="I118" s="255"/>
      <c r="J118" s="301"/>
      <c r="K118" s="255"/>
      <c r="M118" s="212"/>
      <c r="N118" s="212"/>
    </row>
    <row r="119" spans="1:14" x14ac:dyDescent="0.3">
      <c r="A119" s="255"/>
      <c r="B119" s="255"/>
      <c r="C119" s="255"/>
      <c r="D119" s="255"/>
      <c r="E119" s="255"/>
      <c r="F119" s="255"/>
      <c r="G119" s="255"/>
      <c r="H119" s="269"/>
      <c r="I119" s="255"/>
      <c r="J119" s="255"/>
      <c r="K119" s="301">
        <f>'Table 1b-Year 2'!K115</f>
        <v>8239318.5415245593</v>
      </c>
      <c r="M119" s="212"/>
      <c r="N119" s="212"/>
    </row>
    <row r="120" spans="1:14" x14ac:dyDescent="0.3">
      <c r="A120" s="255"/>
      <c r="B120" s="255"/>
      <c r="C120" s="255"/>
      <c r="D120" s="255"/>
      <c r="E120" s="255"/>
      <c r="F120" s="255"/>
      <c r="G120" s="255"/>
      <c r="H120" s="269"/>
      <c r="I120" s="255"/>
      <c r="J120" s="255"/>
      <c r="K120" s="255"/>
      <c r="M120" s="212"/>
      <c r="N120" s="212"/>
    </row>
    <row r="121" spans="1:14" x14ac:dyDescent="0.3">
      <c r="A121" s="255"/>
      <c r="B121" s="255"/>
      <c r="C121" s="255"/>
      <c r="D121" s="255"/>
      <c r="E121" s="255"/>
      <c r="F121" s="255"/>
      <c r="G121" s="255"/>
      <c r="H121" s="269"/>
      <c r="I121" s="301"/>
      <c r="J121" s="255"/>
      <c r="K121" s="301">
        <f>K119+K117</f>
        <v>49350085.014339805</v>
      </c>
    </row>
  </sheetData>
  <mergeCells count="34">
    <mergeCell ref="A3:D4"/>
    <mergeCell ref="A75:L75"/>
    <mergeCell ref="A74:L74"/>
    <mergeCell ref="A52:D52"/>
    <mergeCell ref="B10:D10"/>
    <mergeCell ref="B27:D27"/>
    <mergeCell ref="B9:D9"/>
    <mergeCell ref="B57:D57"/>
    <mergeCell ref="B53:D53"/>
    <mergeCell ref="B54:D54"/>
    <mergeCell ref="B55:D55"/>
    <mergeCell ref="B56:D56"/>
    <mergeCell ref="B66:D66"/>
    <mergeCell ref="E90:H90"/>
    <mergeCell ref="E97:H97"/>
    <mergeCell ref="F110:I110"/>
    <mergeCell ref="E110:E111"/>
    <mergeCell ref="E109:K109"/>
    <mergeCell ref="F104:G104"/>
    <mergeCell ref="J110:J111"/>
    <mergeCell ref="K110:K111"/>
    <mergeCell ref="A76:L76"/>
    <mergeCell ref="A77:L77"/>
    <mergeCell ref="A78:L78"/>
    <mergeCell ref="B67:D67"/>
    <mergeCell ref="A5:D5"/>
    <mergeCell ref="A6:D6"/>
    <mergeCell ref="B28:D28"/>
    <mergeCell ref="B29:D29"/>
    <mergeCell ref="A7:D7"/>
    <mergeCell ref="A8:D8"/>
    <mergeCell ref="I51:K51"/>
    <mergeCell ref="I68:K68"/>
    <mergeCell ref="I69:K69"/>
  </mergeCells>
  <phoneticPr fontId="4" type="noConversion"/>
  <printOptions horizontalCentered="1" verticalCentered="1"/>
  <pageMargins left="0.7" right="0.7" top="0.75" bottom="0.75" header="0.3" footer="0.3"/>
  <pageSetup paperSize="17" orientation="landscape" r:id="rId1"/>
  <headerFooter>
    <oddHeader>&amp;CTable 1a -- Respondent Year 1</oddHeader>
    <oddFooter>&amp;L&amp;P of &amp;N&amp;R&amp;D</oddFooter>
  </headerFooter>
  <rowBreaks count="2" manualBreakCount="2">
    <brk id="51" max="10" man="1"/>
    <brk id="72" max="1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249977111117893"/>
  </sheetPr>
  <dimension ref="A1:F184"/>
  <sheetViews>
    <sheetView topLeftCell="A169" workbookViewId="0">
      <selection activeCell="I65" sqref="I65"/>
    </sheetView>
  </sheetViews>
  <sheetFormatPr defaultColWidth="9.1796875" defaultRowHeight="12.5" x14ac:dyDescent="0.25"/>
  <cols>
    <col min="1" max="1" width="39" style="31" bestFit="1" customWidth="1"/>
    <col min="2" max="3" width="6.54296875" style="31" bestFit="1" customWidth="1"/>
    <col min="4" max="5" width="7.54296875" style="31" bestFit="1" customWidth="1"/>
    <col min="6" max="16384" width="9.1796875" style="31"/>
  </cols>
  <sheetData>
    <row r="1" spans="1:4" x14ac:dyDescent="0.25">
      <c r="B1" s="31" t="s">
        <v>184</v>
      </c>
      <c r="C1" s="31" t="s">
        <v>308</v>
      </c>
      <c r="D1" s="31" t="s">
        <v>389</v>
      </c>
    </row>
    <row r="2" spans="1:4" x14ac:dyDescent="0.25">
      <c r="A2" s="31" t="s">
        <v>390</v>
      </c>
    </row>
    <row r="3" spans="1:4" x14ac:dyDescent="0.25">
      <c r="A3" s="31" t="s">
        <v>391</v>
      </c>
      <c r="B3" s="32">
        <v>48</v>
      </c>
      <c r="C3" s="32"/>
      <c r="D3" s="32"/>
    </row>
    <row r="4" spans="1:4" x14ac:dyDescent="0.25">
      <c r="A4" s="31" t="s">
        <v>392</v>
      </c>
      <c r="B4" s="32">
        <v>48</v>
      </c>
      <c r="C4" s="32"/>
      <c r="D4" s="32">
        <v>0</v>
      </c>
    </row>
    <row r="5" spans="1:4" x14ac:dyDescent="0.25">
      <c r="A5" s="31" t="s">
        <v>393</v>
      </c>
      <c r="B5" s="32">
        <v>240</v>
      </c>
      <c r="C5" s="32"/>
      <c r="D5" s="32"/>
    </row>
    <row r="6" spans="1:4" x14ac:dyDescent="0.25">
      <c r="A6" s="31" t="s">
        <v>394</v>
      </c>
      <c r="B6" s="32">
        <v>86.4</v>
      </c>
      <c r="C6" s="32"/>
      <c r="D6" s="32">
        <v>0</v>
      </c>
    </row>
    <row r="7" spans="1:4" x14ac:dyDescent="0.25">
      <c r="A7" s="31" t="s">
        <v>395</v>
      </c>
      <c r="B7" s="32">
        <v>192</v>
      </c>
      <c r="C7" s="32"/>
      <c r="D7" s="32"/>
    </row>
    <row r="8" spans="1:4" x14ac:dyDescent="0.25">
      <c r="A8" s="31" t="s">
        <v>396</v>
      </c>
      <c r="B8" s="32">
        <v>192</v>
      </c>
      <c r="C8" s="32"/>
      <c r="D8" s="32"/>
    </row>
    <row r="10" spans="1:4" x14ac:dyDescent="0.25">
      <c r="A10" s="31" t="s">
        <v>397</v>
      </c>
      <c r="B10" s="32">
        <v>806.4</v>
      </c>
      <c r="C10" s="32">
        <v>0</v>
      </c>
      <c r="D10" s="32">
        <v>0</v>
      </c>
    </row>
    <row r="12" spans="1:4" x14ac:dyDescent="0.25">
      <c r="A12" s="31" t="s">
        <v>398</v>
      </c>
    </row>
    <row r="13" spans="1:4" x14ac:dyDescent="0.25">
      <c r="A13" s="31" t="s">
        <v>399</v>
      </c>
      <c r="B13" s="32">
        <v>96</v>
      </c>
    </row>
    <row r="14" spans="1:4" x14ac:dyDescent="0.25">
      <c r="A14" s="31" t="s">
        <v>400</v>
      </c>
      <c r="B14" s="32">
        <v>508.8</v>
      </c>
    </row>
    <row r="15" spans="1:4" x14ac:dyDescent="0.25">
      <c r="A15" s="31" t="s">
        <v>401</v>
      </c>
      <c r="B15" s="32">
        <v>192</v>
      </c>
    </row>
    <row r="16" spans="1:4" x14ac:dyDescent="0.25">
      <c r="A16" s="31" t="s">
        <v>402</v>
      </c>
      <c r="B16" s="32">
        <v>480</v>
      </c>
    </row>
    <row r="17" spans="1:4" x14ac:dyDescent="0.25">
      <c r="A17" s="31" t="s">
        <v>403</v>
      </c>
      <c r="B17" s="32">
        <v>144</v>
      </c>
      <c r="D17" s="32">
        <v>73.335999999999999</v>
      </c>
    </row>
    <row r="18" spans="1:4" x14ac:dyDescent="0.25">
      <c r="A18" s="31" t="s">
        <v>404</v>
      </c>
      <c r="B18" s="32">
        <v>288</v>
      </c>
      <c r="D18" s="32">
        <v>50</v>
      </c>
    </row>
    <row r="19" spans="1:4" x14ac:dyDescent="0.25">
      <c r="A19" s="31" t="s">
        <v>405</v>
      </c>
      <c r="B19" s="32">
        <v>1440</v>
      </c>
      <c r="D19" s="32">
        <v>20</v>
      </c>
    </row>
    <row r="20" spans="1:4" x14ac:dyDescent="0.25">
      <c r="A20" s="31" t="s">
        <v>406</v>
      </c>
      <c r="B20" s="32">
        <v>576</v>
      </c>
      <c r="D20" s="32"/>
    </row>
    <row r="21" spans="1:4" x14ac:dyDescent="0.25">
      <c r="A21" s="31" t="s">
        <v>407</v>
      </c>
      <c r="B21" s="32">
        <v>1545.6</v>
      </c>
      <c r="D21" s="32">
        <v>200</v>
      </c>
    </row>
    <row r="23" spans="1:4" x14ac:dyDescent="0.25">
      <c r="A23" s="31" t="s">
        <v>397</v>
      </c>
      <c r="B23" s="32">
        <v>5270.4</v>
      </c>
      <c r="C23" s="32">
        <v>0</v>
      </c>
      <c r="D23" s="32">
        <v>343.33600000000001</v>
      </c>
    </row>
    <row r="25" spans="1:4" x14ac:dyDescent="0.25">
      <c r="A25" s="31" t="s">
        <v>408</v>
      </c>
    </row>
    <row r="26" spans="1:4" x14ac:dyDescent="0.25">
      <c r="A26" s="31" t="s">
        <v>409</v>
      </c>
      <c r="D26" s="32">
        <v>365</v>
      </c>
    </row>
    <row r="27" spans="1:4" x14ac:dyDescent="0.25">
      <c r="A27" s="31" t="s">
        <v>410</v>
      </c>
      <c r="D27" s="32">
        <v>0</v>
      </c>
    </row>
    <row r="28" spans="1:4" x14ac:dyDescent="0.25">
      <c r="A28" s="31" t="s">
        <v>411</v>
      </c>
      <c r="D28" s="32">
        <v>0</v>
      </c>
    </row>
    <row r="29" spans="1:4" x14ac:dyDescent="0.25">
      <c r="A29" s="31" t="s">
        <v>412</v>
      </c>
      <c r="D29" s="32">
        <v>0</v>
      </c>
    </row>
    <row r="31" spans="1:4" x14ac:dyDescent="0.25">
      <c r="A31" s="31" t="s">
        <v>413</v>
      </c>
      <c r="B31" s="32">
        <v>0</v>
      </c>
      <c r="C31" s="32">
        <v>0</v>
      </c>
      <c r="D31" s="32">
        <v>365</v>
      </c>
    </row>
    <row r="32" spans="1:4" x14ac:dyDescent="0.25">
      <c r="C32" s="32"/>
      <c r="D32" s="32"/>
    </row>
    <row r="33" spans="1:4" x14ac:dyDescent="0.25">
      <c r="A33" s="31" t="s">
        <v>414</v>
      </c>
    </row>
    <row r="34" spans="1:4" x14ac:dyDescent="0.25">
      <c r="A34" s="31" t="s">
        <v>415</v>
      </c>
      <c r="D34" s="32">
        <v>0</v>
      </c>
    </row>
    <row r="35" spans="1:4" x14ac:dyDescent="0.25">
      <c r="A35" s="31" t="s">
        <v>416</v>
      </c>
      <c r="D35" s="32">
        <v>42000</v>
      </c>
    </row>
    <row r="36" spans="1:4" x14ac:dyDescent="0.25">
      <c r="A36" s="31" t="s">
        <v>417</v>
      </c>
      <c r="D36" s="32">
        <v>0</v>
      </c>
    </row>
    <row r="37" spans="1:4" x14ac:dyDescent="0.25">
      <c r="A37" s="31" t="s">
        <v>418</v>
      </c>
      <c r="D37" s="32">
        <v>9000</v>
      </c>
    </row>
    <row r="38" spans="1:4" x14ac:dyDescent="0.25">
      <c r="A38" s="31" t="s">
        <v>419</v>
      </c>
      <c r="D38" s="32">
        <v>6800</v>
      </c>
    </row>
    <row r="39" spans="1:4" x14ac:dyDescent="0.25">
      <c r="A39" s="31" t="s">
        <v>420</v>
      </c>
      <c r="D39" s="32">
        <v>2400</v>
      </c>
    </row>
    <row r="40" spans="1:4" x14ac:dyDescent="0.25">
      <c r="A40" s="31" t="s">
        <v>421</v>
      </c>
      <c r="D40" s="32">
        <v>0</v>
      </c>
    </row>
    <row r="41" spans="1:4" x14ac:dyDescent="0.25">
      <c r="A41" s="31" t="s">
        <v>422</v>
      </c>
      <c r="D41" s="32">
        <v>0</v>
      </c>
    </row>
    <row r="42" spans="1:4" x14ac:dyDescent="0.25">
      <c r="A42" s="31" t="s">
        <v>423</v>
      </c>
      <c r="D42" s="32"/>
    </row>
    <row r="43" spans="1:4" x14ac:dyDescent="0.25">
      <c r="A43" s="31" t="s">
        <v>424</v>
      </c>
      <c r="D43" s="32">
        <v>0</v>
      </c>
    </row>
    <row r="44" spans="1:4" x14ac:dyDescent="0.25">
      <c r="A44" s="31" t="s">
        <v>425</v>
      </c>
      <c r="D44" s="32">
        <v>3612</v>
      </c>
    </row>
    <row r="46" spans="1:4" x14ac:dyDescent="0.25">
      <c r="A46" s="31" t="s">
        <v>413</v>
      </c>
      <c r="B46" s="32"/>
      <c r="C46" s="32"/>
      <c r="D46" s="32">
        <v>63812</v>
      </c>
    </row>
    <row r="48" spans="1:4" x14ac:dyDescent="0.25">
      <c r="A48" s="31" t="s">
        <v>426</v>
      </c>
    </row>
    <row r="49" spans="1:4" x14ac:dyDescent="0.25">
      <c r="A49" s="31" t="s">
        <v>427</v>
      </c>
      <c r="B49" s="32">
        <v>921.6</v>
      </c>
      <c r="C49" s="32"/>
      <c r="D49" s="32">
        <v>2000</v>
      </c>
    </row>
    <row r="50" spans="1:4" x14ac:dyDescent="0.25">
      <c r="A50" s="31" t="s">
        <v>428</v>
      </c>
      <c r="B50" s="32">
        <v>115.2</v>
      </c>
      <c r="C50" s="32"/>
      <c r="D50" s="32">
        <v>7250</v>
      </c>
    </row>
    <row r="51" spans="1:4" x14ac:dyDescent="0.25">
      <c r="A51" s="31" t="s">
        <v>429</v>
      </c>
      <c r="B51" s="32">
        <v>1843.2</v>
      </c>
      <c r="C51" s="32"/>
      <c r="D51" s="32">
        <v>4769.375</v>
      </c>
    </row>
    <row r="53" spans="1:4" x14ac:dyDescent="0.25">
      <c r="A53" s="31" t="s">
        <v>413</v>
      </c>
      <c r="B53" s="32">
        <v>2880</v>
      </c>
      <c r="C53" s="32">
        <v>0</v>
      </c>
      <c r="D53" s="32">
        <v>14019.375</v>
      </c>
    </row>
    <row r="55" spans="1:4" x14ac:dyDescent="0.25">
      <c r="A55" s="31" t="s">
        <v>430</v>
      </c>
    </row>
    <row r="56" spans="1:4" x14ac:dyDescent="0.25">
      <c r="A56" s="31" t="s">
        <v>431</v>
      </c>
      <c r="B56" s="32">
        <v>768</v>
      </c>
      <c r="C56" s="32"/>
      <c r="D56" s="32">
        <v>50</v>
      </c>
    </row>
    <row r="57" spans="1:4" x14ac:dyDescent="0.25">
      <c r="A57" s="31" t="s">
        <v>432</v>
      </c>
      <c r="B57" s="32">
        <v>630.72</v>
      </c>
      <c r="C57" s="32">
        <v>369.495</v>
      </c>
      <c r="D57" s="32">
        <v>292.5</v>
      </c>
    </row>
    <row r="58" spans="1:4" x14ac:dyDescent="0.25">
      <c r="A58" s="31" t="s">
        <v>433</v>
      </c>
      <c r="B58" s="32">
        <v>90</v>
      </c>
      <c r="C58" s="32"/>
      <c r="D58" s="32">
        <v>0</v>
      </c>
    </row>
    <row r="59" spans="1:4" x14ac:dyDescent="0.25">
      <c r="A59" s="31" t="s">
        <v>434</v>
      </c>
      <c r="B59" s="32">
        <v>2073.6</v>
      </c>
      <c r="C59" s="32">
        <v>24697.399999999998</v>
      </c>
      <c r="D59" s="32">
        <v>350</v>
      </c>
    </row>
    <row r="60" spans="1:4" x14ac:dyDescent="0.25">
      <c r="A60" s="31" t="s">
        <v>435</v>
      </c>
      <c r="B60" s="32"/>
      <c r="C60" s="32">
        <v>1402.9999999999998</v>
      </c>
      <c r="D60" s="32"/>
    </row>
    <row r="61" spans="1:4" x14ac:dyDescent="0.25">
      <c r="A61" s="31" t="s">
        <v>436</v>
      </c>
      <c r="B61" s="32">
        <v>76.8</v>
      </c>
      <c r="C61" s="32"/>
      <c r="D61" s="32"/>
    </row>
    <row r="62" spans="1:4" x14ac:dyDescent="0.25">
      <c r="A62" s="31" t="s">
        <v>437</v>
      </c>
    </row>
    <row r="63" spans="1:4" x14ac:dyDescent="0.25">
      <c r="A63" s="31" t="s">
        <v>413</v>
      </c>
      <c r="B63" s="32">
        <v>3639.12</v>
      </c>
      <c r="C63" s="32">
        <v>26469.894999999997</v>
      </c>
      <c r="D63" s="32">
        <v>692.5</v>
      </c>
    </row>
    <row r="65" spans="1:4" x14ac:dyDescent="0.25">
      <c r="A65" s="31" t="s">
        <v>438</v>
      </c>
    </row>
    <row r="66" spans="1:4" x14ac:dyDescent="0.25">
      <c r="A66" s="31" t="s">
        <v>439</v>
      </c>
      <c r="B66" s="32">
        <v>76.8</v>
      </c>
      <c r="C66" s="32"/>
      <c r="D66" s="32"/>
    </row>
    <row r="67" spans="1:4" x14ac:dyDescent="0.25">
      <c r="A67" s="31" t="s">
        <v>440</v>
      </c>
      <c r="B67" s="32">
        <v>614.40000000000009</v>
      </c>
      <c r="C67" s="32"/>
      <c r="D67" s="32">
        <v>50</v>
      </c>
    </row>
    <row r="68" spans="1:4" x14ac:dyDescent="0.25">
      <c r="A68" s="31" t="s">
        <v>441</v>
      </c>
      <c r="B68" s="32">
        <v>575.23199999999997</v>
      </c>
      <c r="C68" s="32">
        <v>2697.279</v>
      </c>
      <c r="D68" s="32">
        <v>290</v>
      </c>
    </row>
    <row r="69" spans="1:4" x14ac:dyDescent="0.25">
      <c r="A69" s="31" t="s">
        <v>442</v>
      </c>
      <c r="B69" s="32">
        <v>0</v>
      </c>
      <c r="C69" s="32">
        <v>4715</v>
      </c>
      <c r="D69" s="32"/>
    </row>
    <row r="70" spans="1:4" x14ac:dyDescent="0.25">
      <c r="A70" s="31" t="s">
        <v>443</v>
      </c>
      <c r="B70" s="32">
        <v>153.6</v>
      </c>
      <c r="C70" s="32"/>
      <c r="D70" s="32"/>
    </row>
    <row r="71" spans="1:4" x14ac:dyDescent="0.25">
      <c r="A71" s="31" t="s">
        <v>444</v>
      </c>
      <c r="B71" s="32">
        <v>0</v>
      </c>
      <c r="C71" s="32">
        <v>580.75</v>
      </c>
      <c r="D71" s="32"/>
    </row>
    <row r="72" spans="1:4" x14ac:dyDescent="0.25">
      <c r="A72" s="31" t="s">
        <v>445</v>
      </c>
      <c r="B72" s="32">
        <v>130.56</v>
      </c>
      <c r="C72" s="32"/>
      <c r="D72" s="32"/>
    </row>
    <row r="73" spans="1:4" x14ac:dyDescent="0.25">
      <c r="A73" s="31" t="s">
        <v>446</v>
      </c>
      <c r="B73" s="32">
        <v>754.94400000000007</v>
      </c>
      <c r="C73" s="32">
        <v>2451.0639999999999</v>
      </c>
      <c r="D73" s="32">
        <v>352</v>
      </c>
    </row>
    <row r="75" spans="1:4" x14ac:dyDescent="0.25">
      <c r="A75" s="31" t="s">
        <v>413</v>
      </c>
      <c r="B75" s="32">
        <v>2305.5360000000001</v>
      </c>
      <c r="C75" s="32">
        <v>10444.093000000001</v>
      </c>
      <c r="D75" s="32">
        <v>692</v>
      </c>
    </row>
    <row r="77" spans="1:4" x14ac:dyDescent="0.25">
      <c r="A77" s="31" t="s">
        <v>447</v>
      </c>
      <c r="B77" s="32">
        <v>14901.455999999998</v>
      </c>
      <c r="C77" s="32">
        <v>36913.987999999998</v>
      </c>
      <c r="D77" s="32">
        <v>79924.21100000001</v>
      </c>
    </row>
    <row r="79" spans="1:4" x14ac:dyDescent="0.25">
      <c r="A79" s="31" t="s">
        <v>448</v>
      </c>
      <c r="D79" s="32">
        <v>131739.655</v>
      </c>
    </row>
    <row r="83" spans="1:4" x14ac:dyDescent="0.25">
      <c r="A83" s="31" t="s">
        <v>449</v>
      </c>
    </row>
    <row r="84" spans="1:4" x14ac:dyDescent="0.25">
      <c r="A84" s="31" t="s">
        <v>450</v>
      </c>
      <c r="B84" s="32">
        <v>460.80000000000007</v>
      </c>
      <c r="C84" s="32"/>
      <c r="D84" s="32"/>
    </row>
    <row r="85" spans="1:4" x14ac:dyDescent="0.25">
      <c r="A85" s="31" t="s">
        <v>451</v>
      </c>
      <c r="B85" s="32">
        <v>0</v>
      </c>
      <c r="C85" s="32"/>
    </row>
    <row r="86" spans="1:4" x14ac:dyDescent="0.25">
      <c r="A86" s="31" t="s">
        <v>452</v>
      </c>
      <c r="B86" s="32">
        <v>0</v>
      </c>
      <c r="C86" s="32"/>
      <c r="D86" s="32"/>
    </row>
    <row r="87" spans="1:4" x14ac:dyDescent="0.25">
      <c r="A87" s="31" t="s">
        <v>453</v>
      </c>
      <c r="B87" s="32">
        <v>0</v>
      </c>
      <c r="C87" s="32"/>
      <c r="D87" s="32"/>
    </row>
    <row r="88" spans="1:4" x14ac:dyDescent="0.25">
      <c r="A88" s="31" t="s">
        <v>454</v>
      </c>
      <c r="B88" s="32">
        <v>0</v>
      </c>
      <c r="C88" s="32"/>
      <c r="D88" s="32"/>
    </row>
    <row r="89" spans="1:4" x14ac:dyDescent="0.25">
      <c r="A89" s="31" t="s">
        <v>455</v>
      </c>
      <c r="B89" s="32">
        <v>0</v>
      </c>
      <c r="C89" s="32"/>
    </row>
    <row r="90" spans="1:4" x14ac:dyDescent="0.25">
      <c r="A90" s="31" t="s">
        <v>456</v>
      </c>
      <c r="B90" s="32">
        <v>576</v>
      </c>
      <c r="C90" s="32"/>
      <c r="D90" s="32">
        <v>1000</v>
      </c>
    </row>
    <row r="91" spans="1:4" x14ac:dyDescent="0.25">
      <c r="A91" s="31" t="s">
        <v>457</v>
      </c>
      <c r="B91" s="32"/>
      <c r="C91" s="32"/>
      <c r="D91" s="32">
        <v>0</v>
      </c>
    </row>
    <row r="93" spans="1:4" x14ac:dyDescent="0.25">
      <c r="A93" s="31" t="s">
        <v>413</v>
      </c>
      <c r="B93" s="32">
        <v>1036.8000000000002</v>
      </c>
      <c r="C93" s="32">
        <v>0</v>
      </c>
      <c r="D93" s="32">
        <v>1000</v>
      </c>
    </row>
    <row r="95" spans="1:4" x14ac:dyDescent="0.25">
      <c r="A95" s="31" t="s">
        <v>458</v>
      </c>
    </row>
    <row r="96" spans="1:4" x14ac:dyDescent="0.25">
      <c r="A96" s="31" t="s">
        <v>459</v>
      </c>
      <c r="B96" s="32">
        <v>0</v>
      </c>
      <c r="C96" s="32"/>
      <c r="D96" s="32"/>
    </row>
    <row r="97" spans="1:4" x14ac:dyDescent="0.25">
      <c r="A97" s="31" t="s">
        <v>460</v>
      </c>
      <c r="B97" s="32">
        <v>0</v>
      </c>
      <c r="C97" s="32"/>
      <c r="D97" s="32"/>
    </row>
    <row r="98" spans="1:4" x14ac:dyDescent="0.25">
      <c r="A98" s="31" t="s">
        <v>461</v>
      </c>
      <c r="B98" s="32">
        <v>0</v>
      </c>
      <c r="C98" s="32"/>
      <c r="D98" s="32"/>
    </row>
    <row r="99" spans="1:4" x14ac:dyDescent="0.25">
      <c r="A99" s="31" t="s">
        <v>462</v>
      </c>
      <c r="B99" s="32">
        <v>0</v>
      </c>
      <c r="C99" s="32">
        <v>0</v>
      </c>
      <c r="D99" s="32"/>
    </row>
    <row r="100" spans="1:4" x14ac:dyDescent="0.25">
      <c r="A100" s="31" t="s">
        <v>463</v>
      </c>
      <c r="B100" s="32">
        <v>0</v>
      </c>
      <c r="C100" s="32">
        <v>0</v>
      </c>
      <c r="D100" s="32"/>
    </row>
    <row r="101" spans="1:4" x14ac:dyDescent="0.25">
      <c r="A101" s="31" t="s">
        <v>464</v>
      </c>
      <c r="B101" s="32">
        <v>0</v>
      </c>
      <c r="C101" s="32">
        <v>0</v>
      </c>
      <c r="D101" s="32"/>
    </row>
    <row r="102" spans="1:4" x14ac:dyDescent="0.25">
      <c r="A102" s="31" t="s">
        <v>465</v>
      </c>
      <c r="B102" s="32"/>
      <c r="C102" s="32">
        <v>0</v>
      </c>
      <c r="D102" s="32"/>
    </row>
    <row r="103" spans="1:4" x14ac:dyDescent="0.25">
      <c r="A103" s="31" t="s">
        <v>466</v>
      </c>
      <c r="B103" s="32">
        <v>0</v>
      </c>
      <c r="C103" s="32"/>
      <c r="D103" s="32"/>
    </row>
    <row r="105" spans="1:4" x14ac:dyDescent="0.25">
      <c r="A105" s="31" t="s">
        <v>413</v>
      </c>
      <c r="B105" s="32">
        <v>0</v>
      </c>
      <c r="C105" s="32">
        <v>0</v>
      </c>
      <c r="D105" s="32">
        <v>0</v>
      </c>
    </row>
    <row r="107" spans="1:4" x14ac:dyDescent="0.25">
      <c r="A107" s="31" t="s">
        <v>467</v>
      </c>
    </row>
    <row r="108" spans="1:4" x14ac:dyDescent="0.25">
      <c r="A108" s="31" t="s">
        <v>459</v>
      </c>
      <c r="B108" s="32">
        <v>175.61088000000001</v>
      </c>
      <c r="C108" s="32"/>
      <c r="D108" s="32"/>
    </row>
    <row r="109" spans="1:4" x14ac:dyDescent="0.25">
      <c r="A109" s="31" t="s">
        <v>460</v>
      </c>
      <c r="B109" s="32">
        <v>36.585599999999999</v>
      </c>
      <c r="C109" s="32"/>
      <c r="D109" s="32"/>
    </row>
    <row r="110" spans="1:4" x14ac:dyDescent="0.25">
      <c r="A110" s="31" t="s">
        <v>468</v>
      </c>
      <c r="B110" s="32">
        <v>18.2928</v>
      </c>
      <c r="C110" s="32"/>
      <c r="D110" s="32"/>
    </row>
    <row r="111" spans="1:4" x14ac:dyDescent="0.25">
      <c r="A111" s="31" t="s">
        <v>469</v>
      </c>
      <c r="B111" s="32">
        <v>109.7568</v>
      </c>
      <c r="C111" s="32">
        <v>5090.0097099999994</v>
      </c>
      <c r="D111" s="32"/>
    </row>
    <row r="112" spans="1:4" x14ac:dyDescent="0.25">
      <c r="A112" s="31" t="s">
        <v>470</v>
      </c>
      <c r="B112" s="32">
        <v>11.796480000000001</v>
      </c>
      <c r="C112" s="32">
        <v>89.026559999999989</v>
      </c>
      <c r="D112" s="32"/>
    </row>
    <row r="113" spans="1:4" x14ac:dyDescent="0.25">
      <c r="A113" s="31" t="s">
        <v>471</v>
      </c>
      <c r="B113" s="32"/>
      <c r="C113" s="32">
        <v>512.77004999999986</v>
      </c>
      <c r="D113" s="32">
        <v>19.055</v>
      </c>
    </row>
    <row r="114" spans="1:4" x14ac:dyDescent="0.25">
      <c r="A114" s="31" t="s">
        <v>472</v>
      </c>
      <c r="B114" s="32">
        <v>36.585599999999999</v>
      </c>
      <c r="C114" s="32"/>
      <c r="D114" s="32"/>
    </row>
    <row r="116" spans="1:4" x14ac:dyDescent="0.25">
      <c r="A116" s="31" t="s">
        <v>413</v>
      </c>
      <c r="B116" s="32">
        <v>388.62815999999998</v>
      </c>
      <c r="C116" s="32">
        <v>5691.8063199999997</v>
      </c>
      <c r="D116" s="32">
        <v>19.055</v>
      </c>
    </row>
    <row r="117" spans="1:4" x14ac:dyDescent="0.25">
      <c r="B117" s="32"/>
      <c r="C117" s="32"/>
      <c r="D117" s="32"/>
    </row>
    <row r="118" spans="1:4" x14ac:dyDescent="0.25">
      <c r="A118" s="31" t="s">
        <v>473</v>
      </c>
      <c r="B118" s="32"/>
      <c r="C118" s="32"/>
      <c r="D118" s="32"/>
    </row>
    <row r="119" spans="1:4" x14ac:dyDescent="0.25">
      <c r="A119" s="31" t="s">
        <v>459</v>
      </c>
      <c r="B119" s="32">
        <v>460.8</v>
      </c>
      <c r="C119" s="32"/>
      <c r="D119" s="32"/>
    </row>
    <row r="120" spans="1:4" x14ac:dyDescent="0.25">
      <c r="A120" s="31" t="s">
        <v>460</v>
      </c>
      <c r="B120" s="32">
        <v>96</v>
      </c>
      <c r="C120" s="32"/>
      <c r="D120" s="32"/>
    </row>
    <row r="121" spans="1:4" x14ac:dyDescent="0.25">
      <c r="A121" s="31" t="s">
        <v>468</v>
      </c>
      <c r="B121" s="32">
        <v>48</v>
      </c>
      <c r="C121" s="32"/>
      <c r="D121" s="32"/>
    </row>
    <row r="122" spans="1:4" x14ac:dyDescent="0.25">
      <c r="A122" s="31" t="s">
        <v>474</v>
      </c>
      <c r="B122" s="32">
        <v>115.2</v>
      </c>
      <c r="C122" s="32">
        <v>8484.6999999999989</v>
      </c>
      <c r="D122" s="32"/>
    </row>
    <row r="123" spans="1:4" x14ac:dyDescent="0.25">
      <c r="A123" s="31" t="s">
        <v>471</v>
      </c>
      <c r="B123" s="32"/>
      <c r="C123" s="32">
        <v>1345.4999999999998</v>
      </c>
      <c r="D123" s="32">
        <v>50</v>
      </c>
    </row>
    <row r="124" spans="1:4" x14ac:dyDescent="0.25">
      <c r="A124" s="31" t="s">
        <v>472</v>
      </c>
      <c r="B124" s="32">
        <v>96</v>
      </c>
      <c r="C124" s="32"/>
      <c r="D124" s="32"/>
    </row>
    <row r="125" spans="1:4" x14ac:dyDescent="0.25">
      <c r="B125" s="32"/>
      <c r="C125" s="32"/>
      <c r="D125" s="32"/>
    </row>
    <row r="126" spans="1:4" x14ac:dyDescent="0.25">
      <c r="A126" s="31" t="s">
        <v>413</v>
      </c>
      <c r="B126" s="32">
        <v>816</v>
      </c>
      <c r="C126" s="32">
        <v>9830.1999999999989</v>
      </c>
      <c r="D126" s="32">
        <v>50</v>
      </c>
    </row>
    <row r="128" spans="1:4" x14ac:dyDescent="0.25">
      <c r="A128" s="31" t="s">
        <v>475</v>
      </c>
    </row>
    <row r="129" spans="1:4" x14ac:dyDescent="0.25">
      <c r="A129" s="31" t="s">
        <v>461</v>
      </c>
      <c r="B129" s="32">
        <v>144</v>
      </c>
      <c r="C129" s="32"/>
      <c r="D129" s="32"/>
    </row>
    <row r="130" spans="1:4" x14ac:dyDescent="0.25">
      <c r="A130" s="31" t="s">
        <v>476</v>
      </c>
      <c r="B130" s="32">
        <v>86.4</v>
      </c>
      <c r="C130" s="32"/>
      <c r="D130" s="32">
        <v>600</v>
      </c>
    </row>
    <row r="131" spans="1:4" x14ac:dyDescent="0.25">
      <c r="A131" s="31" t="s">
        <v>463</v>
      </c>
      <c r="B131" s="32">
        <v>32.927040000000005</v>
      </c>
      <c r="C131" s="32"/>
      <c r="D131" s="32"/>
    </row>
    <row r="132" spans="1:4" x14ac:dyDescent="0.25">
      <c r="A132" s="31" t="s">
        <v>464</v>
      </c>
      <c r="B132" s="32">
        <v>5.4878400000000003</v>
      </c>
      <c r="C132" s="32"/>
      <c r="D132" s="32">
        <v>0</v>
      </c>
    </row>
    <row r="133" spans="1:4" x14ac:dyDescent="0.25">
      <c r="A133" s="31" t="s">
        <v>477</v>
      </c>
      <c r="B133" s="32">
        <v>316.79999999999995</v>
      </c>
      <c r="C133" s="32"/>
      <c r="D133" s="32">
        <v>20</v>
      </c>
    </row>
    <row r="135" spans="1:4" x14ac:dyDescent="0.25">
      <c r="A135" s="31" t="s">
        <v>413</v>
      </c>
      <c r="B135" s="32">
        <v>585.61487999999997</v>
      </c>
      <c r="C135" s="32">
        <v>0</v>
      </c>
      <c r="D135" s="32">
        <v>620</v>
      </c>
    </row>
    <row r="137" spans="1:4" x14ac:dyDescent="0.25">
      <c r="A137" s="31" t="s">
        <v>478</v>
      </c>
    </row>
    <row r="138" spans="1:4" x14ac:dyDescent="0.25">
      <c r="A138" s="31" t="s">
        <v>479</v>
      </c>
      <c r="B138" s="32">
        <v>4608</v>
      </c>
      <c r="C138" s="32"/>
      <c r="D138" s="32"/>
    </row>
    <row r="139" spans="1:4" x14ac:dyDescent="0.25">
      <c r="A139" s="31" t="s">
        <v>480</v>
      </c>
      <c r="B139" s="32">
        <v>489.6</v>
      </c>
      <c r="C139" s="32"/>
      <c r="D139" s="32"/>
    </row>
    <row r="140" spans="1:4" x14ac:dyDescent="0.25">
      <c r="A140" s="31" t="s">
        <v>481</v>
      </c>
      <c r="B140" s="32">
        <v>350.4</v>
      </c>
      <c r="C140" s="32"/>
      <c r="D140" s="32">
        <v>40</v>
      </c>
    </row>
    <row r="142" spans="1:4" x14ac:dyDescent="0.25">
      <c r="A142" s="31" t="s">
        <v>413</v>
      </c>
      <c r="B142" s="32">
        <v>5448</v>
      </c>
      <c r="C142" s="32">
        <v>0</v>
      </c>
      <c r="D142" s="32">
        <v>40</v>
      </c>
    </row>
    <row r="144" spans="1:4" x14ac:dyDescent="0.25">
      <c r="A144" s="31" t="s">
        <v>482</v>
      </c>
    </row>
    <row r="145" spans="1:6" x14ac:dyDescent="0.25">
      <c r="A145" s="31" t="s">
        <v>483</v>
      </c>
      <c r="B145" s="32">
        <v>662.4</v>
      </c>
      <c r="C145" s="32"/>
      <c r="D145" s="32">
        <v>230</v>
      </c>
    </row>
    <row r="146" spans="1:6" x14ac:dyDescent="0.25">
      <c r="A146" s="31" t="s">
        <v>484</v>
      </c>
      <c r="B146" s="32">
        <v>240</v>
      </c>
      <c r="C146" s="32"/>
      <c r="D146" s="32">
        <v>50</v>
      </c>
    </row>
    <row r="147" spans="1:6" x14ac:dyDescent="0.25">
      <c r="A147" s="31" t="s">
        <v>485</v>
      </c>
      <c r="B147" s="32">
        <v>115.2</v>
      </c>
      <c r="C147" s="32"/>
      <c r="D147" s="32">
        <v>2000</v>
      </c>
    </row>
    <row r="148" spans="1:6" x14ac:dyDescent="0.25">
      <c r="A148" s="31" t="s">
        <v>486</v>
      </c>
      <c r="B148" s="32">
        <v>391.67999999999995</v>
      </c>
      <c r="C148" s="32"/>
      <c r="D148" s="32"/>
    </row>
    <row r="149" spans="1:6" x14ac:dyDescent="0.25">
      <c r="B149" s="32"/>
      <c r="C149" s="32"/>
      <c r="D149" s="32"/>
    </row>
    <row r="150" spans="1:6" x14ac:dyDescent="0.25">
      <c r="A150" s="31" t="s">
        <v>413</v>
      </c>
      <c r="B150" s="32">
        <v>1409.28</v>
      </c>
      <c r="C150" s="32">
        <v>0</v>
      </c>
      <c r="D150" s="32">
        <v>2280</v>
      </c>
    </row>
    <row r="151" spans="1:6" x14ac:dyDescent="0.25">
      <c r="B151" s="32"/>
      <c r="C151" s="32"/>
      <c r="D151" s="32"/>
    </row>
    <row r="152" spans="1:6" x14ac:dyDescent="0.25">
      <c r="A152" s="31" t="s">
        <v>487</v>
      </c>
      <c r="B152" s="32">
        <v>2121.9673343999998</v>
      </c>
      <c r="C152" s="32">
        <v>5256.5518911999998</v>
      </c>
      <c r="D152" s="32">
        <v>11381.207646400002</v>
      </c>
    </row>
    <row r="154" spans="1:6" x14ac:dyDescent="0.25">
      <c r="A154" s="31" t="s">
        <v>488</v>
      </c>
      <c r="B154" s="32">
        <v>11806.290374400001</v>
      </c>
      <c r="C154" s="32">
        <v>20778.558211199997</v>
      </c>
      <c r="D154" s="32">
        <v>15390.262646400002</v>
      </c>
    </row>
    <row r="156" spans="1:6" x14ac:dyDescent="0.25">
      <c r="A156" s="31" t="s">
        <v>489</v>
      </c>
      <c r="C156" s="32"/>
      <c r="D156" s="32">
        <v>47975.111231999996</v>
      </c>
      <c r="F156" s="32"/>
    </row>
    <row r="161" spans="1:5" x14ac:dyDescent="0.25">
      <c r="A161" s="31" t="s">
        <v>490</v>
      </c>
    </row>
    <row r="163" spans="1:5" x14ac:dyDescent="0.25">
      <c r="A163" s="31" t="s">
        <v>307</v>
      </c>
      <c r="B163" s="31" t="s">
        <v>184</v>
      </c>
      <c r="C163" s="31" t="s">
        <v>308</v>
      </c>
      <c r="D163" s="31" t="s">
        <v>309</v>
      </c>
      <c r="E163" s="31" t="s">
        <v>45</v>
      </c>
    </row>
    <row r="164" spans="1:5" x14ac:dyDescent="0.25">
      <c r="A164" s="31" t="s">
        <v>310</v>
      </c>
      <c r="B164" s="32">
        <v>806.4</v>
      </c>
      <c r="C164" s="32">
        <v>0</v>
      </c>
      <c r="D164" s="32">
        <v>0</v>
      </c>
      <c r="E164" s="32">
        <v>806.4</v>
      </c>
    </row>
    <row r="165" spans="1:5" x14ac:dyDescent="0.25">
      <c r="A165" s="31" t="s">
        <v>311</v>
      </c>
      <c r="B165" s="32">
        <v>5270.4</v>
      </c>
      <c r="C165" s="32">
        <v>0</v>
      </c>
      <c r="D165" s="32">
        <v>343.33600000000001</v>
      </c>
      <c r="E165" s="32">
        <v>5613.7359999999999</v>
      </c>
    </row>
    <row r="166" spans="1:5" x14ac:dyDescent="0.25">
      <c r="A166" s="31" t="s">
        <v>312</v>
      </c>
      <c r="B166" s="32">
        <v>0</v>
      </c>
      <c r="C166" s="32">
        <v>0</v>
      </c>
      <c r="D166" s="32">
        <v>365</v>
      </c>
      <c r="E166" s="32">
        <v>365</v>
      </c>
    </row>
    <row r="167" spans="1:5" x14ac:dyDescent="0.25">
      <c r="A167" s="31" t="s">
        <v>313</v>
      </c>
      <c r="B167" s="32">
        <v>0</v>
      </c>
      <c r="C167" s="32">
        <v>0</v>
      </c>
      <c r="D167" s="32">
        <v>63812</v>
      </c>
      <c r="E167" s="32">
        <v>63812</v>
      </c>
    </row>
    <row r="168" spans="1:5" x14ac:dyDescent="0.25">
      <c r="A168" s="31" t="s">
        <v>314</v>
      </c>
      <c r="B168" s="32">
        <v>2880</v>
      </c>
      <c r="C168" s="32">
        <v>0</v>
      </c>
      <c r="D168" s="32">
        <v>14019.375</v>
      </c>
      <c r="E168" s="32">
        <v>16899.375</v>
      </c>
    </row>
    <row r="169" spans="1:5" x14ac:dyDescent="0.25">
      <c r="A169" s="31" t="s">
        <v>315</v>
      </c>
      <c r="B169" s="32">
        <v>3639.12</v>
      </c>
      <c r="C169" s="32">
        <v>26469.894999999997</v>
      </c>
      <c r="D169" s="32">
        <v>692.5</v>
      </c>
      <c r="E169" s="32">
        <v>30801.514999999996</v>
      </c>
    </row>
    <row r="170" spans="1:5" x14ac:dyDescent="0.25">
      <c r="A170" s="31" t="s">
        <v>316</v>
      </c>
      <c r="B170" s="32">
        <v>2305.5360000000001</v>
      </c>
      <c r="C170" s="32">
        <v>10444.093000000001</v>
      </c>
      <c r="D170" s="32">
        <v>692</v>
      </c>
      <c r="E170" s="32">
        <v>13441.629000000001</v>
      </c>
    </row>
    <row r="171" spans="1:5" x14ac:dyDescent="0.25">
      <c r="B171" s="32">
        <v>14901.455999999998</v>
      </c>
      <c r="C171" s="32">
        <v>36913.987999999998</v>
      </c>
      <c r="D171" s="32">
        <v>79924.21100000001</v>
      </c>
      <c r="E171" s="32">
        <v>131739.655</v>
      </c>
    </row>
    <row r="173" spans="1:5" x14ac:dyDescent="0.25">
      <c r="A173" s="31" t="s">
        <v>317</v>
      </c>
    </row>
    <row r="174" spans="1:5" x14ac:dyDescent="0.25">
      <c r="A174" s="31" t="s">
        <v>318</v>
      </c>
      <c r="B174" s="32">
        <v>1036.8000000000002</v>
      </c>
      <c r="C174" s="32">
        <v>0</v>
      </c>
      <c r="D174" s="32">
        <v>1000</v>
      </c>
      <c r="E174" s="32">
        <v>2036.8000000000002</v>
      </c>
    </row>
    <row r="175" spans="1:5" x14ac:dyDescent="0.25">
      <c r="A175" s="31" t="s">
        <v>319</v>
      </c>
      <c r="B175" s="32">
        <v>0</v>
      </c>
      <c r="C175" s="32">
        <v>0</v>
      </c>
      <c r="D175" s="32">
        <v>0</v>
      </c>
      <c r="E175" s="32">
        <v>0</v>
      </c>
    </row>
    <row r="176" spans="1:5" x14ac:dyDescent="0.25">
      <c r="A176" s="31" t="s">
        <v>320</v>
      </c>
      <c r="B176" s="32">
        <v>388.62815999999998</v>
      </c>
      <c r="C176" s="32">
        <v>5691.8063199999997</v>
      </c>
      <c r="D176" s="32">
        <v>19.055</v>
      </c>
      <c r="E176" s="32">
        <v>6099.4894800000002</v>
      </c>
    </row>
    <row r="177" spans="1:5" x14ac:dyDescent="0.25">
      <c r="A177" s="31" t="s">
        <v>321</v>
      </c>
      <c r="B177" s="32">
        <v>816</v>
      </c>
      <c r="C177" s="32">
        <v>9830.1999999999989</v>
      </c>
      <c r="D177" s="32">
        <v>50</v>
      </c>
      <c r="E177" s="32">
        <v>10696.199999999999</v>
      </c>
    </row>
    <row r="178" spans="1:5" x14ac:dyDescent="0.25">
      <c r="A178" s="31" t="s">
        <v>322</v>
      </c>
      <c r="B178" s="32">
        <v>585.61487999999997</v>
      </c>
      <c r="C178" s="32">
        <v>0</v>
      </c>
      <c r="D178" s="32">
        <v>620</v>
      </c>
      <c r="E178" s="32">
        <v>1205.6148800000001</v>
      </c>
    </row>
    <row r="179" spans="1:5" x14ac:dyDescent="0.25">
      <c r="A179" s="31" t="s">
        <v>323</v>
      </c>
      <c r="B179" s="32">
        <v>5448</v>
      </c>
      <c r="C179" s="32">
        <v>0</v>
      </c>
      <c r="D179" s="32">
        <v>40</v>
      </c>
      <c r="E179" s="32">
        <v>5488</v>
      </c>
    </row>
    <row r="180" spans="1:5" x14ac:dyDescent="0.25">
      <c r="A180" s="31" t="s">
        <v>324</v>
      </c>
      <c r="B180" s="32">
        <v>1409.28</v>
      </c>
      <c r="C180" s="32">
        <v>0</v>
      </c>
      <c r="D180" s="32">
        <v>2280</v>
      </c>
      <c r="E180" s="32">
        <v>3689.2799999999997</v>
      </c>
    </row>
    <row r="181" spans="1:5" x14ac:dyDescent="0.25">
      <c r="A181" s="31" t="s">
        <v>325</v>
      </c>
      <c r="B181" s="32">
        <v>2121.9673343999998</v>
      </c>
      <c r="C181" s="32">
        <v>5256.5518911999998</v>
      </c>
      <c r="D181" s="32">
        <v>11381.207646400002</v>
      </c>
      <c r="E181" s="32">
        <v>18759.726871999999</v>
      </c>
    </row>
    <row r="183" spans="1:5" x14ac:dyDescent="0.25">
      <c r="A183" s="31" t="s">
        <v>326</v>
      </c>
      <c r="B183" s="32">
        <v>9684.3230400000011</v>
      </c>
      <c r="C183" s="32">
        <v>15522.006319999999</v>
      </c>
      <c r="D183" s="32">
        <v>4009.0549999999998</v>
      </c>
      <c r="E183" s="32">
        <v>29215.38436</v>
      </c>
    </row>
    <row r="184" spans="1:5" x14ac:dyDescent="0.25">
      <c r="A184" s="31" t="s">
        <v>327</v>
      </c>
      <c r="B184" s="32">
        <v>11806.290374400001</v>
      </c>
      <c r="C184" s="32">
        <v>20778.558211199997</v>
      </c>
      <c r="D184" s="32">
        <v>15390.262646400002</v>
      </c>
      <c r="E184" s="32">
        <v>47975.111231999996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56CED-FD71-4CE6-88A1-3466B6D194D1}">
  <sheetPr>
    <pageSetUpPr fitToPage="1"/>
  </sheetPr>
  <dimension ref="A1:W121"/>
  <sheetViews>
    <sheetView zoomScaleNormal="100" workbookViewId="0">
      <pane xSplit="4" ySplit="4" topLeftCell="E75" activePane="bottomRight" state="frozen"/>
      <selection pane="topRight" activeCell="E1" sqref="E1"/>
      <selection pane="bottomLeft" activeCell="A6" sqref="A6"/>
      <selection pane="bottomRight" activeCell="A75" sqref="A75:L75"/>
    </sheetView>
  </sheetViews>
  <sheetFormatPr defaultColWidth="9.1796875" defaultRowHeight="13" x14ac:dyDescent="0.3"/>
  <cols>
    <col min="1" max="1" width="2.7265625" style="130" customWidth="1"/>
    <col min="2" max="3" width="2.453125" style="130" customWidth="1"/>
    <col min="4" max="4" width="65.26953125" style="130" customWidth="1"/>
    <col min="5" max="5" width="15" style="130" customWidth="1"/>
    <col min="6" max="6" width="19.1796875" style="130" bestFit="1" customWidth="1"/>
    <col min="7" max="7" width="21.26953125" style="130" customWidth="1"/>
    <col min="8" max="8" width="15" style="131" customWidth="1"/>
    <col min="9" max="9" width="13.1796875" style="130" customWidth="1"/>
    <col min="10" max="11" width="15.26953125" style="130" customWidth="1"/>
    <col min="12" max="12" width="19" style="158" customWidth="1"/>
    <col min="13" max="13" width="10" style="152" bestFit="1" customWidth="1"/>
    <col min="14" max="14" width="11" style="130" customWidth="1"/>
    <col min="15" max="15" width="12.453125" style="130" bestFit="1" customWidth="1"/>
    <col min="16" max="16" width="33.54296875" style="130" customWidth="1"/>
    <col min="17" max="17" width="12.453125" style="130" bestFit="1" customWidth="1"/>
    <col min="18" max="16384" width="9.1796875" style="130"/>
  </cols>
  <sheetData>
    <row r="1" spans="1:23" s="161" customFormat="1" ht="15.5" x14ac:dyDescent="0.35">
      <c r="A1" s="133" t="s">
        <v>69</v>
      </c>
      <c r="B1" s="162"/>
      <c r="C1" s="162"/>
      <c r="D1" s="162"/>
      <c r="E1" s="162"/>
      <c r="F1" s="162"/>
      <c r="G1" s="162"/>
      <c r="H1" s="162"/>
      <c r="I1" s="162"/>
      <c r="J1" s="163"/>
      <c r="K1" s="162"/>
      <c r="L1" s="162"/>
      <c r="M1" s="185"/>
      <c r="N1" s="250"/>
    </row>
    <row r="2" spans="1:23" s="134" customFormat="1" x14ac:dyDescent="0.3">
      <c r="A2" s="135"/>
      <c r="B2" s="135"/>
      <c r="C2" s="135"/>
      <c r="D2" s="135"/>
      <c r="E2" s="135"/>
      <c r="F2" s="135"/>
      <c r="G2" s="135"/>
      <c r="H2" s="135"/>
      <c r="I2" s="135"/>
      <c r="J2" s="136"/>
      <c r="K2" s="135"/>
      <c r="L2" s="135"/>
      <c r="M2" s="186"/>
      <c r="N2" s="182"/>
    </row>
    <row r="3" spans="1:23" s="139" customFormat="1" ht="14.25" customHeight="1" x14ac:dyDescent="0.3">
      <c r="A3" s="501" t="s">
        <v>70</v>
      </c>
      <c r="B3" s="502"/>
      <c r="C3" s="502"/>
      <c r="D3" s="503"/>
      <c r="E3" s="137" t="s">
        <v>71</v>
      </c>
      <c r="F3" s="137" t="s">
        <v>72</v>
      </c>
      <c r="G3" s="137" t="s">
        <v>73</v>
      </c>
      <c r="H3" s="137" t="s">
        <v>74</v>
      </c>
      <c r="I3" s="137" t="s">
        <v>75</v>
      </c>
      <c r="J3" s="137" t="s">
        <v>76</v>
      </c>
      <c r="K3" s="137" t="s">
        <v>77</v>
      </c>
      <c r="L3" s="138" t="s">
        <v>78</v>
      </c>
    </row>
    <row r="4" spans="1:23" s="142" customFormat="1" ht="51" customHeight="1" x14ac:dyDescent="0.3">
      <c r="A4" s="504"/>
      <c r="B4" s="505"/>
      <c r="C4" s="505"/>
      <c r="D4" s="506"/>
      <c r="E4" s="140" t="s">
        <v>79</v>
      </c>
      <c r="F4" s="140" t="s">
        <v>80</v>
      </c>
      <c r="G4" s="140" t="s">
        <v>81</v>
      </c>
      <c r="H4" s="140" t="s">
        <v>82</v>
      </c>
      <c r="I4" s="140" t="s">
        <v>83</v>
      </c>
      <c r="J4" s="140" t="s">
        <v>84</v>
      </c>
      <c r="K4" s="140" t="s">
        <v>85</v>
      </c>
      <c r="L4" s="141" t="s">
        <v>86</v>
      </c>
      <c r="M4" s="139"/>
      <c r="P4" s="142" t="s">
        <v>87</v>
      </c>
    </row>
    <row r="5" spans="1:23" x14ac:dyDescent="0.3">
      <c r="A5" s="507" t="s">
        <v>88</v>
      </c>
      <c r="B5" s="507"/>
      <c r="C5" s="507"/>
      <c r="D5" s="507"/>
      <c r="E5" s="251" t="s">
        <v>12</v>
      </c>
      <c r="F5" s="423"/>
      <c r="G5" s="423"/>
      <c r="H5" s="252"/>
      <c r="I5" s="253"/>
      <c r="J5" s="253"/>
      <c r="K5" s="253"/>
      <c r="L5" s="55"/>
    </row>
    <row r="6" spans="1:23" x14ac:dyDescent="0.3">
      <c r="A6" s="507" t="s">
        <v>89</v>
      </c>
      <c r="B6" s="507"/>
      <c r="C6" s="507"/>
      <c r="D6" s="507"/>
      <c r="E6" s="251" t="s">
        <v>12</v>
      </c>
      <c r="F6" s="423"/>
      <c r="G6" s="423"/>
      <c r="H6" s="252"/>
      <c r="I6" s="253"/>
      <c r="J6" s="253"/>
      <c r="K6" s="253"/>
      <c r="L6" s="55"/>
    </row>
    <row r="7" spans="1:23" x14ac:dyDescent="0.3">
      <c r="A7" s="507" t="s">
        <v>90</v>
      </c>
      <c r="B7" s="507"/>
      <c r="C7" s="507"/>
      <c r="D7" s="507"/>
      <c r="E7" s="143">
        <v>160.6</v>
      </c>
      <c r="F7" s="423">
        <v>1</v>
      </c>
      <c r="G7" s="143">
        <f>E7*F7</f>
        <v>160.6</v>
      </c>
      <c r="H7" s="252">
        <v>0</v>
      </c>
      <c r="I7" s="256">
        <f>G7*H7</f>
        <v>0</v>
      </c>
      <c r="J7" s="256">
        <f>I7*0.05</f>
        <v>0</v>
      </c>
      <c r="K7" s="256">
        <f>I7*0.1</f>
        <v>0</v>
      </c>
      <c r="L7" s="128">
        <f>(I7*$F$84)+(J7*$F$85)+(K7*$F$86)</f>
        <v>0</v>
      </c>
      <c r="M7" s="184"/>
    </row>
    <row r="8" spans="1:23" x14ac:dyDescent="0.3">
      <c r="A8" s="492" t="s">
        <v>91</v>
      </c>
      <c r="B8" s="492"/>
      <c r="C8" s="492"/>
      <c r="D8" s="492"/>
      <c r="E8" s="423"/>
      <c r="F8" s="423"/>
      <c r="G8" s="423"/>
      <c r="H8" s="252"/>
      <c r="I8" s="253"/>
      <c r="J8" s="253"/>
      <c r="K8" s="253"/>
      <c r="L8" s="55"/>
    </row>
    <row r="9" spans="1:23" x14ac:dyDescent="0.3">
      <c r="A9" s="424"/>
      <c r="B9" s="491" t="s">
        <v>92</v>
      </c>
      <c r="C9" s="491"/>
      <c r="D9" s="492"/>
      <c r="E9" s="423">
        <v>1</v>
      </c>
      <c r="F9" s="423">
        <v>1</v>
      </c>
      <c r="G9" s="423">
        <f>E9*F9</f>
        <v>1</v>
      </c>
      <c r="H9" s="252">
        <f>'Table 1c-Year 3'!E11</f>
        <v>159.94434782608695</v>
      </c>
      <c r="I9" s="256">
        <f>G9*H9</f>
        <v>159.94434782608695</v>
      </c>
      <c r="J9" s="285">
        <f>I9*0.05</f>
        <v>7.9972173913043481</v>
      </c>
      <c r="K9" s="285">
        <f>I9*0.1</f>
        <v>15.994434782608696</v>
      </c>
      <c r="L9" s="286">
        <f>(I9*$F$84)+(J9*$F$85)+(K9*$F$86)</f>
        <v>27810.787316869562</v>
      </c>
      <c r="M9" s="188"/>
      <c r="N9" s="184"/>
      <c r="O9" s="184"/>
      <c r="P9" s="184"/>
    </row>
    <row r="10" spans="1:23" x14ac:dyDescent="0.3">
      <c r="A10" s="424"/>
      <c r="B10" s="491" t="s">
        <v>94</v>
      </c>
      <c r="C10" s="491"/>
      <c r="D10" s="492"/>
      <c r="E10" s="423"/>
      <c r="F10" s="423"/>
      <c r="G10" s="423"/>
      <c r="H10" s="252"/>
      <c r="I10" s="253"/>
      <c r="J10" s="253"/>
      <c r="K10" s="253"/>
      <c r="L10" s="55"/>
    </row>
    <row r="11" spans="1:23" x14ac:dyDescent="0.3">
      <c r="A11" s="424"/>
      <c r="B11" s="425"/>
      <c r="C11" s="254" t="s">
        <v>95</v>
      </c>
      <c r="D11" s="255"/>
      <c r="E11" s="423"/>
      <c r="F11" s="423"/>
      <c r="G11" s="423"/>
      <c r="H11" s="252"/>
      <c r="I11" s="253"/>
      <c r="J11" s="253"/>
      <c r="K11" s="253"/>
      <c r="L11" s="55"/>
    </row>
    <row r="12" spans="1:23" ht="14.5" x14ac:dyDescent="0.3">
      <c r="A12" s="424"/>
      <c r="B12" s="425"/>
      <c r="C12" s="425"/>
      <c r="D12" s="422" t="s">
        <v>96</v>
      </c>
      <c r="E12" s="423">
        <v>27.8</v>
      </c>
      <c r="F12" s="423">
        <v>1</v>
      </c>
      <c r="G12" s="143">
        <f>E12*F12</f>
        <v>27.8</v>
      </c>
      <c r="H12" s="306">
        <f>('%CEMSCPMSvs.testing_2137.13'!Z4+'%CEMSCPMSvs.testing_2137.13'!Z5)*'Table 1c-Year 1'!F11</f>
        <v>192.13314782608694</v>
      </c>
      <c r="I12" s="256">
        <f>G12*H12</f>
        <v>5341.3015095652172</v>
      </c>
      <c r="J12" s="256">
        <f t="shared" ref="J12:J18" si="0">I12*0.05</f>
        <v>267.06507547826089</v>
      </c>
      <c r="K12" s="256">
        <f t="shared" ref="K12:K18" si="1">I12*0.1</f>
        <v>534.13015095652179</v>
      </c>
      <c r="L12" s="128">
        <f t="shared" ref="L12:L18" si="2">(I12*$F$84)+(J12*$F$85)+(K12*$F$86)</f>
        <v>928734.2897500298</v>
      </c>
      <c r="M12" s="239"/>
      <c r="P12" s="338" t="s">
        <v>98</v>
      </c>
      <c r="U12" s="130">
        <v>1340574</v>
      </c>
      <c r="V12" s="130">
        <f>L12/U12</f>
        <v>0.69278852920467637</v>
      </c>
      <c r="W12" s="130">
        <f>H12/V12</f>
        <v>277.33303847662785</v>
      </c>
    </row>
    <row r="13" spans="1:23" ht="14.5" x14ac:dyDescent="0.3">
      <c r="A13" s="424"/>
      <c r="B13" s="425"/>
      <c r="C13" s="425"/>
      <c r="D13" s="422" t="s">
        <v>99</v>
      </c>
      <c r="E13" s="423">
        <v>26.4</v>
      </c>
      <c r="F13" s="423">
        <v>1</v>
      </c>
      <c r="G13" s="143">
        <f t="shared" ref="G13:G18" si="3">E13*F13</f>
        <v>26.4</v>
      </c>
      <c r="H13" s="257">
        <f>'%CEMSCPMSvs.testing_2137.13'!K5*'Table 1c-Year 3'!F11</f>
        <v>52.681669565217391</v>
      </c>
      <c r="I13" s="256">
        <f t="shared" ref="I13:I18" si="4">G13*H13</f>
        <v>1390.796076521739</v>
      </c>
      <c r="J13" s="256">
        <f t="shared" si="0"/>
        <v>69.539803826086953</v>
      </c>
      <c r="K13" s="256">
        <f t="shared" si="1"/>
        <v>139.07960765217391</v>
      </c>
      <c r="L13" s="128">
        <f t="shared" si="2"/>
        <v>241828.70111383926</v>
      </c>
      <c r="M13" s="239"/>
      <c r="U13" s="130">
        <v>247590</v>
      </c>
      <c r="V13" s="130">
        <f>L13/U13</f>
        <v>0.9767304863437104</v>
      </c>
      <c r="W13" s="130">
        <f>H13/V13</f>
        <v>53.93675154179509</v>
      </c>
    </row>
    <row r="14" spans="1:23" ht="14.5" x14ac:dyDescent="0.3">
      <c r="A14" s="424"/>
      <c r="B14" s="425"/>
      <c r="C14" s="425"/>
      <c r="D14" s="422" t="s">
        <v>100</v>
      </c>
      <c r="E14" s="423">
        <v>27.8</v>
      </c>
      <c r="F14" s="423">
        <v>1</v>
      </c>
      <c r="G14" s="143">
        <f t="shared" si="3"/>
        <v>27.8</v>
      </c>
      <c r="H14" s="257">
        <f>'%CEMSCPMSvs.testing_2137.13'!C5*'Table 1c-Year 3'!F11</f>
        <v>74.37412173913043</v>
      </c>
      <c r="I14" s="256">
        <f t="shared" si="4"/>
        <v>2067.600584347826</v>
      </c>
      <c r="J14" s="256">
        <f t="shared" si="0"/>
        <v>103.38002921739131</v>
      </c>
      <c r="K14" s="256">
        <f t="shared" si="1"/>
        <v>206.76005843478262</v>
      </c>
      <c r="L14" s="128">
        <f t="shared" si="2"/>
        <v>359510.04764517286</v>
      </c>
      <c r="M14" s="239"/>
      <c r="P14" s="338"/>
      <c r="U14" s="130">
        <v>411476</v>
      </c>
      <c r="V14" s="130">
        <f>L14/U14</f>
        <v>0.87370842441642493</v>
      </c>
      <c r="W14" s="130">
        <f>H14/V14</f>
        <v>85.124647606330512</v>
      </c>
    </row>
    <row r="15" spans="1:23" ht="14.5" x14ac:dyDescent="0.3">
      <c r="A15" s="424"/>
      <c r="B15" s="425"/>
      <c r="C15" s="425"/>
      <c r="D15" s="422" t="s">
        <v>101</v>
      </c>
      <c r="E15" s="423">
        <v>2.5</v>
      </c>
      <c r="F15" s="423">
        <v>4</v>
      </c>
      <c r="G15" s="145">
        <f t="shared" si="3"/>
        <v>10</v>
      </c>
      <c r="H15" s="252">
        <f>('%CEMSCPMSvs.testing_2137.13'!K3+'%CEMSCPMSvs.testing_2137.13'!K4)*'Table 1c-Year 3'!F11</f>
        <v>257.21050434782615</v>
      </c>
      <c r="I15" s="256">
        <f t="shared" si="4"/>
        <v>2572.1050434782615</v>
      </c>
      <c r="J15" s="256">
        <f t="shared" si="0"/>
        <v>128.60525217391307</v>
      </c>
      <c r="K15" s="256">
        <f t="shared" si="1"/>
        <v>257.21050434782615</v>
      </c>
      <c r="L15" s="55">
        <f t="shared" si="2"/>
        <v>447232.22353940876</v>
      </c>
      <c r="M15" s="184"/>
      <c r="O15" s="238"/>
    </row>
    <row r="16" spans="1:23" ht="14.5" x14ac:dyDescent="0.3">
      <c r="A16" s="424"/>
      <c r="B16" s="425"/>
      <c r="C16" s="425"/>
      <c r="D16" s="422" t="s">
        <v>102</v>
      </c>
      <c r="E16" s="423">
        <v>0.4</v>
      </c>
      <c r="F16" s="423">
        <v>365</v>
      </c>
      <c r="G16" s="145">
        <f t="shared" si="3"/>
        <v>146</v>
      </c>
      <c r="H16" s="252">
        <f>H15</f>
        <v>257.21050434782615</v>
      </c>
      <c r="I16" s="256">
        <f t="shared" si="4"/>
        <v>37552.73363478262</v>
      </c>
      <c r="J16" s="285">
        <f t="shared" si="0"/>
        <v>1877.6366817391311</v>
      </c>
      <c r="K16" s="285">
        <f t="shared" si="1"/>
        <v>3755.2733634782621</v>
      </c>
      <c r="L16" s="55">
        <f t="shared" si="2"/>
        <v>6529590.4636753686</v>
      </c>
      <c r="M16" s="184"/>
    </row>
    <row r="17" spans="1:16" ht="14.5" x14ac:dyDescent="0.3">
      <c r="A17" s="424"/>
      <c r="B17" s="425"/>
      <c r="C17" s="425"/>
      <c r="D17" s="422" t="s">
        <v>103</v>
      </c>
      <c r="E17" s="423">
        <v>0.25</v>
      </c>
      <c r="F17" s="423">
        <v>365</v>
      </c>
      <c r="G17" s="144">
        <f t="shared" si="3"/>
        <v>91.25</v>
      </c>
      <c r="H17" s="252">
        <f>H15</f>
        <v>257.21050434782615</v>
      </c>
      <c r="I17" s="256">
        <f t="shared" si="4"/>
        <v>23470.458521739136</v>
      </c>
      <c r="J17" s="287">
        <f t="shared" si="0"/>
        <v>1173.5229260869569</v>
      </c>
      <c r="K17" s="285">
        <f t="shared" si="1"/>
        <v>2347.0458521739138</v>
      </c>
      <c r="L17" s="55">
        <f t="shared" si="2"/>
        <v>4080994.0397971054</v>
      </c>
      <c r="M17" s="184"/>
    </row>
    <row r="18" spans="1:16" ht="14.5" x14ac:dyDescent="0.3">
      <c r="A18" s="424"/>
      <c r="B18" s="425"/>
      <c r="C18" s="425"/>
      <c r="D18" s="422" t="s">
        <v>104</v>
      </c>
      <c r="E18" s="423">
        <v>14</v>
      </c>
      <c r="F18" s="423">
        <v>1</v>
      </c>
      <c r="G18" s="145">
        <f t="shared" si="3"/>
        <v>14</v>
      </c>
      <c r="H18" s="252">
        <f>H15</f>
        <v>257.21050434782615</v>
      </c>
      <c r="I18" s="256">
        <f t="shared" si="4"/>
        <v>3600.947060869566</v>
      </c>
      <c r="J18" s="285">
        <f t="shared" si="0"/>
        <v>180.04735304347832</v>
      </c>
      <c r="K18" s="285">
        <f t="shared" si="1"/>
        <v>360.09470608695665</v>
      </c>
      <c r="L18" s="55">
        <f t="shared" si="2"/>
        <v>626125.11295517231</v>
      </c>
      <c r="M18" s="184"/>
    </row>
    <row r="19" spans="1:16" x14ac:dyDescent="0.3">
      <c r="A19" s="424"/>
      <c r="B19" s="425"/>
      <c r="C19" s="367" t="s">
        <v>105</v>
      </c>
      <c r="D19" s="255"/>
      <c r="E19" s="423"/>
      <c r="F19" s="423"/>
      <c r="G19" s="423"/>
      <c r="H19" s="252"/>
      <c r="I19" s="253"/>
      <c r="J19" s="253"/>
      <c r="K19" s="253"/>
      <c r="L19" s="55"/>
      <c r="P19" s="338"/>
    </row>
    <row r="20" spans="1:16" ht="26" x14ac:dyDescent="0.3">
      <c r="A20" s="424"/>
      <c r="B20" s="425"/>
      <c r="C20" s="425"/>
      <c r="D20" s="422" t="s">
        <v>106</v>
      </c>
      <c r="E20" s="423">
        <v>27.8</v>
      </c>
      <c r="F20" s="423">
        <v>1</v>
      </c>
      <c r="G20" s="143">
        <f>E20*F20</f>
        <v>27.8</v>
      </c>
      <c r="H20" s="307">
        <f>'%CEMSCPMSvs.testing_2137.13'!Z8*'Table 1c-Year 1'!F11</f>
        <v>0</v>
      </c>
      <c r="I20" s="256">
        <f t="shared" ref="I20:I26" si="5">G20*H20</f>
        <v>0</v>
      </c>
      <c r="J20" s="256">
        <f t="shared" ref="J20:J26" si="6">I20*0.05</f>
        <v>0</v>
      </c>
      <c r="K20" s="256">
        <f t="shared" ref="K20:K26" si="7">I20*0.1</f>
        <v>0</v>
      </c>
      <c r="L20" s="128">
        <f t="shared" ref="L20:L26" si="8">(I20*$F$84)+(J20*$F$85)+(K20*$F$86)</f>
        <v>0</v>
      </c>
      <c r="N20" s="240"/>
      <c r="O20" s="238"/>
      <c r="P20" s="338" t="s">
        <v>107</v>
      </c>
    </row>
    <row r="21" spans="1:16" x14ac:dyDescent="0.3">
      <c r="A21" s="424"/>
      <c r="B21" s="425"/>
      <c r="C21" s="425"/>
      <c r="D21" s="422" t="s">
        <v>108</v>
      </c>
      <c r="E21" s="423">
        <v>26.4</v>
      </c>
      <c r="F21" s="423">
        <v>1</v>
      </c>
      <c r="G21" s="143">
        <f>E21*F21</f>
        <v>26.4</v>
      </c>
      <c r="H21" s="252">
        <f>H7*0</f>
        <v>0</v>
      </c>
      <c r="I21" s="256">
        <f>G21*H21</f>
        <v>0</v>
      </c>
      <c r="J21" s="256">
        <f>I21*0.05</f>
        <v>0</v>
      </c>
      <c r="K21" s="256">
        <f>I21*0.1</f>
        <v>0</v>
      </c>
      <c r="L21" s="128">
        <f t="shared" si="8"/>
        <v>0</v>
      </c>
      <c r="P21" s="338"/>
    </row>
    <row r="22" spans="1:16" x14ac:dyDescent="0.3">
      <c r="A22" s="424"/>
      <c r="B22" s="425"/>
      <c r="C22" s="425"/>
      <c r="D22" s="422" t="s">
        <v>109</v>
      </c>
      <c r="E22" s="423">
        <v>27.8</v>
      </c>
      <c r="F22" s="423">
        <v>1</v>
      </c>
      <c r="G22" s="143">
        <f t="shared" ref="G22:G26" si="9">E22*F22</f>
        <v>27.8</v>
      </c>
      <c r="H22" s="252">
        <f>H7*0</f>
        <v>0</v>
      </c>
      <c r="I22" s="256">
        <f t="shared" si="5"/>
        <v>0</v>
      </c>
      <c r="J22" s="256">
        <f t="shared" si="6"/>
        <v>0</v>
      </c>
      <c r="K22" s="256">
        <f t="shared" si="7"/>
        <v>0</v>
      </c>
      <c r="L22" s="128">
        <f t="shared" si="8"/>
        <v>0</v>
      </c>
      <c r="N22" s="238"/>
      <c r="P22" s="338"/>
    </row>
    <row r="23" spans="1:16" x14ac:dyDescent="0.3">
      <c r="A23" s="424"/>
      <c r="B23" s="425"/>
      <c r="C23" s="425"/>
      <c r="D23" s="422" t="s">
        <v>110</v>
      </c>
      <c r="E23" s="423">
        <v>2.46</v>
      </c>
      <c r="F23" s="423">
        <v>4</v>
      </c>
      <c r="G23" s="144">
        <f t="shared" si="9"/>
        <v>9.84</v>
      </c>
      <c r="H23" s="307">
        <f>'Regulated Sources_Overview'!D131*'Table 1c-Year 3'!F11</f>
        <v>0</v>
      </c>
      <c r="I23" s="256">
        <f t="shared" si="5"/>
        <v>0</v>
      </c>
      <c r="J23" s="256">
        <f t="shared" si="6"/>
        <v>0</v>
      </c>
      <c r="K23" s="256">
        <f t="shared" si="7"/>
        <v>0</v>
      </c>
      <c r="L23" s="128">
        <f t="shared" si="8"/>
        <v>0</v>
      </c>
      <c r="N23" s="238"/>
    </row>
    <row r="24" spans="1:16" x14ac:dyDescent="0.3">
      <c r="A24" s="424"/>
      <c r="B24" s="425"/>
      <c r="C24" s="425"/>
      <c r="D24" s="422" t="s">
        <v>111</v>
      </c>
      <c r="E24" s="423">
        <f>ROUND(0.121,2)</f>
        <v>0.12</v>
      </c>
      <c r="F24" s="423">
        <v>365</v>
      </c>
      <c r="G24" s="143">
        <f t="shared" si="9"/>
        <v>43.8</v>
      </c>
      <c r="H24" s="307">
        <f>H23</f>
        <v>0</v>
      </c>
      <c r="I24" s="256">
        <f t="shared" si="5"/>
        <v>0</v>
      </c>
      <c r="J24" s="256">
        <f t="shared" si="6"/>
        <v>0</v>
      </c>
      <c r="K24" s="256">
        <f t="shared" si="7"/>
        <v>0</v>
      </c>
      <c r="L24" s="128">
        <f t="shared" si="8"/>
        <v>0</v>
      </c>
    </row>
    <row r="25" spans="1:16" x14ac:dyDescent="0.3">
      <c r="A25" s="424"/>
      <c r="B25" s="425"/>
      <c r="C25" s="425"/>
      <c r="D25" s="422" t="s">
        <v>112</v>
      </c>
      <c r="E25" s="423">
        <v>0</v>
      </c>
      <c r="F25" s="423">
        <v>365</v>
      </c>
      <c r="G25" s="145">
        <f t="shared" si="9"/>
        <v>0</v>
      </c>
      <c r="H25" s="307">
        <f>H23</f>
        <v>0</v>
      </c>
      <c r="I25" s="256">
        <f t="shared" si="5"/>
        <v>0</v>
      </c>
      <c r="J25" s="256">
        <f t="shared" si="6"/>
        <v>0</v>
      </c>
      <c r="K25" s="256">
        <f t="shared" si="7"/>
        <v>0</v>
      </c>
      <c r="L25" s="128">
        <f t="shared" si="8"/>
        <v>0</v>
      </c>
    </row>
    <row r="26" spans="1:16" x14ac:dyDescent="0.3">
      <c r="A26" s="424"/>
      <c r="B26" s="425"/>
      <c r="C26" s="425"/>
      <c r="D26" s="422" t="s">
        <v>113</v>
      </c>
      <c r="E26" s="423">
        <v>7.3</v>
      </c>
      <c r="F26" s="423">
        <v>365</v>
      </c>
      <c r="G26" s="143">
        <f t="shared" si="9"/>
        <v>2664.5</v>
      </c>
      <c r="H26" s="307">
        <f>H23</f>
        <v>0</v>
      </c>
      <c r="I26" s="256">
        <f t="shared" si="5"/>
        <v>0</v>
      </c>
      <c r="J26" s="256">
        <f t="shared" si="6"/>
        <v>0</v>
      </c>
      <c r="K26" s="256">
        <f t="shared" si="7"/>
        <v>0</v>
      </c>
      <c r="L26" s="128">
        <f t="shared" si="8"/>
        <v>0</v>
      </c>
    </row>
    <row r="27" spans="1:16" x14ac:dyDescent="0.3">
      <c r="A27" s="424"/>
      <c r="B27" s="491" t="s">
        <v>114</v>
      </c>
      <c r="C27" s="491"/>
      <c r="D27" s="492"/>
      <c r="E27" s="251" t="s">
        <v>115</v>
      </c>
      <c r="F27" s="423"/>
      <c r="G27" s="423"/>
      <c r="H27" s="257"/>
      <c r="I27" s="253"/>
      <c r="J27" s="253"/>
      <c r="K27" s="253"/>
      <c r="L27" s="55"/>
    </row>
    <row r="28" spans="1:16" x14ac:dyDescent="0.3">
      <c r="A28" s="424"/>
      <c r="B28" s="491" t="s">
        <v>116</v>
      </c>
      <c r="C28" s="491"/>
      <c r="D28" s="492"/>
      <c r="E28" s="251" t="s">
        <v>117</v>
      </c>
      <c r="F28" s="423"/>
      <c r="G28" s="423"/>
      <c r="H28" s="257"/>
      <c r="I28" s="253"/>
      <c r="J28" s="253"/>
      <c r="K28" s="253"/>
      <c r="L28" s="55"/>
    </row>
    <row r="29" spans="1:16" x14ac:dyDescent="0.3">
      <c r="A29" s="424"/>
      <c r="B29" s="491" t="s">
        <v>118</v>
      </c>
      <c r="C29" s="491"/>
      <c r="D29" s="492"/>
      <c r="E29" s="423"/>
      <c r="F29" s="423"/>
      <c r="G29" s="423"/>
      <c r="H29" s="257"/>
      <c r="I29" s="253"/>
      <c r="J29" s="253"/>
      <c r="K29" s="253"/>
      <c r="L29" s="55"/>
    </row>
    <row r="30" spans="1:16" x14ac:dyDescent="0.3">
      <c r="A30" s="424"/>
      <c r="B30" s="425"/>
      <c r="C30" s="254" t="s">
        <v>95</v>
      </c>
      <c r="D30" s="255"/>
      <c r="E30" s="423"/>
      <c r="F30" s="423"/>
      <c r="G30" s="423"/>
      <c r="H30" s="252"/>
      <c r="I30" s="253"/>
      <c r="J30" s="253"/>
      <c r="K30" s="253"/>
      <c r="L30" s="55"/>
    </row>
    <row r="31" spans="1:16" x14ac:dyDescent="0.3">
      <c r="A31" s="424"/>
      <c r="B31" s="425"/>
      <c r="C31" s="425"/>
      <c r="D31" s="422" t="s">
        <v>119</v>
      </c>
      <c r="E31" s="423">
        <v>5</v>
      </c>
      <c r="F31" s="423">
        <v>1</v>
      </c>
      <c r="G31" s="423">
        <f>E31*F31</f>
        <v>5</v>
      </c>
      <c r="H31" s="252">
        <v>0</v>
      </c>
      <c r="I31" s="256">
        <f t="shared" ref="I31:I32" si="10">G31*H31</f>
        <v>0</v>
      </c>
      <c r="J31" s="256">
        <f t="shared" ref="J31:J39" si="11">I31*0.05</f>
        <v>0</v>
      </c>
      <c r="K31" s="256">
        <f t="shared" ref="K31:K32" si="12">I31*0.1</f>
        <v>0</v>
      </c>
      <c r="L31" s="128">
        <f>(I31*$F$84)+(J31*$F$85)+(K31*$F$86)</f>
        <v>0</v>
      </c>
    </row>
    <row r="32" spans="1:16" x14ac:dyDescent="0.3">
      <c r="A32" s="424"/>
      <c r="B32" s="425"/>
      <c r="C32" s="425"/>
      <c r="D32" s="422" t="s">
        <v>120</v>
      </c>
      <c r="E32" s="423">
        <v>3</v>
      </c>
      <c r="F32" s="423">
        <v>1</v>
      </c>
      <c r="G32" s="423">
        <f>E32*F32</f>
        <v>3</v>
      </c>
      <c r="H32" s="252">
        <v>0</v>
      </c>
      <c r="I32" s="256">
        <f t="shared" si="10"/>
        <v>0</v>
      </c>
      <c r="J32" s="256">
        <f>I32*0.05</f>
        <v>0</v>
      </c>
      <c r="K32" s="256">
        <f t="shared" si="12"/>
        <v>0</v>
      </c>
      <c r="L32" s="128">
        <f>(I32*$F$84)+(J32*$F$85)+(K32*$F$86)</f>
        <v>0</v>
      </c>
    </row>
    <row r="33" spans="1:16" x14ac:dyDescent="0.3">
      <c r="A33" s="424"/>
      <c r="B33" s="425"/>
      <c r="C33" s="425"/>
      <c r="D33" s="422" t="s">
        <v>121</v>
      </c>
      <c r="E33" s="251" t="s">
        <v>115</v>
      </c>
      <c r="F33" s="423"/>
      <c r="G33" s="423"/>
      <c r="H33" s="258"/>
      <c r="I33" s="253"/>
      <c r="J33" s="253"/>
      <c r="K33" s="253"/>
      <c r="L33" s="55"/>
    </row>
    <row r="34" spans="1:16" x14ac:dyDescent="0.3">
      <c r="A34" s="424"/>
      <c r="B34" s="425"/>
      <c r="C34" s="425"/>
      <c r="D34" s="422" t="s">
        <v>122</v>
      </c>
      <c r="E34" s="423">
        <v>16.5</v>
      </c>
      <c r="F34" s="423">
        <v>1</v>
      </c>
      <c r="G34" s="423">
        <f>E34*F34</f>
        <v>16.5</v>
      </c>
      <c r="H34" s="252">
        <v>0</v>
      </c>
      <c r="I34" s="256">
        <f>G34*H34</f>
        <v>0</v>
      </c>
      <c r="J34" s="256">
        <f>I34*0.05</f>
        <v>0</v>
      </c>
      <c r="K34" s="256">
        <f>I34*0.1</f>
        <v>0</v>
      </c>
      <c r="L34" s="128">
        <f t="shared" ref="L34:L39" si="13">(I34*$F$84)+(J34*$F$85)+(K34*$F$86)</f>
        <v>0</v>
      </c>
    </row>
    <row r="35" spans="1:16" x14ac:dyDescent="0.3">
      <c r="A35" s="424"/>
      <c r="B35" s="425"/>
      <c r="C35" s="425"/>
      <c r="D35" s="422" t="s">
        <v>123</v>
      </c>
      <c r="E35" s="423">
        <v>4</v>
      </c>
      <c r="F35" s="423">
        <v>1</v>
      </c>
      <c r="G35" s="423">
        <f t="shared" ref="G35:G39" si="14">E35*F35</f>
        <v>4</v>
      </c>
      <c r="H35" s="252">
        <v>0</v>
      </c>
      <c r="I35" s="256">
        <f t="shared" ref="I35" si="15">G35*H35</f>
        <v>0</v>
      </c>
      <c r="J35" s="256">
        <f t="shared" si="11"/>
        <v>0</v>
      </c>
      <c r="K35" s="256">
        <f t="shared" ref="K35:K39" si="16">I35*0.1</f>
        <v>0</v>
      </c>
      <c r="L35" s="128">
        <f t="shared" si="13"/>
        <v>0</v>
      </c>
    </row>
    <row r="36" spans="1:16" x14ac:dyDescent="0.3">
      <c r="A36" s="424"/>
      <c r="B36" s="425"/>
      <c r="C36" s="425"/>
      <c r="D36" s="422" t="s">
        <v>124</v>
      </c>
      <c r="E36" s="423">
        <v>10</v>
      </c>
      <c r="F36" s="423">
        <v>1</v>
      </c>
      <c r="G36" s="423">
        <f t="shared" si="14"/>
        <v>10</v>
      </c>
      <c r="H36" s="263">
        <f>H37*0.1</f>
        <v>30.989217391304347</v>
      </c>
      <c r="I36" s="256">
        <f>G36*H36</f>
        <v>309.89217391304345</v>
      </c>
      <c r="J36" s="285">
        <f>I36*0.05</f>
        <v>15.494608695652174</v>
      </c>
      <c r="K36" s="285">
        <f t="shared" si="16"/>
        <v>30.989217391304347</v>
      </c>
      <c r="L36" s="55">
        <f t="shared" si="13"/>
        <v>53883.400426434775</v>
      </c>
      <c r="M36" s="184"/>
    </row>
    <row r="37" spans="1:16" x14ac:dyDescent="0.3">
      <c r="A37" s="424"/>
      <c r="B37" s="425"/>
      <c r="C37" s="425"/>
      <c r="D37" s="422" t="s">
        <v>125</v>
      </c>
      <c r="E37" s="249">
        <v>65</v>
      </c>
      <c r="F37" s="423">
        <v>2</v>
      </c>
      <c r="G37" s="423">
        <f t="shared" si="14"/>
        <v>130</v>
      </c>
      <c r="H37" s="252">
        <f>'Regulated Sources_Overview'!D148</f>
        <v>309.89217391304345</v>
      </c>
      <c r="I37" s="256">
        <f t="shared" ref="I37:I39" si="17">G37*H37</f>
        <v>40285.982608695645</v>
      </c>
      <c r="J37" s="256">
        <f t="shared" si="11"/>
        <v>2014.2991304347825</v>
      </c>
      <c r="K37" s="256">
        <f t="shared" si="16"/>
        <v>4028.5982608695649</v>
      </c>
      <c r="L37" s="55">
        <f t="shared" si="13"/>
        <v>7004842.0554365199</v>
      </c>
      <c r="M37" s="184"/>
      <c r="N37" s="338"/>
      <c r="P37" s="338"/>
    </row>
    <row r="38" spans="1:16" x14ac:dyDescent="0.3">
      <c r="A38" s="424"/>
      <c r="B38" s="425"/>
      <c r="C38" s="425"/>
      <c r="D38" s="422" t="s">
        <v>126</v>
      </c>
      <c r="E38" s="423">
        <v>20</v>
      </c>
      <c r="F38" s="423">
        <v>1</v>
      </c>
      <c r="G38" s="423">
        <f t="shared" si="14"/>
        <v>20</v>
      </c>
      <c r="H38" s="252">
        <f>H37</f>
        <v>309.89217391304345</v>
      </c>
      <c r="I38" s="256">
        <f t="shared" si="17"/>
        <v>6197.8434782608692</v>
      </c>
      <c r="J38" s="256">
        <f t="shared" si="11"/>
        <v>309.89217391304351</v>
      </c>
      <c r="K38" s="256">
        <f t="shared" si="16"/>
        <v>619.78434782608701</v>
      </c>
      <c r="L38" s="128">
        <f t="shared" si="13"/>
        <v>1077668.0085286957</v>
      </c>
      <c r="M38" s="239"/>
      <c r="N38" s="338"/>
      <c r="P38" s="338"/>
    </row>
    <row r="39" spans="1:16" x14ac:dyDescent="0.3">
      <c r="A39" s="424"/>
      <c r="B39" s="425"/>
      <c r="C39" s="425"/>
      <c r="D39" s="422" t="s">
        <v>127</v>
      </c>
      <c r="E39" s="423">
        <v>5</v>
      </c>
      <c r="F39" s="423">
        <v>1</v>
      </c>
      <c r="G39" s="423">
        <f t="shared" si="14"/>
        <v>5</v>
      </c>
      <c r="H39" s="263">
        <f>H38*0.1</f>
        <v>30.989217391304347</v>
      </c>
      <c r="I39" s="256">
        <f t="shared" si="17"/>
        <v>154.94608695652173</v>
      </c>
      <c r="J39" s="256">
        <f t="shared" si="11"/>
        <v>7.7473043478260868</v>
      </c>
      <c r="K39" s="256">
        <f t="shared" si="16"/>
        <v>15.494608695652174</v>
      </c>
      <c r="L39" s="128">
        <f t="shared" si="13"/>
        <v>26941.700213217387</v>
      </c>
      <c r="P39" s="338"/>
    </row>
    <row r="40" spans="1:16" x14ac:dyDescent="0.3">
      <c r="A40" s="424"/>
      <c r="B40" s="425"/>
      <c r="C40" s="367" t="s">
        <v>139</v>
      </c>
      <c r="D40" s="255"/>
      <c r="E40" s="423"/>
      <c r="F40" s="423"/>
      <c r="G40" s="423"/>
      <c r="H40" s="252"/>
      <c r="I40" s="253"/>
      <c r="J40" s="253"/>
      <c r="K40" s="253"/>
      <c r="L40" s="55"/>
    </row>
    <row r="41" spans="1:16" x14ac:dyDescent="0.3">
      <c r="A41" s="424"/>
      <c r="B41" s="425"/>
      <c r="C41" s="425"/>
      <c r="D41" s="422" t="s">
        <v>128</v>
      </c>
      <c r="E41" s="423">
        <v>3</v>
      </c>
      <c r="F41" s="423">
        <v>1</v>
      </c>
      <c r="G41" s="423">
        <f>E41*F41</f>
        <v>3</v>
      </c>
      <c r="H41" s="307">
        <f>H20</f>
        <v>0</v>
      </c>
      <c r="I41" s="256">
        <f t="shared" ref="I41:I42" si="18">G41*H41</f>
        <v>0</v>
      </c>
      <c r="J41" s="256">
        <f t="shared" ref="J41:J42" si="19">I41*0.05</f>
        <v>0</v>
      </c>
      <c r="K41" s="256">
        <f t="shared" ref="K41:K42" si="20">I41*0.1</f>
        <v>0</v>
      </c>
      <c r="L41" s="128">
        <f t="shared" ref="L41:L42" si="21">(I41*$F$84)+(J41*$F$85)+(K41*$F$86)</f>
        <v>0</v>
      </c>
    </row>
    <row r="42" spans="1:16" x14ac:dyDescent="0.3">
      <c r="A42" s="424"/>
      <c r="B42" s="425"/>
      <c r="C42" s="425"/>
      <c r="D42" s="422" t="s">
        <v>119</v>
      </c>
      <c r="E42" s="423">
        <v>5</v>
      </c>
      <c r="F42" s="423">
        <v>1</v>
      </c>
      <c r="G42" s="423">
        <f>E42*F42</f>
        <v>5</v>
      </c>
      <c r="H42" s="307">
        <f>H23</f>
        <v>0</v>
      </c>
      <c r="I42" s="256">
        <f t="shared" si="18"/>
        <v>0</v>
      </c>
      <c r="J42" s="256">
        <f t="shared" si="19"/>
        <v>0</v>
      </c>
      <c r="K42" s="256">
        <f t="shared" si="20"/>
        <v>0</v>
      </c>
      <c r="L42" s="128">
        <f t="shared" si="21"/>
        <v>0</v>
      </c>
    </row>
    <row r="43" spans="1:16" x14ac:dyDescent="0.3">
      <c r="A43" s="424"/>
      <c r="B43" s="425"/>
      <c r="C43" s="425"/>
      <c r="D43" s="422" t="s">
        <v>120</v>
      </c>
      <c r="E43" s="423">
        <v>4</v>
      </c>
      <c r="F43" s="423">
        <v>1</v>
      </c>
      <c r="G43" s="423">
        <f>E43*F43</f>
        <v>4</v>
      </c>
      <c r="H43" s="307">
        <f>H42</f>
        <v>0</v>
      </c>
      <c r="I43" s="256">
        <f>G43*H43</f>
        <v>0</v>
      </c>
      <c r="J43" s="256">
        <f>I43*0.05</f>
        <v>0</v>
      </c>
      <c r="K43" s="256">
        <f>I43*0.1</f>
        <v>0</v>
      </c>
      <c r="L43" s="128">
        <f>(I43*$F$84)+(J43*$F$85)+(K43*$F$86)</f>
        <v>0</v>
      </c>
    </row>
    <row r="44" spans="1:16" x14ac:dyDescent="0.3">
      <c r="A44" s="424"/>
      <c r="B44" s="425"/>
      <c r="C44" s="425"/>
      <c r="D44" s="422" t="s">
        <v>121</v>
      </c>
      <c r="E44" s="251" t="s">
        <v>115</v>
      </c>
      <c r="F44" s="423"/>
      <c r="G44" s="423"/>
      <c r="H44" s="306"/>
      <c r="I44" s="253"/>
      <c r="J44" s="253"/>
      <c r="K44" s="253"/>
      <c r="L44" s="55"/>
    </row>
    <row r="45" spans="1:16" x14ac:dyDescent="0.3">
      <c r="A45" s="424"/>
      <c r="B45" s="425"/>
      <c r="C45" s="425"/>
      <c r="D45" s="422" t="s">
        <v>122</v>
      </c>
      <c r="E45" s="423">
        <v>16.5</v>
      </c>
      <c r="F45" s="423">
        <v>1</v>
      </c>
      <c r="G45" s="423">
        <f>E45*F45</f>
        <v>16.5</v>
      </c>
      <c r="H45" s="307">
        <f>H41</f>
        <v>0</v>
      </c>
      <c r="I45" s="256">
        <f>G45*H45</f>
        <v>0</v>
      </c>
      <c r="J45" s="256">
        <f>I45*0.05</f>
        <v>0</v>
      </c>
      <c r="K45" s="256">
        <f>I45*0.1</f>
        <v>0</v>
      </c>
      <c r="L45" s="128">
        <f t="shared" ref="L45:L50" si="22">(I45*$F$84)+(J45*$F$85)+(K45*$F$86)</f>
        <v>0</v>
      </c>
    </row>
    <row r="46" spans="1:16" x14ac:dyDescent="0.3">
      <c r="A46" s="424"/>
      <c r="B46" s="425"/>
      <c r="C46" s="425"/>
      <c r="D46" s="422" t="s">
        <v>123</v>
      </c>
      <c r="E46" s="423">
        <v>3</v>
      </c>
      <c r="F46" s="423">
        <v>1</v>
      </c>
      <c r="G46" s="423">
        <f t="shared" ref="G46:G47" si="23">E46*F46</f>
        <v>3</v>
      </c>
      <c r="H46" s="307">
        <f>H41</f>
        <v>0</v>
      </c>
      <c r="I46" s="256">
        <f t="shared" ref="I46:I50" si="24">G46*H46</f>
        <v>0</v>
      </c>
      <c r="J46" s="256">
        <f t="shared" ref="J46:J50" si="25">I46*0.05</f>
        <v>0</v>
      </c>
      <c r="K46" s="256">
        <f t="shared" ref="K46:K50" si="26">I46*0.1</f>
        <v>0</v>
      </c>
      <c r="L46" s="128">
        <f t="shared" si="22"/>
        <v>0</v>
      </c>
    </row>
    <row r="47" spans="1:16" x14ac:dyDescent="0.3">
      <c r="A47" s="424"/>
      <c r="B47" s="425"/>
      <c r="C47" s="425"/>
      <c r="D47" s="422" t="s">
        <v>124</v>
      </c>
      <c r="E47" s="423">
        <v>10</v>
      </c>
      <c r="F47" s="423">
        <v>1</v>
      </c>
      <c r="G47" s="423">
        <f t="shared" si="23"/>
        <v>10</v>
      </c>
      <c r="H47" s="378">
        <f>0.1*H41</f>
        <v>0</v>
      </c>
      <c r="I47" s="256">
        <f t="shared" si="24"/>
        <v>0</v>
      </c>
      <c r="J47" s="256">
        <f t="shared" si="25"/>
        <v>0</v>
      </c>
      <c r="K47" s="256">
        <f t="shared" si="26"/>
        <v>0</v>
      </c>
      <c r="L47" s="128">
        <f t="shared" si="22"/>
        <v>0</v>
      </c>
    </row>
    <row r="48" spans="1:16" x14ac:dyDescent="0.3">
      <c r="A48" s="424"/>
      <c r="B48" s="425"/>
      <c r="C48" s="425"/>
      <c r="D48" s="422" t="s">
        <v>125</v>
      </c>
      <c r="E48" s="423">
        <v>75</v>
      </c>
      <c r="F48" s="423">
        <v>2</v>
      </c>
      <c r="G48" s="423">
        <f>E48*F48</f>
        <v>150</v>
      </c>
      <c r="H48" s="307">
        <f>H20</f>
        <v>0</v>
      </c>
      <c r="I48" s="256">
        <f t="shared" si="24"/>
        <v>0</v>
      </c>
      <c r="J48" s="256">
        <f t="shared" si="25"/>
        <v>0</v>
      </c>
      <c r="K48" s="256">
        <f t="shared" si="26"/>
        <v>0</v>
      </c>
      <c r="L48" s="128">
        <f t="shared" si="22"/>
        <v>0</v>
      </c>
      <c r="P48" s="338"/>
    </row>
    <row r="49" spans="1:16" x14ac:dyDescent="0.3">
      <c r="A49" s="424"/>
      <c r="B49" s="425"/>
      <c r="C49" s="425"/>
      <c r="D49" s="422" t="s">
        <v>126</v>
      </c>
      <c r="E49" s="423">
        <v>20</v>
      </c>
      <c r="F49" s="423">
        <v>1</v>
      </c>
      <c r="G49" s="423">
        <f>E49*F49</f>
        <v>20</v>
      </c>
      <c r="H49" s="307">
        <f>H41</f>
        <v>0</v>
      </c>
      <c r="I49" s="256">
        <f t="shared" si="24"/>
        <v>0</v>
      </c>
      <c r="J49" s="256">
        <f t="shared" si="25"/>
        <v>0</v>
      </c>
      <c r="K49" s="256">
        <f t="shared" si="26"/>
        <v>0</v>
      </c>
      <c r="L49" s="128">
        <f t="shared" si="22"/>
        <v>0</v>
      </c>
      <c r="P49" s="338"/>
    </row>
    <row r="50" spans="1:16" x14ac:dyDescent="0.3">
      <c r="A50" s="424"/>
      <c r="B50" s="425"/>
      <c r="C50" s="425"/>
      <c r="D50" s="422" t="s">
        <v>127</v>
      </c>
      <c r="E50" s="423">
        <v>5</v>
      </c>
      <c r="F50" s="423">
        <v>1</v>
      </c>
      <c r="G50" s="423">
        <f>E50*F50</f>
        <v>5</v>
      </c>
      <c r="H50" s="378">
        <f>H41*0.1</f>
        <v>0</v>
      </c>
      <c r="I50" s="256">
        <f t="shared" si="24"/>
        <v>0</v>
      </c>
      <c r="J50" s="256">
        <f t="shared" si="25"/>
        <v>0</v>
      </c>
      <c r="K50" s="256">
        <f t="shared" si="26"/>
        <v>0</v>
      </c>
      <c r="L50" s="128">
        <f t="shared" si="22"/>
        <v>0</v>
      </c>
      <c r="P50" s="338"/>
    </row>
    <row r="51" spans="1:16" s="134" customFormat="1" x14ac:dyDescent="0.3">
      <c r="A51" s="146" t="s">
        <v>129</v>
      </c>
      <c r="B51" s="147"/>
      <c r="C51" s="148"/>
      <c r="D51" s="148"/>
      <c r="E51" s="148"/>
      <c r="F51" s="421"/>
      <c r="G51" s="149"/>
      <c r="H51" s="149"/>
      <c r="I51" s="490">
        <f>SUM(I7:K50)</f>
        <v>141570.23379600004</v>
      </c>
      <c r="J51" s="490"/>
      <c r="K51" s="490"/>
      <c r="L51" s="288">
        <f>SUM(L7:L50)</f>
        <v>21405160.830397829</v>
      </c>
      <c r="M51" s="186"/>
    </row>
    <row r="52" spans="1:16" x14ac:dyDescent="0.3">
      <c r="A52" s="498" t="s">
        <v>130</v>
      </c>
      <c r="B52" s="499"/>
      <c r="C52" s="499"/>
      <c r="D52" s="491"/>
      <c r="E52" s="423"/>
      <c r="F52" s="423"/>
      <c r="G52" s="423"/>
      <c r="H52" s="252"/>
      <c r="I52" s="253"/>
      <c r="J52" s="253"/>
      <c r="K52" s="253"/>
      <c r="L52" s="55"/>
    </row>
    <row r="53" spans="1:16" ht="12.75" customHeight="1" x14ac:dyDescent="0.3">
      <c r="A53" s="424"/>
      <c r="B53" s="491" t="s">
        <v>92</v>
      </c>
      <c r="C53" s="491"/>
      <c r="D53" s="492"/>
      <c r="E53" s="251" t="s">
        <v>131</v>
      </c>
      <c r="F53" s="423"/>
      <c r="G53" s="423"/>
      <c r="H53" s="252"/>
      <c r="I53" s="253"/>
      <c r="J53" s="253"/>
      <c r="K53" s="253"/>
      <c r="L53" s="55"/>
    </row>
    <row r="54" spans="1:16" x14ac:dyDescent="0.3">
      <c r="A54" s="424"/>
      <c r="B54" s="491" t="s">
        <v>132</v>
      </c>
      <c r="C54" s="491"/>
      <c r="D54" s="492"/>
      <c r="E54" s="251" t="s">
        <v>115</v>
      </c>
      <c r="F54" s="423"/>
      <c r="G54" s="423"/>
      <c r="H54" s="252"/>
      <c r="I54" s="253"/>
      <c r="J54" s="253"/>
      <c r="K54" s="253"/>
      <c r="L54" s="55"/>
    </row>
    <row r="55" spans="1:16" x14ac:dyDescent="0.3">
      <c r="A55" s="424"/>
      <c r="B55" s="491" t="s">
        <v>133</v>
      </c>
      <c r="C55" s="491"/>
      <c r="D55" s="492"/>
      <c r="E55" s="251" t="s">
        <v>115</v>
      </c>
      <c r="F55" s="423"/>
      <c r="G55" s="423"/>
      <c r="H55" s="252"/>
      <c r="I55" s="253"/>
      <c r="J55" s="253"/>
      <c r="K55" s="253"/>
      <c r="L55" s="55"/>
    </row>
    <row r="56" spans="1:16" x14ac:dyDescent="0.3">
      <c r="A56" s="424"/>
      <c r="B56" s="491" t="s">
        <v>134</v>
      </c>
      <c r="C56" s="491"/>
      <c r="D56" s="492"/>
      <c r="E56" s="251" t="s">
        <v>12</v>
      </c>
      <c r="F56" s="423"/>
      <c r="G56" s="423"/>
      <c r="H56" s="252"/>
      <c r="I56" s="253"/>
      <c r="J56" s="253"/>
      <c r="K56" s="253"/>
      <c r="L56" s="55"/>
    </row>
    <row r="57" spans="1:16" x14ac:dyDescent="0.3">
      <c r="A57" s="424"/>
      <c r="B57" s="491" t="s">
        <v>135</v>
      </c>
      <c r="C57" s="491"/>
      <c r="D57" s="492"/>
      <c r="E57" s="423"/>
      <c r="F57" s="423"/>
      <c r="G57" s="423"/>
      <c r="H57" s="252"/>
      <c r="I57" s="253"/>
      <c r="J57" s="253"/>
      <c r="K57" s="253"/>
      <c r="L57" s="55"/>
    </row>
    <row r="58" spans="1:16" x14ac:dyDescent="0.3">
      <c r="A58" s="424"/>
      <c r="B58" s="425"/>
      <c r="C58" s="254" t="s">
        <v>95</v>
      </c>
      <c r="D58" s="255"/>
      <c r="E58" s="423"/>
      <c r="F58" s="423"/>
      <c r="G58" s="423"/>
      <c r="H58" s="252"/>
      <c r="I58" s="253"/>
      <c r="J58" s="253"/>
      <c r="K58" s="253"/>
      <c r="L58" s="55"/>
    </row>
    <row r="59" spans="1:16" x14ac:dyDescent="0.3">
      <c r="A59" s="424"/>
      <c r="B59" s="425"/>
      <c r="C59" s="425"/>
      <c r="D59" s="422" t="s">
        <v>136</v>
      </c>
      <c r="E59" s="423">
        <v>1</v>
      </c>
      <c r="F59" s="423">
        <v>12</v>
      </c>
      <c r="G59" s="423">
        <f t="shared" ref="G59:G66" si="27">E59*F59</f>
        <v>12</v>
      </c>
      <c r="H59" s="263">
        <f>H61*0.1</f>
        <v>30.989217391304347</v>
      </c>
      <c r="I59" s="256">
        <f>G59*H59</f>
        <v>371.87060869565215</v>
      </c>
      <c r="J59" s="285">
        <f t="shared" ref="J59:J61" si="28">I59*0.05</f>
        <v>18.593530434782608</v>
      </c>
      <c r="K59" s="285">
        <f t="shared" ref="K59:K61" si="29">I59*0.1</f>
        <v>37.187060869565215</v>
      </c>
      <c r="L59" s="55">
        <f t="shared" ref="L59:L60" si="30">(I59*$F$84)+(J59*$F$85)+(K59*$F$86)</f>
        <v>64660.080511721731</v>
      </c>
      <c r="M59" s="184"/>
    </row>
    <row r="60" spans="1:16" x14ac:dyDescent="0.3">
      <c r="A60" s="424"/>
      <c r="B60" s="425"/>
      <c r="C60" s="425"/>
      <c r="D60" s="422" t="s">
        <v>137</v>
      </c>
      <c r="E60" s="423">
        <v>1</v>
      </c>
      <c r="F60" s="423">
        <v>12</v>
      </c>
      <c r="G60" s="423">
        <f t="shared" si="27"/>
        <v>12</v>
      </c>
      <c r="H60" s="263">
        <f>H61*0.1</f>
        <v>30.989217391304347</v>
      </c>
      <c r="I60" s="256">
        <f t="shared" ref="I60:I61" si="31">G60*H60</f>
        <v>371.87060869565215</v>
      </c>
      <c r="J60" s="285">
        <f t="shared" si="28"/>
        <v>18.593530434782608</v>
      </c>
      <c r="K60" s="285">
        <f t="shared" si="29"/>
        <v>37.187060869565215</v>
      </c>
      <c r="L60" s="55">
        <f t="shared" si="30"/>
        <v>64660.080511721731</v>
      </c>
      <c r="M60" s="184"/>
    </row>
    <row r="61" spans="1:16" x14ac:dyDescent="0.3">
      <c r="A61" s="424"/>
      <c r="B61" s="425"/>
      <c r="C61" s="425"/>
      <c r="D61" s="422" t="s">
        <v>138</v>
      </c>
      <c r="E61" s="423">
        <v>2</v>
      </c>
      <c r="F61" s="423">
        <v>12</v>
      </c>
      <c r="G61" s="423">
        <f t="shared" si="27"/>
        <v>24</v>
      </c>
      <c r="H61" s="252">
        <f>'Regulated Sources_Overview'!D148</f>
        <v>309.89217391304345</v>
      </c>
      <c r="I61" s="256">
        <f t="shared" si="31"/>
        <v>7437.4121739130424</v>
      </c>
      <c r="J61" s="285">
        <f t="shared" si="28"/>
        <v>371.87060869565215</v>
      </c>
      <c r="K61" s="285">
        <f t="shared" si="29"/>
        <v>743.7412173913043</v>
      </c>
      <c r="L61" s="55">
        <f>(I61*$F$84)+(J61*$F$85)+(K61*$F$86)</f>
        <v>1293201.6102344345</v>
      </c>
      <c r="M61" s="184"/>
    </row>
    <row r="62" spans="1:16" x14ac:dyDescent="0.3">
      <c r="A62" s="424"/>
      <c r="B62" s="425"/>
      <c r="C62" s="367" t="s">
        <v>105</v>
      </c>
      <c r="D62" s="255"/>
      <c r="E62" s="423"/>
      <c r="F62" s="423"/>
      <c r="G62" s="423"/>
      <c r="H62" s="252"/>
      <c r="I62" s="253"/>
      <c r="J62" s="253"/>
      <c r="K62" s="253"/>
      <c r="L62" s="55"/>
    </row>
    <row r="63" spans="1:16" x14ac:dyDescent="0.3">
      <c r="A63" s="424"/>
      <c r="B63" s="425"/>
      <c r="C63" s="425"/>
      <c r="D63" s="422" t="s">
        <v>136</v>
      </c>
      <c r="E63" s="423">
        <v>1</v>
      </c>
      <c r="F63" s="423">
        <v>12</v>
      </c>
      <c r="G63" s="423">
        <f t="shared" si="27"/>
        <v>12</v>
      </c>
      <c r="H63" s="378">
        <f>H20*0.1</f>
        <v>0</v>
      </c>
      <c r="I63" s="256">
        <f t="shared" ref="I63:I66" si="32">G63*H63</f>
        <v>0</v>
      </c>
      <c r="J63" s="256">
        <f t="shared" ref="J63:J66" si="33">I63*0.05</f>
        <v>0</v>
      </c>
      <c r="K63" s="256">
        <f t="shared" ref="K63:K66" si="34">I63*0.1</f>
        <v>0</v>
      </c>
      <c r="L63" s="128">
        <f t="shared" ref="L63:L66" si="35">(I63*$F$84)+(J63*$F$85)+(K63*$F$86)</f>
        <v>0</v>
      </c>
    </row>
    <row r="64" spans="1:16" x14ac:dyDescent="0.3">
      <c r="A64" s="424"/>
      <c r="B64" s="425"/>
      <c r="C64" s="425"/>
      <c r="D64" s="422" t="s">
        <v>137</v>
      </c>
      <c r="E64" s="423">
        <v>1</v>
      </c>
      <c r="F64" s="423">
        <v>12</v>
      </c>
      <c r="G64" s="423">
        <f t="shared" si="27"/>
        <v>12</v>
      </c>
      <c r="H64" s="378">
        <f>H20*0.1</f>
        <v>0</v>
      </c>
      <c r="I64" s="256">
        <f t="shared" si="32"/>
        <v>0</v>
      </c>
      <c r="J64" s="256">
        <f t="shared" si="33"/>
        <v>0</v>
      </c>
      <c r="K64" s="256">
        <f t="shared" si="34"/>
        <v>0</v>
      </c>
      <c r="L64" s="128">
        <f t="shared" si="35"/>
        <v>0</v>
      </c>
    </row>
    <row r="65" spans="1:13" x14ac:dyDescent="0.3">
      <c r="A65" s="424"/>
      <c r="B65" s="425"/>
      <c r="C65" s="425"/>
      <c r="D65" s="422" t="s">
        <v>138</v>
      </c>
      <c r="E65" s="423">
        <v>2</v>
      </c>
      <c r="F65" s="423">
        <v>12</v>
      </c>
      <c r="G65" s="423">
        <f t="shared" si="27"/>
        <v>24</v>
      </c>
      <c r="H65" s="307">
        <f>H20</f>
        <v>0</v>
      </c>
      <c r="I65" s="256">
        <f t="shared" si="32"/>
        <v>0</v>
      </c>
      <c r="J65" s="256">
        <f t="shared" si="33"/>
        <v>0</v>
      </c>
      <c r="K65" s="256">
        <f t="shared" si="34"/>
        <v>0</v>
      </c>
      <c r="L65" s="128">
        <f t="shared" si="35"/>
        <v>0</v>
      </c>
    </row>
    <row r="66" spans="1:13" x14ac:dyDescent="0.3">
      <c r="A66" s="424"/>
      <c r="B66" s="491" t="s">
        <v>140</v>
      </c>
      <c r="C66" s="491"/>
      <c r="D66" s="492"/>
      <c r="E66" s="423">
        <f xml:space="preserve"> 16+ 64</f>
        <v>80</v>
      </c>
      <c r="F66" s="423">
        <v>1</v>
      </c>
      <c r="G66" s="423">
        <f t="shared" si="27"/>
        <v>80</v>
      </c>
      <c r="H66" s="307">
        <f>H42</f>
        <v>0</v>
      </c>
      <c r="I66" s="256">
        <f t="shared" si="32"/>
        <v>0</v>
      </c>
      <c r="J66" s="256">
        <f t="shared" si="33"/>
        <v>0</v>
      </c>
      <c r="K66" s="256">
        <f t="shared" si="34"/>
        <v>0</v>
      </c>
      <c r="L66" s="128">
        <f t="shared" si="35"/>
        <v>0</v>
      </c>
    </row>
    <row r="67" spans="1:13" x14ac:dyDescent="0.3">
      <c r="A67" s="424"/>
      <c r="B67" s="491" t="s">
        <v>141</v>
      </c>
      <c r="C67" s="491"/>
      <c r="D67" s="492"/>
      <c r="E67" s="251" t="s">
        <v>12</v>
      </c>
      <c r="F67" s="423"/>
      <c r="G67" s="423"/>
      <c r="H67" s="252"/>
      <c r="I67" s="253"/>
      <c r="J67" s="253"/>
      <c r="K67" s="253"/>
      <c r="L67" s="55"/>
    </row>
    <row r="68" spans="1:13" s="134" customFormat="1" x14ac:dyDescent="0.3">
      <c r="A68" s="146" t="s">
        <v>142</v>
      </c>
      <c r="B68" s="150"/>
      <c r="C68" s="148"/>
      <c r="D68" s="148"/>
      <c r="E68" s="148"/>
      <c r="F68" s="421"/>
      <c r="G68" s="149"/>
      <c r="H68" s="149"/>
      <c r="I68" s="490">
        <f>SUM(I53:K66)</f>
        <v>9408.3263999999981</v>
      </c>
      <c r="J68" s="490"/>
      <c r="K68" s="490"/>
      <c r="L68" s="288">
        <f>SUM(L53:L66)</f>
        <v>1422521.771257878</v>
      </c>
      <c r="M68" s="186"/>
    </row>
    <row r="69" spans="1:13" s="134" customFormat="1" ht="14.5" x14ac:dyDescent="0.3">
      <c r="A69" s="227" t="s">
        <v>143</v>
      </c>
      <c r="B69" s="228"/>
      <c r="C69" s="229"/>
      <c r="D69" s="223"/>
      <c r="E69" s="224"/>
      <c r="F69" s="225"/>
      <c r="G69" s="226"/>
      <c r="H69" s="226"/>
      <c r="I69" s="493">
        <f>ROUND(I51+I68,-3)</f>
        <v>151000</v>
      </c>
      <c r="J69" s="494"/>
      <c r="K69" s="495"/>
      <c r="L69" s="289">
        <f>ROUND(L51+L68,-5)</f>
        <v>22800000</v>
      </c>
      <c r="M69" s="186"/>
    </row>
    <row r="70" spans="1:13" s="134" customFormat="1" ht="14.5" x14ac:dyDescent="0.3">
      <c r="A70" s="230" t="s">
        <v>144</v>
      </c>
      <c r="B70" s="226"/>
      <c r="C70" s="224"/>
      <c r="D70" s="224"/>
      <c r="E70" s="224"/>
      <c r="F70" s="225"/>
      <c r="G70" s="226"/>
      <c r="H70" s="226"/>
      <c r="I70" s="225"/>
      <c r="J70" s="225"/>
      <c r="K70" s="225"/>
      <c r="L70" s="289">
        <f>ROUND(H104+K115,-5)</f>
        <v>41100000</v>
      </c>
      <c r="M70" s="186"/>
    </row>
    <row r="71" spans="1:13" s="134" customFormat="1" ht="14.5" x14ac:dyDescent="0.3">
      <c r="A71" s="230" t="s">
        <v>145</v>
      </c>
      <c r="B71" s="226"/>
      <c r="C71" s="224"/>
      <c r="D71" s="224"/>
      <c r="E71" s="224"/>
      <c r="F71" s="225"/>
      <c r="G71" s="226"/>
      <c r="H71" s="226"/>
      <c r="I71" s="225"/>
      <c r="J71" s="225"/>
      <c r="K71" s="225"/>
      <c r="L71" s="289">
        <f>ROUND(L69+L70,-6)</f>
        <v>64000000</v>
      </c>
      <c r="M71" s="186"/>
    </row>
    <row r="72" spans="1:13" s="152" customFormat="1" x14ac:dyDescent="0.3">
      <c r="A72" s="259"/>
      <c r="B72" s="259"/>
      <c r="C72" s="259"/>
      <c r="D72" s="259"/>
      <c r="E72" s="259"/>
      <c r="F72" s="259"/>
      <c r="G72" s="259"/>
      <c r="H72" s="260"/>
      <c r="I72" s="259"/>
      <c r="J72" s="260"/>
      <c r="K72" s="259"/>
      <c r="L72" s="174"/>
    </row>
    <row r="73" spans="1:13" s="152" customFormat="1" x14ac:dyDescent="0.3">
      <c r="A73" s="261" t="s">
        <v>146</v>
      </c>
      <c r="B73" s="259"/>
      <c r="C73" s="259"/>
      <c r="D73" s="259"/>
      <c r="E73" s="259"/>
      <c r="F73" s="259"/>
      <c r="G73" s="259"/>
      <c r="H73" s="260"/>
      <c r="I73" s="259"/>
      <c r="J73" s="259"/>
      <c r="K73" s="259"/>
      <c r="L73" s="38"/>
    </row>
    <row r="74" spans="1:13" s="152" customFormat="1" ht="57" customHeight="1" x14ac:dyDescent="0.3">
      <c r="A74" s="496" t="s">
        <v>147</v>
      </c>
      <c r="B74" s="496"/>
      <c r="C74" s="496"/>
      <c r="D74" s="496"/>
      <c r="E74" s="496"/>
      <c r="F74" s="496"/>
      <c r="G74" s="496"/>
      <c r="H74" s="496"/>
      <c r="I74" s="496"/>
      <c r="J74" s="496"/>
      <c r="K74" s="496"/>
      <c r="L74" s="496"/>
    </row>
    <row r="75" spans="1:13" s="152" customFormat="1" ht="27.75" customHeight="1" x14ac:dyDescent="0.3">
      <c r="A75" s="497" t="s">
        <v>148</v>
      </c>
      <c r="B75" s="497"/>
      <c r="C75" s="497"/>
      <c r="D75" s="497"/>
      <c r="E75" s="497"/>
      <c r="F75" s="497"/>
      <c r="G75" s="497"/>
      <c r="H75" s="497"/>
      <c r="I75" s="497"/>
      <c r="J75" s="497"/>
      <c r="K75" s="497"/>
      <c r="L75" s="497"/>
    </row>
    <row r="76" spans="1:13" s="152" customFormat="1" ht="27.75" customHeight="1" x14ac:dyDescent="0.3">
      <c r="A76" s="500" t="s">
        <v>149</v>
      </c>
      <c r="B76" s="500"/>
      <c r="C76" s="500"/>
      <c r="D76" s="500"/>
      <c r="E76" s="500"/>
      <c r="F76" s="500"/>
      <c r="G76" s="500"/>
      <c r="H76" s="500"/>
      <c r="I76" s="500"/>
      <c r="J76" s="500"/>
      <c r="K76" s="500"/>
      <c r="L76" s="500"/>
    </row>
    <row r="77" spans="1:13" s="152" customFormat="1" ht="27.75" customHeight="1" x14ac:dyDescent="0.3">
      <c r="A77" s="500" t="s">
        <v>150</v>
      </c>
      <c r="B77" s="500"/>
      <c r="C77" s="500"/>
      <c r="D77" s="500"/>
      <c r="E77" s="500"/>
      <c r="F77" s="500"/>
      <c r="G77" s="500"/>
      <c r="H77" s="500"/>
      <c r="I77" s="500"/>
      <c r="J77" s="500"/>
      <c r="K77" s="500"/>
      <c r="L77" s="500"/>
    </row>
    <row r="78" spans="1:13" s="151" customFormat="1" ht="15" customHeight="1" x14ac:dyDescent="0.3">
      <c r="A78" s="478" t="s">
        <v>151</v>
      </c>
      <c r="B78" s="478"/>
      <c r="C78" s="478"/>
      <c r="D78" s="478"/>
      <c r="E78" s="478"/>
      <c r="F78" s="478"/>
      <c r="G78" s="478"/>
      <c r="H78" s="478"/>
      <c r="I78" s="478"/>
      <c r="J78" s="478"/>
      <c r="K78" s="478"/>
      <c r="L78" s="478"/>
    </row>
    <row r="79" spans="1:13" s="152" customFormat="1" ht="15" customHeight="1" x14ac:dyDescent="0.3">
      <c r="A79" s="259"/>
      <c r="B79" s="153"/>
      <c r="C79" s="153"/>
      <c r="D79" s="153"/>
      <c r="E79" s="153"/>
      <c r="F79" s="153"/>
      <c r="G79" s="153"/>
      <c r="H79" s="153"/>
      <c r="I79" s="153"/>
      <c r="J79" s="259"/>
      <c r="K79" s="259"/>
      <c r="L79" s="156"/>
    </row>
    <row r="80" spans="1:13" s="152" customFormat="1" ht="15" customHeight="1" x14ac:dyDescent="0.3">
      <c r="A80" s="259"/>
      <c r="B80" s="153"/>
      <c r="C80" s="153"/>
      <c r="D80" s="153"/>
      <c r="E80" s="153"/>
      <c r="F80" s="153"/>
      <c r="G80" s="153"/>
      <c r="H80" s="153"/>
      <c r="I80" s="153"/>
      <c r="J80" s="259"/>
      <c r="K80" s="259"/>
      <c r="L80" s="156"/>
    </row>
    <row r="81" spans="1:12" s="152" customFormat="1" ht="15.5" x14ac:dyDescent="0.35">
      <c r="A81" s="259"/>
      <c r="B81" s="259"/>
      <c r="C81" s="259"/>
      <c r="D81" s="290" t="s">
        <v>152</v>
      </c>
      <c r="E81" s="259"/>
      <c r="F81" s="259"/>
      <c r="G81" s="259"/>
      <c r="H81" s="260"/>
      <c r="I81" s="259"/>
      <c r="J81" s="259"/>
      <c r="K81" s="259"/>
      <c r="L81" s="156"/>
    </row>
    <row r="82" spans="1:12" s="152" customFormat="1" x14ac:dyDescent="0.3">
      <c r="A82" s="291"/>
      <c r="B82" s="259"/>
      <c r="C82" s="259"/>
      <c r="D82" s="259"/>
      <c r="E82" s="259"/>
      <c r="F82" s="259"/>
      <c r="G82" s="259"/>
      <c r="H82" s="260"/>
      <c r="I82" s="259"/>
      <c r="J82" s="259"/>
      <c r="K82" s="259"/>
      <c r="L82" s="156"/>
    </row>
    <row r="83" spans="1:12" ht="26" x14ac:dyDescent="0.3">
      <c r="A83" s="255"/>
      <c r="B83" s="255"/>
      <c r="C83" s="255"/>
      <c r="D83" s="262"/>
      <c r="E83" s="420" t="s">
        <v>153</v>
      </c>
      <c r="F83" s="420" t="s">
        <v>154</v>
      </c>
      <c r="G83" s="420" t="s">
        <v>155</v>
      </c>
      <c r="H83" s="292" t="s">
        <v>156</v>
      </c>
      <c r="I83" s="264"/>
      <c r="J83" s="255"/>
      <c r="K83" s="255"/>
      <c r="L83" s="157"/>
    </row>
    <row r="84" spans="1:12" ht="78" x14ac:dyDescent="0.3">
      <c r="A84" s="255"/>
      <c r="B84" s="255"/>
      <c r="C84" s="255"/>
      <c r="D84" s="255"/>
      <c r="E84" s="423" t="s">
        <v>157</v>
      </c>
      <c r="F84" s="293">
        <f>G84*H84</f>
        <v>157.24799999999999</v>
      </c>
      <c r="G84" s="293">
        <f>'Table 1a-Year 1'!G84</f>
        <v>74.88</v>
      </c>
      <c r="H84" s="263">
        <v>2.1</v>
      </c>
      <c r="I84" s="264"/>
      <c r="J84" s="255"/>
      <c r="K84" s="255"/>
    </row>
    <row r="85" spans="1:12" ht="91" x14ac:dyDescent="0.3">
      <c r="A85" s="255"/>
      <c r="B85" s="255"/>
      <c r="C85" s="255"/>
      <c r="D85" s="255"/>
      <c r="E85" s="423" t="s">
        <v>158</v>
      </c>
      <c r="F85" s="293">
        <f>G85*H85</f>
        <v>181.98599999999999</v>
      </c>
      <c r="G85" s="293">
        <f>'Table 1a-Year 1'!G85</f>
        <v>86.66</v>
      </c>
      <c r="H85" s="263">
        <v>2.1</v>
      </c>
      <c r="I85" s="265"/>
      <c r="J85" s="266"/>
      <c r="K85" s="255"/>
    </row>
    <row r="86" spans="1:12" ht="52" x14ac:dyDescent="0.3">
      <c r="A86" s="255"/>
      <c r="B86" s="255"/>
      <c r="C86" s="255"/>
      <c r="D86" s="255"/>
      <c r="E86" s="423" t="s">
        <v>159</v>
      </c>
      <c r="F86" s="293">
        <f>G86*H86</f>
        <v>75.305999999999997</v>
      </c>
      <c r="G86" s="293">
        <f>'Table 1a-Year 1'!G86</f>
        <v>35.86</v>
      </c>
      <c r="H86" s="263">
        <v>2.1</v>
      </c>
      <c r="I86" s="255"/>
      <c r="J86" s="255"/>
      <c r="K86" s="255"/>
    </row>
    <row r="87" spans="1:12" x14ac:dyDescent="0.3">
      <c r="A87" s="255"/>
      <c r="B87" s="255"/>
      <c r="C87" s="255"/>
      <c r="D87" s="267"/>
      <c r="E87" s="255"/>
      <c r="F87" s="268"/>
      <c r="G87" s="255"/>
      <c r="H87" s="269"/>
      <c r="I87" s="255"/>
      <c r="J87" s="255"/>
      <c r="K87" s="255"/>
    </row>
    <row r="88" spans="1:12" x14ac:dyDescent="0.3">
      <c r="A88" s="255"/>
      <c r="B88" s="255"/>
      <c r="C88" s="255"/>
      <c r="D88" s="267"/>
      <c r="E88" s="255"/>
      <c r="F88" s="268"/>
      <c r="G88" s="255"/>
      <c r="H88" s="269"/>
      <c r="I88" s="255"/>
      <c r="J88" s="255"/>
      <c r="K88" s="255"/>
    </row>
    <row r="89" spans="1:12" s="152" customFormat="1" x14ac:dyDescent="0.3">
      <c r="A89" s="259"/>
      <c r="B89" s="259"/>
      <c r="C89" s="259"/>
      <c r="D89" s="255"/>
      <c r="E89" s="270"/>
      <c r="F89" s="271"/>
      <c r="G89" s="259"/>
      <c r="H89" s="260"/>
      <c r="I89" s="259"/>
      <c r="J89" s="259"/>
      <c r="K89" s="38"/>
      <c r="L89" s="259"/>
    </row>
    <row r="90" spans="1:12" ht="15" customHeight="1" x14ac:dyDescent="0.3">
      <c r="A90" s="255"/>
      <c r="B90" s="255"/>
      <c r="C90" s="255"/>
      <c r="D90" s="262"/>
      <c r="E90" s="479" t="s">
        <v>163</v>
      </c>
      <c r="F90" s="480"/>
      <c r="G90" s="480"/>
      <c r="H90" s="481"/>
      <c r="I90" s="294"/>
      <c r="J90" s="255"/>
      <c r="K90" s="158"/>
      <c r="L90" s="255"/>
    </row>
    <row r="91" spans="1:12" x14ac:dyDescent="0.3">
      <c r="A91" s="255"/>
      <c r="B91" s="255"/>
      <c r="C91" s="255"/>
      <c r="D91" s="295" t="s">
        <v>9</v>
      </c>
      <c r="E91" s="420" t="s">
        <v>165</v>
      </c>
      <c r="F91" s="420" t="s">
        <v>166</v>
      </c>
      <c r="G91" s="420" t="s">
        <v>167</v>
      </c>
      <c r="H91" s="420" t="s">
        <v>168</v>
      </c>
      <c r="I91" s="259"/>
      <c r="J91" s="255"/>
      <c r="K91" s="158"/>
      <c r="L91" s="255"/>
    </row>
    <row r="92" spans="1:12" x14ac:dyDescent="0.3">
      <c r="A92" s="255"/>
      <c r="B92" s="255"/>
      <c r="C92" s="255"/>
      <c r="D92" s="296" t="s">
        <v>11</v>
      </c>
      <c r="E92" s="403" t="s">
        <v>169</v>
      </c>
      <c r="F92" s="169">
        <f>'Table 1a-Year 1'!F92</f>
        <v>5167.0448330540685</v>
      </c>
      <c r="G92" s="372">
        <f>H12</f>
        <v>192.13314782608694</v>
      </c>
      <c r="H92" s="297">
        <f>F92*G92</f>
        <v>992760.58873319603</v>
      </c>
      <c r="I92" s="415">
        <f>H92-'[1]Table 1a-Year 3'!$H92</f>
        <v>992760.58873319603</v>
      </c>
      <c r="J92" s="154"/>
      <c r="K92" s="158"/>
      <c r="L92" s="255"/>
    </row>
    <row r="93" spans="1:12" x14ac:dyDescent="0.3">
      <c r="A93" s="255"/>
      <c r="B93" s="255"/>
      <c r="C93" s="255"/>
      <c r="D93" s="296" t="s">
        <v>14</v>
      </c>
      <c r="E93" s="423" t="s">
        <v>170</v>
      </c>
      <c r="F93" s="169">
        <f>'Summary Info_2015'!C61</f>
        <v>20444.262999999999</v>
      </c>
      <c r="G93" s="413">
        <f>H13</f>
        <v>52.681669565217391</v>
      </c>
      <c r="H93" s="297">
        <f t="shared" ref="H93:H94" si="36">F93*G93</f>
        <v>1077037.9078704</v>
      </c>
      <c r="I93" s="415">
        <f>H93-'[1]Table 1a-Year 3'!$H93</f>
        <v>0</v>
      </c>
      <c r="J93" s="154"/>
      <c r="K93" s="158"/>
      <c r="L93" s="255"/>
    </row>
    <row r="94" spans="1:12" s="152" customFormat="1" x14ac:dyDescent="0.3">
      <c r="A94" s="259"/>
      <c r="B94" s="259"/>
      <c r="C94" s="259"/>
      <c r="D94" s="296" t="s">
        <v>20</v>
      </c>
      <c r="E94" s="423" t="s">
        <v>171</v>
      </c>
      <c r="F94" s="169">
        <f>'Summary Info_2015'!M66</f>
        <v>20006</v>
      </c>
      <c r="G94" s="413">
        <f>H14</f>
        <v>74.37412173913043</v>
      </c>
      <c r="H94" s="297">
        <f t="shared" si="36"/>
        <v>1487928.6795130435</v>
      </c>
      <c r="I94" s="415">
        <f>H94-'[1]Table 1a-Year 3'!$H94</f>
        <v>0</v>
      </c>
      <c r="J94" s="154"/>
      <c r="K94" s="38"/>
      <c r="L94" s="259"/>
    </row>
    <row r="95" spans="1:12" x14ac:dyDescent="0.3">
      <c r="A95" s="255"/>
      <c r="B95" s="255"/>
      <c r="C95" s="255"/>
      <c r="D95" s="255"/>
      <c r="E95" s="272" t="s">
        <v>45</v>
      </c>
      <c r="F95" s="273">
        <f>SUM(F92:F94)</f>
        <v>45617.307833054067</v>
      </c>
      <c r="G95" s="374">
        <f>SUM(G92:G94)</f>
        <v>319.18893913043473</v>
      </c>
      <c r="H95" s="277">
        <f>SUM(H92:H94)</f>
        <v>3557727.1761166397</v>
      </c>
      <c r="I95" s="415">
        <f>H95-'[1]Table 1a-Year 3'!$H95</f>
        <v>992760.58873319626</v>
      </c>
      <c r="J95" s="255"/>
      <c r="K95" s="255"/>
      <c r="L95" s="255"/>
    </row>
    <row r="96" spans="1:12" x14ac:dyDescent="0.3">
      <c r="A96" s="255"/>
      <c r="B96" s="255"/>
      <c r="C96" s="255"/>
      <c r="D96" s="255"/>
      <c r="E96" s="274"/>
      <c r="F96" s="255"/>
      <c r="G96" s="269"/>
      <c r="H96" s="275"/>
      <c r="I96" s="255"/>
      <c r="J96" s="255"/>
      <c r="K96" s="255"/>
      <c r="L96" s="255"/>
    </row>
    <row r="97" spans="1:13" ht="30" customHeight="1" x14ac:dyDescent="0.3">
      <c r="A97" s="255"/>
      <c r="B97" s="255"/>
      <c r="C97" s="255"/>
      <c r="D97" s="255"/>
      <c r="E97" s="479" t="s">
        <v>172</v>
      </c>
      <c r="F97" s="480"/>
      <c r="G97" s="480"/>
      <c r="H97" s="481"/>
      <c r="I97" s="255"/>
      <c r="J97" s="255"/>
      <c r="K97" s="255"/>
      <c r="L97" s="255"/>
    </row>
    <row r="98" spans="1:13" s="152" customFormat="1" x14ac:dyDescent="0.3">
      <c r="A98" s="259"/>
      <c r="B98" s="259"/>
      <c r="C98" s="259"/>
      <c r="D98" s="295" t="s">
        <v>173</v>
      </c>
      <c r="E98" s="420" t="s">
        <v>174</v>
      </c>
      <c r="F98" s="420" t="s">
        <v>175</v>
      </c>
      <c r="G98" s="420" t="s">
        <v>176</v>
      </c>
      <c r="H98" s="420" t="s">
        <v>168</v>
      </c>
      <c r="I98" s="259"/>
      <c r="J98" s="259"/>
      <c r="K98" s="259"/>
      <c r="L98" s="259"/>
    </row>
    <row r="99" spans="1:13" x14ac:dyDescent="0.3">
      <c r="A99" s="255"/>
      <c r="B99" s="255"/>
      <c r="C99" s="255"/>
      <c r="D99" s="296" t="s">
        <v>63</v>
      </c>
      <c r="E99" s="423" t="s">
        <v>11</v>
      </c>
      <c r="F99" s="276">
        <f>'Table 1a-Year 1'!F99</f>
        <v>7940.8962315002973</v>
      </c>
      <c r="G99" s="373">
        <f>'Regulated Sources_Overview'!E123*'Table 1c-Year 2'!F11</f>
        <v>0</v>
      </c>
      <c r="H99" s="299">
        <f>F99*G99</f>
        <v>0</v>
      </c>
      <c r="I99" s="415"/>
      <c r="J99" s="255"/>
      <c r="K99" s="255"/>
      <c r="L99" s="255"/>
    </row>
    <row r="100" spans="1:13" x14ac:dyDescent="0.3">
      <c r="A100" s="255"/>
      <c r="B100" s="255"/>
      <c r="C100" s="255"/>
      <c r="D100" s="296" t="s">
        <v>177</v>
      </c>
      <c r="E100" s="423" t="s">
        <v>14</v>
      </c>
      <c r="F100" s="276">
        <f>'Summary Info_2015'!B63</f>
        <v>111044.6066688</v>
      </c>
      <c r="G100" s="298">
        <f>'Regulated Sources_Overview'!K17</f>
        <v>0</v>
      </c>
      <c r="H100" s="299">
        <f t="shared" ref="H100:H101" si="37">F100*G100</f>
        <v>0</v>
      </c>
      <c r="I100" s="415"/>
      <c r="J100" s="255"/>
      <c r="K100" s="255"/>
      <c r="L100" s="255"/>
    </row>
    <row r="101" spans="1:13" x14ac:dyDescent="0.3">
      <c r="A101" s="255"/>
      <c r="B101" s="255"/>
      <c r="C101" s="255"/>
      <c r="D101" s="296" t="s">
        <v>178</v>
      </c>
      <c r="E101" s="423" t="s">
        <v>20</v>
      </c>
      <c r="F101" s="276">
        <f>'Summary Info_2015'!L63</f>
        <v>174001.69178879997</v>
      </c>
      <c r="G101" s="298">
        <f>'Regulated Sources_Overview'!K18</f>
        <v>0</v>
      </c>
      <c r="H101" s="299">
        <f t="shared" si="37"/>
        <v>0</v>
      </c>
      <c r="I101" s="415"/>
      <c r="J101" s="255"/>
      <c r="K101" s="255"/>
      <c r="L101" s="255"/>
    </row>
    <row r="102" spans="1:13" x14ac:dyDescent="0.3">
      <c r="A102" s="255"/>
      <c r="B102" s="255"/>
      <c r="C102" s="255"/>
      <c r="D102" s="255"/>
      <c r="E102" s="272" t="s">
        <v>45</v>
      </c>
      <c r="F102" s="277">
        <f>SUM(F99:F101)</f>
        <v>292987.19468910026</v>
      </c>
      <c r="G102" s="374">
        <f>SUM(G99:G101)</f>
        <v>0</v>
      </c>
      <c r="H102" s="277">
        <f>SUM(H99:H101)</f>
        <v>0</v>
      </c>
      <c r="I102" s="415"/>
      <c r="J102" s="255"/>
      <c r="K102" s="255"/>
    </row>
    <row r="103" spans="1:13" x14ac:dyDescent="0.3">
      <c r="A103" s="255"/>
      <c r="B103" s="255"/>
      <c r="C103" s="255"/>
      <c r="D103" s="255"/>
      <c r="E103" s="278"/>
      <c r="F103" s="279"/>
      <c r="G103" s="280"/>
      <c r="H103" s="275"/>
      <c r="I103" s="255"/>
      <c r="J103" s="255"/>
      <c r="K103" s="255"/>
    </row>
    <row r="104" spans="1:13" x14ac:dyDescent="0.3">
      <c r="A104" s="255"/>
      <c r="B104" s="255"/>
      <c r="C104" s="255"/>
      <c r="D104" s="255"/>
      <c r="E104" s="424"/>
      <c r="F104" s="482" t="s">
        <v>179</v>
      </c>
      <c r="G104" s="482"/>
      <c r="H104" s="281">
        <f>H95+H102</f>
        <v>3557727.1761166397</v>
      </c>
      <c r="I104" s="415"/>
      <c r="J104" s="301"/>
      <c r="K104" s="255"/>
    </row>
    <row r="105" spans="1:13" x14ac:dyDescent="0.3">
      <c r="A105" s="255"/>
      <c r="B105" s="255"/>
      <c r="C105" s="255"/>
      <c r="D105" s="255"/>
      <c r="E105" s="255"/>
      <c r="F105" s="279"/>
      <c r="G105" s="280"/>
      <c r="H105" s="269"/>
      <c r="I105" s="255"/>
      <c r="J105" s="255"/>
      <c r="K105" s="255"/>
    </row>
    <row r="106" spans="1:13" x14ac:dyDescent="0.3">
      <c r="A106" s="255"/>
      <c r="B106" s="255"/>
      <c r="C106" s="255"/>
      <c r="D106" s="255"/>
      <c r="E106" s="255"/>
      <c r="F106" s="279"/>
      <c r="G106" s="280"/>
      <c r="H106" s="269"/>
      <c r="I106" s="255"/>
      <c r="J106" s="255"/>
      <c r="K106" s="255"/>
    </row>
    <row r="107" spans="1:13" x14ac:dyDescent="0.3">
      <c r="A107" s="255"/>
      <c r="B107" s="255"/>
      <c r="C107" s="255"/>
      <c r="D107" s="255"/>
      <c r="E107" s="255"/>
      <c r="F107" s="279"/>
      <c r="G107" s="280"/>
      <c r="H107" s="269"/>
      <c r="I107" s="255"/>
      <c r="J107" s="255"/>
      <c r="K107" s="255"/>
    </row>
    <row r="108" spans="1:13" ht="12.75" customHeight="1" x14ac:dyDescent="0.3">
      <c r="A108" s="255"/>
      <c r="B108" s="255"/>
      <c r="C108" s="255"/>
      <c r="D108" s="255"/>
      <c r="E108" s="302"/>
      <c r="F108" s="302"/>
      <c r="G108" s="302"/>
      <c r="H108" s="302"/>
      <c r="I108" s="302"/>
      <c r="J108" s="302"/>
      <c r="K108" s="302"/>
      <c r="L108" s="302"/>
      <c r="M108" s="151"/>
    </row>
    <row r="109" spans="1:13" ht="12.75" customHeight="1" x14ac:dyDescent="0.35">
      <c r="A109" s="255"/>
      <c r="B109" s="255"/>
      <c r="C109" s="255"/>
      <c r="D109" s="255"/>
      <c r="E109" s="479" t="s">
        <v>180</v>
      </c>
      <c r="F109" s="483"/>
      <c r="G109" s="483"/>
      <c r="H109" s="483"/>
      <c r="I109" s="483"/>
      <c r="J109" s="483"/>
      <c r="K109" s="484"/>
      <c r="L109" s="255"/>
    </row>
    <row r="110" spans="1:13" ht="12.75" customHeight="1" x14ac:dyDescent="0.35">
      <c r="A110" s="255"/>
      <c r="B110" s="255"/>
      <c r="C110" s="255"/>
      <c r="D110" s="255"/>
      <c r="E110" s="485" t="s">
        <v>174</v>
      </c>
      <c r="F110" s="479" t="s">
        <v>181</v>
      </c>
      <c r="G110" s="483"/>
      <c r="H110" s="483"/>
      <c r="I110" s="484"/>
      <c r="J110" s="487" t="s">
        <v>182</v>
      </c>
      <c r="K110" s="489" t="s">
        <v>183</v>
      </c>
      <c r="L110" s="255"/>
    </row>
    <row r="111" spans="1:13" x14ac:dyDescent="0.3">
      <c r="A111" s="255"/>
      <c r="B111" s="255"/>
      <c r="C111" s="255"/>
      <c r="D111" s="255"/>
      <c r="E111" s="486"/>
      <c r="F111" s="420" t="s">
        <v>184</v>
      </c>
      <c r="G111" s="420" t="s">
        <v>185</v>
      </c>
      <c r="H111" s="292" t="s">
        <v>186</v>
      </c>
      <c r="I111" s="420" t="s">
        <v>45</v>
      </c>
      <c r="J111" s="488"/>
      <c r="K111" s="489"/>
      <c r="L111" s="255"/>
    </row>
    <row r="112" spans="1:13" x14ac:dyDescent="0.3">
      <c r="A112" s="255"/>
      <c r="B112" s="255"/>
      <c r="C112" s="255"/>
      <c r="D112" s="255"/>
      <c r="E112" s="282" t="s">
        <v>11</v>
      </c>
      <c r="F112" s="168">
        <f>'Table 1a-Year 1'!F112</f>
        <v>0</v>
      </c>
      <c r="G112" s="168">
        <f>'Table 1a-Year 1'!G112</f>
        <v>14290</v>
      </c>
      <c r="H112" s="168">
        <f>'Table 1a-Year 1'!H112</f>
        <v>13693</v>
      </c>
      <c r="I112" s="168">
        <f>F112+G112+H112</f>
        <v>27983</v>
      </c>
      <c r="J112" s="375">
        <f>'%CEMSCPMSvs.testing_2137.13'!Z3*'Table 1c-Year 3'!F11</f>
        <v>117.75902608695652</v>
      </c>
      <c r="K112" s="168">
        <f>I112*J112</f>
        <v>3295250.8269913043</v>
      </c>
      <c r="L112" s="415"/>
    </row>
    <row r="113" spans="1:14" x14ac:dyDescent="0.3">
      <c r="A113" s="255"/>
      <c r="B113" s="255"/>
      <c r="C113" s="255"/>
      <c r="D113" s="255"/>
      <c r="E113" s="282" t="s">
        <v>14</v>
      </c>
      <c r="F113" s="168">
        <f>'Summary of CEMS Costs_2018'!G47</f>
        <v>14788.7065664</v>
      </c>
      <c r="G113" s="168">
        <f>'Summary of CEMS Costs_2018'!H47</f>
        <v>10931.940845699999</v>
      </c>
      <c r="H113" s="168">
        <f>'Summary of CEMS Costs_2018'!I47</f>
        <v>15897.235325044843</v>
      </c>
      <c r="I113" s="168">
        <f>F113+G113+H113</f>
        <v>41617.882737144842</v>
      </c>
      <c r="J113" s="412">
        <f>('%CEMSCPMSvs.testing_2137.13'!K3+'%CEMSCPMSvs.testing_2137.13'!K4)*'Table 1c-Year 3'!F11</f>
        <v>257.21050434782615</v>
      </c>
      <c r="K113" s="168">
        <f t="shared" ref="K113" si="38">I113*J113</f>
        <v>10704556.608709712</v>
      </c>
      <c r="L113" s="415"/>
    </row>
    <row r="114" spans="1:14" x14ac:dyDescent="0.3">
      <c r="A114" s="255"/>
      <c r="B114" s="255"/>
      <c r="C114" s="255"/>
      <c r="D114" s="255"/>
      <c r="E114" s="282" t="s">
        <v>20</v>
      </c>
      <c r="F114" s="168">
        <f>'Summary of CEMS Costs_2018'!B47</f>
        <v>19959.2166464</v>
      </c>
      <c r="G114" s="168">
        <f>'Summary of CEMS Costs_2018'!C47</f>
        <v>40011.554765699999</v>
      </c>
      <c r="H114" s="168">
        <f>'Summary of CEMS Costs_2018'!D47</f>
        <v>40035.286058200538</v>
      </c>
      <c r="I114" s="168">
        <f>F114+G114+H114</f>
        <v>100006.05747030054</v>
      </c>
      <c r="J114" s="412">
        <f>'%CEMSCPMSvs.testing_2137.13'!C3*'Table 1c-Year 3'!F11</f>
        <v>235.51805217391305</v>
      </c>
      <c r="K114" s="168">
        <f>I114*J114</f>
        <v>23553231.860997591</v>
      </c>
      <c r="L114" s="415"/>
    </row>
    <row r="115" spans="1:14" x14ac:dyDescent="0.3">
      <c r="A115" s="255"/>
      <c r="B115" s="255"/>
      <c r="C115" s="255"/>
      <c r="D115" s="255"/>
      <c r="E115" s="283" t="s">
        <v>45</v>
      </c>
      <c r="F115" s="132"/>
      <c r="G115" s="132"/>
      <c r="H115" s="132"/>
      <c r="I115" s="132"/>
      <c r="J115" s="304"/>
      <c r="K115" s="132">
        <f>SUM(K112:K114)</f>
        <v>37553039.296698608</v>
      </c>
      <c r="L115" s="415"/>
    </row>
    <row r="116" spans="1:14" ht="15.5" x14ac:dyDescent="0.35">
      <c r="A116" s="255"/>
      <c r="B116" s="255"/>
      <c r="C116" s="255"/>
      <c r="D116" s="255"/>
      <c r="E116" s="255"/>
      <c r="F116" s="305"/>
      <c r="G116" s="255"/>
      <c r="H116" s="269"/>
      <c r="I116" s="255"/>
      <c r="J116" s="269"/>
      <c r="K116" s="284"/>
    </row>
    <row r="117" spans="1:14" x14ac:dyDescent="0.3">
      <c r="A117" s="255"/>
      <c r="B117" s="255"/>
      <c r="C117" s="255"/>
      <c r="D117" s="255"/>
      <c r="E117" s="255"/>
      <c r="F117" s="255"/>
      <c r="G117" s="255"/>
      <c r="H117" s="269"/>
      <c r="I117" s="255"/>
      <c r="J117" s="269"/>
      <c r="K117" s="301">
        <f>K115+H95</f>
        <v>41110766.472815245</v>
      </c>
      <c r="L117" s="415"/>
    </row>
    <row r="118" spans="1:14" x14ac:dyDescent="0.3">
      <c r="A118" s="255"/>
      <c r="B118" s="255"/>
      <c r="C118" s="255"/>
      <c r="D118" s="255"/>
      <c r="E118" s="255"/>
      <c r="F118" s="255"/>
      <c r="G118" s="255"/>
      <c r="H118" s="269"/>
      <c r="I118" s="255"/>
      <c r="J118" s="301"/>
      <c r="K118" s="255"/>
      <c r="M118" s="212"/>
      <c r="N118" s="212"/>
    </row>
    <row r="119" spans="1:14" x14ac:dyDescent="0.3">
      <c r="A119" s="255"/>
      <c r="B119" s="255"/>
      <c r="C119" s="255"/>
      <c r="D119" s="255"/>
      <c r="E119" s="255"/>
      <c r="F119" s="255"/>
      <c r="G119" s="255"/>
      <c r="H119" s="269"/>
      <c r="I119" s="255"/>
      <c r="J119" s="255"/>
      <c r="K119" s="301">
        <f>'Table 1b-Year 3'!K115</f>
        <v>8239318.5415245593</v>
      </c>
      <c r="M119" s="212"/>
      <c r="N119" s="212"/>
    </row>
    <row r="120" spans="1:14" x14ac:dyDescent="0.3">
      <c r="A120" s="255"/>
      <c r="B120" s="255"/>
      <c r="C120" s="255"/>
      <c r="D120" s="255"/>
      <c r="E120" s="255"/>
      <c r="F120" s="255"/>
      <c r="G120" s="255"/>
      <c r="H120" s="269"/>
      <c r="I120" s="255"/>
      <c r="J120" s="255"/>
      <c r="K120" s="255"/>
      <c r="M120" s="212"/>
      <c r="N120" s="212"/>
    </row>
    <row r="121" spans="1:14" x14ac:dyDescent="0.3">
      <c r="A121" s="255"/>
      <c r="B121" s="255"/>
      <c r="C121" s="255"/>
      <c r="D121" s="255"/>
      <c r="E121" s="255"/>
      <c r="F121" s="255"/>
      <c r="G121" s="255"/>
      <c r="H121" s="269"/>
      <c r="I121" s="301"/>
      <c r="J121" s="255"/>
      <c r="K121" s="301">
        <f>K119+K117</f>
        <v>49350085.014339805</v>
      </c>
    </row>
  </sheetData>
  <mergeCells count="34">
    <mergeCell ref="B9:D9"/>
    <mergeCell ref="B10:D10"/>
    <mergeCell ref="B27:D27"/>
    <mergeCell ref="B28:D28"/>
    <mergeCell ref="B29:D29"/>
    <mergeCell ref="A3:D4"/>
    <mergeCell ref="A5:D5"/>
    <mergeCell ref="A6:D6"/>
    <mergeCell ref="A7:D7"/>
    <mergeCell ref="A8:D8"/>
    <mergeCell ref="I51:K51"/>
    <mergeCell ref="E90:H90"/>
    <mergeCell ref="B53:D53"/>
    <mergeCell ref="B54:D54"/>
    <mergeCell ref="B55:D55"/>
    <mergeCell ref="B56:D56"/>
    <mergeCell ref="B57:D57"/>
    <mergeCell ref="B66:D66"/>
    <mergeCell ref="B67:D67"/>
    <mergeCell ref="I68:K68"/>
    <mergeCell ref="I69:K69"/>
    <mergeCell ref="A74:L74"/>
    <mergeCell ref="A75:L75"/>
    <mergeCell ref="A52:D52"/>
    <mergeCell ref="A76:L76"/>
    <mergeCell ref="A77:L77"/>
    <mergeCell ref="A78:L78"/>
    <mergeCell ref="E97:H97"/>
    <mergeCell ref="F104:G104"/>
    <mergeCell ref="E109:K109"/>
    <mergeCell ref="E110:E111"/>
    <mergeCell ref="F110:I110"/>
    <mergeCell ref="J110:J111"/>
    <mergeCell ref="K110:K111"/>
  </mergeCells>
  <printOptions horizontalCentered="1" verticalCentered="1"/>
  <pageMargins left="0.7" right="0.7" top="0.75" bottom="0.75" header="0.3" footer="0.3"/>
  <pageSetup paperSize="17" orientation="landscape" r:id="rId1"/>
  <headerFooter>
    <oddHeader>&amp;CTable 1a -- Respondent Year 1</oddHeader>
    <oddFooter>&amp;L&amp;P of &amp;N&amp;R&amp;D</oddFooter>
  </headerFooter>
  <rowBreaks count="2" manualBreakCount="2">
    <brk id="51" max="10" man="1"/>
    <brk id="72"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F3FB5-2565-45D4-864B-9F8653A2D93C}">
  <sheetPr>
    <tabColor rgb="FF92D050"/>
    <pageSetUpPr fitToPage="1"/>
  </sheetPr>
  <dimension ref="A1:W121"/>
  <sheetViews>
    <sheetView tabSelected="1" zoomScale="70" zoomScaleNormal="70" workbookViewId="0">
      <pane xSplit="4" ySplit="4" topLeftCell="E5" activePane="bottomRight" state="frozen"/>
      <selection pane="topRight" activeCell="E1" sqref="E1"/>
      <selection pane="bottomLeft" activeCell="A6" sqref="A6"/>
      <selection pane="bottomRight"/>
    </sheetView>
  </sheetViews>
  <sheetFormatPr defaultColWidth="9.1796875" defaultRowHeight="13" x14ac:dyDescent="0.3"/>
  <cols>
    <col min="1" max="1" width="2.7265625" style="130" customWidth="1"/>
    <col min="2" max="3" width="2.453125" style="130" customWidth="1"/>
    <col min="4" max="4" width="65.26953125" style="130" customWidth="1"/>
    <col min="5" max="5" width="15" style="130" customWidth="1"/>
    <col min="6" max="6" width="19.1796875" style="130" bestFit="1" customWidth="1"/>
    <col min="7" max="7" width="21.26953125" style="130" customWidth="1"/>
    <col min="8" max="8" width="15" style="131" customWidth="1"/>
    <col min="9" max="9" width="13.1796875" style="130" customWidth="1"/>
    <col min="10" max="11" width="15.26953125" style="130" customWidth="1"/>
    <col min="12" max="12" width="19" style="158" customWidth="1"/>
    <col min="13" max="13" width="10" style="152" bestFit="1" customWidth="1"/>
    <col min="14" max="14" width="12" style="130" bestFit="1" customWidth="1"/>
    <col min="15" max="15" width="12.453125" style="130" bestFit="1" customWidth="1"/>
    <col min="16" max="16" width="33.54296875" style="130" customWidth="1"/>
    <col min="17" max="17" width="12.453125" style="130" bestFit="1" customWidth="1"/>
    <col min="18" max="16384" width="9.1796875" style="130"/>
  </cols>
  <sheetData>
    <row r="1" spans="1:23" s="161" customFormat="1" ht="15.5" x14ac:dyDescent="0.35">
      <c r="A1" s="133" t="s">
        <v>69</v>
      </c>
      <c r="B1" s="162"/>
      <c r="C1" s="162"/>
      <c r="D1" s="162"/>
      <c r="E1" s="162"/>
      <c r="F1" s="162"/>
      <c r="G1" s="162"/>
      <c r="H1" s="162"/>
      <c r="I1" s="162"/>
      <c r="J1" s="163"/>
      <c r="K1" s="162"/>
      <c r="L1" s="162"/>
      <c r="M1" s="185"/>
      <c r="N1" s="250"/>
    </row>
    <row r="2" spans="1:23" s="134" customFormat="1" x14ac:dyDescent="0.3">
      <c r="A2" s="135"/>
      <c r="B2" s="135"/>
      <c r="C2" s="135"/>
      <c r="D2" s="135"/>
      <c r="E2" s="135"/>
      <c r="F2" s="135"/>
      <c r="G2" s="135"/>
      <c r="H2" s="135"/>
      <c r="I2" s="135"/>
      <c r="J2" s="136"/>
      <c r="K2" s="135"/>
      <c r="L2" s="135"/>
      <c r="M2" s="186"/>
      <c r="N2" s="182"/>
    </row>
    <row r="3" spans="1:23" s="139" customFormat="1" ht="14.25" customHeight="1" x14ac:dyDescent="0.3">
      <c r="A3" s="501" t="s">
        <v>70</v>
      </c>
      <c r="B3" s="502"/>
      <c r="C3" s="502"/>
      <c r="D3" s="503"/>
      <c r="E3" s="137" t="s">
        <v>71</v>
      </c>
      <c r="F3" s="137" t="s">
        <v>72</v>
      </c>
      <c r="G3" s="137" t="s">
        <v>73</v>
      </c>
      <c r="H3" s="137" t="s">
        <v>74</v>
      </c>
      <c r="I3" s="137" t="s">
        <v>75</v>
      </c>
      <c r="J3" s="137" t="s">
        <v>76</v>
      </c>
      <c r="K3" s="137" t="s">
        <v>77</v>
      </c>
      <c r="L3" s="138" t="s">
        <v>78</v>
      </c>
    </row>
    <row r="4" spans="1:23" s="142" customFormat="1" ht="51" customHeight="1" x14ac:dyDescent="0.3">
      <c r="A4" s="504"/>
      <c r="B4" s="505"/>
      <c r="C4" s="505"/>
      <c r="D4" s="506"/>
      <c r="E4" s="140" t="s">
        <v>79</v>
      </c>
      <c r="F4" s="140" t="s">
        <v>80</v>
      </c>
      <c r="G4" s="140" t="s">
        <v>81</v>
      </c>
      <c r="H4" s="140" t="s">
        <v>82</v>
      </c>
      <c r="I4" s="140" t="s">
        <v>83</v>
      </c>
      <c r="J4" s="140" t="s">
        <v>84</v>
      </c>
      <c r="K4" s="140" t="s">
        <v>85</v>
      </c>
      <c r="L4" s="141" t="s">
        <v>86</v>
      </c>
      <c r="M4" s="139"/>
      <c r="P4" s="142" t="s">
        <v>87</v>
      </c>
    </row>
    <row r="5" spans="1:23" x14ac:dyDescent="0.3">
      <c r="A5" s="507" t="s">
        <v>88</v>
      </c>
      <c r="B5" s="507"/>
      <c r="C5" s="507"/>
      <c r="D5" s="507"/>
      <c r="E5" s="251" t="s">
        <v>12</v>
      </c>
      <c r="F5" s="423"/>
      <c r="G5" s="423"/>
      <c r="H5" s="252"/>
      <c r="I5" s="253"/>
      <c r="J5" s="253"/>
      <c r="K5" s="253"/>
      <c r="L5" s="55"/>
    </row>
    <row r="6" spans="1:23" x14ac:dyDescent="0.3">
      <c r="A6" s="507" t="s">
        <v>89</v>
      </c>
      <c r="B6" s="507"/>
      <c r="C6" s="507"/>
      <c r="D6" s="507"/>
      <c r="E6" s="251" t="s">
        <v>12</v>
      </c>
      <c r="F6" s="423"/>
      <c r="G6" s="423"/>
      <c r="H6" s="252"/>
      <c r="I6" s="253"/>
      <c r="J6" s="253"/>
      <c r="K6" s="253"/>
      <c r="L6" s="55"/>
    </row>
    <row r="7" spans="1:23" x14ac:dyDescent="0.3">
      <c r="A7" s="507" t="s">
        <v>90</v>
      </c>
      <c r="B7" s="507"/>
      <c r="C7" s="507"/>
      <c r="D7" s="507"/>
      <c r="E7" s="143">
        <v>160.6</v>
      </c>
      <c r="F7" s="423">
        <v>1</v>
      </c>
      <c r="G7" s="143">
        <f>E7*F7</f>
        <v>160.6</v>
      </c>
      <c r="H7" s="252">
        <f>AVERAGE('Table 1a-Year 1'!H7,'Table 1a-Year 2'!H7,'Table 1a-Year 3'!H7)</f>
        <v>0</v>
      </c>
      <c r="I7" s="256">
        <f>G7*H7</f>
        <v>0</v>
      </c>
      <c r="J7" s="256">
        <f>I7*0.05</f>
        <v>0</v>
      </c>
      <c r="K7" s="256">
        <f>I7*0.1</f>
        <v>0</v>
      </c>
      <c r="L7" s="128">
        <f>(I7*$F$84)+(J7*$F$85)+(K7*$F$86)</f>
        <v>0</v>
      </c>
      <c r="M7" s="184"/>
    </row>
    <row r="8" spans="1:23" x14ac:dyDescent="0.3">
      <c r="A8" s="492" t="s">
        <v>91</v>
      </c>
      <c r="B8" s="492"/>
      <c r="C8" s="492"/>
      <c r="D8" s="492"/>
      <c r="E8" s="423"/>
      <c r="F8" s="423"/>
      <c r="G8" s="423"/>
      <c r="H8" s="252"/>
      <c r="I8" s="253"/>
      <c r="J8" s="253"/>
      <c r="K8" s="253"/>
      <c r="L8" s="128"/>
    </row>
    <row r="9" spans="1:23" x14ac:dyDescent="0.3">
      <c r="A9" s="424"/>
      <c r="B9" s="491" t="s">
        <v>92</v>
      </c>
      <c r="C9" s="491"/>
      <c r="D9" s="492"/>
      <c r="E9" s="423">
        <v>1</v>
      </c>
      <c r="F9" s="423">
        <v>1</v>
      </c>
      <c r="G9" s="423">
        <f>E9*F9</f>
        <v>1</v>
      </c>
      <c r="H9" s="252">
        <f>AVERAGE('Table 1a-Year 1'!H9,'Table 1a-Year 2'!H9,'Table 1a-Year 3'!H9)</f>
        <v>159.94434782608695</v>
      </c>
      <c r="I9" s="256">
        <f>G9*H9</f>
        <v>159.94434782608695</v>
      </c>
      <c r="J9" s="285">
        <f>I9*0.05</f>
        <v>7.9972173913043481</v>
      </c>
      <c r="K9" s="285">
        <f>I9*0.1</f>
        <v>15.994434782608696</v>
      </c>
      <c r="L9" s="128">
        <f>(I9*$F$84)+(J9*$F$85)+(K9*$F$86)</f>
        <v>27810.787316869562</v>
      </c>
      <c r="M9" s="188"/>
      <c r="N9" s="184"/>
      <c r="O9" s="184"/>
      <c r="P9" s="184"/>
    </row>
    <row r="10" spans="1:23" x14ac:dyDescent="0.3">
      <c r="A10" s="424"/>
      <c r="B10" s="491" t="s">
        <v>94</v>
      </c>
      <c r="C10" s="491"/>
      <c r="D10" s="492"/>
      <c r="E10" s="423"/>
      <c r="F10" s="423"/>
      <c r="G10" s="423"/>
      <c r="H10" s="252"/>
      <c r="I10" s="253"/>
      <c r="J10" s="253"/>
      <c r="K10" s="253"/>
      <c r="L10" s="128"/>
    </row>
    <row r="11" spans="1:23" x14ac:dyDescent="0.3">
      <c r="A11" s="424"/>
      <c r="B11" s="425"/>
      <c r="C11" s="254" t="s">
        <v>95</v>
      </c>
      <c r="D11" s="255"/>
      <c r="E11" s="423"/>
      <c r="F11" s="423"/>
      <c r="G11" s="423"/>
      <c r="H11" s="252"/>
      <c r="I11" s="253"/>
      <c r="J11" s="253"/>
      <c r="K11" s="253"/>
      <c r="L11" s="128"/>
    </row>
    <row r="12" spans="1:23" ht="14.5" x14ac:dyDescent="0.3">
      <c r="A12" s="424"/>
      <c r="B12" s="425"/>
      <c r="C12" s="425"/>
      <c r="D12" s="422" t="s">
        <v>96</v>
      </c>
      <c r="E12" s="423">
        <v>27.8</v>
      </c>
      <c r="F12" s="423">
        <v>1</v>
      </c>
      <c r="G12" s="143">
        <f>E12*F12</f>
        <v>27.8</v>
      </c>
      <c r="H12" s="306">
        <f>AVERAGE('Table 1a-Year 1'!H12,'Table 1a-Year 2'!H12,'Table 1a-Year 3'!H12)</f>
        <v>192.13314782608691</v>
      </c>
      <c r="I12" s="256">
        <f>G12*H12</f>
        <v>5341.3015095652163</v>
      </c>
      <c r="J12" s="256">
        <f t="shared" ref="J12:J18" si="0">I12*0.05</f>
        <v>267.06507547826084</v>
      </c>
      <c r="K12" s="256">
        <f t="shared" ref="K12:K18" si="1">I12*0.1</f>
        <v>534.13015095652167</v>
      </c>
      <c r="L12" s="128">
        <f t="shared" ref="L12:L18" si="2">(I12*$F$84)+(J12*$F$85)+(K12*$F$86)</f>
        <v>928734.28975002968</v>
      </c>
      <c r="M12" s="239"/>
      <c r="P12" s="338" t="s">
        <v>98</v>
      </c>
      <c r="U12" s="130">
        <v>1340574</v>
      </c>
      <c r="V12" s="130">
        <f>L12/U12</f>
        <v>0.69278852920467626</v>
      </c>
      <c r="W12" s="130">
        <f>H12/V12</f>
        <v>277.33303847662785</v>
      </c>
    </row>
    <row r="13" spans="1:23" ht="14.5" x14ac:dyDescent="0.3">
      <c r="A13" s="424"/>
      <c r="B13" s="425"/>
      <c r="C13" s="425"/>
      <c r="D13" s="422" t="s">
        <v>99</v>
      </c>
      <c r="E13" s="423">
        <v>26.4</v>
      </c>
      <c r="F13" s="423">
        <v>1</v>
      </c>
      <c r="G13" s="143">
        <f t="shared" ref="G13:G18" si="3">E13*F13</f>
        <v>26.4</v>
      </c>
      <c r="H13" s="257">
        <f>AVERAGE('Table 1a-Year 1'!H13,'Table 1a-Year 2'!H13,'Table 1a-Year 3'!H13)</f>
        <v>52.681669565217391</v>
      </c>
      <c r="I13" s="256">
        <f t="shared" ref="I13:I18" si="4">G13*H13</f>
        <v>1390.796076521739</v>
      </c>
      <c r="J13" s="256">
        <f t="shared" si="0"/>
        <v>69.539803826086953</v>
      </c>
      <c r="K13" s="256">
        <f t="shared" si="1"/>
        <v>139.07960765217391</v>
      </c>
      <c r="L13" s="128">
        <f t="shared" si="2"/>
        <v>241828.70111383926</v>
      </c>
      <c r="M13" s="239"/>
      <c r="U13" s="130">
        <v>247590</v>
      </c>
      <c r="V13" s="130">
        <f>L13/U13</f>
        <v>0.9767304863437104</v>
      </c>
      <c r="W13" s="130">
        <f>H13/V13</f>
        <v>53.93675154179509</v>
      </c>
    </row>
    <row r="14" spans="1:23" ht="14.5" x14ac:dyDescent="0.3">
      <c r="A14" s="424"/>
      <c r="B14" s="425"/>
      <c r="C14" s="425"/>
      <c r="D14" s="422" t="s">
        <v>100</v>
      </c>
      <c r="E14" s="423">
        <v>27.8</v>
      </c>
      <c r="F14" s="423">
        <v>1</v>
      </c>
      <c r="G14" s="143">
        <f t="shared" si="3"/>
        <v>27.8</v>
      </c>
      <c r="H14" s="257">
        <f>AVERAGE('Table 1a-Year 1'!H14,'Table 1a-Year 2'!H14,'Table 1a-Year 3'!H14)</f>
        <v>74.37412173913043</v>
      </c>
      <c r="I14" s="256">
        <f t="shared" si="4"/>
        <v>2067.600584347826</v>
      </c>
      <c r="J14" s="256">
        <f t="shared" si="0"/>
        <v>103.38002921739131</v>
      </c>
      <c r="K14" s="256">
        <f t="shared" si="1"/>
        <v>206.76005843478262</v>
      </c>
      <c r="L14" s="128">
        <f t="shared" si="2"/>
        <v>359510.04764517286</v>
      </c>
      <c r="M14" s="239"/>
      <c r="P14" s="338"/>
      <c r="U14" s="130">
        <v>411476</v>
      </c>
      <c r="V14" s="130">
        <f>L14/U14</f>
        <v>0.87370842441642493</v>
      </c>
      <c r="W14" s="130">
        <f>H14/V14</f>
        <v>85.124647606330512</v>
      </c>
    </row>
    <row r="15" spans="1:23" ht="14.5" x14ac:dyDescent="0.3">
      <c r="A15" s="424"/>
      <c r="B15" s="425"/>
      <c r="C15" s="425"/>
      <c r="D15" s="422" t="s">
        <v>101</v>
      </c>
      <c r="E15" s="423">
        <v>2.5</v>
      </c>
      <c r="F15" s="423">
        <v>4</v>
      </c>
      <c r="G15" s="145">
        <f t="shared" si="3"/>
        <v>10</v>
      </c>
      <c r="H15" s="252">
        <f>AVERAGE('Table 1a-Year 1'!H15,'Table 1a-Year 2'!H15,'Table 1a-Year 3'!H15)</f>
        <v>257.21050434782615</v>
      </c>
      <c r="I15" s="256">
        <f t="shared" si="4"/>
        <v>2572.1050434782615</v>
      </c>
      <c r="J15" s="256">
        <f t="shared" si="0"/>
        <v>128.60525217391307</v>
      </c>
      <c r="K15" s="256">
        <f t="shared" si="1"/>
        <v>257.21050434782615</v>
      </c>
      <c r="L15" s="128">
        <f t="shared" si="2"/>
        <v>447232.22353940876</v>
      </c>
      <c r="M15" s="184"/>
      <c r="O15" s="238"/>
    </row>
    <row r="16" spans="1:23" ht="14.5" x14ac:dyDescent="0.3">
      <c r="A16" s="424"/>
      <c r="B16" s="425"/>
      <c r="C16" s="425"/>
      <c r="D16" s="422" t="s">
        <v>102</v>
      </c>
      <c r="E16" s="423">
        <v>0.4</v>
      </c>
      <c r="F16" s="423">
        <v>365</v>
      </c>
      <c r="G16" s="145">
        <f t="shared" si="3"/>
        <v>146</v>
      </c>
      <c r="H16" s="252">
        <f>AVERAGE('Table 1a-Year 1'!H16,'Table 1a-Year 2'!H16,'Table 1a-Year 3'!H16)</f>
        <v>257.21050434782615</v>
      </c>
      <c r="I16" s="256">
        <f t="shared" si="4"/>
        <v>37552.73363478262</v>
      </c>
      <c r="J16" s="285">
        <f t="shared" si="0"/>
        <v>1877.6366817391311</v>
      </c>
      <c r="K16" s="285">
        <f t="shared" si="1"/>
        <v>3755.2733634782621</v>
      </c>
      <c r="L16" s="128">
        <f t="shared" si="2"/>
        <v>6529590.4636753686</v>
      </c>
      <c r="M16" s="184"/>
    </row>
    <row r="17" spans="1:16" ht="14.5" x14ac:dyDescent="0.3">
      <c r="A17" s="424"/>
      <c r="B17" s="425"/>
      <c r="C17" s="425"/>
      <c r="D17" s="422" t="s">
        <v>103</v>
      </c>
      <c r="E17" s="423">
        <v>0.25</v>
      </c>
      <c r="F17" s="423">
        <v>365</v>
      </c>
      <c r="G17" s="144">
        <f t="shared" si="3"/>
        <v>91.25</v>
      </c>
      <c r="H17" s="252">
        <f>AVERAGE('Table 1a-Year 1'!H17,'Table 1a-Year 2'!H17,'Table 1a-Year 3'!H17)</f>
        <v>257.21050434782615</v>
      </c>
      <c r="I17" s="256">
        <f t="shared" si="4"/>
        <v>23470.458521739136</v>
      </c>
      <c r="J17" s="287">
        <f t="shared" si="0"/>
        <v>1173.5229260869569</v>
      </c>
      <c r="K17" s="285">
        <f t="shared" si="1"/>
        <v>2347.0458521739138</v>
      </c>
      <c r="L17" s="128">
        <f t="shared" si="2"/>
        <v>4080994.0397971054</v>
      </c>
      <c r="M17" s="184"/>
    </row>
    <row r="18" spans="1:16" ht="14.5" x14ac:dyDescent="0.3">
      <c r="A18" s="424"/>
      <c r="B18" s="425"/>
      <c r="C18" s="425"/>
      <c r="D18" s="422" t="s">
        <v>104</v>
      </c>
      <c r="E18" s="423">
        <v>14</v>
      </c>
      <c r="F18" s="423">
        <v>1</v>
      </c>
      <c r="G18" s="145">
        <f t="shared" si="3"/>
        <v>14</v>
      </c>
      <c r="H18" s="252">
        <f>AVERAGE('Table 1a-Year 1'!H18,'Table 1a-Year 2'!H18,'Table 1a-Year 3'!H18)</f>
        <v>257.21050434782615</v>
      </c>
      <c r="I18" s="256">
        <f t="shared" si="4"/>
        <v>3600.947060869566</v>
      </c>
      <c r="J18" s="285">
        <f t="shared" si="0"/>
        <v>180.04735304347832</v>
      </c>
      <c r="K18" s="285">
        <f t="shared" si="1"/>
        <v>360.09470608695665</v>
      </c>
      <c r="L18" s="128">
        <f t="shared" si="2"/>
        <v>626125.11295517231</v>
      </c>
      <c r="M18" s="184"/>
    </row>
    <row r="19" spans="1:16" x14ac:dyDescent="0.3">
      <c r="A19" s="424"/>
      <c r="B19" s="425"/>
      <c r="C19" s="367" t="s">
        <v>105</v>
      </c>
      <c r="D19" s="255"/>
      <c r="E19" s="423"/>
      <c r="F19" s="423"/>
      <c r="G19" s="423"/>
      <c r="H19" s="252"/>
      <c r="I19" s="253"/>
      <c r="J19" s="253"/>
      <c r="K19" s="253"/>
      <c r="L19" s="128"/>
      <c r="P19" s="338"/>
    </row>
    <row r="20" spans="1:16" ht="26" x14ac:dyDescent="0.3">
      <c r="A20" s="424"/>
      <c r="B20" s="425"/>
      <c r="C20" s="425"/>
      <c r="D20" s="422" t="s">
        <v>106</v>
      </c>
      <c r="E20" s="423">
        <v>27.8</v>
      </c>
      <c r="F20" s="423">
        <v>1</v>
      </c>
      <c r="G20" s="143">
        <f>E20*F20</f>
        <v>27.8</v>
      </c>
      <c r="H20" s="307">
        <f>AVERAGE('Table 1a-Year 1'!H20,'Table 1a-Year 2'!H20,'Table 1a-Year 3'!H20)</f>
        <v>0</v>
      </c>
      <c r="I20" s="256">
        <f t="shared" ref="I20:I26" si="5">G20*H20</f>
        <v>0</v>
      </c>
      <c r="J20" s="256">
        <f t="shared" ref="J20:J26" si="6">I20*0.05</f>
        <v>0</v>
      </c>
      <c r="K20" s="256">
        <f t="shared" ref="K20:K26" si="7">I20*0.1</f>
        <v>0</v>
      </c>
      <c r="L20" s="128">
        <f t="shared" ref="L20:L26" si="8">(I20*$F$84)+(J20*$F$85)+(K20*$F$86)</f>
        <v>0</v>
      </c>
      <c r="N20" s="240"/>
      <c r="O20" s="238"/>
      <c r="P20" s="338" t="s">
        <v>107</v>
      </c>
    </row>
    <row r="21" spans="1:16" x14ac:dyDescent="0.3">
      <c r="A21" s="424"/>
      <c r="B21" s="425"/>
      <c r="C21" s="425"/>
      <c r="D21" s="422" t="s">
        <v>108</v>
      </c>
      <c r="E21" s="423">
        <v>26.4</v>
      </c>
      <c r="F21" s="423">
        <v>1</v>
      </c>
      <c r="G21" s="143">
        <f>E21*F21</f>
        <v>26.4</v>
      </c>
      <c r="H21" s="252">
        <f>AVERAGE('Table 1a-Year 1'!H21,'Table 1a-Year 2'!H21,'Table 1a-Year 3'!H21)</f>
        <v>0</v>
      </c>
      <c r="I21" s="256">
        <f>G21*H21</f>
        <v>0</v>
      </c>
      <c r="J21" s="256">
        <f>I21*0.05</f>
        <v>0</v>
      </c>
      <c r="K21" s="256">
        <f>I21*0.1</f>
        <v>0</v>
      </c>
      <c r="L21" s="128">
        <f t="shared" si="8"/>
        <v>0</v>
      </c>
      <c r="P21" s="338"/>
    </row>
    <row r="22" spans="1:16" x14ac:dyDescent="0.3">
      <c r="A22" s="424"/>
      <c r="B22" s="425"/>
      <c r="C22" s="425"/>
      <c r="D22" s="422" t="s">
        <v>109</v>
      </c>
      <c r="E22" s="423">
        <v>27.8</v>
      </c>
      <c r="F22" s="423">
        <v>1</v>
      </c>
      <c r="G22" s="143">
        <f t="shared" ref="G22:G26" si="9">E22*F22</f>
        <v>27.8</v>
      </c>
      <c r="H22" s="252">
        <f>AVERAGE('Table 1a-Year 1'!H22,'Table 1a-Year 2'!H22,'Table 1a-Year 3'!H22)</f>
        <v>0</v>
      </c>
      <c r="I22" s="256">
        <f t="shared" si="5"/>
        <v>0</v>
      </c>
      <c r="J22" s="256">
        <f t="shared" si="6"/>
        <v>0</v>
      </c>
      <c r="K22" s="256">
        <f t="shared" si="7"/>
        <v>0</v>
      </c>
      <c r="L22" s="128">
        <f t="shared" si="8"/>
        <v>0</v>
      </c>
      <c r="N22" s="238"/>
      <c r="P22" s="338"/>
    </row>
    <row r="23" spans="1:16" x14ac:dyDescent="0.3">
      <c r="A23" s="424"/>
      <c r="B23" s="425"/>
      <c r="C23" s="425"/>
      <c r="D23" s="422" t="s">
        <v>110</v>
      </c>
      <c r="E23" s="423">
        <v>2.46</v>
      </c>
      <c r="F23" s="423">
        <v>4</v>
      </c>
      <c r="G23" s="144">
        <f t="shared" si="9"/>
        <v>9.84</v>
      </c>
      <c r="H23" s="307">
        <f>AVERAGE('Table 1a-Year 1'!H23,'Table 1a-Year 2'!H23,'Table 1a-Year 3'!H23)</f>
        <v>0</v>
      </c>
      <c r="I23" s="256">
        <f t="shared" si="5"/>
        <v>0</v>
      </c>
      <c r="J23" s="256">
        <f t="shared" si="6"/>
        <v>0</v>
      </c>
      <c r="K23" s="256">
        <f t="shared" si="7"/>
        <v>0</v>
      </c>
      <c r="L23" s="128">
        <f t="shared" si="8"/>
        <v>0</v>
      </c>
      <c r="N23" s="238"/>
    </row>
    <row r="24" spans="1:16" x14ac:dyDescent="0.3">
      <c r="A24" s="424"/>
      <c r="B24" s="425"/>
      <c r="C24" s="425"/>
      <c r="D24" s="422" t="s">
        <v>111</v>
      </c>
      <c r="E24" s="423">
        <f>ROUND(0.121,2)</f>
        <v>0.12</v>
      </c>
      <c r="F24" s="423">
        <v>365</v>
      </c>
      <c r="G24" s="143">
        <f t="shared" si="9"/>
        <v>43.8</v>
      </c>
      <c r="H24" s="307">
        <f>AVERAGE('Table 1a-Year 1'!H24,'Table 1a-Year 2'!H24,'Table 1a-Year 3'!H24)</f>
        <v>0</v>
      </c>
      <c r="I24" s="256">
        <f t="shared" si="5"/>
        <v>0</v>
      </c>
      <c r="J24" s="256">
        <f t="shared" si="6"/>
        <v>0</v>
      </c>
      <c r="K24" s="256">
        <f t="shared" si="7"/>
        <v>0</v>
      </c>
      <c r="L24" s="128">
        <f t="shared" si="8"/>
        <v>0</v>
      </c>
    </row>
    <row r="25" spans="1:16" x14ac:dyDescent="0.3">
      <c r="A25" s="424"/>
      <c r="B25" s="425"/>
      <c r="C25" s="425"/>
      <c r="D25" s="422" t="s">
        <v>112</v>
      </c>
      <c r="E25" s="423">
        <v>0</v>
      </c>
      <c r="F25" s="423">
        <v>365</v>
      </c>
      <c r="G25" s="145">
        <f t="shared" si="9"/>
        <v>0</v>
      </c>
      <c r="H25" s="307">
        <f>AVERAGE('Table 1a-Year 1'!H25,'Table 1a-Year 2'!H25,'Table 1a-Year 3'!H25)</f>
        <v>0</v>
      </c>
      <c r="I25" s="256">
        <f t="shared" si="5"/>
        <v>0</v>
      </c>
      <c r="J25" s="256">
        <f t="shared" si="6"/>
        <v>0</v>
      </c>
      <c r="K25" s="256">
        <f t="shared" si="7"/>
        <v>0</v>
      </c>
      <c r="L25" s="128">
        <f t="shared" si="8"/>
        <v>0</v>
      </c>
    </row>
    <row r="26" spans="1:16" x14ac:dyDescent="0.3">
      <c r="A26" s="424"/>
      <c r="B26" s="425"/>
      <c r="C26" s="425"/>
      <c r="D26" s="422" t="s">
        <v>113</v>
      </c>
      <c r="E26" s="423">
        <v>7.3</v>
      </c>
      <c r="F26" s="423">
        <v>365</v>
      </c>
      <c r="G26" s="143">
        <f t="shared" si="9"/>
        <v>2664.5</v>
      </c>
      <c r="H26" s="307">
        <f>AVERAGE('Table 1a-Year 1'!H26,'Table 1a-Year 2'!H26,'Table 1a-Year 3'!H26)</f>
        <v>0</v>
      </c>
      <c r="I26" s="256">
        <f t="shared" si="5"/>
        <v>0</v>
      </c>
      <c r="J26" s="256">
        <f t="shared" si="6"/>
        <v>0</v>
      </c>
      <c r="K26" s="256">
        <f t="shared" si="7"/>
        <v>0</v>
      </c>
      <c r="L26" s="128">
        <f t="shared" si="8"/>
        <v>0</v>
      </c>
    </row>
    <row r="27" spans="1:16" x14ac:dyDescent="0.3">
      <c r="A27" s="424"/>
      <c r="B27" s="491" t="s">
        <v>114</v>
      </c>
      <c r="C27" s="491"/>
      <c r="D27" s="492"/>
      <c r="E27" s="251" t="s">
        <v>115</v>
      </c>
      <c r="F27" s="423"/>
      <c r="G27" s="423"/>
      <c r="H27" s="257"/>
      <c r="I27" s="253"/>
      <c r="J27" s="253"/>
      <c r="K27" s="253"/>
      <c r="L27" s="128"/>
    </row>
    <row r="28" spans="1:16" x14ac:dyDescent="0.3">
      <c r="A28" s="424"/>
      <c r="B28" s="491" t="s">
        <v>116</v>
      </c>
      <c r="C28" s="491"/>
      <c r="D28" s="492"/>
      <c r="E28" s="251" t="s">
        <v>117</v>
      </c>
      <c r="F28" s="423"/>
      <c r="G28" s="423"/>
      <c r="H28" s="257"/>
      <c r="I28" s="253"/>
      <c r="J28" s="253"/>
      <c r="K28" s="253"/>
      <c r="L28" s="128"/>
    </row>
    <row r="29" spans="1:16" x14ac:dyDescent="0.3">
      <c r="A29" s="424"/>
      <c r="B29" s="491" t="s">
        <v>118</v>
      </c>
      <c r="C29" s="491"/>
      <c r="D29" s="492"/>
      <c r="E29" s="423"/>
      <c r="F29" s="423"/>
      <c r="G29" s="423"/>
      <c r="H29" s="257"/>
      <c r="I29" s="253"/>
      <c r="J29" s="253"/>
      <c r="K29" s="253"/>
      <c r="L29" s="128"/>
    </row>
    <row r="30" spans="1:16" x14ac:dyDescent="0.3">
      <c r="A30" s="424"/>
      <c r="B30" s="425"/>
      <c r="C30" s="254" t="s">
        <v>95</v>
      </c>
      <c r="D30" s="255"/>
      <c r="E30" s="423"/>
      <c r="F30" s="423"/>
      <c r="G30" s="423"/>
      <c r="H30" s="252"/>
      <c r="I30" s="253"/>
      <c r="J30" s="253"/>
      <c r="K30" s="253"/>
      <c r="L30" s="128"/>
    </row>
    <row r="31" spans="1:16" x14ac:dyDescent="0.3">
      <c r="A31" s="424"/>
      <c r="B31" s="425"/>
      <c r="C31" s="425"/>
      <c r="D31" s="422" t="s">
        <v>119</v>
      </c>
      <c r="E31" s="423">
        <v>5</v>
      </c>
      <c r="F31" s="423">
        <v>1</v>
      </c>
      <c r="G31" s="423">
        <f>E31*F31</f>
        <v>5</v>
      </c>
      <c r="H31" s="252">
        <f>AVERAGE('Table 1a-Year 1'!H31,'Table 1a-Year 2'!H31,'Table 1a-Year 3'!H31)</f>
        <v>0</v>
      </c>
      <c r="I31" s="256">
        <f t="shared" ref="I31:I32" si="10">G31*H31</f>
        <v>0</v>
      </c>
      <c r="J31" s="256">
        <f t="shared" ref="J31:J39" si="11">I31*0.05</f>
        <v>0</v>
      </c>
      <c r="K31" s="256">
        <f t="shared" ref="K31:K32" si="12">I31*0.1</f>
        <v>0</v>
      </c>
      <c r="L31" s="128">
        <f>(I31*$F$84)+(J31*$F$85)+(K31*$F$86)</f>
        <v>0</v>
      </c>
    </row>
    <row r="32" spans="1:16" x14ac:dyDescent="0.3">
      <c r="A32" s="424"/>
      <c r="B32" s="425"/>
      <c r="C32" s="425"/>
      <c r="D32" s="422" t="s">
        <v>120</v>
      </c>
      <c r="E32" s="423">
        <v>3</v>
      </c>
      <c r="F32" s="423">
        <v>1</v>
      </c>
      <c r="G32" s="423">
        <f>E32*F32</f>
        <v>3</v>
      </c>
      <c r="H32" s="252">
        <f>AVERAGE('Table 1a-Year 1'!H32,'Table 1a-Year 2'!H32,'Table 1a-Year 3'!H32)</f>
        <v>0</v>
      </c>
      <c r="I32" s="256">
        <f t="shared" si="10"/>
        <v>0</v>
      </c>
      <c r="J32" s="256">
        <f>I32*0.05</f>
        <v>0</v>
      </c>
      <c r="K32" s="256">
        <f t="shared" si="12"/>
        <v>0</v>
      </c>
      <c r="L32" s="128">
        <f>(I32*$F$84)+(J32*$F$85)+(K32*$F$86)</f>
        <v>0</v>
      </c>
    </row>
    <row r="33" spans="1:16" x14ac:dyDescent="0.3">
      <c r="A33" s="424"/>
      <c r="B33" s="425"/>
      <c r="C33" s="425"/>
      <c r="D33" s="422" t="s">
        <v>121</v>
      </c>
      <c r="E33" s="251" t="s">
        <v>115</v>
      </c>
      <c r="F33" s="423"/>
      <c r="G33" s="423"/>
      <c r="H33" s="258"/>
      <c r="I33" s="253"/>
      <c r="J33" s="253"/>
      <c r="K33" s="253"/>
      <c r="L33" s="128"/>
    </row>
    <row r="34" spans="1:16" x14ac:dyDescent="0.3">
      <c r="A34" s="424"/>
      <c r="B34" s="425"/>
      <c r="C34" s="425"/>
      <c r="D34" s="422" t="s">
        <v>122</v>
      </c>
      <c r="E34" s="423">
        <v>16.5</v>
      </c>
      <c r="F34" s="423">
        <v>1</v>
      </c>
      <c r="G34" s="423">
        <f>E34*F34</f>
        <v>16.5</v>
      </c>
      <c r="H34" s="252">
        <f>AVERAGE('Table 1a-Year 1'!H34,'Table 1a-Year 2'!H34,'Table 1a-Year 3'!H34)</f>
        <v>0</v>
      </c>
      <c r="I34" s="256">
        <f>G34*H34</f>
        <v>0</v>
      </c>
      <c r="J34" s="256">
        <f>I34*0.05</f>
        <v>0</v>
      </c>
      <c r="K34" s="256">
        <f>I34*0.1</f>
        <v>0</v>
      </c>
      <c r="L34" s="128">
        <f t="shared" ref="L34:L39" si="13">(I34*$F$84)+(J34*$F$85)+(K34*$F$86)</f>
        <v>0</v>
      </c>
    </row>
    <row r="35" spans="1:16" x14ac:dyDescent="0.3">
      <c r="A35" s="424"/>
      <c r="B35" s="425"/>
      <c r="C35" s="425"/>
      <c r="D35" s="422" t="s">
        <v>123</v>
      </c>
      <c r="E35" s="423">
        <v>4</v>
      </c>
      <c r="F35" s="423">
        <v>1</v>
      </c>
      <c r="G35" s="423">
        <f t="shared" ref="G35:G39" si="14">E35*F35</f>
        <v>4</v>
      </c>
      <c r="H35" s="252">
        <f>AVERAGE('Table 1a-Year 1'!H35,'Table 1a-Year 2'!H35,'Table 1a-Year 3'!H35)</f>
        <v>0</v>
      </c>
      <c r="I35" s="256">
        <f t="shared" ref="I35" si="15">G35*H35</f>
        <v>0</v>
      </c>
      <c r="J35" s="256">
        <f t="shared" si="11"/>
        <v>0</v>
      </c>
      <c r="K35" s="256">
        <f t="shared" ref="K35:K39" si="16">I35*0.1</f>
        <v>0</v>
      </c>
      <c r="L35" s="128">
        <f t="shared" si="13"/>
        <v>0</v>
      </c>
    </row>
    <row r="36" spans="1:16" x14ac:dyDescent="0.3">
      <c r="A36" s="424"/>
      <c r="B36" s="425"/>
      <c r="C36" s="425"/>
      <c r="D36" s="422" t="s">
        <v>124</v>
      </c>
      <c r="E36" s="423">
        <v>10</v>
      </c>
      <c r="F36" s="423">
        <v>1</v>
      </c>
      <c r="G36" s="423">
        <f t="shared" si="14"/>
        <v>10</v>
      </c>
      <c r="H36" s="263">
        <f>AVERAGE('Table 1a-Year 1'!H36,'Table 1a-Year 2'!H36,'Table 1a-Year 3'!H36)</f>
        <v>30.989217391304347</v>
      </c>
      <c r="I36" s="256">
        <f>G36*H36</f>
        <v>309.89217391304345</v>
      </c>
      <c r="J36" s="285">
        <f>I36*0.05</f>
        <v>15.494608695652174</v>
      </c>
      <c r="K36" s="285">
        <f t="shared" si="16"/>
        <v>30.989217391304347</v>
      </c>
      <c r="L36" s="128">
        <f t="shared" si="13"/>
        <v>53883.400426434775</v>
      </c>
      <c r="M36" s="184"/>
    </row>
    <row r="37" spans="1:16" x14ac:dyDescent="0.3">
      <c r="A37" s="424"/>
      <c r="B37" s="425"/>
      <c r="C37" s="425"/>
      <c r="D37" s="422" t="s">
        <v>125</v>
      </c>
      <c r="E37" s="249">
        <v>65</v>
      </c>
      <c r="F37" s="423">
        <v>2</v>
      </c>
      <c r="G37" s="423">
        <f t="shared" si="14"/>
        <v>130</v>
      </c>
      <c r="H37" s="252">
        <f>AVERAGE('Table 1a-Year 1'!H37,'Table 1a-Year 2'!H37,'Table 1a-Year 3'!H37)</f>
        <v>309.89217391304345</v>
      </c>
      <c r="I37" s="256">
        <f t="shared" ref="I37:I39" si="17">G37*H37</f>
        <v>40285.982608695645</v>
      </c>
      <c r="J37" s="256">
        <f t="shared" si="11"/>
        <v>2014.2991304347825</v>
      </c>
      <c r="K37" s="256">
        <f t="shared" si="16"/>
        <v>4028.5982608695649</v>
      </c>
      <c r="L37" s="128">
        <f t="shared" si="13"/>
        <v>7004842.0554365199</v>
      </c>
      <c r="M37" s="184"/>
      <c r="N37" s="338"/>
      <c r="P37" s="338"/>
    </row>
    <row r="38" spans="1:16" x14ac:dyDescent="0.3">
      <c r="A38" s="424"/>
      <c r="B38" s="425"/>
      <c r="C38" s="425"/>
      <c r="D38" s="422" t="s">
        <v>126</v>
      </c>
      <c r="E38" s="423">
        <v>20</v>
      </c>
      <c r="F38" s="423">
        <v>1</v>
      </c>
      <c r="G38" s="423">
        <f t="shared" si="14"/>
        <v>20</v>
      </c>
      <c r="H38" s="252">
        <f>AVERAGE('Table 1a-Year 1'!H38,'Table 1a-Year 2'!H38,'Table 1a-Year 3'!H38)</f>
        <v>309.89217391304345</v>
      </c>
      <c r="I38" s="256">
        <f t="shared" si="17"/>
        <v>6197.8434782608692</v>
      </c>
      <c r="J38" s="256">
        <f t="shared" si="11"/>
        <v>309.89217391304351</v>
      </c>
      <c r="K38" s="256">
        <f t="shared" si="16"/>
        <v>619.78434782608701</v>
      </c>
      <c r="L38" s="128">
        <f t="shared" si="13"/>
        <v>1077668.0085286957</v>
      </c>
      <c r="M38" s="239"/>
      <c r="N38" s="338"/>
      <c r="P38" s="338"/>
    </row>
    <row r="39" spans="1:16" x14ac:dyDescent="0.3">
      <c r="A39" s="424"/>
      <c r="B39" s="425"/>
      <c r="C39" s="425"/>
      <c r="D39" s="422" t="s">
        <v>127</v>
      </c>
      <c r="E39" s="423">
        <v>5</v>
      </c>
      <c r="F39" s="423">
        <v>1</v>
      </c>
      <c r="G39" s="423">
        <f t="shared" si="14"/>
        <v>5</v>
      </c>
      <c r="H39" s="263">
        <f>AVERAGE('Table 1a-Year 1'!H39,'Table 1a-Year 2'!H39,'Table 1a-Year 3'!H39)</f>
        <v>30.989217391304347</v>
      </c>
      <c r="I39" s="256">
        <f t="shared" si="17"/>
        <v>154.94608695652173</v>
      </c>
      <c r="J39" s="256">
        <f t="shared" si="11"/>
        <v>7.7473043478260868</v>
      </c>
      <c r="K39" s="256">
        <f t="shared" si="16"/>
        <v>15.494608695652174</v>
      </c>
      <c r="L39" s="128">
        <f t="shared" si="13"/>
        <v>26941.700213217387</v>
      </c>
      <c r="P39" s="338"/>
    </row>
    <row r="40" spans="1:16" x14ac:dyDescent="0.3">
      <c r="A40" s="424"/>
      <c r="B40" s="425"/>
      <c r="C40" s="367" t="s">
        <v>139</v>
      </c>
      <c r="D40" s="255"/>
      <c r="E40" s="423"/>
      <c r="F40" s="423"/>
      <c r="G40" s="423"/>
      <c r="H40" s="252"/>
      <c r="I40" s="253"/>
      <c r="J40" s="253"/>
      <c r="K40" s="253"/>
      <c r="L40" s="128"/>
    </row>
    <row r="41" spans="1:16" x14ac:dyDescent="0.3">
      <c r="A41" s="424"/>
      <c r="B41" s="425"/>
      <c r="C41" s="425"/>
      <c r="D41" s="422" t="s">
        <v>128</v>
      </c>
      <c r="E41" s="423">
        <v>3</v>
      </c>
      <c r="F41" s="423">
        <v>1</v>
      </c>
      <c r="G41" s="423">
        <f>E41*F41</f>
        <v>3</v>
      </c>
      <c r="H41" s="307">
        <f>AVERAGE('Table 1a-Year 1'!H41,'Table 1a-Year 2'!H41,'Table 1a-Year 3'!H41)</f>
        <v>0</v>
      </c>
      <c r="I41" s="256">
        <f t="shared" ref="I41:I42" si="18">G41*H41</f>
        <v>0</v>
      </c>
      <c r="J41" s="256">
        <f t="shared" ref="J41:J42" si="19">I41*0.05</f>
        <v>0</v>
      </c>
      <c r="K41" s="256">
        <f t="shared" ref="K41:K42" si="20">I41*0.1</f>
        <v>0</v>
      </c>
      <c r="L41" s="128">
        <f t="shared" ref="L41:L42" si="21">(I41*$F$84)+(J41*$F$85)+(K41*$F$86)</f>
        <v>0</v>
      </c>
    </row>
    <row r="42" spans="1:16" x14ac:dyDescent="0.3">
      <c r="A42" s="424"/>
      <c r="B42" s="425"/>
      <c r="C42" s="425"/>
      <c r="D42" s="422" t="s">
        <v>119</v>
      </c>
      <c r="E42" s="423">
        <v>5</v>
      </c>
      <c r="F42" s="423">
        <v>1</v>
      </c>
      <c r="G42" s="423">
        <f>E42*F42</f>
        <v>5</v>
      </c>
      <c r="H42" s="307">
        <f>AVERAGE('Table 1a-Year 1'!H42,'Table 1a-Year 2'!H42,'Table 1a-Year 3'!H42)</f>
        <v>0</v>
      </c>
      <c r="I42" s="256">
        <f t="shared" si="18"/>
        <v>0</v>
      </c>
      <c r="J42" s="256">
        <f t="shared" si="19"/>
        <v>0</v>
      </c>
      <c r="K42" s="256">
        <f t="shared" si="20"/>
        <v>0</v>
      </c>
      <c r="L42" s="128">
        <f t="shared" si="21"/>
        <v>0</v>
      </c>
    </row>
    <row r="43" spans="1:16" x14ac:dyDescent="0.3">
      <c r="A43" s="424"/>
      <c r="B43" s="425"/>
      <c r="C43" s="425"/>
      <c r="D43" s="422" t="s">
        <v>120</v>
      </c>
      <c r="E43" s="423">
        <v>4</v>
      </c>
      <c r="F43" s="423">
        <v>1</v>
      </c>
      <c r="G43" s="423">
        <f>E43*F43</f>
        <v>4</v>
      </c>
      <c r="H43" s="307">
        <f>AVERAGE('Table 1a-Year 1'!H43,'Table 1a-Year 2'!H43,'Table 1a-Year 3'!H43)</f>
        <v>0</v>
      </c>
      <c r="I43" s="256">
        <f>G43*H43</f>
        <v>0</v>
      </c>
      <c r="J43" s="256">
        <f>I43*0.05</f>
        <v>0</v>
      </c>
      <c r="K43" s="256">
        <f>I43*0.1</f>
        <v>0</v>
      </c>
      <c r="L43" s="128">
        <f>(I43*$F$84)+(J43*$F$85)+(K43*$F$86)</f>
        <v>0</v>
      </c>
    </row>
    <row r="44" spans="1:16" x14ac:dyDescent="0.3">
      <c r="A44" s="424"/>
      <c r="B44" s="425"/>
      <c r="C44" s="425"/>
      <c r="D44" s="422" t="s">
        <v>121</v>
      </c>
      <c r="E44" s="251" t="s">
        <v>115</v>
      </c>
      <c r="F44" s="423"/>
      <c r="G44" s="423"/>
      <c r="H44" s="306"/>
      <c r="I44" s="253"/>
      <c r="J44" s="253"/>
      <c r="K44" s="253"/>
      <c r="L44" s="128"/>
    </row>
    <row r="45" spans="1:16" x14ac:dyDescent="0.3">
      <c r="A45" s="424"/>
      <c r="B45" s="425"/>
      <c r="C45" s="425"/>
      <c r="D45" s="422" t="s">
        <v>122</v>
      </c>
      <c r="E45" s="423">
        <v>16.5</v>
      </c>
      <c r="F45" s="423">
        <v>1</v>
      </c>
      <c r="G45" s="423">
        <f>E45*F45</f>
        <v>16.5</v>
      </c>
      <c r="H45" s="307">
        <f>AVERAGE('Table 1a-Year 1'!H45,'Table 1a-Year 2'!H45,'Table 1a-Year 3'!H45)</f>
        <v>0</v>
      </c>
      <c r="I45" s="256">
        <f>G45*H45</f>
        <v>0</v>
      </c>
      <c r="J45" s="256">
        <f>I45*0.05</f>
        <v>0</v>
      </c>
      <c r="K45" s="256">
        <f>I45*0.1</f>
        <v>0</v>
      </c>
      <c r="L45" s="128">
        <f t="shared" ref="L45:L50" si="22">(I45*$F$84)+(J45*$F$85)+(K45*$F$86)</f>
        <v>0</v>
      </c>
    </row>
    <row r="46" spans="1:16" x14ac:dyDescent="0.3">
      <c r="A46" s="424"/>
      <c r="B46" s="425"/>
      <c r="C46" s="425"/>
      <c r="D46" s="422" t="s">
        <v>123</v>
      </c>
      <c r="E46" s="423">
        <v>3</v>
      </c>
      <c r="F46" s="423">
        <v>1</v>
      </c>
      <c r="G46" s="423">
        <f t="shared" ref="G46:G47" si="23">E46*F46</f>
        <v>3</v>
      </c>
      <c r="H46" s="307">
        <f>AVERAGE('Table 1a-Year 1'!H46,'Table 1a-Year 2'!H46,'Table 1a-Year 3'!H46)</f>
        <v>0</v>
      </c>
      <c r="I46" s="256">
        <f t="shared" ref="I46:I50" si="24">G46*H46</f>
        <v>0</v>
      </c>
      <c r="J46" s="256">
        <f t="shared" ref="J46:J50" si="25">I46*0.05</f>
        <v>0</v>
      </c>
      <c r="K46" s="256">
        <f t="shared" ref="K46:K50" si="26">I46*0.1</f>
        <v>0</v>
      </c>
      <c r="L46" s="128">
        <f t="shared" si="22"/>
        <v>0</v>
      </c>
    </row>
    <row r="47" spans="1:16" x14ac:dyDescent="0.3">
      <c r="A47" s="424"/>
      <c r="B47" s="425"/>
      <c r="C47" s="425"/>
      <c r="D47" s="422" t="s">
        <v>124</v>
      </c>
      <c r="E47" s="423">
        <v>10</v>
      </c>
      <c r="F47" s="423">
        <v>1</v>
      </c>
      <c r="G47" s="423">
        <f t="shared" si="23"/>
        <v>10</v>
      </c>
      <c r="H47" s="378">
        <f>AVERAGE('Table 1a-Year 1'!H47,'Table 1a-Year 2'!H47,'Table 1a-Year 3'!H47)</f>
        <v>0</v>
      </c>
      <c r="I47" s="256">
        <f t="shared" si="24"/>
        <v>0</v>
      </c>
      <c r="J47" s="256">
        <f t="shared" si="25"/>
        <v>0</v>
      </c>
      <c r="K47" s="256">
        <f t="shared" si="26"/>
        <v>0</v>
      </c>
      <c r="L47" s="128">
        <f t="shared" si="22"/>
        <v>0</v>
      </c>
    </row>
    <row r="48" spans="1:16" x14ac:dyDescent="0.3">
      <c r="A48" s="424"/>
      <c r="B48" s="425"/>
      <c r="C48" s="425"/>
      <c r="D48" s="422" t="s">
        <v>125</v>
      </c>
      <c r="E48" s="423">
        <v>75</v>
      </c>
      <c r="F48" s="423">
        <v>2</v>
      </c>
      <c r="G48" s="423">
        <f>E48*F48</f>
        <v>150</v>
      </c>
      <c r="H48" s="307">
        <f>AVERAGE('Table 1a-Year 1'!H48,'Table 1a-Year 2'!H48,'Table 1a-Year 3'!H48)</f>
        <v>0</v>
      </c>
      <c r="I48" s="256">
        <f t="shared" si="24"/>
        <v>0</v>
      </c>
      <c r="J48" s="256">
        <f t="shared" si="25"/>
        <v>0</v>
      </c>
      <c r="K48" s="256">
        <f t="shared" si="26"/>
        <v>0</v>
      </c>
      <c r="L48" s="128">
        <f t="shared" si="22"/>
        <v>0</v>
      </c>
      <c r="P48" s="338"/>
    </row>
    <row r="49" spans="1:16" x14ac:dyDescent="0.3">
      <c r="A49" s="424"/>
      <c r="B49" s="425"/>
      <c r="C49" s="425"/>
      <c r="D49" s="422" t="s">
        <v>126</v>
      </c>
      <c r="E49" s="423">
        <v>20</v>
      </c>
      <c r="F49" s="423">
        <v>1</v>
      </c>
      <c r="G49" s="423">
        <f>E49*F49</f>
        <v>20</v>
      </c>
      <c r="H49" s="307">
        <f>AVERAGE('Table 1a-Year 1'!H49,'Table 1a-Year 2'!H49,'Table 1a-Year 3'!H49)</f>
        <v>0</v>
      </c>
      <c r="I49" s="256">
        <f t="shared" si="24"/>
        <v>0</v>
      </c>
      <c r="J49" s="256">
        <f t="shared" si="25"/>
        <v>0</v>
      </c>
      <c r="K49" s="256">
        <f t="shared" si="26"/>
        <v>0</v>
      </c>
      <c r="L49" s="128">
        <f t="shared" si="22"/>
        <v>0</v>
      </c>
      <c r="P49" s="338"/>
    </row>
    <row r="50" spans="1:16" x14ac:dyDescent="0.3">
      <c r="A50" s="424"/>
      <c r="B50" s="425"/>
      <c r="C50" s="425"/>
      <c r="D50" s="422" t="s">
        <v>127</v>
      </c>
      <c r="E50" s="423">
        <v>5</v>
      </c>
      <c r="F50" s="423">
        <v>1</v>
      </c>
      <c r="G50" s="423">
        <f>E50*F50</f>
        <v>5</v>
      </c>
      <c r="H50" s="378">
        <f>AVERAGE('Table 1a-Year 1'!H50,'Table 1a-Year 2'!H50,'Table 1a-Year 3'!H50)</f>
        <v>0</v>
      </c>
      <c r="I50" s="256">
        <f t="shared" si="24"/>
        <v>0</v>
      </c>
      <c r="J50" s="256">
        <f t="shared" si="25"/>
        <v>0</v>
      </c>
      <c r="K50" s="256">
        <f t="shared" si="26"/>
        <v>0</v>
      </c>
      <c r="L50" s="128">
        <f t="shared" si="22"/>
        <v>0</v>
      </c>
      <c r="P50" s="338"/>
    </row>
    <row r="51" spans="1:16" s="134" customFormat="1" x14ac:dyDescent="0.3">
      <c r="A51" s="146" t="s">
        <v>129</v>
      </c>
      <c r="B51" s="553"/>
      <c r="C51" s="554"/>
      <c r="D51" s="555"/>
      <c r="E51" s="559"/>
      <c r="F51" s="560"/>
      <c r="G51" s="561"/>
      <c r="H51" s="561"/>
      <c r="I51" s="562">
        <f>ROUND(SUM(I7:K50),-4)</f>
        <v>140000</v>
      </c>
      <c r="J51" s="562"/>
      <c r="K51" s="562"/>
      <c r="L51" s="563">
        <f>SUM(L7:L50)</f>
        <v>21405160.830397829</v>
      </c>
      <c r="M51" s="186"/>
    </row>
    <row r="52" spans="1:16" x14ac:dyDescent="0.3">
      <c r="A52" s="498" t="s">
        <v>130</v>
      </c>
      <c r="B52" s="499"/>
      <c r="C52" s="499"/>
      <c r="D52" s="491"/>
      <c r="E52" s="423"/>
      <c r="F52" s="423"/>
      <c r="G52" s="423"/>
      <c r="H52" s="252"/>
      <c r="I52" s="253"/>
      <c r="J52" s="253"/>
      <c r="K52" s="253"/>
      <c r="L52" s="128"/>
    </row>
    <row r="53" spans="1:16" ht="12.75" customHeight="1" x14ac:dyDescent="0.3">
      <c r="A53" s="424"/>
      <c r="B53" s="491" t="s">
        <v>92</v>
      </c>
      <c r="C53" s="491"/>
      <c r="D53" s="492"/>
      <c r="E53" s="251" t="s">
        <v>131</v>
      </c>
      <c r="F53" s="423"/>
      <c r="G53" s="423"/>
      <c r="H53" s="252"/>
      <c r="I53" s="253"/>
      <c r="J53" s="253"/>
      <c r="K53" s="253"/>
      <c r="L53" s="128"/>
    </row>
    <row r="54" spans="1:16" x14ac:dyDescent="0.3">
      <c r="A54" s="424"/>
      <c r="B54" s="491" t="s">
        <v>132</v>
      </c>
      <c r="C54" s="491"/>
      <c r="D54" s="492"/>
      <c r="E54" s="251" t="s">
        <v>115</v>
      </c>
      <c r="F54" s="423"/>
      <c r="G54" s="423"/>
      <c r="H54" s="252"/>
      <c r="I54" s="253"/>
      <c r="J54" s="253"/>
      <c r="K54" s="253"/>
      <c r="L54" s="128"/>
    </row>
    <row r="55" spans="1:16" x14ac:dyDescent="0.3">
      <c r="A55" s="424"/>
      <c r="B55" s="491" t="s">
        <v>133</v>
      </c>
      <c r="C55" s="491"/>
      <c r="D55" s="492"/>
      <c r="E55" s="251" t="s">
        <v>115</v>
      </c>
      <c r="F55" s="423"/>
      <c r="G55" s="423"/>
      <c r="H55" s="252"/>
      <c r="I55" s="253"/>
      <c r="J55" s="253"/>
      <c r="K55" s="253"/>
      <c r="L55" s="128"/>
    </row>
    <row r="56" spans="1:16" x14ac:dyDescent="0.3">
      <c r="A56" s="424"/>
      <c r="B56" s="491" t="s">
        <v>134</v>
      </c>
      <c r="C56" s="491"/>
      <c r="D56" s="492"/>
      <c r="E56" s="251" t="s">
        <v>12</v>
      </c>
      <c r="F56" s="423"/>
      <c r="G56" s="423"/>
      <c r="H56" s="252"/>
      <c r="I56" s="253"/>
      <c r="J56" s="253"/>
      <c r="K56" s="253"/>
      <c r="L56" s="128"/>
    </row>
    <row r="57" spans="1:16" x14ac:dyDescent="0.3">
      <c r="A57" s="424"/>
      <c r="B57" s="491" t="s">
        <v>135</v>
      </c>
      <c r="C57" s="491"/>
      <c r="D57" s="492"/>
      <c r="E57" s="423"/>
      <c r="F57" s="423"/>
      <c r="G57" s="423"/>
      <c r="H57" s="252"/>
      <c r="I57" s="253"/>
      <c r="J57" s="253"/>
      <c r="K57" s="253"/>
      <c r="L57" s="128"/>
    </row>
    <row r="58" spans="1:16" x14ac:dyDescent="0.3">
      <c r="A58" s="424"/>
      <c r="B58" s="425"/>
      <c r="C58" s="254" t="s">
        <v>95</v>
      </c>
      <c r="D58" s="255"/>
      <c r="E58" s="423"/>
      <c r="F58" s="423"/>
      <c r="G58" s="423"/>
      <c r="H58" s="252"/>
      <c r="I58" s="253"/>
      <c r="J58" s="253"/>
      <c r="K58" s="253"/>
      <c r="L58" s="128"/>
    </row>
    <row r="59" spans="1:16" x14ac:dyDescent="0.3">
      <c r="A59" s="424"/>
      <c r="B59" s="425"/>
      <c r="C59" s="425"/>
      <c r="D59" s="422" t="s">
        <v>136</v>
      </c>
      <c r="E59" s="423">
        <v>1</v>
      </c>
      <c r="F59" s="423">
        <v>12</v>
      </c>
      <c r="G59" s="423">
        <f t="shared" ref="G59:G66" si="27">E59*F59</f>
        <v>12</v>
      </c>
      <c r="H59" s="263">
        <f>AVERAGE('Table 1a-Year 1'!H59,'Table 1a-Year 2'!H59,'Table 1a-Year 3'!H59)</f>
        <v>30.989217391304347</v>
      </c>
      <c r="I59" s="256">
        <f>G59*H59</f>
        <v>371.87060869565215</v>
      </c>
      <c r="J59" s="285">
        <f t="shared" ref="J59:J61" si="28">I59*0.05</f>
        <v>18.593530434782608</v>
      </c>
      <c r="K59" s="285">
        <f t="shared" ref="K59:K61" si="29">I59*0.1</f>
        <v>37.187060869565215</v>
      </c>
      <c r="L59" s="128">
        <f t="shared" ref="L59:L60" si="30">(I59*$F$84)+(J59*$F$85)+(K59*$F$86)</f>
        <v>64660.080511721731</v>
      </c>
      <c r="M59" s="184"/>
    </row>
    <row r="60" spans="1:16" x14ac:dyDescent="0.3">
      <c r="A60" s="424"/>
      <c r="B60" s="425"/>
      <c r="C60" s="425"/>
      <c r="D60" s="422" t="s">
        <v>137</v>
      </c>
      <c r="E60" s="423">
        <v>1</v>
      </c>
      <c r="F60" s="423">
        <v>12</v>
      </c>
      <c r="G60" s="423">
        <f t="shared" si="27"/>
        <v>12</v>
      </c>
      <c r="H60" s="263">
        <f>AVERAGE('Table 1a-Year 1'!H60,'Table 1a-Year 2'!H60,'Table 1a-Year 3'!H60)</f>
        <v>30.989217391304347</v>
      </c>
      <c r="I60" s="256">
        <f t="shared" ref="I60:I61" si="31">G60*H60</f>
        <v>371.87060869565215</v>
      </c>
      <c r="J60" s="285">
        <f t="shared" si="28"/>
        <v>18.593530434782608</v>
      </c>
      <c r="K60" s="285">
        <f t="shared" si="29"/>
        <v>37.187060869565215</v>
      </c>
      <c r="L60" s="128">
        <f t="shared" si="30"/>
        <v>64660.080511721731</v>
      </c>
      <c r="M60" s="184"/>
    </row>
    <row r="61" spans="1:16" x14ac:dyDescent="0.3">
      <c r="A61" s="424"/>
      <c r="B61" s="425"/>
      <c r="C61" s="425"/>
      <c r="D61" s="422" t="s">
        <v>138</v>
      </c>
      <c r="E61" s="423">
        <v>2</v>
      </c>
      <c r="F61" s="423">
        <v>12</v>
      </c>
      <c r="G61" s="423">
        <f t="shared" si="27"/>
        <v>24</v>
      </c>
      <c r="H61" s="252">
        <f>AVERAGE('Table 1a-Year 1'!H61,'Table 1a-Year 2'!H61,'Table 1a-Year 3'!H61)</f>
        <v>309.89217391304345</v>
      </c>
      <c r="I61" s="256">
        <f t="shared" si="31"/>
        <v>7437.4121739130424</v>
      </c>
      <c r="J61" s="285">
        <f t="shared" si="28"/>
        <v>371.87060869565215</v>
      </c>
      <c r="K61" s="285">
        <f t="shared" si="29"/>
        <v>743.7412173913043</v>
      </c>
      <c r="L61" s="128">
        <f>(I61*$F$84)+(J61*$F$85)+(K61*$F$86)</f>
        <v>1293201.6102344345</v>
      </c>
      <c r="M61" s="184"/>
    </row>
    <row r="62" spans="1:16" x14ac:dyDescent="0.3">
      <c r="A62" s="424"/>
      <c r="B62" s="425"/>
      <c r="C62" s="254" t="s">
        <v>139</v>
      </c>
      <c r="D62" s="255"/>
      <c r="E62" s="423"/>
      <c r="F62" s="423"/>
      <c r="G62" s="423"/>
      <c r="H62" s="252"/>
      <c r="I62" s="253"/>
      <c r="J62" s="253"/>
      <c r="K62" s="253"/>
      <c r="L62" s="128"/>
    </row>
    <row r="63" spans="1:16" x14ac:dyDescent="0.3">
      <c r="A63" s="424"/>
      <c r="B63" s="425"/>
      <c r="C63" s="425"/>
      <c r="D63" s="422" t="s">
        <v>136</v>
      </c>
      <c r="E63" s="423">
        <v>1</v>
      </c>
      <c r="F63" s="423">
        <v>12</v>
      </c>
      <c r="G63" s="423">
        <f t="shared" si="27"/>
        <v>12</v>
      </c>
      <c r="H63" s="378">
        <f>AVERAGE('Table 1a-Year 1'!H63,'Table 1a-Year 2'!H63,'Table 1a-Year 3'!H63)</f>
        <v>0</v>
      </c>
      <c r="I63" s="256">
        <f t="shared" ref="I63:I66" si="32">G63*H63</f>
        <v>0</v>
      </c>
      <c r="J63" s="256">
        <f t="shared" ref="J63:J66" si="33">I63*0.05</f>
        <v>0</v>
      </c>
      <c r="K63" s="256">
        <f t="shared" ref="K63:K66" si="34">I63*0.1</f>
        <v>0</v>
      </c>
      <c r="L63" s="128">
        <f t="shared" ref="L63:L66" si="35">(I63*$F$84)+(J63*$F$85)+(K63*$F$86)</f>
        <v>0</v>
      </c>
    </row>
    <row r="64" spans="1:16" x14ac:dyDescent="0.3">
      <c r="A64" s="424"/>
      <c r="B64" s="425"/>
      <c r="C64" s="425"/>
      <c r="D64" s="422" t="s">
        <v>137</v>
      </c>
      <c r="E64" s="423">
        <v>1</v>
      </c>
      <c r="F64" s="423">
        <v>12</v>
      </c>
      <c r="G64" s="423">
        <f t="shared" si="27"/>
        <v>12</v>
      </c>
      <c r="H64" s="378">
        <f>AVERAGE('Table 1a-Year 1'!H64,'Table 1a-Year 2'!H64,'Table 1a-Year 3'!H64)</f>
        <v>0</v>
      </c>
      <c r="I64" s="256">
        <f t="shared" si="32"/>
        <v>0</v>
      </c>
      <c r="J64" s="256">
        <f t="shared" si="33"/>
        <v>0</v>
      </c>
      <c r="K64" s="256">
        <f t="shared" si="34"/>
        <v>0</v>
      </c>
      <c r="L64" s="128">
        <f t="shared" si="35"/>
        <v>0</v>
      </c>
    </row>
    <row r="65" spans="1:14" x14ac:dyDescent="0.3">
      <c r="A65" s="424"/>
      <c r="B65" s="425"/>
      <c r="C65" s="425"/>
      <c r="D65" s="422" t="s">
        <v>138</v>
      </c>
      <c r="E65" s="423">
        <v>2</v>
      </c>
      <c r="F65" s="423">
        <v>12</v>
      </c>
      <c r="G65" s="423">
        <f t="shared" si="27"/>
        <v>24</v>
      </c>
      <c r="H65" s="307">
        <f>AVERAGE('Table 1a-Year 1'!H65,'Table 1a-Year 2'!H65,'Table 1a-Year 3'!H65)</f>
        <v>0</v>
      </c>
      <c r="I65" s="256">
        <f t="shared" si="32"/>
        <v>0</v>
      </c>
      <c r="J65" s="256">
        <f t="shared" si="33"/>
        <v>0</v>
      </c>
      <c r="K65" s="256">
        <f t="shared" si="34"/>
        <v>0</v>
      </c>
      <c r="L65" s="128">
        <f t="shared" si="35"/>
        <v>0</v>
      </c>
    </row>
    <row r="66" spans="1:14" x14ac:dyDescent="0.3">
      <c r="A66" s="424"/>
      <c r="B66" s="491" t="s">
        <v>140</v>
      </c>
      <c r="C66" s="491"/>
      <c r="D66" s="492"/>
      <c r="E66" s="423">
        <f xml:space="preserve"> 16+ 64</f>
        <v>80</v>
      </c>
      <c r="F66" s="423">
        <v>1</v>
      </c>
      <c r="G66" s="423">
        <f t="shared" si="27"/>
        <v>80</v>
      </c>
      <c r="H66" s="307">
        <f>AVERAGE('Table 1a-Year 1'!H66,'Table 1a-Year 2'!H66,'Table 1a-Year 3'!H66)</f>
        <v>0</v>
      </c>
      <c r="I66" s="256">
        <f t="shared" si="32"/>
        <v>0</v>
      </c>
      <c r="J66" s="256">
        <f t="shared" si="33"/>
        <v>0</v>
      </c>
      <c r="K66" s="256">
        <f t="shared" si="34"/>
        <v>0</v>
      </c>
      <c r="L66" s="128">
        <f t="shared" si="35"/>
        <v>0</v>
      </c>
    </row>
    <row r="67" spans="1:14" x14ac:dyDescent="0.3">
      <c r="A67" s="424"/>
      <c r="B67" s="491" t="s">
        <v>141</v>
      </c>
      <c r="C67" s="491"/>
      <c r="D67" s="492"/>
      <c r="E67" s="251" t="s">
        <v>12</v>
      </c>
      <c r="F67" s="423"/>
      <c r="G67" s="423"/>
      <c r="H67" s="252"/>
      <c r="I67" s="253"/>
      <c r="J67" s="253"/>
      <c r="K67" s="253"/>
      <c r="L67" s="55"/>
    </row>
    <row r="68" spans="1:14" s="134" customFormat="1" x14ac:dyDescent="0.3">
      <c r="A68" s="146" t="s">
        <v>142</v>
      </c>
      <c r="B68" s="150"/>
      <c r="C68" s="555"/>
      <c r="D68" s="555"/>
      <c r="E68" s="555"/>
      <c r="F68" s="556"/>
      <c r="G68" s="557"/>
      <c r="H68" s="557"/>
      <c r="I68" s="562">
        <f>ROUND(SUM(I53:K66),-2)</f>
        <v>9400</v>
      </c>
      <c r="J68" s="562"/>
      <c r="K68" s="562"/>
      <c r="L68" s="558">
        <f>SUM(L53:L66)</f>
        <v>1422521.771257878</v>
      </c>
      <c r="M68" s="186"/>
    </row>
    <row r="69" spans="1:14" s="134" customFormat="1" ht="14.5" x14ac:dyDescent="0.3">
      <c r="A69" s="227" t="s">
        <v>143</v>
      </c>
      <c r="B69" s="228"/>
      <c r="C69" s="229"/>
      <c r="D69" s="223"/>
      <c r="E69" s="224"/>
      <c r="F69" s="225"/>
      <c r="G69" s="226"/>
      <c r="H69" s="226"/>
      <c r="I69" s="493">
        <f>ROUND(I51+I68,-3)</f>
        <v>149000</v>
      </c>
      <c r="J69" s="494"/>
      <c r="K69" s="495"/>
      <c r="L69" s="289">
        <f>ROUND(L51+L68,-5)</f>
        <v>22800000</v>
      </c>
      <c r="M69" s="381">
        <f>I69+'Table 1b-Avg'!N69</f>
        <v>179000</v>
      </c>
      <c r="N69" s="380">
        <f>L69+'Table 1b-Avg'!L69</f>
        <v>24500000</v>
      </c>
    </row>
    <row r="70" spans="1:14" s="134" customFormat="1" ht="14.5" x14ac:dyDescent="0.3">
      <c r="A70" s="230" t="s">
        <v>144</v>
      </c>
      <c r="B70" s="226"/>
      <c r="C70" s="224"/>
      <c r="D70" s="224"/>
      <c r="E70" s="224"/>
      <c r="F70" s="225"/>
      <c r="G70" s="226"/>
      <c r="H70" s="226"/>
      <c r="I70" s="225"/>
      <c r="J70" s="225"/>
      <c r="K70" s="225"/>
      <c r="L70" s="289">
        <f>ROUND(H104+K115,-5)</f>
        <v>41100000</v>
      </c>
      <c r="M70" s="186"/>
      <c r="N70" s="380">
        <f>L70+'Table 1b-Avg'!L70</f>
        <v>49300000</v>
      </c>
    </row>
    <row r="71" spans="1:14" s="134" customFormat="1" ht="14.5" x14ac:dyDescent="0.3">
      <c r="A71" s="230" t="s">
        <v>145</v>
      </c>
      <c r="B71" s="226"/>
      <c r="C71" s="224"/>
      <c r="D71" s="224"/>
      <c r="E71" s="224"/>
      <c r="F71" s="225"/>
      <c r="G71" s="226"/>
      <c r="H71" s="226"/>
      <c r="I71" s="225"/>
      <c r="J71" s="225"/>
      <c r="K71" s="225"/>
      <c r="L71" s="289">
        <f>ROUND(L69+L70,-6)</f>
        <v>64000000</v>
      </c>
      <c r="M71" s="186"/>
    </row>
    <row r="72" spans="1:14" s="152" customFormat="1" x14ac:dyDescent="0.3">
      <c r="A72" s="259"/>
      <c r="B72" s="259"/>
      <c r="C72" s="259"/>
      <c r="D72" s="259"/>
      <c r="E72" s="259"/>
      <c r="F72" s="259"/>
      <c r="G72" s="259"/>
      <c r="H72" s="260"/>
      <c r="I72" s="259"/>
      <c r="J72" s="260"/>
      <c r="K72" s="259"/>
      <c r="L72" s="174"/>
    </row>
    <row r="73" spans="1:14" s="152" customFormat="1" x14ac:dyDescent="0.3">
      <c r="A73" s="261" t="s">
        <v>146</v>
      </c>
      <c r="B73" s="259"/>
      <c r="C73" s="259"/>
      <c r="D73" s="259"/>
      <c r="E73" s="259"/>
      <c r="F73" s="259"/>
      <c r="G73" s="259"/>
      <c r="H73" s="260"/>
      <c r="I73" s="259"/>
      <c r="J73" s="259"/>
      <c r="K73" s="259"/>
      <c r="L73" s="38"/>
    </row>
    <row r="74" spans="1:14" s="152" customFormat="1" ht="43.5" customHeight="1" x14ac:dyDescent="0.3">
      <c r="A74" s="496" t="s">
        <v>187</v>
      </c>
      <c r="B74" s="496"/>
      <c r="C74" s="496"/>
      <c r="D74" s="496"/>
      <c r="E74" s="496"/>
      <c r="F74" s="496"/>
      <c r="G74" s="496"/>
      <c r="H74" s="496"/>
      <c r="I74" s="496"/>
      <c r="J74" s="496"/>
      <c r="K74" s="496"/>
      <c r="L74" s="496"/>
    </row>
    <row r="75" spans="1:14" s="152" customFormat="1" ht="27.75" customHeight="1" x14ac:dyDescent="0.3">
      <c r="A75" s="497" t="s">
        <v>148</v>
      </c>
      <c r="B75" s="497"/>
      <c r="C75" s="497"/>
      <c r="D75" s="497"/>
      <c r="E75" s="497"/>
      <c r="F75" s="497"/>
      <c r="G75" s="497"/>
      <c r="H75" s="497"/>
      <c r="I75" s="497"/>
      <c r="J75" s="497"/>
      <c r="K75" s="497"/>
      <c r="L75" s="497"/>
    </row>
    <row r="76" spans="1:14" s="152" customFormat="1" ht="27.75" customHeight="1" x14ac:dyDescent="0.3">
      <c r="A76" s="500" t="s">
        <v>149</v>
      </c>
      <c r="B76" s="500"/>
      <c r="C76" s="500"/>
      <c r="D76" s="500"/>
      <c r="E76" s="500"/>
      <c r="F76" s="500"/>
      <c r="G76" s="500"/>
      <c r="H76" s="500"/>
      <c r="I76" s="500"/>
      <c r="J76" s="500"/>
      <c r="K76" s="500"/>
      <c r="L76" s="500"/>
    </row>
    <row r="77" spans="1:14" s="152" customFormat="1" ht="27.75" customHeight="1" x14ac:dyDescent="0.3">
      <c r="A77" s="500" t="s">
        <v>150</v>
      </c>
      <c r="B77" s="500"/>
      <c r="C77" s="500"/>
      <c r="D77" s="500"/>
      <c r="E77" s="500"/>
      <c r="F77" s="500"/>
      <c r="G77" s="500"/>
      <c r="H77" s="500"/>
      <c r="I77" s="500"/>
      <c r="J77" s="500"/>
      <c r="K77" s="500"/>
      <c r="L77" s="500"/>
    </row>
    <row r="78" spans="1:14" s="151" customFormat="1" ht="15" customHeight="1" x14ac:dyDescent="0.3">
      <c r="A78" s="478" t="s">
        <v>151</v>
      </c>
      <c r="B78" s="478"/>
      <c r="C78" s="478"/>
      <c r="D78" s="478"/>
      <c r="E78" s="478"/>
      <c r="F78" s="478"/>
      <c r="G78" s="478"/>
      <c r="H78" s="478"/>
      <c r="I78" s="478"/>
      <c r="J78" s="478"/>
      <c r="K78" s="478"/>
      <c r="L78" s="478"/>
    </row>
    <row r="79" spans="1:14" s="152" customFormat="1" ht="15" customHeight="1" x14ac:dyDescent="0.3">
      <c r="A79" s="259"/>
      <c r="B79" s="153"/>
      <c r="C79" s="153"/>
      <c r="D79" s="153"/>
      <c r="E79" s="153"/>
      <c r="F79" s="153"/>
      <c r="G79" s="153"/>
      <c r="H79" s="153"/>
      <c r="I79" s="153"/>
      <c r="J79" s="259"/>
      <c r="K79" s="259"/>
      <c r="L79" s="156"/>
    </row>
    <row r="80" spans="1:14" s="152" customFormat="1" ht="15" customHeight="1" x14ac:dyDescent="0.3">
      <c r="A80" s="259"/>
      <c r="B80" s="153"/>
      <c r="C80" s="153"/>
      <c r="D80" s="153"/>
      <c r="E80" s="153"/>
      <c r="F80" s="153"/>
      <c r="G80" s="153"/>
      <c r="H80" s="153"/>
      <c r="I80" s="153"/>
      <c r="J80" s="259"/>
      <c r="K80" s="259"/>
      <c r="L80" s="156"/>
    </row>
    <row r="81" spans="1:12" s="152" customFormat="1" ht="15.5" x14ac:dyDescent="0.35">
      <c r="A81" s="259"/>
      <c r="B81" s="259"/>
      <c r="C81" s="259"/>
      <c r="D81" s="290" t="s">
        <v>152</v>
      </c>
      <c r="E81" s="259"/>
      <c r="F81" s="259"/>
      <c r="G81" s="259"/>
      <c r="H81" s="260"/>
      <c r="I81" s="259"/>
      <c r="J81" s="259"/>
      <c r="K81" s="259"/>
      <c r="L81" s="156"/>
    </row>
    <row r="82" spans="1:12" s="152" customFormat="1" x14ac:dyDescent="0.3">
      <c r="A82" s="291"/>
      <c r="B82" s="259"/>
      <c r="C82" s="259"/>
      <c r="D82" s="259"/>
      <c r="E82" s="259"/>
      <c r="F82" s="259"/>
      <c r="G82" s="259"/>
      <c r="H82" s="260"/>
      <c r="I82" s="259"/>
      <c r="J82" s="259"/>
      <c r="K82" s="259"/>
      <c r="L82" s="156"/>
    </row>
    <row r="83" spans="1:12" ht="26" x14ac:dyDescent="0.3">
      <c r="A83" s="255"/>
      <c r="B83" s="255"/>
      <c r="C83" s="255"/>
      <c r="D83" s="262"/>
      <c r="E83" s="420" t="s">
        <v>153</v>
      </c>
      <c r="F83" s="420" t="s">
        <v>154</v>
      </c>
      <c r="G83" s="420" t="s">
        <v>155</v>
      </c>
      <c r="H83" s="292" t="s">
        <v>156</v>
      </c>
      <c r="I83" s="264"/>
      <c r="J83" s="255"/>
      <c r="K83" s="255"/>
      <c r="L83" s="157"/>
    </row>
    <row r="84" spans="1:12" ht="78" x14ac:dyDescent="0.3">
      <c r="A84" s="255"/>
      <c r="B84" s="255"/>
      <c r="C84" s="255"/>
      <c r="D84" s="255"/>
      <c r="E84" s="423" t="s">
        <v>157</v>
      </c>
      <c r="F84" s="293">
        <f>G84*H84</f>
        <v>157.24799999999999</v>
      </c>
      <c r="G84" s="293">
        <f>'Table 1a-Year 1'!G84</f>
        <v>74.88</v>
      </c>
      <c r="H84" s="263">
        <v>2.1</v>
      </c>
      <c r="I84" s="264"/>
      <c r="J84" s="255"/>
      <c r="K84" s="255"/>
    </row>
    <row r="85" spans="1:12" ht="91" x14ac:dyDescent="0.3">
      <c r="A85" s="255"/>
      <c r="B85" s="255"/>
      <c r="C85" s="255"/>
      <c r="D85" s="255"/>
      <c r="E85" s="423" t="s">
        <v>158</v>
      </c>
      <c r="F85" s="293">
        <f>G85*H85</f>
        <v>181.98599999999999</v>
      </c>
      <c r="G85" s="293">
        <f>'Table 1a-Year 1'!G85</f>
        <v>86.66</v>
      </c>
      <c r="H85" s="263">
        <v>2.1</v>
      </c>
      <c r="I85" s="265"/>
      <c r="J85" s="266"/>
      <c r="K85" s="255"/>
    </row>
    <row r="86" spans="1:12" ht="52" x14ac:dyDescent="0.3">
      <c r="A86" s="255"/>
      <c r="B86" s="255"/>
      <c r="C86" s="255"/>
      <c r="D86" s="255"/>
      <c r="E86" s="423" t="s">
        <v>159</v>
      </c>
      <c r="F86" s="293">
        <f>G86*H86</f>
        <v>75.305999999999997</v>
      </c>
      <c r="G86" s="293">
        <f>'Table 1a-Year 1'!G86</f>
        <v>35.86</v>
      </c>
      <c r="H86" s="263">
        <v>2.1</v>
      </c>
      <c r="I86" s="255"/>
      <c r="J86" s="255"/>
      <c r="K86" s="255"/>
    </row>
    <row r="87" spans="1:12" x14ac:dyDescent="0.3">
      <c r="A87" s="255"/>
      <c r="B87" s="255"/>
      <c r="C87" s="255"/>
      <c r="D87" s="267"/>
      <c r="E87" s="255"/>
      <c r="F87" s="268"/>
      <c r="G87" s="255"/>
      <c r="H87" s="269"/>
      <c r="I87" s="255"/>
      <c r="J87" s="255"/>
      <c r="K87" s="255"/>
    </row>
    <row r="88" spans="1:12" x14ac:dyDescent="0.3">
      <c r="A88" s="255"/>
      <c r="B88" s="255"/>
      <c r="C88" s="255"/>
      <c r="D88" s="267"/>
      <c r="E88" s="255"/>
      <c r="F88" s="268"/>
      <c r="G88" s="255"/>
      <c r="H88" s="269"/>
      <c r="I88" s="255"/>
      <c r="J88" s="255"/>
      <c r="K88" s="255"/>
    </row>
    <row r="89" spans="1:12" s="152" customFormat="1" x14ac:dyDescent="0.3">
      <c r="A89" s="259"/>
      <c r="B89" s="259"/>
      <c r="C89" s="259"/>
      <c r="D89" s="255"/>
      <c r="E89" s="270"/>
      <c r="F89" s="271"/>
      <c r="G89" s="259"/>
      <c r="H89" s="260"/>
      <c r="I89" s="259"/>
      <c r="J89" s="259"/>
      <c r="K89" s="38"/>
      <c r="L89" s="259"/>
    </row>
    <row r="90" spans="1:12" ht="15" customHeight="1" x14ac:dyDescent="0.3">
      <c r="A90" s="255"/>
      <c r="B90" s="255"/>
      <c r="C90" s="255"/>
      <c r="D90" s="262"/>
      <c r="E90" s="479" t="s">
        <v>163</v>
      </c>
      <c r="F90" s="480"/>
      <c r="G90" s="480"/>
      <c r="H90" s="481"/>
      <c r="I90" s="294"/>
      <c r="J90" s="255"/>
      <c r="K90" s="158"/>
      <c r="L90" s="255"/>
    </row>
    <row r="91" spans="1:12" x14ac:dyDescent="0.3">
      <c r="A91" s="255"/>
      <c r="B91" s="255"/>
      <c r="C91" s="255"/>
      <c r="D91" s="295" t="s">
        <v>9</v>
      </c>
      <c r="E91" s="420" t="s">
        <v>165</v>
      </c>
      <c r="F91" s="420" t="s">
        <v>166</v>
      </c>
      <c r="G91" s="420" t="s">
        <v>167</v>
      </c>
      <c r="H91" s="420" t="s">
        <v>168</v>
      </c>
      <c r="I91" s="259"/>
      <c r="J91" s="255"/>
      <c r="K91" s="158"/>
      <c r="L91" s="255"/>
    </row>
    <row r="92" spans="1:12" x14ac:dyDescent="0.3">
      <c r="A92" s="255"/>
      <c r="B92" s="255"/>
      <c r="C92" s="255"/>
      <c r="D92" s="296" t="s">
        <v>11</v>
      </c>
      <c r="E92" s="403" t="s">
        <v>169</v>
      </c>
      <c r="F92" s="169">
        <f>'Table 1a-Year 1'!F92</f>
        <v>5167.0448330540685</v>
      </c>
      <c r="G92" s="307">
        <f>AVERAGE('Table 1a-Year 1'!G92,'Table 1a-Year 2'!G92,'Table 1a-Year 3'!G92)</f>
        <v>192.13314782608691</v>
      </c>
      <c r="H92" s="297">
        <f>F92*G92</f>
        <v>992760.58873319591</v>
      </c>
      <c r="I92" s="415"/>
      <c r="J92" s="154"/>
      <c r="K92" s="158"/>
      <c r="L92" s="255"/>
    </row>
    <row r="93" spans="1:12" x14ac:dyDescent="0.3">
      <c r="A93" s="255"/>
      <c r="B93" s="255"/>
      <c r="C93" s="255"/>
      <c r="D93" s="296" t="s">
        <v>14</v>
      </c>
      <c r="E93" s="423" t="s">
        <v>170</v>
      </c>
      <c r="F93" s="169">
        <f>'Summary Info_2015'!C61</f>
        <v>20444.262999999999</v>
      </c>
      <c r="G93" s="252">
        <f>AVERAGE('Table 1a-Year 1'!G93,'Table 1a-Year 2'!G93,'Table 1a-Year 3'!G93)</f>
        <v>52.681669565217391</v>
      </c>
      <c r="H93" s="297">
        <f t="shared" ref="H93" si="36">F93*G93</f>
        <v>1077037.9078704</v>
      </c>
      <c r="I93" s="415"/>
      <c r="J93" s="154"/>
      <c r="K93" s="158"/>
      <c r="L93" s="255"/>
    </row>
    <row r="94" spans="1:12" s="152" customFormat="1" x14ac:dyDescent="0.3">
      <c r="A94" s="259"/>
      <c r="B94" s="259"/>
      <c r="C94" s="259"/>
      <c r="D94" s="296" t="s">
        <v>20</v>
      </c>
      <c r="E94" s="423" t="s">
        <v>171</v>
      </c>
      <c r="F94" s="169">
        <f>'Summary Info_2015'!M66</f>
        <v>20006</v>
      </c>
      <c r="G94" s="252">
        <f>AVERAGE('Table 1a-Year 1'!G94,'Table 1a-Year 2'!G94,'Table 1a-Year 3'!G94)</f>
        <v>74.37412173913043</v>
      </c>
      <c r="H94" s="297">
        <f>F94*G94</f>
        <v>1487928.6795130435</v>
      </c>
      <c r="I94" s="415"/>
      <c r="J94" s="154"/>
      <c r="K94" s="38"/>
      <c r="L94" s="259"/>
    </row>
    <row r="95" spans="1:12" x14ac:dyDescent="0.3">
      <c r="A95" s="255"/>
      <c r="B95" s="255"/>
      <c r="C95" s="255"/>
      <c r="D95" s="255"/>
      <c r="E95" s="272" t="s">
        <v>45</v>
      </c>
      <c r="F95" s="273">
        <f>SUM(F92:F94)</f>
        <v>45617.307833054067</v>
      </c>
      <c r="G95" s="374">
        <f>SUM(G92:G94)</f>
        <v>319.18893913043473</v>
      </c>
      <c r="H95" s="277">
        <f>SUM(H92:H94)</f>
        <v>3557727.1761166397</v>
      </c>
      <c r="I95" s="415"/>
      <c r="J95" s="255"/>
      <c r="K95" s="255"/>
      <c r="L95" s="255"/>
    </row>
    <row r="96" spans="1:12" x14ac:dyDescent="0.3">
      <c r="A96" s="255"/>
      <c r="B96" s="255"/>
      <c r="C96" s="255"/>
      <c r="D96" s="255"/>
      <c r="E96" s="274"/>
      <c r="F96" s="255"/>
      <c r="G96" s="269"/>
      <c r="H96" s="275"/>
      <c r="I96" s="255"/>
      <c r="J96" s="255"/>
      <c r="K96" s="255"/>
      <c r="L96" s="255"/>
    </row>
    <row r="97" spans="1:13" ht="30" customHeight="1" x14ac:dyDescent="0.3">
      <c r="A97" s="255"/>
      <c r="B97" s="255"/>
      <c r="C97" s="255"/>
      <c r="D97" s="255"/>
      <c r="E97" s="479" t="s">
        <v>172</v>
      </c>
      <c r="F97" s="480"/>
      <c r="G97" s="480"/>
      <c r="H97" s="481"/>
      <c r="I97" s="255"/>
      <c r="J97" s="255"/>
      <c r="K97" s="255"/>
      <c r="L97" s="255"/>
    </row>
    <row r="98" spans="1:13" s="152" customFormat="1" x14ac:dyDescent="0.3">
      <c r="A98" s="259"/>
      <c r="B98" s="259"/>
      <c r="C98" s="259"/>
      <c r="D98" s="295" t="s">
        <v>173</v>
      </c>
      <c r="E98" s="420" t="s">
        <v>174</v>
      </c>
      <c r="F98" s="420" t="s">
        <v>175</v>
      </c>
      <c r="G98" s="420" t="s">
        <v>176</v>
      </c>
      <c r="H98" s="420" t="s">
        <v>168</v>
      </c>
      <c r="I98" s="259"/>
      <c r="J98" s="259"/>
      <c r="K98" s="259"/>
      <c r="L98" s="259"/>
    </row>
    <row r="99" spans="1:13" x14ac:dyDescent="0.3">
      <c r="A99" s="255"/>
      <c r="B99" s="255"/>
      <c r="C99" s="255"/>
      <c r="D99" s="296" t="s">
        <v>63</v>
      </c>
      <c r="E99" s="423" t="s">
        <v>11</v>
      </c>
      <c r="F99" s="276">
        <f>'Table 1a-Year 1'!F99</f>
        <v>7940.8962315002973</v>
      </c>
      <c r="G99" s="307">
        <f>AVERAGE('Table 1a-Year 1'!G99,'Table 1a-Year 2'!G99,'Table 1a-Year 3'!G99)</f>
        <v>0</v>
      </c>
      <c r="H99" s="299">
        <f>F99*G99</f>
        <v>0</v>
      </c>
      <c r="I99" s="415"/>
      <c r="J99" s="255"/>
      <c r="K99" s="255"/>
      <c r="L99" s="255"/>
    </row>
    <row r="100" spans="1:13" x14ac:dyDescent="0.3">
      <c r="A100" s="255"/>
      <c r="B100" s="255"/>
      <c r="C100" s="255"/>
      <c r="D100" s="296" t="s">
        <v>177</v>
      </c>
      <c r="E100" s="423" t="s">
        <v>14</v>
      </c>
      <c r="F100" s="276">
        <f>'Summary Info_2015'!B63</f>
        <v>111044.6066688</v>
      </c>
      <c r="G100" s="298">
        <f>'Regulated Sources_Overview'!K17</f>
        <v>0</v>
      </c>
      <c r="H100" s="299">
        <f t="shared" ref="H100:H101" si="37">F100*G100</f>
        <v>0</v>
      </c>
      <c r="I100" s="415"/>
      <c r="J100" s="255"/>
      <c r="K100" s="255"/>
      <c r="L100" s="255"/>
    </row>
    <row r="101" spans="1:13" x14ac:dyDescent="0.3">
      <c r="A101" s="255"/>
      <c r="B101" s="255"/>
      <c r="C101" s="255"/>
      <c r="D101" s="296" t="s">
        <v>178</v>
      </c>
      <c r="E101" s="423" t="s">
        <v>20</v>
      </c>
      <c r="F101" s="276">
        <f>'Summary Info_2015'!L63</f>
        <v>174001.69178879997</v>
      </c>
      <c r="G101" s="298">
        <f>'Regulated Sources_Overview'!K18</f>
        <v>0</v>
      </c>
      <c r="H101" s="299">
        <f t="shared" si="37"/>
        <v>0</v>
      </c>
      <c r="I101" s="415"/>
      <c r="J101" s="255"/>
      <c r="K101" s="255"/>
      <c r="L101" s="255"/>
    </row>
    <row r="102" spans="1:13" x14ac:dyDescent="0.3">
      <c r="A102" s="255"/>
      <c r="B102" s="255"/>
      <c r="C102" s="255"/>
      <c r="D102" s="255"/>
      <c r="E102" s="272" t="s">
        <v>45</v>
      </c>
      <c r="F102" s="277">
        <f>SUM(F99:F101)</f>
        <v>292987.19468910026</v>
      </c>
      <c r="G102" s="300">
        <f>SUM(G99:G101)</f>
        <v>0</v>
      </c>
      <c r="H102" s="277">
        <f>SUM(H99:H101)</f>
        <v>0</v>
      </c>
      <c r="I102" s="415"/>
      <c r="J102" s="255"/>
      <c r="K102" s="255"/>
    </row>
    <row r="103" spans="1:13" x14ac:dyDescent="0.3">
      <c r="A103" s="255"/>
      <c r="B103" s="255"/>
      <c r="C103" s="255"/>
      <c r="D103" s="255"/>
      <c r="E103" s="278"/>
      <c r="F103" s="279"/>
      <c r="G103" s="280"/>
      <c r="H103" s="275"/>
      <c r="I103" s="255"/>
      <c r="J103" s="255"/>
      <c r="K103" s="255"/>
    </row>
    <row r="104" spans="1:13" x14ac:dyDescent="0.3">
      <c r="A104" s="255"/>
      <c r="B104" s="255"/>
      <c r="C104" s="255"/>
      <c r="D104" s="255"/>
      <c r="E104" s="424"/>
      <c r="F104" s="482" t="s">
        <v>179</v>
      </c>
      <c r="G104" s="482"/>
      <c r="H104" s="281">
        <f>H95+H102</f>
        <v>3557727.1761166397</v>
      </c>
      <c r="I104" s="415"/>
      <c r="J104" s="301"/>
      <c r="K104" s="255"/>
    </row>
    <row r="105" spans="1:13" x14ac:dyDescent="0.3">
      <c r="A105" s="255"/>
      <c r="B105" s="255"/>
      <c r="C105" s="255"/>
      <c r="D105" s="255"/>
      <c r="E105" s="255"/>
      <c r="F105" s="279"/>
      <c r="G105" s="280"/>
      <c r="H105" s="269"/>
      <c r="I105" s="255"/>
      <c r="J105" s="255"/>
      <c r="K105" s="255"/>
    </row>
    <row r="106" spans="1:13" x14ac:dyDescent="0.3">
      <c r="A106" s="255"/>
      <c r="B106" s="255"/>
      <c r="C106" s="255"/>
      <c r="D106" s="255"/>
      <c r="E106" s="255"/>
      <c r="F106" s="279"/>
      <c r="G106" s="280"/>
      <c r="H106" s="269"/>
      <c r="I106" s="255"/>
      <c r="J106" s="255"/>
      <c r="K106" s="255"/>
    </row>
    <row r="107" spans="1:13" x14ac:dyDescent="0.3">
      <c r="A107" s="255"/>
      <c r="B107" s="255"/>
      <c r="C107" s="255"/>
      <c r="D107" s="255"/>
      <c r="E107" s="255"/>
      <c r="F107" s="279"/>
      <c r="G107" s="280"/>
      <c r="H107" s="269"/>
      <c r="I107" s="255"/>
      <c r="J107" s="255"/>
      <c r="K107" s="255"/>
    </row>
    <row r="108" spans="1:13" ht="12.75" customHeight="1" x14ac:dyDescent="0.3">
      <c r="A108" s="255"/>
      <c r="B108" s="255"/>
      <c r="C108" s="255"/>
      <c r="D108" s="255"/>
      <c r="E108" s="302"/>
      <c r="F108" s="302"/>
      <c r="G108" s="302"/>
      <c r="H108" s="302"/>
      <c r="I108" s="302"/>
      <c r="J108" s="302"/>
      <c r="K108" s="302"/>
      <c r="L108" s="302"/>
      <c r="M108" s="151"/>
    </row>
    <row r="109" spans="1:13" ht="12.75" customHeight="1" x14ac:dyDescent="0.35">
      <c r="A109" s="255"/>
      <c r="B109" s="255"/>
      <c r="C109" s="255"/>
      <c r="D109" s="255"/>
      <c r="E109" s="479" t="s">
        <v>180</v>
      </c>
      <c r="F109" s="483"/>
      <c r="G109" s="483"/>
      <c r="H109" s="483"/>
      <c r="I109" s="483"/>
      <c r="J109" s="483"/>
      <c r="K109" s="484"/>
      <c r="L109" s="255"/>
    </row>
    <row r="110" spans="1:13" ht="12.75" customHeight="1" x14ac:dyDescent="0.35">
      <c r="A110" s="255"/>
      <c r="B110" s="255"/>
      <c r="C110" s="255"/>
      <c r="D110" s="255"/>
      <c r="E110" s="485" t="s">
        <v>174</v>
      </c>
      <c r="F110" s="479" t="s">
        <v>181</v>
      </c>
      <c r="G110" s="483"/>
      <c r="H110" s="483"/>
      <c r="I110" s="484"/>
      <c r="J110" s="487" t="s">
        <v>182</v>
      </c>
      <c r="K110" s="489" t="s">
        <v>183</v>
      </c>
      <c r="L110" s="255"/>
    </row>
    <row r="111" spans="1:13" x14ac:dyDescent="0.3">
      <c r="A111" s="255"/>
      <c r="B111" s="255"/>
      <c r="C111" s="255"/>
      <c r="D111" s="255"/>
      <c r="E111" s="486"/>
      <c r="F111" s="420" t="s">
        <v>184</v>
      </c>
      <c r="G111" s="420" t="s">
        <v>185</v>
      </c>
      <c r="H111" s="292" t="s">
        <v>186</v>
      </c>
      <c r="I111" s="420" t="s">
        <v>45</v>
      </c>
      <c r="J111" s="488"/>
      <c r="K111" s="489"/>
      <c r="L111" s="255"/>
    </row>
    <row r="112" spans="1:13" x14ac:dyDescent="0.3">
      <c r="A112" s="255"/>
      <c r="B112" s="255"/>
      <c r="C112" s="255"/>
      <c r="D112" s="255"/>
      <c r="E112" s="282" t="s">
        <v>11</v>
      </c>
      <c r="F112" s="168">
        <f>'Table 1a-Year 1'!F112</f>
        <v>0</v>
      </c>
      <c r="G112" s="168">
        <f>'Table 1a-Year 1'!G112</f>
        <v>14290</v>
      </c>
      <c r="H112" s="168">
        <f>'Table 1a-Year 1'!H112</f>
        <v>13693</v>
      </c>
      <c r="I112" s="168">
        <f>F112+G112+H112</f>
        <v>27983</v>
      </c>
      <c r="J112" s="307">
        <f>AVERAGE('Table 1a-Year 1'!J112,'Table 1a-Year 2'!J112,'Table 1a-Year 3'!J112)</f>
        <v>117.75902608695652</v>
      </c>
      <c r="K112" s="168">
        <f>I112*J112</f>
        <v>3295250.8269913043</v>
      </c>
      <c r="L112" s="415"/>
    </row>
    <row r="113" spans="1:14" x14ac:dyDescent="0.3">
      <c r="A113" s="255"/>
      <c r="B113" s="255"/>
      <c r="C113" s="255"/>
      <c r="D113" s="255"/>
      <c r="E113" s="282" t="s">
        <v>14</v>
      </c>
      <c r="F113" s="168">
        <f>'Summary of CEMS Costs_2018'!G47</f>
        <v>14788.7065664</v>
      </c>
      <c r="G113" s="168">
        <f>'Summary of CEMS Costs_2018'!H47</f>
        <v>10931.940845699999</v>
      </c>
      <c r="H113" s="168">
        <f>'Summary of CEMS Costs_2018'!I47</f>
        <v>15897.235325044843</v>
      </c>
      <c r="I113" s="168">
        <f>F113+G113+H113</f>
        <v>41617.882737144842</v>
      </c>
      <c r="J113" s="252">
        <f>AVERAGE('Table 1a-Year 1'!J113,'Table 1a-Year 2'!J113,'Table 1a-Year 3'!J113)</f>
        <v>257.21050434782615</v>
      </c>
      <c r="K113" s="168">
        <f t="shared" ref="K113" si="38">I113*J113</f>
        <v>10704556.608709712</v>
      </c>
      <c r="L113" s="415"/>
    </row>
    <row r="114" spans="1:14" x14ac:dyDescent="0.3">
      <c r="A114" s="255"/>
      <c r="B114" s="255"/>
      <c r="C114" s="255"/>
      <c r="D114" s="255"/>
      <c r="E114" s="282" t="s">
        <v>20</v>
      </c>
      <c r="F114" s="168">
        <f>'Summary of CEMS Costs_2018'!B47</f>
        <v>19959.2166464</v>
      </c>
      <c r="G114" s="168">
        <f>'Summary of CEMS Costs_2018'!C47</f>
        <v>40011.554765699999</v>
      </c>
      <c r="H114" s="168">
        <f>'Summary of CEMS Costs_2018'!D47</f>
        <v>40035.286058200538</v>
      </c>
      <c r="I114" s="168">
        <f>F114+G114+H114</f>
        <v>100006.05747030054</v>
      </c>
      <c r="J114" s="252">
        <f>AVERAGE('Table 1a-Year 1'!J114,'Table 1a-Year 2'!J114,'Table 1a-Year 3'!J114)</f>
        <v>235.51805217391305</v>
      </c>
      <c r="K114" s="168">
        <f>I114*J114</f>
        <v>23553231.860997591</v>
      </c>
      <c r="L114" s="415"/>
    </row>
    <row r="115" spans="1:14" x14ac:dyDescent="0.3">
      <c r="A115" s="255"/>
      <c r="B115" s="255"/>
      <c r="C115" s="255"/>
      <c r="D115" s="255"/>
      <c r="E115" s="283" t="s">
        <v>45</v>
      </c>
      <c r="F115" s="132"/>
      <c r="G115" s="132"/>
      <c r="H115" s="132"/>
      <c r="I115" s="132"/>
      <c r="J115" s="304"/>
      <c r="K115" s="132">
        <f>SUM(K112:K114)</f>
        <v>37553039.296698608</v>
      </c>
      <c r="L115" s="415"/>
    </row>
    <row r="116" spans="1:14" ht="15.5" x14ac:dyDescent="0.35">
      <c r="A116" s="255"/>
      <c r="B116" s="255"/>
      <c r="C116" s="255"/>
      <c r="D116" s="255"/>
      <c r="E116" s="255"/>
      <c r="F116" s="305"/>
      <c r="G116" s="255"/>
      <c r="H116" s="269"/>
      <c r="I116" s="255"/>
      <c r="J116" s="269"/>
      <c r="K116" s="284"/>
    </row>
    <row r="117" spans="1:14" x14ac:dyDescent="0.3">
      <c r="A117" s="255"/>
      <c r="B117" s="255"/>
      <c r="C117" s="255"/>
      <c r="D117" s="255"/>
      <c r="E117" s="255"/>
      <c r="F117" s="255"/>
      <c r="G117" s="255"/>
      <c r="H117" s="269"/>
      <c r="I117" s="255"/>
      <c r="J117" s="269"/>
      <c r="K117" s="301">
        <f>K115+H104</f>
        <v>41110766.472815245</v>
      </c>
      <c r="L117" s="415"/>
    </row>
    <row r="118" spans="1:14" x14ac:dyDescent="0.3">
      <c r="A118" s="255"/>
      <c r="B118" s="255"/>
      <c r="C118" s="255"/>
      <c r="D118" s="255"/>
      <c r="E118" s="255"/>
      <c r="F118" s="255"/>
      <c r="G118" s="255"/>
      <c r="H118" s="269"/>
      <c r="I118" s="255"/>
      <c r="J118" s="301"/>
      <c r="K118" s="255"/>
      <c r="M118" s="212"/>
      <c r="N118" s="212"/>
    </row>
    <row r="119" spans="1:14" x14ac:dyDescent="0.3">
      <c r="A119" s="255"/>
      <c r="B119" s="255"/>
      <c r="C119" s="255"/>
      <c r="D119" s="255"/>
      <c r="E119" s="255"/>
      <c r="F119" s="255"/>
      <c r="G119" s="255"/>
      <c r="H119" s="269"/>
      <c r="I119" s="255"/>
      <c r="J119" s="255"/>
      <c r="K119" s="301">
        <f>'Table 1b-Avg'!K115</f>
        <v>8239318.5415245602</v>
      </c>
      <c r="L119" s="415"/>
      <c r="M119" s="212"/>
      <c r="N119" s="212"/>
    </row>
    <row r="120" spans="1:14" x14ac:dyDescent="0.3">
      <c r="A120" s="255"/>
      <c r="B120" s="255"/>
      <c r="C120" s="255"/>
      <c r="D120" s="255"/>
      <c r="E120" s="255"/>
      <c r="F120" s="255"/>
      <c r="G120" s="255"/>
      <c r="H120" s="269"/>
      <c r="I120" s="255"/>
      <c r="J120" s="255"/>
      <c r="K120" s="255"/>
      <c r="M120" s="212"/>
      <c r="N120" s="212"/>
    </row>
    <row r="121" spans="1:14" x14ac:dyDescent="0.3">
      <c r="A121" s="255"/>
      <c r="B121" s="255"/>
      <c r="C121" s="255"/>
      <c r="D121" s="255"/>
      <c r="E121" s="255"/>
      <c r="F121" s="255"/>
      <c r="G121" s="255"/>
      <c r="H121" s="269"/>
      <c r="I121" s="301"/>
      <c r="J121" s="255"/>
      <c r="K121" s="301">
        <f>K119+K117</f>
        <v>49350085.014339805</v>
      </c>
      <c r="L121" s="415"/>
    </row>
  </sheetData>
  <mergeCells count="34">
    <mergeCell ref="B9:D9"/>
    <mergeCell ref="B10:D10"/>
    <mergeCell ref="B27:D27"/>
    <mergeCell ref="B28:D28"/>
    <mergeCell ref="B29:D29"/>
    <mergeCell ref="A3:D4"/>
    <mergeCell ref="A5:D5"/>
    <mergeCell ref="A6:D6"/>
    <mergeCell ref="A7:D7"/>
    <mergeCell ref="A8:D8"/>
    <mergeCell ref="I51:K51"/>
    <mergeCell ref="E90:H90"/>
    <mergeCell ref="B53:D53"/>
    <mergeCell ref="B54:D54"/>
    <mergeCell ref="B55:D55"/>
    <mergeCell ref="B56:D56"/>
    <mergeCell ref="B57:D57"/>
    <mergeCell ref="B66:D66"/>
    <mergeCell ref="B67:D67"/>
    <mergeCell ref="I68:K68"/>
    <mergeCell ref="I69:K69"/>
    <mergeCell ref="A74:L74"/>
    <mergeCell ref="A75:L75"/>
    <mergeCell ref="A52:D52"/>
    <mergeCell ref="A76:L76"/>
    <mergeCell ref="A77:L77"/>
    <mergeCell ref="A78:L78"/>
    <mergeCell ref="E97:H97"/>
    <mergeCell ref="F104:G104"/>
    <mergeCell ref="E109:K109"/>
    <mergeCell ref="E110:E111"/>
    <mergeCell ref="F110:I110"/>
    <mergeCell ref="J110:J111"/>
    <mergeCell ref="K110:K111"/>
  </mergeCells>
  <printOptions horizontalCentered="1" verticalCentered="1"/>
  <pageMargins left="0.7" right="0.7" top="0.75" bottom="0.75" header="0.3" footer="0.3"/>
  <pageSetup paperSize="17" orientation="landscape" r:id="rId1"/>
  <headerFooter>
    <oddHeader>&amp;CTable 1a -- Respondent Year 1</oddHeader>
    <oddFooter>&amp;L&amp;P of &amp;N&amp;R&amp;D</oddFooter>
  </headerFooter>
  <rowBreaks count="2" manualBreakCount="2">
    <brk id="51" max="10" man="1"/>
    <brk id="7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88EE1-F7D4-4F95-8375-DAE18F339428}">
  <sheetPr>
    <pageSetUpPr fitToPage="1"/>
  </sheetPr>
  <dimension ref="A1:W119"/>
  <sheetViews>
    <sheetView zoomScaleNormal="100" workbookViewId="0">
      <pane xSplit="4" ySplit="4" topLeftCell="F29" activePane="bottomRight" state="frozen"/>
      <selection pane="topRight" activeCell="E1" sqref="E1"/>
      <selection pane="bottomLeft" activeCell="A6" sqref="A6"/>
      <selection pane="bottomRight" activeCell="J29" sqref="J29"/>
    </sheetView>
  </sheetViews>
  <sheetFormatPr defaultColWidth="9.1796875" defaultRowHeight="13" x14ac:dyDescent="0.3"/>
  <cols>
    <col min="1" max="1" width="2.7265625" style="130" customWidth="1"/>
    <col min="2" max="3" width="2.453125" style="130" customWidth="1"/>
    <col min="4" max="4" width="65.26953125" style="130" customWidth="1"/>
    <col min="5" max="5" width="15" style="130" customWidth="1"/>
    <col min="6" max="6" width="19.1796875" style="130" bestFit="1" customWidth="1"/>
    <col min="7" max="7" width="21.26953125" style="130" customWidth="1"/>
    <col min="8" max="8" width="15" style="131" customWidth="1"/>
    <col min="9" max="9" width="13.1796875" style="130" customWidth="1"/>
    <col min="10" max="11" width="15.26953125" style="130" customWidth="1"/>
    <col min="12" max="12" width="19" style="158" customWidth="1"/>
    <col min="13" max="13" width="15.54296875" style="152" bestFit="1" customWidth="1"/>
    <col min="14" max="14" width="11.453125" style="130" bestFit="1" customWidth="1"/>
    <col min="15" max="15" width="9.26953125" style="130" bestFit="1" customWidth="1"/>
    <col min="16" max="16" width="33.54296875" style="130" customWidth="1"/>
    <col min="17" max="18" width="11.7265625" style="130" bestFit="1" customWidth="1"/>
    <col min="19" max="16384" width="9.1796875" style="130"/>
  </cols>
  <sheetData>
    <row r="1" spans="1:16" s="161" customFormat="1" ht="15.5" x14ac:dyDescent="0.35">
      <c r="A1" s="133" t="s">
        <v>188</v>
      </c>
      <c r="B1" s="162"/>
      <c r="C1" s="162"/>
      <c r="D1" s="162"/>
      <c r="E1" s="162"/>
      <c r="F1" s="162"/>
      <c r="G1" s="162"/>
      <c r="H1" s="162"/>
      <c r="I1" s="162"/>
      <c r="J1" s="163"/>
      <c r="K1" s="162"/>
      <c r="L1" s="162"/>
      <c r="M1" s="308"/>
      <c r="N1" s="250"/>
    </row>
    <row r="2" spans="1:16" s="134" customFormat="1" x14ac:dyDescent="0.3">
      <c r="A2" s="135"/>
      <c r="B2" s="135"/>
      <c r="C2" s="135"/>
      <c r="D2" s="135"/>
      <c r="E2" s="135"/>
      <c r="F2" s="135"/>
      <c r="G2" s="135"/>
      <c r="H2" s="135"/>
      <c r="I2" s="135"/>
      <c r="J2" s="136"/>
      <c r="K2" s="135"/>
      <c r="L2" s="135"/>
      <c r="M2" s="187"/>
      <c r="N2" s="182"/>
    </row>
    <row r="3" spans="1:16" s="139" customFormat="1" ht="14.25" customHeight="1" x14ac:dyDescent="0.3">
      <c r="A3" s="501" t="s">
        <v>70</v>
      </c>
      <c r="B3" s="502"/>
      <c r="C3" s="502"/>
      <c r="D3" s="503"/>
      <c r="E3" s="137" t="s">
        <v>71</v>
      </c>
      <c r="F3" s="137" t="s">
        <v>72</v>
      </c>
      <c r="G3" s="137" t="s">
        <v>73</v>
      </c>
      <c r="H3" s="137" t="s">
        <v>74</v>
      </c>
      <c r="I3" s="137" t="s">
        <v>75</v>
      </c>
      <c r="J3" s="137" t="s">
        <v>76</v>
      </c>
      <c r="K3" s="137" t="s">
        <v>77</v>
      </c>
      <c r="L3" s="138" t="s">
        <v>78</v>
      </c>
      <c r="M3" s="309"/>
    </row>
    <row r="4" spans="1:16" s="142" customFormat="1" ht="41.25" customHeight="1" x14ac:dyDescent="0.3">
      <c r="A4" s="504"/>
      <c r="B4" s="505"/>
      <c r="C4" s="505"/>
      <c r="D4" s="506"/>
      <c r="E4" s="140" t="s">
        <v>79</v>
      </c>
      <c r="F4" s="140" t="s">
        <v>80</v>
      </c>
      <c r="G4" s="140" t="s">
        <v>81</v>
      </c>
      <c r="H4" s="140" t="s">
        <v>82</v>
      </c>
      <c r="I4" s="140" t="s">
        <v>83</v>
      </c>
      <c r="J4" s="140" t="s">
        <v>84</v>
      </c>
      <c r="K4" s="140" t="s">
        <v>85</v>
      </c>
      <c r="L4" s="141" t="s">
        <v>86</v>
      </c>
      <c r="M4" s="309"/>
    </row>
    <row r="5" spans="1:16" x14ac:dyDescent="0.3">
      <c r="A5" s="507" t="s">
        <v>88</v>
      </c>
      <c r="B5" s="507"/>
      <c r="C5" s="507"/>
      <c r="D5" s="507"/>
      <c r="E5" s="251" t="s">
        <v>12</v>
      </c>
      <c r="F5" s="423"/>
      <c r="G5" s="423"/>
      <c r="H5" s="252"/>
      <c r="I5" s="253"/>
      <c r="J5" s="253"/>
      <c r="K5" s="253"/>
      <c r="L5" s="55"/>
      <c r="M5" s="259"/>
    </row>
    <row r="6" spans="1:16" x14ac:dyDescent="0.3">
      <c r="A6" s="507" t="s">
        <v>89</v>
      </c>
      <c r="B6" s="507"/>
      <c r="C6" s="507"/>
      <c r="D6" s="507"/>
      <c r="E6" s="251" t="s">
        <v>12</v>
      </c>
      <c r="F6" s="423"/>
      <c r="G6" s="423"/>
      <c r="H6" s="252"/>
      <c r="I6" s="253"/>
      <c r="J6" s="253"/>
      <c r="K6" s="253"/>
      <c r="L6" s="55"/>
      <c r="M6" s="259"/>
    </row>
    <row r="7" spans="1:16" x14ac:dyDescent="0.3">
      <c r="A7" s="507" t="s">
        <v>90</v>
      </c>
      <c r="B7" s="507"/>
      <c r="C7" s="507"/>
      <c r="D7" s="507"/>
      <c r="E7" s="143">
        <v>160.6</v>
      </c>
      <c r="F7" s="423">
        <v>1</v>
      </c>
      <c r="G7" s="143">
        <f>E7*F7</f>
        <v>160.6</v>
      </c>
      <c r="H7" s="252">
        <v>0</v>
      </c>
      <c r="I7" s="256">
        <f>G7*H7</f>
        <v>0</v>
      </c>
      <c r="J7" s="256">
        <f>I7*0.05</f>
        <v>0</v>
      </c>
      <c r="K7" s="256">
        <f>I7*0.1</f>
        <v>0</v>
      </c>
      <c r="L7" s="128">
        <f>(I7*$F$82)+(J7*$F$83)+(K7*$F$84)</f>
        <v>0</v>
      </c>
      <c r="M7" s="259"/>
    </row>
    <row r="8" spans="1:16" x14ac:dyDescent="0.3">
      <c r="A8" s="492" t="s">
        <v>91</v>
      </c>
      <c r="B8" s="492"/>
      <c r="C8" s="492"/>
      <c r="D8" s="492"/>
      <c r="E8" s="423"/>
      <c r="F8" s="423"/>
      <c r="G8" s="423"/>
      <c r="H8" s="252"/>
      <c r="I8" s="253"/>
      <c r="J8" s="253"/>
      <c r="K8" s="253"/>
      <c r="L8" s="55"/>
      <c r="M8" s="259"/>
    </row>
    <row r="9" spans="1:16" x14ac:dyDescent="0.3">
      <c r="A9" s="424"/>
      <c r="B9" s="491" t="s">
        <v>92</v>
      </c>
      <c r="C9" s="491"/>
      <c r="D9" s="492"/>
      <c r="E9" s="423">
        <v>1</v>
      </c>
      <c r="F9" s="423">
        <v>1</v>
      </c>
      <c r="G9" s="423">
        <f>E9*F9</f>
        <v>1</v>
      </c>
      <c r="H9" s="252">
        <f>'Table 1c-Year 1'!E12</f>
        <v>32.055652173913046</v>
      </c>
      <c r="I9" s="256">
        <f>G9*H9</f>
        <v>32.055652173913046</v>
      </c>
      <c r="J9" s="285">
        <f>I9*0.05</f>
        <v>1.6027826086956525</v>
      </c>
      <c r="K9" s="285">
        <f>I9*0.1</f>
        <v>3.205565217391305</v>
      </c>
      <c r="L9" s="286">
        <f>(I9*$F$82)+(J9*$F$83)+(K9*$F$84)</f>
        <v>2051.7412507826089</v>
      </c>
      <c r="M9" s="310"/>
      <c r="N9" s="184"/>
      <c r="O9" s="184"/>
      <c r="P9" s="184"/>
    </row>
    <row r="10" spans="1:16" x14ac:dyDescent="0.3">
      <c r="A10" s="424"/>
      <c r="B10" s="491" t="s">
        <v>94</v>
      </c>
      <c r="C10" s="491"/>
      <c r="D10" s="492"/>
      <c r="E10" s="423"/>
      <c r="F10" s="423"/>
      <c r="G10" s="423"/>
      <c r="H10" s="252"/>
      <c r="I10" s="253"/>
      <c r="J10" s="253"/>
      <c r="K10" s="253"/>
      <c r="L10" s="55"/>
      <c r="M10" s="259"/>
    </row>
    <row r="11" spans="1:16" x14ac:dyDescent="0.3">
      <c r="A11" s="424"/>
      <c r="B11" s="425"/>
      <c r="C11" s="254" t="s">
        <v>95</v>
      </c>
      <c r="D11" s="255"/>
      <c r="E11" s="423"/>
      <c r="F11" s="423"/>
      <c r="G11" s="423"/>
      <c r="H11" s="252"/>
      <c r="I11" s="253"/>
      <c r="J11" s="253"/>
      <c r="K11" s="253"/>
      <c r="L11" s="55"/>
      <c r="M11" s="259"/>
    </row>
    <row r="12" spans="1:16" ht="14.5" x14ac:dyDescent="0.3">
      <c r="A12" s="424"/>
      <c r="B12" s="425"/>
      <c r="C12" s="425"/>
      <c r="D12" s="422" t="s">
        <v>96</v>
      </c>
      <c r="E12" s="423">
        <v>27.8</v>
      </c>
      <c r="F12" s="423">
        <v>1</v>
      </c>
      <c r="G12" s="143">
        <f>E12*F12</f>
        <v>27.8</v>
      </c>
      <c r="H12" s="306">
        <f>('%CEMSCPMSvs.testing_2137.13'!X4+'%CEMSCPMSvs.testing_2137.13'!X5)*'Table 1c-Year 1'!F12</f>
        <v>38.506852173913046</v>
      </c>
      <c r="I12" s="256">
        <f t="shared" ref="I12:I18" si="0">G12*H12</f>
        <v>1070.4904904347827</v>
      </c>
      <c r="J12" s="256">
        <f t="shared" ref="J12:J18" si="1">I12*0.05</f>
        <v>53.524524521739139</v>
      </c>
      <c r="K12" s="256">
        <f t="shared" ref="K12:K18" si="2">I12*0.1</f>
        <v>107.04904904347828</v>
      </c>
      <c r="L12" s="128">
        <f t="shared" ref="L12:L18" si="3">(I12*$F$82)+(J12*$F$83)+(K12*$F$84)</f>
        <v>68517.386134572545</v>
      </c>
      <c r="M12" s="259"/>
      <c r="P12" s="338" t="s">
        <v>98</v>
      </c>
    </row>
    <row r="13" spans="1:16" ht="14.5" x14ac:dyDescent="0.3">
      <c r="A13" s="424"/>
      <c r="B13" s="425"/>
      <c r="C13" s="425"/>
      <c r="D13" s="422" t="s">
        <v>99</v>
      </c>
      <c r="E13" s="423">
        <v>26.4</v>
      </c>
      <c r="F13" s="423">
        <v>1</v>
      </c>
      <c r="G13" s="143">
        <f t="shared" ref="G13:G18" si="4">E13*F13</f>
        <v>26.4</v>
      </c>
      <c r="H13" s="257">
        <f>'%CEMSCPMSvs.testing_2137.13'!K5*'Table 1c-Year 1'!F12</f>
        <v>10.55833043478261</v>
      </c>
      <c r="I13" s="256">
        <f t="shared" si="0"/>
        <v>278.73992347826089</v>
      </c>
      <c r="J13" s="256">
        <f t="shared" si="1"/>
        <v>13.936996173913045</v>
      </c>
      <c r="K13" s="256">
        <f t="shared" si="2"/>
        <v>27.873992347826089</v>
      </c>
      <c r="L13" s="128">
        <f t="shared" si="3"/>
        <v>17840.916046180177</v>
      </c>
      <c r="M13" s="259"/>
      <c r="P13" s="338"/>
    </row>
    <row r="14" spans="1:16" ht="14.5" x14ac:dyDescent="0.3">
      <c r="A14" s="424"/>
      <c r="B14" s="425"/>
      <c r="C14" s="425"/>
      <c r="D14" s="422" t="s">
        <v>100</v>
      </c>
      <c r="E14" s="423">
        <v>27.8</v>
      </c>
      <c r="F14" s="423">
        <v>1</v>
      </c>
      <c r="G14" s="143">
        <f t="shared" si="4"/>
        <v>27.8</v>
      </c>
      <c r="H14" s="257">
        <f>'%CEMSCPMSvs.testing_2137.13'!C5*'Table 1c-Year 1'!F12</f>
        <v>14.905878260869567</v>
      </c>
      <c r="I14" s="256">
        <f t="shared" si="0"/>
        <v>414.38341565217399</v>
      </c>
      <c r="J14" s="256">
        <f t="shared" si="1"/>
        <v>20.7191707826087</v>
      </c>
      <c r="K14" s="256">
        <f t="shared" si="2"/>
        <v>41.438341565217399</v>
      </c>
      <c r="L14" s="128">
        <f t="shared" si="3"/>
        <v>26522.859148866792</v>
      </c>
      <c r="M14" s="259"/>
      <c r="P14" s="338"/>
    </row>
    <row r="15" spans="1:16" ht="14.5" x14ac:dyDescent="0.3">
      <c r="A15" s="424"/>
      <c r="B15" s="425"/>
      <c r="C15" s="425"/>
      <c r="D15" s="422" t="s">
        <v>101</v>
      </c>
      <c r="E15" s="423">
        <v>2.5</v>
      </c>
      <c r="F15" s="423">
        <v>4</v>
      </c>
      <c r="G15" s="145">
        <f t="shared" si="4"/>
        <v>10</v>
      </c>
      <c r="H15" s="252">
        <f>('%CEMSCPMSvs.testing_2137.13'!K3+'%CEMSCPMSvs.testing_2137.13'!K4)*'Table 1c-Year 1'!F12</f>
        <v>51.549495652173924</v>
      </c>
      <c r="I15" s="256">
        <f>G15*H15</f>
        <v>515.49495652173925</v>
      </c>
      <c r="J15" s="256">
        <f>I15*0.05</f>
        <v>25.774747826086966</v>
      </c>
      <c r="K15" s="256">
        <f>I15*0.1</f>
        <v>51.549495652173931</v>
      </c>
      <c r="L15" s="286">
        <f t="shared" si="3"/>
        <v>32994.563989147835</v>
      </c>
      <c r="M15" s="259"/>
    </row>
    <row r="16" spans="1:16" ht="14.5" x14ac:dyDescent="0.3">
      <c r="A16" s="424"/>
      <c r="B16" s="425"/>
      <c r="C16" s="425"/>
      <c r="D16" s="422" t="s">
        <v>102</v>
      </c>
      <c r="E16" s="423">
        <v>0.4</v>
      </c>
      <c r="F16" s="423">
        <v>365</v>
      </c>
      <c r="G16" s="145">
        <f t="shared" si="4"/>
        <v>146</v>
      </c>
      <c r="H16" s="252">
        <f>H15</f>
        <v>51.549495652173924</v>
      </c>
      <c r="I16" s="256">
        <f t="shared" si="0"/>
        <v>7526.2263652173933</v>
      </c>
      <c r="J16" s="285">
        <f t="shared" si="1"/>
        <v>376.31131826086971</v>
      </c>
      <c r="K16" s="285">
        <f t="shared" si="2"/>
        <v>752.62263652173942</v>
      </c>
      <c r="L16" s="286">
        <f t="shared" si="3"/>
        <v>481720.63424155844</v>
      </c>
      <c r="M16" s="259"/>
    </row>
    <row r="17" spans="1:16" ht="14.5" x14ac:dyDescent="0.3">
      <c r="A17" s="424"/>
      <c r="B17" s="425"/>
      <c r="C17" s="425"/>
      <c r="D17" s="422" t="s">
        <v>103</v>
      </c>
      <c r="E17" s="423">
        <v>0.25</v>
      </c>
      <c r="F17" s="423">
        <v>365</v>
      </c>
      <c r="G17" s="144">
        <f t="shared" si="4"/>
        <v>91.25</v>
      </c>
      <c r="H17" s="252">
        <f>H15</f>
        <v>51.549495652173924</v>
      </c>
      <c r="I17" s="256">
        <f t="shared" si="0"/>
        <v>4703.8914782608708</v>
      </c>
      <c r="J17" s="287">
        <f t="shared" si="1"/>
        <v>235.19457391304354</v>
      </c>
      <c r="K17" s="285">
        <f t="shared" si="2"/>
        <v>470.38914782608708</v>
      </c>
      <c r="L17" s="286">
        <f t="shared" si="3"/>
        <v>301075.39640097407</v>
      </c>
      <c r="M17" s="259"/>
    </row>
    <row r="18" spans="1:16" ht="14.5" x14ac:dyDescent="0.3">
      <c r="A18" s="424"/>
      <c r="B18" s="425"/>
      <c r="C18" s="425"/>
      <c r="D18" s="422" t="s">
        <v>104</v>
      </c>
      <c r="E18" s="423">
        <v>14</v>
      </c>
      <c r="F18" s="423">
        <v>1</v>
      </c>
      <c r="G18" s="145">
        <f t="shared" si="4"/>
        <v>14</v>
      </c>
      <c r="H18" s="252">
        <f>H15</f>
        <v>51.549495652173924</v>
      </c>
      <c r="I18" s="256">
        <f t="shared" si="0"/>
        <v>721.69293913043498</v>
      </c>
      <c r="J18" s="285">
        <f t="shared" si="1"/>
        <v>36.084646956521752</v>
      </c>
      <c r="K18" s="285">
        <f t="shared" si="2"/>
        <v>72.169293913043504</v>
      </c>
      <c r="L18" s="286">
        <f t="shared" si="3"/>
        <v>46192.389584806981</v>
      </c>
      <c r="M18" s="259"/>
    </row>
    <row r="19" spans="1:16" x14ac:dyDescent="0.3">
      <c r="A19" s="424"/>
      <c r="B19" s="425"/>
      <c r="C19" s="367" t="s">
        <v>105</v>
      </c>
      <c r="D19" s="255"/>
      <c r="E19" s="423"/>
      <c r="F19" s="423"/>
      <c r="G19" s="423"/>
      <c r="H19" s="252"/>
      <c r="I19" s="253"/>
      <c r="J19" s="253"/>
      <c r="K19" s="253"/>
      <c r="L19" s="55"/>
      <c r="M19" s="259"/>
      <c r="P19" s="338"/>
    </row>
    <row r="20" spans="1:16" x14ac:dyDescent="0.3">
      <c r="A20" s="424"/>
      <c r="B20" s="425"/>
      <c r="C20" s="425"/>
      <c r="D20" s="422" t="s">
        <v>189</v>
      </c>
      <c r="E20" s="423">
        <v>27.8</v>
      </c>
      <c r="F20" s="423">
        <v>1</v>
      </c>
      <c r="G20" s="143">
        <f>E20*F20</f>
        <v>27.8</v>
      </c>
      <c r="H20" s="307">
        <f>'%CEMSCPMSvs.testing_2137.13'!X8*'Table 1c-Year 1'!F12</f>
        <v>0</v>
      </c>
      <c r="I20" s="256">
        <f t="shared" ref="I20:I26" si="5">G20*H20</f>
        <v>0</v>
      </c>
      <c r="J20" s="256">
        <f t="shared" ref="J20:J26" si="6">I20*0.05</f>
        <v>0</v>
      </c>
      <c r="K20" s="256">
        <f t="shared" ref="K20:K26" si="7">I20*0.1</f>
        <v>0</v>
      </c>
      <c r="L20" s="128">
        <f t="shared" ref="L20:L26" si="8">(I20*$F$82)+(J20*$F$83)+(K20*$F$84)</f>
        <v>0</v>
      </c>
      <c r="M20" s="259"/>
      <c r="P20" s="338"/>
    </row>
    <row r="21" spans="1:16" x14ac:dyDescent="0.3">
      <c r="A21" s="424"/>
      <c r="B21" s="425"/>
      <c r="C21" s="425"/>
      <c r="D21" s="422" t="s">
        <v>108</v>
      </c>
      <c r="E21" s="423">
        <v>26.4</v>
      </c>
      <c r="F21" s="423">
        <v>1</v>
      </c>
      <c r="G21" s="143">
        <f>E21*F21</f>
        <v>26.4</v>
      </c>
      <c r="H21" s="252">
        <v>0</v>
      </c>
      <c r="I21" s="256">
        <f>G21*H21</f>
        <v>0</v>
      </c>
      <c r="J21" s="256">
        <f>I21*0.05</f>
        <v>0</v>
      </c>
      <c r="K21" s="256">
        <f>I21*0.1</f>
        <v>0</v>
      </c>
      <c r="L21" s="128">
        <f t="shared" si="8"/>
        <v>0</v>
      </c>
      <c r="M21" s="259"/>
      <c r="P21" s="338"/>
    </row>
    <row r="22" spans="1:16" x14ac:dyDescent="0.3">
      <c r="A22" s="424"/>
      <c r="B22" s="425"/>
      <c r="C22" s="425"/>
      <c r="D22" s="422" t="s">
        <v>109</v>
      </c>
      <c r="E22" s="423">
        <v>27.8</v>
      </c>
      <c r="F22" s="423">
        <v>1</v>
      </c>
      <c r="G22" s="143">
        <f t="shared" ref="G22:G26" si="9">E22*F22</f>
        <v>27.8</v>
      </c>
      <c r="H22" s="252">
        <v>0</v>
      </c>
      <c r="I22" s="256">
        <f t="shared" si="5"/>
        <v>0</v>
      </c>
      <c r="J22" s="256">
        <f t="shared" si="6"/>
        <v>0</v>
      </c>
      <c r="K22" s="256">
        <f t="shared" si="7"/>
        <v>0</v>
      </c>
      <c r="L22" s="128">
        <f t="shared" si="8"/>
        <v>0</v>
      </c>
      <c r="M22" s="259"/>
      <c r="P22" s="338"/>
    </row>
    <row r="23" spans="1:16" x14ac:dyDescent="0.3">
      <c r="A23" s="424"/>
      <c r="B23" s="425"/>
      <c r="C23" s="425"/>
      <c r="D23" s="422" t="s">
        <v>110</v>
      </c>
      <c r="E23" s="423">
        <v>2.46</v>
      </c>
      <c r="F23" s="423">
        <v>4</v>
      </c>
      <c r="G23" s="144">
        <f t="shared" si="9"/>
        <v>9.84</v>
      </c>
      <c r="H23" s="307">
        <f>H20</f>
        <v>0</v>
      </c>
      <c r="I23" s="256">
        <f t="shared" si="5"/>
        <v>0</v>
      </c>
      <c r="J23" s="256">
        <f t="shared" si="6"/>
        <v>0</v>
      </c>
      <c r="K23" s="256">
        <f t="shared" si="7"/>
        <v>0</v>
      </c>
      <c r="L23" s="128">
        <f t="shared" si="8"/>
        <v>0</v>
      </c>
      <c r="M23" s="259"/>
    </row>
    <row r="24" spans="1:16" x14ac:dyDescent="0.3">
      <c r="A24" s="424"/>
      <c r="B24" s="425"/>
      <c r="C24" s="425"/>
      <c r="D24" s="422" t="s">
        <v>111</v>
      </c>
      <c r="E24" s="423">
        <f>ROUND(0.121,2)</f>
        <v>0.12</v>
      </c>
      <c r="F24" s="423">
        <v>365</v>
      </c>
      <c r="G24" s="143">
        <f t="shared" si="9"/>
        <v>43.8</v>
      </c>
      <c r="H24" s="307">
        <f>H20</f>
        <v>0</v>
      </c>
      <c r="I24" s="256">
        <f t="shared" si="5"/>
        <v>0</v>
      </c>
      <c r="J24" s="256">
        <f t="shared" si="6"/>
        <v>0</v>
      </c>
      <c r="K24" s="256">
        <f t="shared" si="7"/>
        <v>0</v>
      </c>
      <c r="L24" s="128">
        <f t="shared" si="8"/>
        <v>0</v>
      </c>
      <c r="M24" s="259"/>
    </row>
    <row r="25" spans="1:16" x14ac:dyDescent="0.3">
      <c r="A25" s="424"/>
      <c r="B25" s="425"/>
      <c r="C25" s="425"/>
      <c r="D25" s="422" t="s">
        <v>112</v>
      </c>
      <c r="E25" s="423">
        <v>0</v>
      </c>
      <c r="F25" s="423">
        <v>365</v>
      </c>
      <c r="G25" s="145">
        <f t="shared" si="9"/>
        <v>0</v>
      </c>
      <c r="H25" s="307">
        <f>H20</f>
        <v>0</v>
      </c>
      <c r="I25" s="256">
        <f t="shared" si="5"/>
        <v>0</v>
      </c>
      <c r="J25" s="256">
        <f t="shared" si="6"/>
        <v>0</v>
      </c>
      <c r="K25" s="256">
        <f t="shared" si="7"/>
        <v>0</v>
      </c>
      <c r="L25" s="128">
        <f t="shared" si="8"/>
        <v>0</v>
      </c>
      <c r="M25" s="259"/>
    </row>
    <row r="26" spans="1:16" x14ac:dyDescent="0.3">
      <c r="A26" s="424"/>
      <c r="B26" s="425"/>
      <c r="C26" s="425"/>
      <c r="D26" s="422" t="s">
        <v>113</v>
      </c>
      <c r="E26" s="423">
        <v>7.3</v>
      </c>
      <c r="F26" s="423">
        <v>365</v>
      </c>
      <c r="G26" s="143">
        <f t="shared" si="9"/>
        <v>2664.5</v>
      </c>
      <c r="H26" s="307">
        <f>H20</f>
        <v>0</v>
      </c>
      <c r="I26" s="256">
        <f t="shared" si="5"/>
        <v>0</v>
      </c>
      <c r="J26" s="256">
        <f t="shared" si="6"/>
        <v>0</v>
      </c>
      <c r="K26" s="256">
        <f t="shared" si="7"/>
        <v>0</v>
      </c>
      <c r="L26" s="128">
        <f t="shared" si="8"/>
        <v>0</v>
      </c>
      <c r="M26" s="259"/>
    </row>
    <row r="27" spans="1:16" x14ac:dyDescent="0.3">
      <c r="A27" s="424"/>
      <c r="B27" s="491" t="s">
        <v>114</v>
      </c>
      <c r="C27" s="491"/>
      <c r="D27" s="492"/>
      <c r="E27" s="251" t="s">
        <v>115</v>
      </c>
      <c r="F27" s="423"/>
      <c r="G27" s="423"/>
      <c r="H27" s="257"/>
      <c r="I27" s="253"/>
      <c r="J27" s="253"/>
      <c r="K27" s="253"/>
      <c r="L27" s="55"/>
      <c r="M27" s="259"/>
    </row>
    <row r="28" spans="1:16" x14ac:dyDescent="0.3">
      <c r="A28" s="424"/>
      <c r="B28" s="491" t="s">
        <v>116</v>
      </c>
      <c r="C28" s="491"/>
      <c r="D28" s="492"/>
      <c r="E28" s="251" t="s">
        <v>117</v>
      </c>
      <c r="F28" s="423"/>
      <c r="G28" s="423"/>
      <c r="H28" s="257"/>
      <c r="I28" s="253"/>
      <c r="J28" s="253"/>
      <c r="K28" s="253"/>
      <c r="L28" s="55"/>
      <c r="M28" s="259"/>
    </row>
    <row r="29" spans="1:16" x14ac:dyDescent="0.3">
      <c r="A29" s="424"/>
      <c r="B29" s="491" t="s">
        <v>118</v>
      </c>
      <c r="C29" s="491"/>
      <c r="D29" s="492"/>
      <c r="E29" s="423"/>
      <c r="F29" s="423"/>
      <c r="G29" s="423"/>
      <c r="H29" s="257"/>
      <c r="I29" s="253"/>
      <c r="J29" s="253"/>
      <c r="K29" s="253"/>
      <c r="L29" s="55"/>
      <c r="M29" s="259"/>
    </row>
    <row r="30" spans="1:16" x14ac:dyDescent="0.3">
      <c r="A30" s="424"/>
      <c r="B30" s="425"/>
      <c r="C30" s="254" t="s">
        <v>95</v>
      </c>
      <c r="D30" s="255"/>
      <c r="E30" s="423"/>
      <c r="F30" s="423"/>
      <c r="G30" s="423"/>
      <c r="H30" s="252"/>
      <c r="I30" s="253"/>
      <c r="J30" s="253"/>
      <c r="K30" s="253"/>
      <c r="L30" s="55"/>
      <c r="M30" s="259"/>
    </row>
    <row r="31" spans="1:16" x14ac:dyDescent="0.3">
      <c r="A31" s="424"/>
      <c r="B31" s="425"/>
      <c r="C31" s="425"/>
      <c r="D31" s="422" t="s">
        <v>119</v>
      </c>
      <c r="E31" s="423">
        <v>5</v>
      </c>
      <c r="F31" s="423">
        <v>1</v>
      </c>
      <c r="G31" s="423">
        <f>E31*F31</f>
        <v>5</v>
      </c>
      <c r="H31" s="252">
        <v>0</v>
      </c>
      <c r="I31" s="256">
        <f t="shared" ref="I31:I32" si="10">G31*H31</f>
        <v>0</v>
      </c>
      <c r="J31" s="256">
        <f t="shared" ref="J31:J39" si="11">I31*0.05</f>
        <v>0</v>
      </c>
      <c r="K31" s="256">
        <f t="shared" ref="K31:K32" si="12">I31*0.1</f>
        <v>0</v>
      </c>
      <c r="L31" s="128">
        <f>(I31*$F$82)+(J31*$F$83)+(K31*$F$84)</f>
        <v>0</v>
      </c>
      <c r="M31" s="259"/>
    </row>
    <row r="32" spans="1:16" x14ac:dyDescent="0.3">
      <c r="A32" s="424"/>
      <c r="B32" s="425"/>
      <c r="C32" s="425"/>
      <c r="D32" s="422" t="s">
        <v>120</v>
      </c>
      <c r="E32" s="423">
        <v>3</v>
      </c>
      <c r="F32" s="423">
        <v>1</v>
      </c>
      <c r="G32" s="423">
        <f>E32*F32</f>
        <v>3</v>
      </c>
      <c r="H32" s="252">
        <v>0</v>
      </c>
      <c r="I32" s="256">
        <f t="shared" si="10"/>
        <v>0</v>
      </c>
      <c r="J32" s="256">
        <f>I32*0.05</f>
        <v>0</v>
      </c>
      <c r="K32" s="256">
        <f t="shared" si="12"/>
        <v>0</v>
      </c>
      <c r="L32" s="128">
        <f>(I32*$F$82)+(J32*$F$83)+(K32*$F$84)</f>
        <v>0</v>
      </c>
      <c r="M32" s="259"/>
    </row>
    <row r="33" spans="1:22" x14ac:dyDescent="0.3">
      <c r="A33" s="424"/>
      <c r="B33" s="425"/>
      <c r="C33" s="425"/>
      <c r="D33" s="422" t="s">
        <v>121</v>
      </c>
      <c r="E33" s="251" t="s">
        <v>115</v>
      </c>
      <c r="F33" s="423"/>
      <c r="G33" s="423"/>
      <c r="H33" s="258"/>
      <c r="I33" s="253"/>
      <c r="J33" s="253"/>
      <c r="K33" s="253"/>
      <c r="L33" s="55"/>
      <c r="M33" s="259"/>
    </row>
    <row r="34" spans="1:22" x14ac:dyDescent="0.3">
      <c r="A34" s="424"/>
      <c r="B34" s="425"/>
      <c r="C34" s="425"/>
      <c r="D34" s="422" t="s">
        <v>122</v>
      </c>
      <c r="E34" s="423">
        <v>16.5</v>
      </c>
      <c r="F34" s="423">
        <v>1</v>
      </c>
      <c r="G34" s="423">
        <f>E34*F34</f>
        <v>16.5</v>
      </c>
      <c r="H34" s="252">
        <v>0</v>
      </c>
      <c r="I34" s="256">
        <f>G34*H34</f>
        <v>0</v>
      </c>
      <c r="J34" s="256">
        <f>I34*0.05</f>
        <v>0</v>
      </c>
      <c r="K34" s="256">
        <f>I34*0.1</f>
        <v>0</v>
      </c>
      <c r="L34" s="128">
        <f t="shared" ref="L34:L39" si="13">(I34*$F$82)+(J34*$F$83)+(K34*$F$84)</f>
        <v>0</v>
      </c>
      <c r="M34" s="259"/>
    </row>
    <row r="35" spans="1:22" x14ac:dyDescent="0.3">
      <c r="A35" s="424"/>
      <c r="B35" s="425"/>
      <c r="C35" s="425"/>
      <c r="D35" s="422" t="s">
        <v>123</v>
      </c>
      <c r="E35" s="423">
        <v>4</v>
      </c>
      <c r="F35" s="423">
        <v>1</v>
      </c>
      <c r="G35" s="423">
        <f t="shared" ref="G35:G39" si="14">E35*F35</f>
        <v>4</v>
      </c>
      <c r="H35" s="252">
        <v>0</v>
      </c>
      <c r="I35" s="256">
        <f t="shared" ref="I35:I39" si="15">G35*H35</f>
        <v>0</v>
      </c>
      <c r="J35" s="256">
        <f t="shared" si="11"/>
        <v>0</v>
      </c>
      <c r="K35" s="256">
        <f t="shared" ref="K35:K39" si="16">I35*0.1</f>
        <v>0</v>
      </c>
      <c r="L35" s="128">
        <f t="shared" si="13"/>
        <v>0</v>
      </c>
      <c r="M35" s="259"/>
    </row>
    <row r="36" spans="1:22" x14ac:dyDescent="0.3">
      <c r="A36" s="424"/>
      <c r="B36" s="425"/>
      <c r="C36" s="425"/>
      <c r="D36" s="422" t="s">
        <v>124</v>
      </c>
      <c r="E36" s="423">
        <v>10</v>
      </c>
      <c r="F36" s="423">
        <v>1</v>
      </c>
      <c r="G36" s="423">
        <f t="shared" si="14"/>
        <v>10</v>
      </c>
      <c r="H36" s="252">
        <f>H37*0.1</f>
        <v>6.210782608695653</v>
      </c>
      <c r="I36" s="256">
        <f t="shared" si="15"/>
        <v>62.107826086956528</v>
      </c>
      <c r="J36" s="285">
        <f t="shared" si="11"/>
        <v>3.1053913043478265</v>
      </c>
      <c r="K36" s="285">
        <f t="shared" si="16"/>
        <v>6.210782608695653</v>
      </c>
      <c r="L36" s="286">
        <f t="shared" si="13"/>
        <v>3975.2486733913047</v>
      </c>
      <c r="M36" s="259"/>
    </row>
    <row r="37" spans="1:22" x14ac:dyDescent="0.3">
      <c r="A37" s="424"/>
      <c r="B37" s="425"/>
      <c r="C37" s="425"/>
      <c r="D37" s="422" t="s">
        <v>125</v>
      </c>
      <c r="E37" s="249">
        <v>65</v>
      </c>
      <c r="F37" s="423">
        <v>2</v>
      </c>
      <c r="G37" s="423">
        <f t="shared" si="14"/>
        <v>130</v>
      </c>
      <c r="H37" s="252">
        <f>'Regulated Sources_Overview'!D149</f>
        <v>62.107826086956528</v>
      </c>
      <c r="I37" s="256">
        <f t="shared" si="15"/>
        <v>8074.0173913043491</v>
      </c>
      <c r="J37" s="256">
        <f t="shared" si="11"/>
        <v>403.70086956521749</v>
      </c>
      <c r="K37" s="256">
        <f t="shared" si="16"/>
        <v>807.40173913043498</v>
      </c>
      <c r="L37" s="286">
        <f t="shared" si="13"/>
        <v>516782.32754086971</v>
      </c>
      <c r="M37" s="259"/>
      <c r="P37" s="338"/>
    </row>
    <row r="38" spans="1:22" x14ac:dyDescent="0.3">
      <c r="A38" s="424"/>
      <c r="B38" s="425"/>
      <c r="C38" s="425"/>
      <c r="D38" s="422" t="s">
        <v>126</v>
      </c>
      <c r="E38" s="423">
        <v>20</v>
      </c>
      <c r="F38" s="423">
        <v>1</v>
      </c>
      <c r="G38" s="423">
        <f t="shared" si="14"/>
        <v>20</v>
      </c>
      <c r="H38" s="252">
        <f>H37</f>
        <v>62.107826086956528</v>
      </c>
      <c r="I38" s="256">
        <f t="shared" si="15"/>
        <v>1242.1565217391305</v>
      </c>
      <c r="J38" s="256">
        <f t="shared" si="11"/>
        <v>62.107826086956528</v>
      </c>
      <c r="K38" s="256">
        <f t="shared" si="16"/>
        <v>124.21565217391306</v>
      </c>
      <c r="L38" s="128">
        <f t="shared" si="13"/>
        <v>79504.973467826087</v>
      </c>
      <c r="M38" s="259"/>
      <c r="P38" s="338"/>
      <c r="T38" s="259">
        <v>45735</v>
      </c>
      <c r="U38" s="130">
        <f>L38/T38</f>
        <v>1.7383835895446833</v>
      </c>
      <c r="V38" s="130">
        <f>H38/U38</f>
        <v>35.727342607521841</v>
      </c>
    </row>
    <row r="39" spans="1:22" x14ac:dyDescent="0.3">
      <c r="A39" s="424"/>
      <c r="B39" s="425"/>
      <c r="C39" s="425"/>
      <c r="D39" s="422" t="s">
        <v>127</v>
      </c>
      <c r="E39" s="423">
        <v>5</v>
      </c>
      <c r="F39" s="423">
        <v>1</v>
      </c>
      <c r="G39" s="423">
        <f t="shared" si="14"/>
        <v>5</v>
      </c>
      <c r="H39" s="252">
        <f>H36</f>
        <v>6.210782608695653</v>
      </c>
      <c r="I39" s="256">
        <f t="shared" si="15"/>
        <v>31.053913043478264</v>
      </c>
      <c r="J39" s="256">
        <f t="shared" si="11"/>
        <v>1.5526956521739133</v>
      </c>
      <c r="K39" s="256">
        <f t="shared" si="16"/>
        <v>3.1053913043478265</v>
      </c>
      <c r="L39" s="128">
        <f t="shared" si="13"/>
        <v>1987.6243366956523</v>
      </c>
      <c r="M39" s="259"/>
      <c r="P39" s="338"/>
    </row>
    <row r="40" spans="1:22" x14ac:dyDescent="0.3">
      <c r="A40" s="424"/>
      <c r="B40" s="425"/>
      <c r="C40" s="367" t="s">
        <v>139</v>
      </c>
      <c r="D40" s="255"/>
      <c r="E40" s="423"/>
      <c r="F40" s="423"/>
      <c r="G40" s="423"/>
      <c r="H40" s="307"/>
      <c r="I40" s="253"/>
      <c r="J40" s="253"/>
      <c r="K40" s="253"/>
      <c r="L40" s="55"/>
      <c r="M40" s="259"/>
    </row>
    <row r="41" spans="1:22" x14ac:dyDescent="0.3">
      <c r="A41" s="424"/>
      <c r="B41" s="425"/>
      <c r="C41" s="425"/>
      <c r="D41" s="422" t="s">
        <v>128</v>
      </c>
      <c r="E41" s="423">
        <v>3</v>
      </c>
      <c r="F41" s="423">
        <v>1</v>
      </c>
      <c r="G41" s="423">
        <f>E41*F41</f>
        <v>3</v>
      </c>
      <c r="H41" s="307">
        <f>H20</f>
        <v>0</v>
      </c>
      <c r="I41" s="256">
        <f t="shared" ref="I41:I42" si="17">G41*H41</f>
        <v>0</v>
      </c>
      <c r="J41" s="256">
        <f t="shared" ref="J41:J42" si="18">I41*0.05</f>
        <v>0</v>
      </c>
      <c r="K41" s="256">
        <f t="shared" ref="K41:K42" si="19">I41*0.1</f>
        <v>0</v>
      </c>
      <c r="L41" s="128">
        <f t="shared" ref="L41:L42" si="20">(I41*$F$82)+(J41*$F$83)+(K41*$F$84)</f>
        <v>0</v>
      </c>
      <c r="M41" s="259"/>
    </row>
    <row r="42" spans="1:22" x14ac:dyDescent="0.3">
      <c r="A42" s="424"/>
      <c r="B42" s="425"/>
      <c r="C42" s="425"/>
      <c r="D42" s="422" t="s">
        <v>119</v>
      </c>
      <c r="E42" s="423">
        <v>5</v>
      </c>
      <c r="F42" s="423">
        <v>1</v>
      </c>
      <c r="G42" s="423">
        <f>E42*F42</f>
        <v>5</v>
      </c>
      <c r="H42" s="307">
        <f>H20</f>
        <v>0</v>
      </c>
      <c r="I42" s="256">
        <f t="shared" si="17"/>
        <v>0</v>
      </c>
      <c r="J42" s="256">
        <f t="shared" si="18"/>
        <v>0</v>
      </c>
      <c r="K42" s="256">
        <f t="shared" si="19"/>
        <v>0</v>
      </c>
      <c r="L42" s="128">
        <f t="shared" si="20"/>
        <v>0</v>
      </c>
      <c r="M42" s="259"/>
    </row>
    <row r="43" spans="1:22" x14ac:dyDescent="0.3">
      <c r="A43" s="424"/>
      <c r="B43" s="425"/>
      <c r="C43" s="425"/>
      <c r="D43" s="422" t="s">
        <v>120</v>
      </c>
      <c r="E43" s="423">
        <v>4</v>
      </c>
      <c r="F43" s="423">
        <v>1</v>
      </c>
      <c r="G43" s="423">
        <f>E43*F43</f>
        <v>4</v>
      </c>
      <c r="H43" s="307">
        <f>H20</f>
        <v>0</v>
      </c>
      <c r="I43" s="256">
        <f>G43*H43</f>
        <v>0</v>
      </c>
      <c r="J43" s="256">
        <f>I43*0.05</f>
        <v>0</v>
      </c>
      <c r="K43" s="256">
        <f>I43*0.1</f>
        <v>0</v>
      </c>
      <c r="L43" s="128">
        <f>(I43*$F$82)+(J43*$F$83)+(K43*$F$84)</f>
        <v>0</v>
      </c>
      <c r="M43" s="259"/>
    </row>
    <row r="44" spans="1:22" x14ac:dyDescent="0.3">
      <c r="A44" s="424"/>
      <c r="B44" s="425"/>
      <c r="C44" s="425"/>
      <c r="D44" s="422" t="s">
        <v>121</v>
      </c>
      <c r="E44" s="251" t="s">
        <v>115</v>
      </c>
      <c r="F44" s="423"/>
      <c r="G44" s="423"/>
      <c r="H44" s="306"/>
      <c r="I44" s="253"/>
      <c r="J44" s="253"/>
      <c r="K44" s="253"/>
      <c r="L44" s="55"/>
      <c r="M44" s="259"/>
    </row>
    <row r="45" spans="1:22" x14ac:dyDescent="0.3">
      <c r="A45" s="424"/>
      <c r="B45" s="425"/>
      <c r="C45" s="425"/>
      <c r="D45" s="422" t="s">
        <v>122</v>
      </c>
      <c r="E45" s="423">
        <v>16.5</v>
      </c>
      <c r="F45" s="423">
        <v>1</v>
      </c>
      <c r="G45" s="423">
        <f>E45*F45</f>
        <v>16.5</v>
      </c>
      <c r="H45" s="307">
        <f>H20</f>
        <v>0</v>
      </c>
      <c r="I45" s="256">
        <f>G45*H45</f>
        <v>0</v>
      </c>
      <c r="J45" s="256">
        <f>I45*0.05</f>
        <v>0</v>
      </c>
      <c r="K45" s="256">
        <f>I45*0.1</f>
        <v>0</v>
      </c>
      <c r="L45" s="128">
        <f t="shared" ref="L45:L50" si="21">(I45*$F$82)+(J45*$F$83)+(K45*$F$84)</f>
        <v>0</v>
      </c>
      <c r="M45" s="259"/>
    </row>
    <row r="46" spans="1:22" x14ac:dyDescent="0.3">
      <c r="A46" s="424"/>
      <c r="B46" s="425"/>
      <c r="C46" s="425"/>
      <c r="D46" s="422" t="s">
        <v>123</v>
      </c>
      <c r="E46" s="423">
        <v>3</v>
      </c>
      <c r="F46" s="423">
        <v>1</v>
      </c>
      <c r="G46" s="423">
        <f t="shared" ref="G46:G47" si="22">E46*F46</f>
        <v>3</v>
      </c>
      <c r="H46" s="307">
        <f>H20</f>
        <v>0</v>
      </c>
      <c r="I46" s="256">
        <f t="shared" ref="I46:I50" si="23">G46*H46</f>
        <v>0</v>
      </c>
      <c r="J46" s="256">
        <f t="shared" ref="J46:J50" si="24">I46*0.05</f>
        <v>0</v>
      </c>
      <c r="K46" s="256">
        <f t="shared" ref="K46:K50" si="25">I46*0.1</f>
        <v>0</v>
      </c>
      <c r="L46" s="128">
        <f t="shared" si="21"/>
        <v>0</v>
      </c>
      <c r="M46" s="259"/>
    </row>
    <row r="47" spans="1:22" x14ac:dyDescent="0.3">
      <c r="A47" s="424"/>
      <c r="B47" s="425"/>
      <c r="C47" s="425"/>
      <c r="D47" s="422" t="s">
        <v>124</v>
      </c>
      <c r="E47" s="423">
        <v>10</v>
      </c>
      <c r="F47" s="423">
        <v>1</v>
      </c>
      <c r="G47" s="423">
        <f t="shared" si="22"/>
        <v>10</v>
      </c>
      <c r="H47" s="378">
        <f>H20*0.1</f>
        <v>0</v>
      </c>
      <c r="I47" s="256">
        <f t="shared" si="23"/>
        <v>0</v>
      </c>
      <c r="J47" s="256">
        <f t="shared" si="24"/>
        <v>0</v>
      </c>
      <c r="K47" s="256">
        <f t="shared" si="25"/>
        <v>0</v>
      </c>
      <c r="L47" s="128">
        <f t="shared" si="21"/>
        <v>0</v>
      </c>
      <c r="M47" s="259"/>
    </row>
    <row r="48" spans="1:22" x14ac:dyDescent="0.3">
      <c r="A48" s="424"/>
      <c r="B48" s="425"/>
      <c r="C48" s="425"/>
      <c r="D48" s="422" t="s">
        <v>125</v>
      </c>
      <c r="E48" s="423">
        <v>75</v>
      </c>
      <c r="F48" s="423">
        <v>2</v>
      </c>
      <c r="G48" s="423">
        <f>E48*F48</f>
        <v>150</v>
      </c>
      <c r="H48" s="307">
        <f>H20</f>
        <v>0</v>
      </c>
      <c r="I48" s="256">
        <f t="shared" si="23"/>
        <v>0</v>
      </c>
      <c r="J48" s="256">
        <f t="shared" si="24"/>
        <v>0</v>
      </c>
      <c r="K48" s="256">
        <f t="shared" si="25"/>
        <v>0</v>
      </c>
      <c r="L48" s="128">
        <f t="shared" si="21"/>
        <v>0</v>
      </c>
      <c r="M48" s="259"/>
      <c r="P48" s="338"/>
    </row>
    <row r="49" spans="1:16" x14ac:dyDescent="0.3">
      <c r="A49" s="424"/>
      <c r="B49" s="425"/>
      <c r="C49" s="425"/>
      <c r="D49" s="422" t="s">
        <v>126</v>
      </c>
      <c r="E49" s="423">
        <v>20</v>
      </c>
      <c r="F49" s="423">
        <v>1</v>
      </c>
      <c r="G49" s="423">
        <f>E49*F49</f>
        <v>20</v>
      </c>
      <c r="H49" s="307">
        <f>H20</f>
        <v>0</v>
      </c>
      <c r="I49" s="256">
        <f t="shared" si="23"/>
        <v>0</v>
      </c>
      <c r="J49" s="256">
        <f t="shared" si="24"/>
        <v>0</v>
      </c>
      <c r="K49" s="256">
        <f t="shared" si="25"/>
        <v>0</v>
      </c>
      <c r="L49" s="128">
        <f t="shared" si="21"/>
        <v>0</v>
      </c>
      <c r="M49" s="259"/>
      <c r="P49" s="338"/>
    </row>
    <row r="50" spans="1:16" x14ac:dyDescent="0.3">
      <c r="A50" s="424"/>
      <c r="B50" s="425"/>
      <c r="C50" s="425"/>
      <c r="D50" s="422" t="s">
        <v>127</v>
      </c>
      <c r="E50" s="423">
        <v>5</v>
      </c>
      <c r="F50" s="423">
        <v>1</v>
      </c>
      <c r="G50" s="423">
        <f>E50*F50</f>
        <v>5</v>
      </c>
      <c r="H50" s="378">
        <f>H20*0.1</f>
        <v>0</v>
      </c>
      <c r="I50" s="256">
        <f t="shared" si="23"/>
        <v>0</v>
      </c>
      <c r="J50" s="256">
        <f t="shared" si="24"/>
        <v>0</v>
      </c>
      <c r="K50" s="256">
        <f t="shared" si="25"/>
        <v>0</v>
      </c>
      <c r="L50" s="128">
        <f t="shared" si="21"/>
        <v>0</v>
      </c>
      <c r="M50" s="259"/>
      <c r="P50" s="338"/>
    </row>
    <row r="51" spans="1:16" s="134" customFormat="1" x14ac:dyDescent="0.3">
      <c r="A51" s="146" t="s">
        <v>129</v>
      </c>
      <c r="B51" s="147"/>
      <c r="C51" s="148"/>
      <c r="D51" s="148"/>
      <c r="E51" s="148"/>
      <c r="F51" s="421"/>
      <c r="G51" s="149"/>
      <c r="H51" s="252"/>
      <c r="I51" s="490">
        <f>SUM(I7:K50)</f>
        <v>28373.15750400001</v>
      </c>
      <c r="J51" s="490"/>
      <c r="K51" s="490"/>
      <c r="L51" s="288">
        <f>SUM(L7:L50)</f>
        <v>1579166.0608156722</v>
      </c>
      <c r="M51" s="314"/>
    </row>
    <row r="52" spans="1:16" x14ac:dyDescent="0.3">
      <c r="A52" s="498" t="s">
        <v>130</v>
      </c>
      <c r="B52" s="499"/>
      <c r="C52" s="499"/>
      <c r="D52" s="491"/>
      <c r="E52" s="423"/>
      <c r="F52" s="423"/>
      <c r="G52" s="423"/>
      <c r="H52" s="252"/>
      <c r="I52" s="253"/>
      <c r="J52" s="253"/>
      <c r="K52" s="253"/>
      <c r="L52" s="55"/>
      <c r="M52" s="259"/>
    </row>
    <row r="53" spans="1:16" ht="12.75" customHeight="1" x14ac:dyDescent="0.3">
      <c r="A53" s="424"/>
      <c r="B53" s="491" t="s">
        <v>92</v>
      </c>
      <c r="C53" s="491"/>
      <c r="D53" s="492"/>
      <c r="E53" s="251" t="s">
        <v>131</v>
      </c>
      <c r="F53" s="423"/>
      <c r="G53" s="423"/>
      <c r="H53" s="252"/>
      <c r="I53" s="253"/>
      <c r="J53" s="253"/>
      <c r="K53" s="253"/>
      <c r="L53" s="55"/>
      <c r="M53" s="259"/>
    </row>
    <row r="54" spans="1:16" x14ac:dyDescent="0.3">
      <c r="A54" s="424"/>
      <c r="B54" s="491" t="s">
        <v>132</v>
      </c>
      <c r="C54" s="491"/>
      <c r="D54" s="492"/>
      <c r="E54" s="251" t="s">
        <v>115</v>
      </c>
      <c r="F54" s="423"/>
      <c r="G54" s="423"/>
      <c r="H54" s="252"/>
      <c r="I54" s="253"/>
      <c r="J54" s="253"/>
      <c r="K54" s="253"/>
      <c r="L54" s="55"/>
      <c r="M54" s="259"/>
    </row>
    <row r="55" spans="1:16" x14ac:dyDescent="0.3">
      <c r="A55" s="424"/>
      <c r="B55" s="491" t="s">
        <v>133</v>
      </c>
      <c r="C55" s="491"/>
      <c r="D55" s="492"/>
      <c r="E55" s="251" t="s">
        <v>115</v>
      </c>
      <c r="F55" s="423"/>
      <c r="G55" s="423"/>
      <c r="H55" s="252"/>
      <c r="I55" s="253"/>
      <c r="J55" s="253"/>
      <c r="K55" s="253"/>
      <c r="L55" s="55"/>
      <c r="M55" s="259"/>
    </row>
    <row r="56" spans="1:16" x14ac:dyDescent="0.3">
      <c r="A56" s="424"/>
      <c r="B56" s="491" t="s">
        <v>134</v>
      </c>
      <c r="C56" s="491"/>
      <c r="D56" s="492"/>
      <c r="E56" s="251" t="s">
        <v>12</v>
      </c>
      <c r="F56" s="423"/>
      <c r="G56" s="423"/>
      <c r="H56" s="252"/>
      <c r="I56" s="253"/>
      <c r="J56" s="253"/>
      <c r="K56" s="253"/>
      <c r="L56" s="55"/>
      <c r="M56" s="259"/>
    </row>
    <row r="57" spans="1:16" x14ac:dyDescent="0.3">
      <c r="A57" s="424"/>
      <c r="B57" s="491" t="s">
        <v>135</v>
      </c>
      <c r="C57" s="491"/>
      <c r="D57" s="492"/>
      <c r="E57" s="423"/>
      <c r="F57" s="423"/>
      <c r="G57" s="423"/>
      <c r="H57" s="252"/>
      <c r="I57" s="253"/>
      <c r="J57" s="253"/>
      <c r="K57" s="253"/>
      <c r="L57" s="55"/>
      <c r="M57" s="259"/>
    </row>
    <row r="58" spans="1:16" x14ac:dyDescent="0.3">
      <c r="A58" s="424"/>
      <c r="B58" s="425"/>
      <c r="C58" s="254" t="s">
        <v>95</v>
      </c>
      <c r="D58" s="255"/>
      <c r="E58" s="423"/>
      <c r="F58" s="423"/>
      <c r="G58" s="423"/>
      <c r="H58" s="263"/>
      <c r="I58" s="253"/>
      <c r="J58" s="253"/>
      <c r="K58" s="253"/>
      <c r="L58" s="55"/>
      <c r="M58" s="259"/>
    </row>
    <row r="59" spans="1:16" x14ac:dyDescent="0.3">
      <c r="A59" s="424"/>
      <c r="B59" s="425"/>
      <c r="C59" s="425"/>
      <c r="D59" s="422" t="s">
        <v>136</v>
      </c>
      <c r="E59" s="423">
        <v>1</v>
      </c>
      <c r="F59" s="423">
        <v>12</v>
      </c>
      <c r="G59" s="423">
        <f t="shared" ref="G59:G66" si="26">E59*F59</f>
        <v>12</v>
      </c>
      <c r="H59" s="263">
        <f>H61*0.1</f>
        <v>6.210782608695653</v>
      </c>
      <c r="I59" s="256">
        <f t="shared" ref="I59:I61" si="27">G59*H59</f>
        <v>74.52939130434784</v>
      </c>
      <c r="J59" s="285">
        <f t="shared" ref="J59:J61" si="28">I59*0.05</f>
        <v>3.7264695652173923</v>
      </c>
      <c r="K59" s="285">
        <f t="shared" ref="K59:K61" si="29">I59*0.1</f>
        <v>7.4529391304347845</v>
      </c>
      <c r="L59" s="286">
        <f>(I59*$F$82)+(J59*$F$83)+(K59*$F$84)</f>
        <v>4770.298408069566</v>
      </c>
      <c r="M59" s="259"/>
    </row>
    <row r="60" spans="1:16" x14ac:dyDescent="0.3">
      <c r="A60" s="424"/>
      <c r="B60" s="425"/>
      <c r="C60" s="425"/>
      <c r="D60" s="422" t="s">
        <v>137</v>
      </c>
      <c r="E60" s="423">
        <v>1</v>
      </c>
      <c r="F60" s="423">
        <v>12</v>
      </c>
      <c r="G60" s="423">
        <f t="shared" si="26"/>
        <v>12</v>
      </c>
      <c r="H60" s="263">
        <f>H61*0.1</f>
        <v>6.210782608695653</v>
      </c>
      <c r="I60" s="256">
        <f t="shared" si="27"/>
        <v>74.52939130434784</v>
      </c>
      <c r="J60" s="285">
        <f t="shared" si="28"/>
        <v>3.7264695652173923</v>
      </c>
      <c r="K60" s="285">
        <f t="shared" si="29"/>
        <v>7.4529391304347845</v>
      </c>
      <c r="L60" s="286">
        <f t="shared" ref="L60" si="30">(I60*$F$82)+(J60*$F$83)+(K60*$F$84)</f>
        <v>4770.298408069566</v>
      </c>
      <c r="M60" s="259"/>
    </row>
    <row r="61" spans="1:16" x14ac:dyDescent="0.3">
      <c r="A61" s="424"/>
      <c r="B61" s="425"/>
      <c r="C61" s="425"/>
      <c r="D61" s="422" t="s">
        <v>138</v>
      </c>
      <c r="E61" s="423">
        <v>2</v>
      </c>
      <c r="F61" s="423">
        <v>12</v>
      </c>
      <c r="G61" s="423">
        <f t="shared" si="26"/>
        <v>24</v>
      </c>
      <c r="H61" s="252">
        <f>'Regulated Sources_Overview'!D149</f>
        <v>62.107826086956528</v>
      </c>
      <c r="I61" s="256">
        <f t="shared" si="27"/>
        <v>1490.5878260869567</v>
      </c>
      <c r="J61" s="285">
        <f t="shared" si="28"/>
        <v>74.52939130434784</v>
      </c>
      <c r="K61" s="285">
        <f t="shared" si="29"/>
        <v>149.05878260869568</v>
      </c>
      <c r="L61" s="286">
        <f>(I61*$F$82)+(J61*$F$83)+(K61*$F$84)</f>
        <v>95405.968161391327</v>
      </c>
      <c r="M61" s="259"/>
    </row>
    <row r="62" spans="1:16" x14ac:dyDescent="0.3">
      <c r="A62" s="424"/>
      <c r="B62" s="425"/>
      <c r="C62" s="367" t="s">
        <v>105</v>
      </c>
      <c r="D62" s="255"/>
      <c r="E62" s="423"/>
      <c r="F62" s="423"/>
      <c r="G62" s="423"/>
      <c r="H62" s="252"/>
      <c r="I62" s="253"/>
      <c r="J62" s="253"/>
      <c r="K62" s="253"/>
      <c r="L62" s="55"/>
      <c r="M62" s="259"/>
    </row>
    <row r="63" spans="1:16" x14ac:dyDescent="0.3">
      <c r="A63" s="424"/>
      <c r="B63" s="425"/>
      <c r="C63" s="425"/>
      <c r="D63" s="422" t="s">
        <v>136</v>
      </c>
      <c r="E63" s="423">
        <v>1</v>
      </c>
      <c r="F63" s="423">
        <v>12</v>
      </c>
      <c r="G63" s="423">
        <f t="shared" si="26"/>
        <v>12</v>
      </c>
      <c r="H63" s="378">
        <f>H20*0.1</f>
        <v>0</v>
      </c>
      <c r="I63" s="256">
        <f t="shared" ref="I63:I66" si="31">G63*H63</f>
        <v>0</v>
      </c>
      <c r="J63" s="256">
        <f t="shared" ref="J63:J66" si="32">I63*0.05</f>
        <v>0</v>
      </c>
      <c r="K63" s="256">
        <f t="shared" ref="K63:K66" si="33">I63*0.1</f>
        <v>0</v>
      </c>
      <c r="L63" s="128">
        <f t="shared" ref="L63:L66" si="34">(I63*$F$82)+(J63*$F$83)+(K63*$F$84)</f>
        <v>0</v>
      </c>
      <c r="M63" s="259"/>
    </row>
    <row r="64" spans="1:16" x14ac:dyDescent="0.3">
      <c r="A64" s="424"/>
      <c r="B64" s="425"/>
      <c r="C64" s="425"/>
      <c r="D64" s="422" t="s">
        <v>137</v>
      </c>
      <c r="E64" s="423">
        <v>1</v>
      </c>
      <c r="F64" s="423">
        <v>12</v>
      </c>
      <c r="G64" s="423">
        <f t="shared" si="26"/>
        <v>12</v>
      </c>
      <c r="H64" s="378">
        <f>H20*0.1</f>
        <v>0</v>
      </c>
      <c r="I64" s="256">
        <f t="shared" si="31"/>
        <v>0</v>
      </c>
      <c r="J64" s="256">
        <f t="shared" si="32"/>
        <v>0</v>
      </c>
      <c r="K64" s="256">
        <f t="shared" si="33"/>
        <v>0</v>
      </c>
      <c r="L64" s="128">
        <f t="shared" si="34"/>
        <v>0</v>
      </c>
      <c r="M64" s="259"/>
    </row>
    <row r="65" spans="1:13" x14ac:dyDescent="0.3">
      <c r="A65" s="424"/>
      <c r="B65" s="425"/>
      <c r="C65" s="425"/>
      <c r="D65" s="422" t="s">
        <v>138</v>
      </c>
      <c r="E65" s="423">
        <v>2</v>
      </c>
      <c r="F65" s="423">
        <v>12</v>
      </c>
      <c r="G65" s="423">
        <f t="shared" si="26"/>
        <v>24</v>
      </c>
      <c r="H65" s="307">
        <f>H20</f>
        <v>0</v>
      </c>
      <c r="I65" s="256">
        <f t="shared" si="31"/>
        <v>0</v>
      </c>
      <c r="J65" s="256">
        <f t="shared" si="32"/>
        <v>0</v>
      </c>
      <c r="K65" s="256">
        <f t="shared" si="33"/>
        <v>0</v>
      </c>
      <c r="L65" s="128">
        <f t="shared" si="34"/>
        <v>0</v>
      </c>
      <c r="M65" s="259"/>
    </row>
    <row r="66" spans="1:13" x14ac:dyDescent="0.3">
      <c r="A66" s="424"/>
      <c r="B66" s="491" t="s">
        <v>140</v>
      </c>
      <c r="C66" s="491"/>
      <c r="D66" s="492"/>
      <c r="E66" s="423">
        <f xml:space="preserve"> 16+ 64</f>
        <v>80</v>
      </c>
      <c r="F66" s="423">
        <v>1</v>
      </c>
      <c r="G66" s="423">
        <f t="shared" si="26"/>
        <v>80</v>
      </c>
      <c r="H66" s="307">
        <f>H42</f>
        <v>0</v>
      </c>
      <c r="I66" s="256">
        <f t="shared" si="31"/>
        <v>0</v>
      </c>
      <c r="J66" s="256">
        <f t="shared" si="32"/>
        <v>0</v>
      </c>
      <c r="K66" s="256">
        <f t="shared" si="33"/>
        <v>0</v>
      </c>
      <c r="L66" s="128">
        <f t="shared" si="34"/>
        <v>0</v>
      </c>
      <c r="M66" s="259"/>
    </row>
    <row r="67" spans="1:13" x14ac:dyDescent="0.3">
      <c r="A67" s="424"/>
      <c r="B67" s="491" t="s">
        <v>141</v>
      </c>
      <c r="C67" s="491"/>
      <c r="D67" s="492"/>
      <c r="E67" s="251" t="s">
        <v>12</v>
      </c>
      <c r="F67" s="423"/>
      <c r="G67" s="423"/>
      <c r="H67" s="252"/>
      <c r="I67" s="253"/>
      <c r="J67" s="253"/>
      <c r="K67" s="253"/>
      <c r="L67" s="55"/>
      <c r="M67" s="259"/>
    </row>
    <row r="68" spans="1:13" s="134" customFormat="1" x14ac:dyDescent="0.3">
      <c r="A68" s="146" t="s">
        <v>142</v>
      </c>
      <c r="B68" s="150"/>
      <c r="C68" s="148"/>
      <c r="D68" s="148"/>
      <c r="E68" s="148"/>
      <c r="F68" s="421"/>
      <c r="G68" s="149"/>
      <c r="H68" s="149"/>
      <c r="I68" s="490">
        <f>SUM(I53:K66)</f>
        <v>1885.5936000000004</v>
      </c>
      <c r="J68" s="490"/>
      <c r="K68" s="490"/>
      <c r="L68" s="288">
        <f>SUM(L53:L66)</f>
        <v>104946.56497753046</v>
      </c>
      <c r="M68" s="187"/>
    </row>
    <row r="69" spans="1:13" s="134" customFormat="1" ht="14.5" x14ac:dyDescent="0.3">
      <c r="A69" s="171" t="s">
        <v>190</v>
      </c>
      <c r="B69" s="150"/>
      <c r="C69" s="172"/>
      <c r="D69" s="223"/>
      <c r="E69" s="224"/>
      <c r="F69" s="225"/>
      <c r="G69" s="226"/>
      <c r="H69" s="226"/>
      <c r="I69" s="493">
        <f>ROUND(I51+I68,-3)</f>
        <v>30000</v>
      </c>
      <c r="J69" s="494"/>
      <c r="K69" s="495"/>
      <c r="L69" s="289">
        <f>ROUND(L51+L68,-5)</f>
        <v>1700000</v>
      </c>
      <c r="M69" s="314"/>
    </row>
    <row r="70" spans="1:13" s="134" customFormat="1" ht="14.5" x14ac:dyDescent="0.3">
      <c r="A70" s="146" t="s">
        <v>191</v>
      </c>
      <c r="B70" s="149"/>
      <c r="C70" s="148"/>
      <c r="D70" s="224"/>
      <c r="E70" s="224"/>
      <c r="F70" s="225"/>
      <c r="G70" s="226"/>
      <c r="H70" s="226"/>
      <c r="I70" s="225"/>
      <c r="J70" s="225"/>
      <c r="K70" s="225"/>
      <c r="L70" s="289">
        <f>ROUND(H102+K113,-5)</f>
        <v>8200000</v>
      </c>
      <c r="M70" s="314"/>
    </row>
    <row r="71" spans="1:13" s="134" customFormat="1" ht="14.5" x14ac:dyDescent="0.3">
      <c r="A71" s="146" t="s">
        <v>192</v>
      </c>
      <c r="B71" s="149"/>
      <c r="C71" s="148"/>
      <c r="D71" s="224"/>
      <c r="E71" s="224"/>
      <c r="F71" s="225"/>
      <c r="G71" s="226"/>
      <c r="H71" s="226"/>
      <c r="I71" s="225"/>
      <c r="J71" s="225">
        <f>ROUND(I69+I68,-3)</f>
        <v>32000</v>
      </c>
      <c r="K71" s="225"/>
      <c r="L71" s="289">
        <f>ROUND(L69+L70,-5)</f>
        <v>9900000</v>
      </c>
      <c r="M71" s="314"/>
    </row>
    <row r="72" spans="1:13" s="152" customFormat="1" x14ac:dyDescent="0.3">
      <c r="A72" s="259"/>
      <c r="B72" s="259"/>
      <c r="C72" s="259"/>
      <c r="D72" s="259"/>
      <c r="E72" s="259"/>
      <c r="F72" s="259"/>
      <c r="G72" s="259"/>
      <c r="H72" s="260"/>
      <c r="I72" s="259"/>
      <c r="J72" s="260"/>
      <c r="K72" s="259"/>
      <c r="L72" s="174"/>
      <c r="M72" s="259"/>
    </row>
    <row r="73" spans="1:13" s="152" customFormat="1" x14ac:dyDescent="0.3">
      <c r="A73" s="261" t="s">
        <v>146</v>
      </c>
      <c r="B73" s="259"/>
      <c r="C73" s="259"/>
      <c r="D73" s="259"/>
      <c r="E73" s="259"/>
      <c r="F73" s="259"/>
      <c r="G73" s="259"/>
      <c r="H73" s="260"/>
      <c r="I73" s="259"/>
      <c r="J73" s="259"/>
      <c r="K73" s="259"/>
      <c r="L73" s="38"/>
      <c r="M73" s="259"/>
    </row>
    <row r="74" spans="1:13" s="152" customFormat="1" ht="43.5" customHeight="1" x14ac:dyDescent="0.3">
      <c r="A74" s="508" t="s">
        <v>193</v>
      </c>
      <c r="B74" s="508"/>
      <c r="C74" s="508"/>
      <c r="D74" s="508"/>
      <c r="E74" s="508"/>
      <c r="F74" s="508"/>
      <c r="G74" s="508"/>
      <c r="H74" s="508"/>
      <c r="I74" s="508"/>
      <c r="J74" s="508"/>
      <c r="K74" s="508"/>
      <c r="L74" s="508"/>
      <c r="M74" s="154"/>
    </row>
    <row r="75" spans="1:13" s="152" customFormat="1" ht="27.75" customHeight="1" x14ac:dyDescent="0.3">
      <c r="A75" s="497" t="s">
        <v>194</v>
      </c>
      <c r="B75" s="497"/>
      <c r="C75" s="497"/>
      <c r="D75" s="497"/>
      <c r="E75" s="497"/>
      <c r="F75" s="497"/>
      <c r="G75" s="497"/>
      <c r="H75" s="497"/>
      <c r="I75" s="497"/>
      <c r="J75" s="497"/>
      <c r="K75" s="497"/>
      <c r="L75" s="497"/>
      <c r="M75" s="259"/>
    </row>
    <row r="76" spans="1:13" s="151" customFormat="1" ht="30" customHeight="1" x14ac:dyDescent="0.3">
      <c r="A76" s="500" t="s">
        <v>195</v>
      </c>
      <c r="B76" s="500"/>
      <c r="C76" s="500"/>
      <c r="D76" s="500"/>
      <c r="E76" s="500"/>
      <c r="F76" s="500"/>
      <c r="G76" s="500"/>
      <c r="H76" s="500"/>
      <c r="I76" s="500"/>
      <c r="J76" s="500"/>
      <c r="K76" s="500"/>
      <c r="L76" s="500"/>
      <c r="M76" s="259"/>
    </row>
    <row r="77" spans="1:13" s="152" customFormat="1" ht="15" customHeight="1" x14ac:dyDescent="0.3">
      <c r="A77" s="500" t="s">
        <v>196</v>
      </c>
      <c r="B77" s="500"/>
      <c r="C77" s="500"/>
      <c r="D77" s="500"/>
      <c r="E77" s="500"/>
      <c r="F77" s="500"/>
      <c r="G77" s="500"/>
      <c r="H77" s="500"/>
      <c r="I77" s="500"/>
      <c r="J77" s="500"/>
      <c r="K77" s="500"/>
      <c r="L77" s="500"/>
      <c r="M77" s="259"/>
    </row>
    <row r="78" spans="1:13" s="152" customFormat="1" ht="15" customHeight="1" x14ac:dyDescent="0.3">
      <c r="A78" s="478" t="s">
        <v>151</v>
      </c>
      <c r="B78" s="478"/>
      <c r="C78" s="478"/>
      <c r="D78" s="478"/>
      <c r="E78" s="478"/>
      <c r="F78" s="478"/>
      <c r="G78" s="478"/>
      <c r="H78" s="478"/>
      <c r="I78" s="478"/>
      <c r="J78" s="478"/>
      <c r="K78" s="478"/>
      <c r="L78" s="478"/>
      <c r="M78" s="259"/>
    </row>
    <row r="79" spans="1:13" s="152" customFormat="1" ht="15.5" x14ac:dyDescent="0.35">
      <c r="A79" s="259"/>
      <c r="B79" s="259"/>
      <c r="C79" s="259"/>
      <c r="D79" s="290" t="s">
        <v>152</v>
      </c>
      <c r="E79" s="259"/>
      <c r="F79" s="259"/>
      <c r="G79" s="259"/>
      <c r="H79" s="260"/>
      <c r="I79" s="259"/>
      <c r="J79" s="259"/>
      <c r="K79" s="259"/>
      <c r="L79" s="210"/>
      <c r="M79" s="259"/>
    </row>
    <row r="80" spans="1:13" s="152" customFormat="1" x14ac:dyDescent="0.3">
      <c r="A80" s="291"/>
      <c r="B80" s="259"/>
      <c r="C80" s="259"/>
      <c r="D80" s="259"/>
      <c r="E80" s="259"/>
      <c r="F80" s="259"/>
      <c r="G80" s="259"/>
      <c r="H80" s="260"/>
      <c r="I80" s="259"/>
      <c r="J80" s="259"/>
      <c r="K80" s="259"/>
      <c r="L80" s="156"/>
      <c r="M80" s="259"/>
    </row>
    <row r="81" spans="1:23" ht="26" x14ac:dyDescent="0.3">
      <c r="A81" s="255"/>
      <c r="B81" s="255"/>
      <c r="C81" s="255"/>
      <c r="D81" s="262"/>
      <c r="E81" s="420" t="s">
        <v>153</v>
      </c>
      <c r="F81" s="420" t="s">
        <v>154</v>
      </c>
      <c r="G81" s="420" t="s">
        <v>197</v>
      </c>
      <c r="H81" s="420" t="s">
        <v>155</v>
      </c>
      <c r="I81" s="264" t="s">
        <v>198</v>
      </c>
      <c r="J81" s="255"/>
      <c r="K81" s="255"/>
      <c r="L81" s="157"/>
      <c r="M81" s="259"/>
    </row>
    <row r="82" spans="1:23" ht="42.75" customHeight="1" x14ac:dyDescent="0.3">
      <c r="A82" s="255"/>
      <c r="B82" s="255"/>
      <c r="C82" s="255"/>
      <c r="D82" s="255"/>
      <c r="E82" s="423" t="s">
        <v>199</v>
      </c>
      <c r="F82" s="376">
        <f>H82*G82</f>
        <v>57.072000000000003</v>
      </c>
      <c r="G82" s="311">
        <v>1.6</v>
      </c>
      <c r="H82" s="293">
        <v>35.67</v>
      </c>
      <c r="I82" s="264"/>
      <c r="J82" s="255"/>
      <c r="K82" s="255"/>
      <c r="L82" s="314"/>
      <c r="M82" s="314"/>
      <c r="N82" s="314"/>
      <c r="O82" s="314"/>
      <c r="P82" s="314"/>
      <c r="Q82" s="314"/>
      <c r="R82" s="314"/>
      <c r="S82" s="314"/>
      <c r="T82" s="314"/>
      <c r="U82" s="314"/>
      <c r="V82" s="314"/>
      <c r="W82" s="314"/>
    </row>
    <row r="83" spans="1:23" ht="43.5" customHeight="1" x14ac:dyDescent="0.3">
      <c r="A83" s="255"/>
      <c r="B83" s="255"/>
      <c r="C83" s="255"/>
      <c r="D83" s="255"/>
      <c r="E83" s="423" t="s">
        <v>200</v>
      </c>
      <c r="F83" s="376">
        <f>H83*G83</f>
        <v>76.912000000000006</v>
      </c>
      <c r="G83" s="311">
        <v>1.6</v>
      </c>
      <c r="H83" s="293">
        <v>48.07</v>
      </c>
      <c r="I83" s="265"/>
      <c r="J83" s="266"/>
      <c r="K83" s="255"/>
      <c r="M83" s="259"/>
    </row>
    <row r="84" spans="1:23" ht="33" customHeight="1" x14ac:dyDescent="0.3">
      <c r="A84" s="255"/>
      <c r="B84" s="255"/>
      <c r="C84" s="255"/>
      <c r="D84" s="255"/>
      <c r="E84" s="423" t="s">
        <v>201</v>
      </c>
      <c r="F84" s="376">
        <f>H84*G84</f>
        <v>30.880000000000003</v>
      </c>
      <c r="G84" s="311">
        <v>1.6</v>
      </c>
      <c r="H84" s="293">
        <v>19.3</v>
      </c>
      <c r="I84" s="255"/>
      <c r="J84" s="255"/>
      <c r="K84" s="255"/>
      <c r="M84" s="259"/>
    </row>
    <row r="85" spans="1:23" x14ac:dyDescent="0.3">
      <c r="A85" s="255"/>
      <c r="B85" s="255"/>
      <c r="C85" s="255"/>
      <c r="D85" s="267"/>
      <c r="E85" s="255"/>
      <c r="F85" s="268"/>
      <c r="G85" s="255"/>
      <c r="H85" s="269"/>
      <c r="I85" s="255"/>
      <c r="J85" s="255"/>
      <c r="K85" s="255"/>
      <c r="M85" s="259"/>
    </row>
    <row r="86" spans="1:23" x14ac:dyDescent="0.3">
      <c r="A86" s="255"/>
      <c r="B86" s="255"/>
      <c r="C86" s="255"/>
      <c r="D86" s="267"/>
      <c r="E86" s="255"/>
      <c r="F86" s="268"/>
      <c r="G86" s="255"/>
      <c r="H86" s="269"/>
      <c r="I86" s="255"/>
      <c r="J86" s="255"/>
      <c r="K86" s="255"/>
      <c r="M86" s="259"/>
    </row>
    <row r="87" spans="1:23" s="152" customFormat="1" x14ac:dyDescent="0.3">
      <c r="A87" s="259"/>
      <c r="B87" s="259"/>
      <c r="C87" s="259"/>
      <c r="D87" s="255"/>
      <c r="E87" s="270"/>
      <c r="F87" s="271"/>
      <c r="G87" s="259"/>
      <c r="H87" s="260"/>
      <c r="I87" s="259"/>
      <c r="J87" s="259"/>
      <c r="K87" s="38"/>
      <c r="L87" s="259"/>
      <c r="M87" s="259"/>
    </row>
    <row r="88" spans="1:23" ht="15" customHeight="1" x14ac:dyDescent="0.3">
      <c r="A88" s="255"/>
      <c r="B88" s="255"/>
      <c r="C88" s="255"/>
      <c r="D88" s="262"/>
      <c r="E88" s="479" t="s">
        <v>163</v>
      </c>
      <c r="F88" s="480"/>
      <c r="G88" s="480"/>
      <c r="H88" s="481"/>
      <c r="I88" s="294"/>
      <c r="J88" s="255"/>
      <c r="K88" s="158"/>
      <c r="L88" s="255"/>
      <c r="M88" s="259"/>
    </row>
    <row r="89" spans="1:23" x14ac:dyDescent="0.3">
      <c r="A89" s="255"/>
      <c r="B89" s="255"/>
      <c r="C89" s="255"/>
      <c r="D89" s="295" t="s">
        <v>9</v>
      </c>
      <c r="E89" s="420" t="s">
        <v>165</v>
      </c>
      <c r="F89" s="420" t="s">
        <v>166</v>
      </c>
      <c r="G89" s="420" t="s">
        <v>167</v>
      </c>
      <c r="H89" s="420" t="s">
        <v>168</v>
      </c>
      <c r="I89" s="259"/>
      <c r="J89" s="255"/>
      <c r="K89" s="158"/>
      <c r="L89" s="255"/>
      <c r="M89" s="259"/>
    </row>
    <row r="90" spans="1:23" x14ac:dyDescent="0.3">
      <c r="A90" s="255"/>
      <c r="B90" s="255"/>
      <c r="C90" s="255"/>
      <c r="D90" s="296" t="s">
        <v>11</v>
      </c>
      <c r="E90" s="403" t="s">
        <v>169</v>
      </c>
      <c r="F90" s="169">
        <f>'Table 1a-Year 1'!F92</f>
        <v>5167.0448330540685</v>
      </c>
      <c r="G90" s="372">
        <f>H12+H20</f>
        <v>38.506852173913046</v>
      </c>
      <c r="H90" s="297">
        <f>F90*G90</f>
        <v>198966.63156239424</v>
      </c>
      <c r="I90" s="154"/>
      <c r="J90" s="255"/>
      <c r="K90" s="158"/>
      <c r="L90" s="255"/>
      <c r="M90" s="259"/>
    </row>
    <row r="91" spans="1:23" x14ac:dyDescent="0.3">
      <c r="A91" s="255"/>
      <c r="B91" s="255"/>
      <c r="C91" s="255"/>
      <c r="D91" s="296" t="s">
        <v>14</v>
      </c>
      <c r="E91" s="423" t="s">
        <v>170</v>
      </c>
      <c r="F91" s="169">
        <f>'Summary Info_2015'!C61</f>
        <v>20444.262999999999</v>
      </c>
      <c r="G91" s="413">
        <f>H13</f>
        <v>10.55833043478261</v>
      </c>
      <c r="H91" s="297">
        <f t="shared" ref="H91:H92" si="35">F91*G91</f>
        <v>215857.28424960002</v>
      </c>
      <c r="I91" s="154"/>
      <c r="J91" s="255"/>
      <c r="K91" s="158"/>
      <c r="L91" s="255"/>
      <c r="M91" s="259"/>
    </row>
    <row r="92" spans="1:23" s="152" customFormat="1" x14ac:dyDescent="0.3">
      <c r="A92" s="259"/>
      <c r="B92" s="259"/>
      <c r="C92" s="259"/>
      <c r="D92" s="296" t="s">
        <v>20</v>
      </c>
      <c r="E92" s="423" t="s">
        <v>171</v>
      </c>
      <c r="F92" s="169">
        <f>'Summary Info_2015'!M66</f>
        <v>20006</v>
      </c>
      <c r="G92" s="413">
        <f>H14</f>
        <v>14.905878260869567</v>
      </c>
      <c r="H92" s="297">
        <f t="shared" si="35"/>
        <v>298207.00048695656</v>
      </c>
      <c r="I92" s="154"/>
      <c r="J92" s="255"/>
      <c r="K92" s="38"/>
      <c r="L92" s="259"/>
      <c r="M92" s="259"/>
    </row>
    <row r="93" spans="1:23" x14ac:dyDescent="0.3">
      <c r="A93" s="255"/>
      <c r="B93" s="255"/>
      <c r="C93" s="255"/>
      <c r="D93" s="255"/>
      <c r="E93" s="272" t="s">
        <v>45</v>
      </c>
      <c r="F93" s="273">
        <f>SUM(F90:F92)</f>
        <v>45617.307833054067</v>
      </c>
      <c r="G93" s="374">
        <f>SUM(G90:G92)</f>
        <v>63.971060869565221</v>
      </c>
      <c r="H93" s="277">
        <f>SUM(H90:H92)</f>
        <v>713030.91629895079</v>
      </c>
      <c r="I93" s="255"/>
      <c r="J93" s="280"/>
      <c r="K93" s="255"/>
      <c r="L93" s="255"/>
      <c r="M93" s="259"/>
    </row>
    <row r="94" spans="1:23" x14ac:dyDescent="0.3">
      <c r="A94" s="255"/>
      <c r="B94" s="255"/>
      <c r="C94" s="255"/>
      <c r="D94" s="255"/>
      <c r="E94" s="274"/>
      <c r="F94" s="255"/>
      <c r="G94" s="269"/>
      <c r="H94" s="275"/>
      <c r="I94" s="255"/>
      <c r="J94" s="255"/>
      <c r="K94" s="255"/>
      <c r="L94" s="255"/>
      <c r="M94" s="259"/>
    </row>
    <row r="95" spans="1:23" ht="30" customHeight="1" x14ac:dyDescent="0.3">
      <c r="A95" s="255"/>
      <c r="B95" s="255"/>
      <c r="C95" s="255"/>
      <c r="D95" s="255"/>
      <c r="E95" s="479" t="s">
        <v>172</v>
      </c>
      <c r="F95" s="480"/>
      <c r="G95" s="480"/>
      <c r="H95" s="481"/>
      <c r="I95" s="255"/>
      <c r="J95" s="255"/>
      <c r="K95" s="255"/>
      <c r="L95" s="255"/>
      <c r="M95" s="259"/>
    </row>
    <row r="96" spans="1:23" s="152" customFormat="1" x14ac:dyDescent="0.3">
      <c r="A96" s="259"/>
      <c r="B96" s="259"/>
      <c r="C96" s="259"/>
      <c r="D96" s="295" t="s">
        <v>173</v>
      </c>
      <c r="E96" s="420" t="s">
        <v>174</v>
      </c>
      <c r="F96" s="420" t="s">
        <v>175</v>
      </c>
      <c r="G96" s="420" t="s">
        <v>176</v>
      </c>
      <c r="H96" s="420" t="s">
        <v>168</v>
      </c>
      <c r="I96" s="259"/>
      <c r="J96" s="259"/>
      <c r="K96" s="259"/>
      <c r="L96" s="259"/>
      <c r="M96" s="259"/>
    </row>
    <row r="97" spans="1:13" x14ac:dyDescent="0.3">
      <c r="A97" s="255"/>
      <c r="B97" s="255"/>
      <c r="C97" s="255"/>
      <c r="D97" s="296" t="s">
        <v>202</v>
      </c>
      <c r="E97" s="423" t="s">
        <v>11</v>
      </c>
      <c r="F97" s="276">
        <f>'Table 1a-Year 1'!F99</f>
        <v>7940.8962315002973</v>
      </c>
      <c r="G97" s="373">
        <f>'Regulated Sources_Overview'!E111*'Table 1c-Year 1'!F12</f>
        <v>0</v>
      </c>
      <c r="H97" s="299">
        <f>F97*G97</f>
        <v>0</v>
      </c>
      <c r="I97" s="259"/>
      <c r="J97" s="255"/>
      <c r="K97" s="255"/>
      <c r="L97" s="255"/>
      <c r="M97" s="259"/>
    </row>
    <row r="98" spans="1:13" x14ac:dyDescent="0.3">
      <c r="A98" s="255"/>
      <c r="B98" s="255"/>
      <c r="C98" s="255"/>
      <c r="D98" s="296" t="s">
        <v>177</v>
      </c>
      <c r="E98" s="423" t="s">
        <v>14</v>
      </c>
      <c r="F98" s="276">
        <f>'Summary Info_2015'!B63</f>
        <v>111044.6066688</v>
      </c>
      <c r="G98" s="298">
        <f>'Regulated Sources_Overview'!K17</f>
        <v>0</v>
      </c>
      <c r="H98" s="299">
        <f t="shared" ref="H98:H99" si="36">F98*G98</f>
        <v>0</v>
      </c>
      <c r="I98" s="255"/>
      <c r="J98" s="255"/>
      <c r="K98" s="255"/>
      <c r="L98" s="255"/>
      <c r="M98" s="259"/>
    </row>
    <row r="99" spans="1:13" x14ac:dyDescent="0.3">
      <c r="A99" s="255"/>
      <c r="B99" s="255"/>
      <c r="C99" s="255"/>
      <c r="D99" s="296" t="s">
        <v>178</v>
      </c>
      <c r="E99" s="423" t="s">
        <v>20</v>
      </c>
      <c r="F99" s="276">
        <f>'Summary Info_2015'!L63</f>
        <v>174001.69178879997</v>
      </c>
      <c r="G99" s="298">
        <f>'Regulated Sources_Overview'!K18</f>
        <v>0</v>
      </c>
      <c r="H99" s="299">
        <f t="shared" si="36"/>
        <v>0</v>
      </c>
      <c r="I99" s="255"/>
      <c r="J99" s="255"/>
      <c r="K99" s="255"/>
      <c r="L99" s="255"/>
      <c r="M99" s="259"/>
    </row>
    <row r="100" spans="1:13" x14ac:dyDescent="0.3">
      <c r="A100" s="255"/>
      <c r="B100" s="255"/>
      <c r="C100" s="255"/>
      <c r="D100" s="255"/>
      <c r="E100" s="272" t="s">
        <v>45</v>
      </c>
      <c r="F100" s="277">
        <f>SUM(F97:F99)</f>
        <v>292987.19468910026</v>
      </c>
      <c r="G100" s="374">
        <f>SUM(G97:G99)</f>
        <v>0</v>
      </c>
      <c r="H100" s="277">
        <f>SUM(H97:H99)</f>
        <v>0</v>
      </c>
      <c r="I100" s="255"/>
      <c r="J100" s="255"/>
      <c r="K100" s="255"/>
      <c r="M100" s="259"/>
    </row>
    <row r="101" spans="1:13" x14ac:dyDescent="0.3">
      <c r="A101" s="255"/>
      <c r="B101" s="255"/>
      <c r="C101" s="255"/>
      <c r="D101" s="255"/>
      <c r="E101" s="278"/>
      <c r="F101" s="279"/>
      <c r="G101" s="280"/>
      <c r="H101" s="275"/>
      <c r="I101" s="255"/>
      <c r="J101" s="255"/>
      <c r="K101" s="255"/>
      <c r="M101" s="259"/>
    </row>
    <row r="102" spans="1:13" x14ac:dyDescent="0.3">
      <c r="A102" s="255"/>
      <c r="B102" s="255"/>
      <c r="C102" s="255"/>
      <c r="D102" s="255"/>
      <c r="E102" s="424"/>
      <c r="F102" s="482" t="s">
        <v>179</v>
      </c>
      <c r="G102" s="482"/>
      <c r="H102" s="281">
        <f>H93+H100</f>
        <v>713030.91629895079</v>
      </c>
      <c r="I102" s="255"/>
      <c r="J102" s="301"/>
      <c r="K102" s="255"/>
      <c r="M102" s="259"/>
    </row>
    <row r="103" spans="1:13" x14ac:dyDescent="0.3">
      <c r="A103" s="255"/>
      <c r="B103" s="255"/>
      <c r="C103" s="255"/>
      <c r="D103" s="255"/>
      <c r="E103" s="255"/>
      <c r="F103" s="279"/>
      <c r="G103" s="280"/>
      <c r="H103" s="269"/>
      <c r="I103" s="255"/>
      <c r="J103" s="255"/>
      <c r="K103" s="255"/>
      <c r="M103" s="259"/>
    </row>
    <row r="104" spans="1:13" x14ac:dyDescent="0.3">
      <c r="A104" s="255"/>
      <c r="B104" s="255"/>
      <c r="C104" s="255"/>
      <c r="D104" s="255"/>
      <c r="E104" s="255"/>
      <c r="F104" s="279"/>
      <c r="G104" s="280"/>
      <c r="H104" s="269"/>
      <c r="I104" s="255"/>
      <c r="J104" s="255"/>
      <c r="K104" s="255"/>
      <c r="M104" s="259"/>
    </row>
    <row r="105" spans="1:13" x14ac:dyDescent="0.3">
      <c r="A105" s="255"/>
      <c r="B105" s="255"/>
      <c r="C105" s="255"/>
      <c r="D105" s="255"/>
      <c r="E105" s="255"/>
      <c r="F105" s="279"/>
      <c r="G105" s="280"/>
      <c r="H105" s="269"/>
      <c r="I105" s="255"/>
      <c r="J105" s="255"/>
      <c r="K105" s="255"/>
      <c r="M105" s="259"/>
    </row>
    <row r="106" spans="1:13" ht="12.75" customHeight="1" x14ac:dyDescent="0.3">
      <c r="A106" s="255"/>
      <c r="B106" s="255"/>
      <c r="C106" s="255"/>
      <c r="D106" s="255"/>
      <c r="E106" s="302"/>
      <c r="F106" s="302"/>
      <c r="G106" s="302"/>
      <c r="H106" s="302"/>
      <c r="I106" s="302"/>
      <c r="J106" s="302"/>
      <c r="K106" s="302"/>
      <c r="L106" s="302"/>
      <c r="M106" s="259"/>
    </row>
    <row r="107" spans="1:13" ht="12.75" customHeight="1" x14ac:dyDescent="0.35">
      <c r="A107" s="255"/>
      <c r="B107" s="255"/>
      <c r="C107" s="255"/>
      <c r="D107" s="255"/>
      <c r="E107" s="479" t="s">
        <v>180</v>
      </c>
      <c r="F107" s="483"/>
      <c r="G107" s="483"/>
      <c r="H107" s="483"/>
      <c r="I107" s="483"/>
      <c r="J107" s="483"/>
      <c r="K107" s="484"/>
      <c r="L107" s="255"/>
      <c r="M107" s="259"/>
    </row>
    <row r="108" spans="1:13" ht="12.75" customHeight="1" x14ac:dyDescent="0.35">
      <c r="A108" s="255"/>
      <c r="B108" s="255"/>
      <c r="C108" s="255"/>
      <c r="D108" s="255"/>
      <c r="E108" s="485" t="s">
        <v>174</v>
      </c>
      <c r="F108" s="479" t="s">
        <v>181</v>
      </c>
      <c r="G108" s="483"/>
      <c r="H108" s="483"/>
      <c r="I108" s="484"/>
      <c r="J108" s="487" t="s">
        <v>182</v>
      </c>
      <c r="K108" s="489" t="s">
        <v>183</v>
      </c>
      <c r="L108" s="255"/>
      <c r="M108" s="259"/>
    </row>
    <row r="109" spans="1:13" x14ac:dyDescent="0.3">
      <c r="A109" s="255"/>
      <c r="B109" s="255"/>
      <c r="C109" s="255"/>
      <c r="D109" s="255"/>
      <c r="E109" s="486"/>
      <c r="F109" s="420" t="s">
        <v>184</v>
      </c>
      <c r="G109" s="420" t="s">
        <v>185</v>
      </c>
      <c r="H109" s="292" t="s">
        <v>186</v>
      </c>
      <c r="I109" s="420" t="s">
        <v>45</v>
      </c>
      <c r="J109" s="488"/>
      <c r="K109" s="489"/>
      <c r="L109" s="255"/>
      <c r="M109" s="259"/>
    </row>
    <row r="110" spans="1:13" x14ac:dyDescent="0.3">
      <c r="A110" s="255"/>
      <c r="B110" s="255"/>
      <c r="C110" s="255"/>
      <c r="D110" s="255"/>
      <c r="E110" s="282" t="s">
        <v>11</v>
      </c>
      <c r="F110" s="168">
        <f>'Table 1a-Year 1'!F112</f>
        <v>0</v>
      </c>
      <c r="G110" s="168">
        <f>'Table 1a-Year 1'!G112</f>
        <v>14290</v>
      </c>
      <c r="H110" s="168">
        <f>'Table 1a-Year 1'!H112</f>
        <v>13693</v>
      </c>
      <c r="I110" s="168">
        <f>F110+G110+H110</f>
        <v>27983</v>
      </c>
      <c r="J110" s="375">
        <f>'%CEMSCPMSvs.testing_2137.13'!X3*'Table 1c-Year 1'!F12</f>
        <v>23.600973913043482</v>
      </c>
      <c r="K110" s="312">
        <f>I110*J110</f>
        <v>660426.05300869572</v>
      </c>
      <c r="L110" s="303"/>
      <c r="M110" s="259"/>
    </row>
    <row r="111" spans="1:13" x14ac:dyDescent="0.3">
      <c r="A111" s="255"/>
      <c r="B111" s="255"/>
      <c r="C111" s="255"/>
      <c r="D111" s="255"/>
      <c r="E111" s="282" t="s">
        <v>14</v>
      </c>
      <c r="F111" s="168">
        <f>'Table 1a-Year 1'!F113</f>
        <v>14788.7065664</v>
      </c>
      <c r="G111" s="168">
        <f>'Table 1a-Year 1'!G113</f>
        <v>10931.940845699999</v>
      </c>
      <c r="H111" s="168">
        <f>'Table 1a-Year 1'!H113</f>
        <v>15897.235325044843</v>
      </c>
      <c r="I111" s="168">
        <f>F111+G111+H111</f>
        <v>41617.882737144842</v>
      </c>
      <c r="J111" s="412">
        <f>('%CEMSCPMSvs.testing_2137.13'!K3+'%CEMSCPMSvs.testing_2137.13'!K4)*'Table 1c-Year 3'!F12</f>
        <v>51.549495652173924</v>
      </c>
      <c r="K111" s="168">
        <f t="shared" ref="K111" si="37">I111*J111</f>
        <v>2145380.8652111324</v>
      </c>
      <c r="L111" s="303"/>
      <c r="M111" s="259"/>
    </row>
    <row r="112" spans="1:13" x14ac:dyDescent="0.3">
      <c r="A112" s="255"/>
      <c r="B112" s="255"/>
      <c r="C112" s="255"/>
      <c r="D112" s="255"/>
      <c r="E112" s="282" t="s">
        <v>20</v>
      </c>
      <c r="F112" s="168">
        <f>'Table 1a-Year 1'!F114</f>
        <v>19959.2166464</v>
      </c>
      <c r="G112" s="168">
        <f>'Table 1a-Year 1'!G114</f>
        <v>40011.554765699999</v>
      </c>
      <c r="H112" s="168">
        <f>'Table 1a-Year 1'!H114</f>
        <v>40035.286058200538</v>
      </c>
      <c r="I112" s="168">
        <f>F112+G112+H112</f>
        <v>100006.05747030054</v>
      </c>
      <c r="J112" s="412">
        <f>'%CEMSCPMSvs.testing_2137.13'!C3*'Table 1c-Year 3'!F12</f>
        <v>47.201947826086965</v>
      </c>
      <c r="K112" s="168">
        <f>I112*J112</f>
        <v>4720480.7070057802</v>
      </c>
      <c r="L112" s="303"/>
      <c r="M112" s="259"/>
    </row>
    <row r="113" spans="1:15" x14ac:dyDescent="0.3">
      <c r="A113" s="255"/>
      <c r="B113" s="255"/>
      <c r="C113" s="255"/>
      <c r="D113" s="255"/>
      <c r="E113" s="283" t="s">
        <v>45</v>
      </c>
      <c r="F113" s="132"/>
      <c r="G113" s="132"/>
      <c r="H113" s="132"/>
      <c r="I113" s="132"/>
      <c r="J113" s="304"/>
      <c r="K113" s="132">
        <f>SUM(K110:K112)</f>
        <v>7526287.6252256082</v>
      </c>
      <c r="L113" s="279"/>
      <c r="M113" s="259"/>
    </row>
    <row r="114" spans="1:15" ht="15.5" x14ac:dyDescent="0.35">
      <c r="A114" s="255"/>
      <c r="B114" s="255"/>
      <c r="C114" s="255"/>
      <c r="D114" s="255"/>
      <c r="E114" s="255"/>
      <c r="F114" s="305"/>
      <c r="G114" s="255"/>
      <c r="H114" s="269"/>
      <c r="I114" s="255"/>
      <c r="J114" s="269"/>
      <c r="K114" s="284"/>
      <c r="M114" s="259"/>
    </row>
    <row r="115" spans="1:15" x14ac:dyDescent="0.3">
      <c r="A115" s="255"/>
      <c r="B115" s="255"/>
      <c r="C115" s="255"/>
      <c r="D115" s="255"/>
      <c r="E115" s="255"/>
      <c r="F115" s="255"/>
      <c r="G115" s="255"/>
      <c r="H115" s="269"/>
      <c r="I115" s="255"/>
      <c r="J115" s="269"/>
      <c r="K115" s="301">
        <f>K113+H93</f>
        <v>8239318.5415245593</v>
      </c>
      <c r="M115" s="259"/>
      <c r="N115" s="360"/>
      <c r="O115" s="360"/>
    </row>
    <row r="116" spans="1:15" x14ac:dyDescent="0.3">
      <c r="A116" s="255"/>
      <c r="B116" s="255"/>
      <c r="C116" s="255"/>
      <c r="D116" s="255"/>
      <c r="E116" s="255"/>
      <c r="F116" s="255"/>
      <c r="G116" s="255"/>
      <c r="H116" s="269"/>
      <c r="I116" s="255"/>
      <c r="J116" s="255"/>
      <c r="K116" s="255"/>
      <c r="L116" s="213"/>
      <c r="M116" s="313"/>
    </row>
    <row r="117" spans="1:15" x14ac:dyDescent="0.3">
      <c r="A117" s="255"/>
      <c r="B117" s="255"/>
      <c r="C117" s="255"/>
      <c r="D117" s="255"/>
      <c r="E117" s="255"/>
      <c r="F117" s="255"/>
      <c r="G117" s="255"/>
      <c r="H117" s="269"/>
      <c r="I117" s="255"/>
      <c r="J117" s="255"/>
      <c r="K117" s="255"/>
      <c r="L117" s="213"/>
      <c r="M117" s="313"/>
    </row>
    <row r="118" spans="1:15" x14ac:dyDescent="0.3">
      <c r="A118" s="255"/>
      <c r="B118" s="255"/>
      <c r="C118" s="255"/>
      <c r="D118" s="255"/>
      <c r="E118" s="255"/>
      <c r="F118" s="255"/>
      <c r="G118" s="255"/>
      <c r="H118" s="269"/>
      <c r="I118" s="255"/>
      <c r="J118" s="255"/>
      <c r="K118" s="255"/>
      <c r="L118" s="213"/>
      <c r="M118" s="313"/>
    </row>
    <row r="119" spans="1:15" x14ac:dyDescent="0.3">
      <c r="I119" s="170"/>
      <c r="M119" s="214"/>
    </row>
  </sheetData>
  <mergeCells count="34">
    <mergeCell ref="B9:D9"/>
    <mergeCell ref="B10:D10"/>
    <mergeCell ref="B27:D27"/>
    <mergeCell ref="B28:D28"/>
    <mergeCell ref="B29:D29"/>
    <mergeCell ref="A3:D4"/>
    <mergeCell ref="A5:D5"/>
    <mergeCell ref="A6:D6"/>
    <mergeCell ref="A7:D7"/>
    <mergeCell ref="A8:D8"/>
    <mergeCell ref="F108:I108"/>
    <mergeCell ref="J108:J109"/>
    <mergeCell ref="I68:K68"/>
    <mergeCell ref="I69:K69"/>
    <mergeCell ref="A74:L74"/>
    <mergeCell ref="K108:K109"/>
    <mergeCell ref="E95:H95"/>
    <mergeCell ref="F102:G102"/>
    <mergeCell ref="E107:K107"/>
    <mergeCell ref="E108:E109"/>
    <mergeCell ref="I51:K51"/>
    <mergeCell ref="E88:H88"/>
    <mergeCell ref="A75:L75"/>
    <mergeCell ref="A52:D52"/>
    <mergeCell ref="A76:L76"/>
    <mergeCell ref="A77:L77"/>
    <mergeCell ref="A78:L78"/>
    <mergeCell ref="B53:D53"/>
    <mergeCell ref="B54:D54"/>
    <mergeCell ref="B66:D66"/>
    <mergeCell ref="B67:D67"/>
    <mergeCell ref="B55:D55"/>
    <mergeCell ref="B56:D56"/>
    <mergeCell ref="B57:D57"/>
  </mergeCells>
  <printOptions horizontalCentered="1" verticalCentered="1"/>
  <pageMargins left="0.7" right="0.7" top="0.75" bottom="0.75" header="0.3" footer="0.3"/>
  <pageSetup paperSize="17" orientation="landscape" r:id="rId1"/>
  <headerFooter>
    <oddHeader>&amp;CTable 1a -- Respondent Year 1</oddHeader>
    <oddFooter>&amp;L&amp;P of &amp;N&amp;R&amp;D</oddFooter>
  </headerFooter>
  <rowBreaks count="2" manualBreakCount="2">
    <brk id="51" max="10" man="1"/>
    <brk id="72"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119"/>
  <sheetViews>
    <sheetView zoomScaleNormal="100" workbookViewId="0">
      <pane xSplit="4" ySplit="4" topLeftCell="F85" activePane="bottomRight" state="frozen"/>
      <selection pane="topRight" activeCell="E1" sqref="E1"/>
      <selection pane="bottomLeft" activeCell="A6" sqref="A6"/>
      <selection pane="bottomRight" activeCell="F104" sqref="F104"/>
    </sheetView>
  </sheetViews>
  <sheetFormatPr defaultColWidth="9.1796875" defaultRowHeight="13" x14ac:dyDescent="0.3"/>
  <cols>
    <col min="1" max="1" width="2.7265625" style="130" customWidth="1"/>
    <col min="2" max="3" width="2.453125" style="130" customWidth="1"/>
    <col min="4" max="4" width="65.26953125" style="130" customWidth="1"/>
    <col min="5" max="5" width="15" style="130" customWidth="1"/>
    <col min="6" max="6" width="19.1796875" style="130" bestFit="1" customWidth="1"/>
    <col min="7" max="7" width="21.26953125" style="130" customWidth="1"/>
    <col min="8" max="8" width="15" style="131" customWidth="1"/>
    <col min="9" max="9" width="13.1796875" style="130" customWidth="1"/>
    <col min="10" max="11" width="15.26953125" style="130" customWidth="1"/>
    <col min="12" max="12" width="19" style="158" customWidth="1"/>
    <col min="13" max="13" width="15.54296875" style="152" bestFit="1" customWidth="1"/>
    <col min="14" max="14" width="11.453125" style="130" bestFit="1" customWidth="1"/>
    <col min="15" max="15" width="9.26953125" style="130" bestFit="1" customWidth="1"/>
    <col min="16" max="16" width="33.54296875" style="130" customWidth="1"/>
    <col min="17" max="16384" width="9.1796875" style="130"/>
  </cols>
  <sheetData>
    <row r="1" spans="1:16" s="161" customFormat="1" ht="15.5" x14ac:dyDescent="0.35">
      <c r="A1" s="133" t="s">
        <v>188</v>
      </c>
      <c r="B1" s="162"/>
      <c r="C1" s="162"/>
      <c r="D1" s="162"/>
      <c r="E1" s="162"/>
      <c r="F1" s="162"/>
      <c r="G1" s="162"/>
      <c r="H1" s="162"/>
      <c r="I1" s="162"/>
      <c r="J1" s="163"/>
      <c r="K1" s="162"/>
      <c r="L1" s="162"/>
      <c r="M1" s="308"/>
      <c r="N1" s="250"/>
    </row>
    <row r="2" spans="1:16" s="134" customFormat="1" x14ac:dyDescent="0.3">
      <c r="A2" s="135"/>
      <c r="B2" s="135"/>
      <c r="C2" s="135"/>
      <c r="D2" s="135"/>
      <c r="E2" s="135"/>
      <c r="F2" s="135"/>
      <c r="G2" s="135"/>
      <c r="H2" s="135"/>
      <c r="I2" s="135"/>
      <c r="J2" s="136"/>
      <c r="K2" s="135"/>
      <c r="L2" s="135"/>
      <c r="M2" s="187"/>
      <c r="N2" s="182"/>
    </row>
    <row r="3" spans="1:16" s="139" customFormat="1" ht="14.25" customHeight="1" x14ac:dyDescent="0.3">
      <c r="A3" s="501" t="s">
        <v>70</v>
      </c>
      <c r="B3" s="502"/>
      <c r="C3" s="502"/>
      <c r="D3" s="503"/>
      <c r="E3" s="137" t="s">
        <v>71</v>
      </c>
      <c r="F3" s="137" t="s">
        <v>72</v>
      </c>
      <c r="G3" s="137" t="s">
        <v>73</v>
      </c>
      <c r="H3" s="137" t="s">
        <v>74</v>
      </c>
      <c r="I3" s="137" t="s">
        <v>75</v>
      </c>
      <c r="J3" s="137" t="s">
        <v>76</v>
      </c>
      <c r="K3" s="137" t="s">
        <v>77</v>
      </c>
      <c r="L3" s="138" t="s">
        <v>78</v>
      </c>
      <c r="M3" s="309"/>
    </row>
    <row r="4" spans="1:16" s="142" customFormat="1" ht="41.25" customHeight="1" x14ac:dyDescent="0.3">
      <c r="A4" s="504"/>
      <c r="B4" s="505"/>
      <c r="C4" s="505"/>
      <c r="D4" s="506"/>
      <c r="E4" s="140" t="s">
        <v>79</v>
      </c>
      <c r="F4" s="140" t="s">
        <v>80</v>
      </c>
      <c r="G4" s="140" t="s">
        <v>81</v>
      </c>
      <c r="H4" s="140" t="s">
        <v>82</v>
      </c>
      <c r="I4" s="140" t="s">
        <v>83</v>
      </c>
      <c r="J4" s="140" t="s">
        <v>84</v>
      </c>
      <c r="K4" s="140" t="s">
        <v>85</v>
      </c>
      <c r="L4" s="141" t="s">
        <v>86</v>
      </c>
      <c r="M4" s="309"/>
    </row>
    <row r="5" spans="1:16" x14ac:dyDescent="0.3">
      <c r="A5" s="507" t="s">
        <v>88</v>
      </c>
      <c r="B5" s="507"/>
      <c r="C5" s="507"/>
      <c r="D5" s="507"/>
      <c r="E5" s="251" t="s">
        <v>12</v>
      </c>
      <c r="F5" s="423"/>
      <c r="G5" s="423"/>
      <c r="H5" s="252"/>
      <c r="I5" s="253"/>
      <c r="J5" s="253"/>
      <c r="K5" s="253"/>
      <c r="L5" s="55"/>
      <c r="M5" s="259"/>
    </row>
    <row r="6" spans="1:16" x14ac:dyDescent="0.3">
      <c r="A6" s="507" t="s">
        <v>89</v>
      </c>
      <c r="B6" s="507"/>
      <c r="C6" s="507"/>
      <c r="D6" s="507"/>
      <c r="E6" s="251" t="s">
        <v>12</v>
      </c>
      <c r="F6" s="423"/>
      <c r="G6" s="423"/>
      <c r="H6" s="252"/>
      <c r="I6" s="253"/>
      <c r="J6" s="253"/>
      <c r="K6" s="253"/>
      <c r="L6" s="55"/>
      <c r="M6" s="259"/>
    </row>
    <row r="7" spans="1:16" x14ac:dyDescent="0.3">
      <c r="A7" s="507" t="s">
        <v>90</v>
      </c>
      <c r="B7" s="507"/>
      <c r="C7" s="507"/>
      <c r="D7" s="507"/>
      <c r="E7" s="143">
        <v>160.6</v>
      </c>
      <c r="F7" s="423">
        <v>1</v>
      </c>
      <c r="G7" s="143">
        <f>E7*F7</f>
        <v>160.6</v>
      </c>
      <c r="H7" s="252">
        <v>0</v>
      </c>
      <c r="I7" s="256">
        <f>G7*H7</f>
        <v>0</v>
      </c>
      <c r="J7" s="256">
        <f>I7*0.05</f>
        <v>0</v>
      </c>
      <c r="K7" s="256">
        <f>I7*0.1</f>
        <v>0</v>
      </c>
      <c r="L7" s="128">
        <f>(I7*$F$82)+(J7*$F$83)+(K7*$F$84)</f>
        <v>0</v>
      </c>
      <c r="M7" s="259"/>
    </row>
    <row r="8" spans="1:16" x14ac:dyDescent="0.3">
      <c r="A8" s="492" t="s">
        <v>91</v>
      </c>
      <c r="B8" s="492"/>
      <c r="C8" s="492"/>
      <c r="D8" s="492"/>
      <c r="E8" s="423"/>
      <c r="F8" s="423"/>
      <c r="G8" s="423"/>
      <c r="H8" s="252"/>
      <c r="I8" s="253"/>
      <c r="J8" s="253"/>
      <c r="K8" s="253"/>
      <c r="L8" s="55"/>
      <c r="M8" s="259"/>
    </row>
    <row r="9" spans="1:16" x14ac:dyDescent="0.3">
      <c r="A9" s="424"/>
      <c r="B9" s="491" t="s">
        <v>92</v>
      </c>
      <c r="C9" s="491"/>
      <c r="D9" s="492"/>
      <c r="E9" s="423">
        <v>1</v>
      </c>
      <c r="F9" s="423">
        <v>1</v>
      </c>
      <c r="G9" s="423">
        <f>E9*F9</f>
        <v>1</v>
      </c>
      <c r="H9" s="252">
        <f>'Table 1c-Year 1'!E12</f>
        <v>32.055652173913046</v>
      </c>
      <c r="I9" s="256">
        <f>G9*H9</f>
        <v>32.055652173913046</v>
      </c>
      <c r="J9" s="285">
        <f>I9*0.05</f>
        <v>1.6027826086956525</v>
      </c>
      <c r="K9" s="285">
        <f>I9*0.1</f>
        <v>3.205565217391305</v>
      </c>
      <c r="L9" s="286">
        <f>(I9*$F$82)+(J9*$F$83)+(K9*$F$84)</f>
        <v>2051.7412507826089</v>
      </c>
      <c r="M9" s="310"/>
      <c r="N9" s="184"/>
      <c r="O9" s="184"/>
      <c r="P9" s="184"/>
    </row>
    <row r="10" spans="1:16" x14ac:dyDescent="0.3">
      <c r="A10" s="424"/>
      <c r="B10" s="491" t="s">
        <v>94</v>
      </c>
      <c r="C10" s="491"/>
      <c r="D10" s="492"/>
      <c r="E10" s="423"/>
      <c r="F10" s="423"/>
      <c r="G10" s="423"/>
      <c r="H10" s="252"/>
      <c r="I10" s="253"/>
      <c r="J10" s="253"/>
      <c r="K10" s="253"/>
      <c r="L10" s="55"/>
      <c r="M10" s="259"/>
    </row>
    <row r="11" spans="1:16" x14ac:dyDescent="0.3">
      <c r="A11" s="424"/>
      <c r="B11" s="425"/>
      <c r="C11" s="254" t="s">
        <v>95</v>
      </c>
      <c r="D11" s="255"/>
      <c r="E11" s="423"/>
      <c r="F11" s="423"/>
      <c r="G11" s="423"/>
      <c r="H11" s="252"/>
      <c r="I11" s="253"/>
      <c r="J11" s="253"/>
      <c r="K11" s="253"/>
      <c r="L11" s="55"/>
      <c r="M11" s="259"/>
    </row>
    <row r="12" spans="1:16" ht="14.5" x14ac:dyDescent="0.3">
      <c r="A12" s="424"/>
      <c r="B12" s="425"/>
      <c r="C12" s="425"/>
      <c r="D12" s="422" t="s">
        <v>96</v>
      </c>
      <c r="E12" s="423">
        <v>27.8</v>
      </c>
      <c r="F12" s="423">
        <v>1</v>
      </c>
      <c r="G12" s="143">
        <f>E12*F12</f>
        <v>27.8</v>
      </c>
      <c r="H12" s="306">
        <f>('%CEMSCPMSvs.testing_2137.13'!Y4+'%CEMSCPMSvs.testing_2137.13'!Y5)*'Table 1c-Year 1'!F12</f>
        <v>38.506852173913046</v>
      </c>
      <c r="I12" s="256">
        <f t="shared" ref="I12:I18" si="0">G12*H12</f>
        <v>1070.4904904347827</v>
      </c>
      <c r="J12" s="256">
        <f t="shared" ref="J12:J18" si="1">I12*0.05</f>
        <v>53.524524521739139</v>
      </c>
      <c r="K12" s="256">
        <f t="shared" ref="K12:K18" si="2">I12*0.1</f>
        <v>107.04904904347828</v>
      </c>
      <c r="L12" s="128">
        <f t="shared" ref="L12:L18" si="3">(I12*$F$82)+(J12*$F$83)+(K12*$F$84)</f>
        <v>68517.386134572545</v>
      </c>
      <c r="M12" s="259"/>
      <c r="P12" s="338" t="s">
        <v>98</v>
      </c>
    </row>
    <row r="13" spans="1:16" ht="14.5" x14ac:dyDescent="0.3">
      <c r="A13" s="424"/>
      <c r="B13" s="425"/>
      <c r="C13" s="425"/>
      <c r="D13" s="422" t="s">
        <v>99</v>
      </c>
      <c r="E13" s="423">
        <v>26.4</v>
      </c>
      <c r="F13" s="423">
        <v>1</v>
      </c>
      <c r="G13" s="143">
        <f t="shared" ref="G13:G18" si="4">E13*F13</f>
        <v>26.4</v>
      </c>
      <c r="H13" s="257">
        <f>'%CEMSCPMSvs.testing_2137.13'!K5*'Table 1c-Year 1'!F12</f>
        <v>10.55833043478261</v>
      </c>
      <c r="I13" s="256">
        <f t="shared" si="0"/>
        <v>278.73992347826089</v>
      </c>
      <c r="J13" s="256">
        <f t="shared" si="1"/>
        <v>13.936996173913045</v>
      </c>
      <c r="K13" s="256">
        <f t="shared" si="2"/>
        <v>27.873992347826089</v>
      </c>
      <c r="L13" s="128">
        <f t="shared" si="3"/>
        <v>17840.916046180177</v>
      </c>
      <c r="M13" s="259"/>
      <c r="P13" s="338"/>
    </row>
    <row r="14" spans="1:16" ht="14.5" x14ac:dyDescent="0.3">
      <c r="A14" s="424"/>
      <c r="B14" s="425"/>
      <c r="C14" s="425"/>
      <c r="D14" s="422" t="s">
        <v>100</v>
      </c>
      <c r="E14" s="423">
        <v>27.8</v>
      </c>
      <c r="F14" s="423">
        <v>1</v>
      </c>
      <c r="G14" s="143">
        <f t="shared" si="4"/>
        <v>27.8</v>
      </c>
      <c r="H14" s="257">
        <f>'%CEMSCPMSvs.testing_2137.13'!C5*'Table 1c-Year 1'!F12</f>
        <v>14.905878260869567</v>
      </c>
      <c r="I14" s="256">
        <f t="shared" si="0"/>
        <v>414.38341565217399</v>
      </c>
      <c r="J14" s="256">
        <f t="shared" si="1"/>
        <v>20.7191707826087</v>
      </c>
      <c r="K14" s="256">
        <f t="shared" si="2"/>
        <v>41.438341565217399</v>
      </c>
      <c r="L14" s="128">
        <f t="shared" si="3"/>
        <v>26522.859148866792</v>
      </c>
      <c r="M14" s="259"/>
      <c r="P14" s="338"/>
    </row>
    <row r="15" spans="1:16" ht="14.5" x14ac:dyDescent="0.3">
      <c r="A15" s="424"/>
      <c r="B15" s="425"/>
      <c r="C15" s="425"/>
      <c r="D15" s="422" t="s">
        <v>101</v>
      </c>
      <c r="E15" s="423">
        <v>2.5</v>
      </c>
      <c r="F15" s="423">
        <v>4</v>
      </c>
      <c r="G15" s="145">
        <f t="shared" si="4"/>
        <v>10</v>
      </c>
      <c r="H15" s="252">
        <f>('%CEMSCPMSvs.testing_2137.13'!K3+'%CEMSCPMSvs.testing_2137.13'!K4)*'Table 1c-Year 1'!F12</f>
        <v>51.549495652173924</v>
      </c>
      <c r="I15" s="256">
        <f>G15*H15</f>
        <v>515.49495652173925</v>
      </c>
      <c r="J15" s="256">
        <f>I15*0.05</f>
        <v>25.774747826086966</v>
      </c>
      <c r="K15" s="256">
        <f>I15*0.1</f>
        <v>51.549495652173931</v>
      </c>
      <c r="L15" s="286">
        <f t="shared" si="3"/>
        <v>32994.563989147835</v>
      </c>
      <c r="M15" s="259"/>
    </row>
    <row r="16" spans="1:16" ht="14.5" x14ac:dyDescent="0.3">
      <c r="A16" s="424"/>
      <c r="B16" s="425"/>
      <c r="C16" s="425"/>
      <c r="D16" s="422" t="s">
        <v>102</v>
      </c>
      <c r="E16" s="423">
        <v>0.4</v>
      </c>
      <c r="F16" s="423">
        <v>365</v>
      </c>
      <c r="G16" s="145">
        <f t="shared" si="4"/>
        <v>146</v>
      </c>
      <c r="H16" s="252">
        <f>H15</f>
        <v>51.549495652173924</v>
      </c>
      <c r="I16" s="256">
        <f t="shared" si="0"/>
        <v>7526.2263652173933</v>
      </c>
      <c r="J16" s="285">
        <f t="shared" si="1"/>
        <v>376.31131826086971</v>
      </c>
      <c r="K16" s="285">
        <f t="shared" si="2"/>
        <v>752.62263652173942</v>
      </c>
      <c r="L16" s="286">
        <f t="shared" si="3"/>
        <v>481720.63424155844</v>
      </c>
      <c r="M16" s="259"/>
    </row>
    <row r="17" spans="1:16" ht="14.5" x14ac:dyDescent="0.3">
      <c r="A17" s="424"/>
      <c r="B17" s="425"/>
      <c r="C17" s="425"/>
      <c r="D17" s="422" t="s">
        <v>103</v>
      </c>
      <c r="E17" s="423">
        <v>0.25</v>
      </c>
      <c r="F17" s="423">
        <v>365</v>
      </c>
      <c r="G17" s="144">
        <f t="shared" si="4"/>
        <v>91.25</v>
      </c>
      <c r="H17" s="252">
        <f>H15</f>
        <v>51.549495652173924</v>
      </c>
      <c r="I17" s="256">
        <f t="shared" si="0"/>
        <v>4703.8914782608708</v>
      </c>
      <c r="J17" s="287">
        <f t="shared" si="1"/>
        <v>235.19457391304354</v>
      </c>
      <c r="K17" s="285">
        <f t="shared" si="2"/>
        <v>470.38914782608708</v>
      </c>
      <c r="L17" s="286">
        <f t="shared" si="3"/>
        <v>301075.39640097407</v>
      </c>
      <c r="M17" s="259"/>
    </row>
    <row r="18" spans="1:16" ht="14.5" x14ac:dyDescent="0.3">
      <c r="A18" s="424"/>
      <c r="B18" s="425"/>
      <c r="C18" s="425"/>
      <c r="D18" s="422" t="s">
        <v>104</v>
      </c>
      <c r="E18" s="423">
        <v>14</v>
      </c>
      <c r="F18" s="423">
        <v>1</v>
      </c>
      <c r="G18" s="145">
        <f t="shared" si="4"/>
        <v>14</v>
      </c>
      <c r="H18" s="252">
        <f>H15</f>
        <v>51.549495652173924</v>
      </c>
      <c r="I18" s="256">
        <f t="shared" si="0"/>
        <v>721.69293913043498</v>
      </c>
      <c r="J18" s="285">
        <f t="shared" si="1"/>
        <v>36.084646956521752</v>
      </c>
      <c r="K18" s="285">
        <f t="shared" si="2"/>
        <v>72.169293913043504</v>
      </c>
      <c r="L18" s="286">
        <f t="shared" si="3"/>
        <v>46192.389584806981</v>
      </c>
      <c r="M18" s="259"/>
    </row>
    <row r="19" spans="1:16" x14ac:dyDescent="0.3">
      <c r="A19" s="424"/>
      <c r="B19" s="425"/>
      <c r="C19" s="367" t="s">
        <v>105</v>
      </c>
      <c r="D19" s="255"/>
      <c r="E19" s="423"/>
      <c r="F19" s="423"/>
      <c r="G19" s="423"/>
      <c r="H19" s="252"/>
      <c r="I19" s="253"/>
      <c r="J19" s="253"/>
      <c r="K19" s="253"/>
      <c r="L19" s="55"/>
      <c r="M19" s="259"/>
      <c r="P19" s="338"/>
    </row>
    <row r="20" spans="1:16" x14ac:dyDescent="0.3">
      <c r="A20" s="424"/>
      <c r="B20" s="425"/>
      <c r="C20" s="425"/>
      <c r="D20" s="422" t="s">
        <v>189</v>
      </c>
      <c r="E20" s="423">
        <v>27.8</v>
      </c>
      <c r="F20" s="423">
        <v>1</v>
      </c>
      <c r="G20" s="143">
        <f>E20*F20</f>
        <v>27.8</v>
      </c>
      <c r="H20" s="307">
        <f>'%CEMSCPMSvs.testing_2137.13'!Y8*'Table 1c-Year 1'!F12</f>
        <v>0</v>
      </c>
      <c r="I20" s="256">
        <f t="shared" ref="I20:I26" si="5">G20*H20</f>
        <v>0</v>
      </c>
      <c r="J20" s="256">
        <f t="shared" ref="J20:J26" si="6">I20*0.05</f>
        <v>0</v>
      </c>
      <c r="K20" s="256">
        <f t="shared" ref="K20:K26" si="7">I20*0.1</f>
        <v>0</v>
      </c>
      <c r="L20" s="128">
        <f t="shared" ref="L20:L26" si="8">(I20*$F$82)+(J20*$F$83)+(K20*$F$84)</f>
        <v>0</v>
      </c>
      <c r="M20" s="259"/>
      <c r="P20" s="338"/>
    </row>
    <row r="21" spans="1:16" x14ac:dyDescent="0.3">
      <c r="A21" s="424"/>
      <c r="B21" s="425"/>
      <c r="C21" s="425"/>
      <c r="D21" s="422" t="s">
        <v>108</v>
      </c>
      <c r="E21" s="423">
        <v>26.4</v>
      </c>
      <c r="F21" s="423">
        <v>1</v>
      </c>
      <c r="G21" s="143">
        <f>E21*F21</f>
        <v>26.4</v>
      </c>
      <c r="H21" s="252">
        <f>H7*0</f>
        <v>0</v>
      </c>
      <c r="I21" s="256">
        <f>G21*H21</f>
        <v>0</v>
      </c>
      <c r="J21" s="256">
        <f>I21*0.05</f>
        <v>0</v>
      </c>
      <c r="K21" s="256">
        <f>I21*0.1</f>
        <v>0</v>
      </c>
      <c r="L21" s="128">
        <f t="shared" si="8"/>
        <v>0</v>
      </c>
      <c r="M21" s="259"/>
      <c r="P21" s="338"/>
    </row>
    <row r="22" spans="1:16" x14ac:dyDescent="0.3">
      <c r="A22" s="424"/>
      <c r="B22" s="425"/>
      <c r="C22" s="425"/>
      <c r="D22" s="422" t="s">
        <v>109</v>
      </c>
      <c r="E22" s="423">
        <v>27.8</v>
      </c>
      <c r="F22" s="423">
        <v>1</v>
      </c>
      <c r="G22" s="143">
        <f t="shared" ref="G22:G26" si="9">E22*F22</f>
        <v>27.8</v>
      </c>
      <c r="H22" s="252">
        <f>H7*0</f>
        <v>0</v>
      </c>
      <c r="I22" s="256">
        <f t="shared" si="5"/>
        <v>0</v>
      </c>
      <c r="J22" s="256">
        <f t="shared" si="6"/>
        <v>0</v>
      </c>
      <c r="K22" s="256">
        <f t="shared" si="7"/>
        <v>0</v>
      </c>
      <c r="L22" s="128">
        <f t="shared" si="8"/>
        <v>0</v>
      </c>
      <c r="M22" s="259"/>
      <c r="P22" s="338"/>
    </row>
    <row r="23" spans="1:16" x14ac:dyDescent="0.3">
      <c r="A23" s="424"/>
      <c r="B23" s="425"/>
      <c r="C23" s="425"/>
      <c r="D23" s="422" t="s">
        <v>110</v>
      </c>
      <c r="E23" s="423">
        <v>2.46</v>
      </c>
      <c r="F23" s="423">
        <v>4</v>
      </c>
      <c r="G23" s="144">
        <f t="shared" si="9"/>
        <v>9.84</v>
      </c>
      <c r="H23" s="307">
        <f>'Regulated Sources_Overview'!D131*'Table 1c-Year 1'!F12</f>
        <v>0</v>
      </c>
      <c r="I23" s="256">
        <f t="shared" si="5"/>
        <v>0</v>
      </c>
      <c r="J23" s="256">
        <f t="shared" si="6"/>
        <v>0</v>
      </c>
      <c r="K23" s="256">
        <f t="shared" si="7"/>
        <v>0</v>
      </c>
      <c r="L23" s="128">
        <f t="shared" si="8"/>
        <v>0</v>
      </c>
      <c r="M23" s="259"/>
    </row>
    <row r="24" spans="1:16" x14ac:dyDescent="0.3">
      <c r="A24" s="424"/>
      <c r="B24" s="425"/>
      <c r="C24" s="425"/>
      <c r="D24" s="422" t="s">
        <v>111</v>
      </c>
      <c r="E24" s="423">
        <f>ROUND(0.121,2)</f>
        <v>0.12</v>
      </c>
      <c r="F24" s="423">
        <v>365</v>
      </c>
      <c r="G24" s="143">
        <f t="shared" si="9"/>
        <v>43.8</v>
      </c>
      <c r="H24" s="307">
        <f>H23</f>
        <v>0</v>
      </c>
      <c r="I24" s="256">
        <f t="shared" si="5"/>
        <v>0</v>
      </c>
      <c r="J24" s="256">
        <f t="shared" si="6"/>
        <v>0</v>
      </c>
      <c r="K24" s="256">
        <f t="shared" si="7"/>
        <v>0</v>
      </c>
      <c r="L24" s="128">
        <f t="shared" si="8"/>
        <v>0</v>
      </c>
      <c r="M24" s="259"/>
    </row>
    <row r="25" spans="1:16" x14ac:dyDescent="0.3">
      <c r="A25" s="424"/>
      <c r="B25" s="425"/>
      <c r="C25" s="425"/>
      <c r="D25" s="422" t="s">
        <v>112</v>
      </c>
      <c r="E25" s="423">
        <v>0</v>
      </c>
      <c r="F25" s="423">
        <v>365</v>
      </c>
      <c r="G25" s="145">
        <f t="shared" si="9"/>
        <v>0</v>
      </c>
      <c r="H25" s="307">
        <f>H23</f>
        <v>0</v>
      </c>
      <c r="I25" s="256">
        <f t="shared" si="5"/>
        <v>0</v>
      </c>
      <c r="J25" s="256">
        <f t="shared" si="6"/>
        <v>0</v>
      </c>
      <c r="K25" s="256">
        <f t="shared" si="7"/>
        <v>0</v>
      </c>
      <c r="L25" s="128">
        <f t="shared" si="8"/>
        <v>0</v>
      </c>
      <c r="M25" s="259"/>
    </row>
    <row r="26" spans="1:16" x14ac:dyDescent="0.3">
      <c r="A26" s="424"/>
      <c r="B26" s="425"/>
      <c r="C26" s="425"/>
      <c r="D26" s="422" t="s">
        <v>113</v>
      </c>
      <c r="E26" s="423">
        <v>7.3</v>
      </c>
      <c r="F26" s="423">
        <v>365</v>
      </c>
      <c r="G26" s="143">
        <f t="shared" si="9"/>
        <v>2664.5</v>
      </c>
      <c r="H26" s="307">
        <f>H23</f>
        <v>0</v>
      </c>
      <c r="I26" s="256">
        <f t="shared" si="5"/>
        <v>0</v>
      </c>
      <c r="J26" s="256">
        <f t="shared" si="6"/>
        <v>0</v>
      </c>
      <c r="K26" s="256">
        <f t="shared" si="7"/>
        <v>0</v>
      </c>
      <c r="L26" s="128">
        <f t="shared" si="8"/>
        <v>0</v>
      </c>
      <c r="M26" s="259"/>
    </row>
    <row r="27" spans="1:16" x14ac:dyDescent="0.3">
      <c r="A27" s="424"/>
      <c r="B27" s="491" t="s">
        <v>114</v>
      </c>
      <c r="C27" s="491"/>
      <c r="D27" s="492"/>
      <c r="E27" s="251" t="s">
        <v>115</v>
      </c>
      <c r="F27" s="423"/>
      <c r="G27" s="423"/>
      <c r="H27" s="257"/>
      <c r="I27" s="253"/>
      <c r="J27" s="253"/>
      <c r="K27" s="253"/>
      <c r="L27" s="55"/>
      <c r="M27" s="259"/>
    </row>
    <row r="28" spans="1:16" x14ac:dyDescent="0.3">
      <c r="A28" s="424"/>
      <c r="B28" s="491" t="s">
        <v>116</v>
      </c>
      <c r="C28" s="491"/>
      <c r="D28" s="492"/>
      <c r="E28" s="251" t="s">
        <v>117</v>
      </c>
      <c r="F28" s="423"/>
      <c r="G28" s="423"/>
      <c r="H28" s="257"/>
      <c r="I28" s="253"/>
      <c r="J28" s="253"/>
      <c r="K28" s="253"/>
      <c r="L28" s="55"/>
      <c r="M28" s="259"/>
    </row>
    <row r="29" spans="1:16" x14ac:dyDescent="0.3">
      <c r="A29" s="424"/>
      <c r="B29" s="491" t="s">
        <v>118</v>
      </c>
      <c r="C29" s="491"/>
      <c r="D29" s="492"/>
      <c r="E29" s="423"/>
      <c r="F29" s="423"/>
      <c r="G29" s="423"/>
      <c r="H29" s="257"/>
      <c r="I29" s="253"/>
      <c r="J29" s="253"/>
      <c r="K29" s="253"/>
      <c r="L29" s="55"/>
      <c r="M29" s="259"/>
    </row>
    <row r="30" spans="1:16" x14ac:dyDescent="0.3">
      <c r="A30" s="424"/>
      <c r="B30" s="425"/>
      <c r="C30" s="254" t="s">
        <v>95</v>
      </c>
      <c r="D30" s="255"/>
      <c r="E30" s="423"/>
      <c r="F30" s="423"/>
      <c r="G30" s="423"/>
      <c r="H30" s="252"/>
      <c r="I30" s="253"/>
      <c r="J30" s="253"/>
      <c r="K30" s="253"/>
      <c r="L30" s="55"/>
      <c r="M30" s="259"/>
    </row>
    <row r="31" spans="1:16" x14ac:dyDescent="0.3">
      <c r="A31" s="424"/>
      <c r="B31" s="425"/>
      <c r="C31" s="425"/>
      <c r="D31" s="422" t="s">
        <v>119</v>
      </c>
      <c r="E31" s="423">
        <v>5</v>
      </c>
      <c r="F31" s="423">
        <v>1</v>
      </c>
      <c r="G31" s="423">
        <f>E31*F31</f>
        <v>5</v>
      </c>
      <c r="H31" s="252">
        <v>0</v>
      </c>
      <c r="I31" s="256">
        <f t="shared" ref="I31:I32" si="10">G31*H31</f>
        <v>0</v>
      </c>
      <c r="J31" s="256">
        <f t="shared" ref="J31:J39" si="11">I31*0.05</f>
        <v>0</v>
      </c>
      <c r="K31" s="256">
        <f t="shared" ref="K31:K32" si="12">I31*0.1</f>
        <v>0</v>
      </c>
      <c r="L31" s="128">
        <f>(I31*$F$82)+(J31*$F$83)+(K31*$F$84)</f>
        <v>0</v>
      </c>
      <c r="M31" s="259"/>
    </row>
    <row r="32" spans="1:16" x14ac:dyDescent="0.3">
      <c r="A32" s="424"/>
      <c r="B32" s="425"/>
      <c r="C32" s="425"/>
      <c r="D32" s="422" t="s">
        <v>120</v>
      </c>
      <c r="E32" s="423">
        <v>3</v>
      </c>
      <c r="F32" s="423">
        <v>1</v>
      </c>
      <c r="G32" s="423">
        <f>E32*F32</f>
        <v>3</v>
      </c>
      <c r="H32" s="252">
        <v>0</v>
      </c>
      <c r="I32" s="256">
        <f t="shared" si="10"/>
        <v>0</v>
      </c>
      <c r="J32" s="256">
        <f>I32*0.05</f>
        <v>0</v>
      </c>
      <c r="K32" s="256">
        <f t="shared" si="12"/>
        <v>0</v>
      </c>
      <c r="L32" s="128">
        <f>(I32*$F$82)+(J32*$F$83)+(K32*$F$84)</f>
        <v>0</v>
      </c>
      <c r="M32" s="259"/>
    </row>
    <row r="33" spans="1:22" x14ac:dyDescent="0.3">
      <c r="A33" s="424"/>
      <c r="B33" s="425"/>
      <c r="C33" s="425"/>
      <c r="D33" s="422" t="s">
        <v>121</v>
      </c>
      <c r="E33" s="251" t="s">
        <v>115</v>
      </c>
      <c r="F33" s="423"/>
      <c r="G33" s="423"/>
      <c r="H33" s="258"/>
      <c r="I33" s="253"/>
      <c r="J33" s="253"/>
      <c r="K33" s="253"/>
      <c r="L33" s="55"/>
      <c r="M33" s="259"/>
    </row>
    <row r="34" spans="1:22" x14ac:dyDescent="0.3">
      <c r="A34" s="424"/>
      <c r="B34" s="425"/>
      <c r="C34" s="425"/>
      <c r="D34" s="422" t="s">
        <v>122</v>
      </c>
      <c r="E34" s="423">
        <v>16.5</v>
      </c>
      <c r="F34" s="423">
        <v>1</v>
      </c>
      <c r="G34" s="423">
        <f>E34*F34</f>
        <v>16.5</v>
      </c>
      <c r="H34" s="252">
        <v>0</v>
      </c>
      <c r="I34" s="256">
        <f>G34*H34</f>
        <v>0</v>
      </c>
      <c r="J34" s="256">
        <f>I34*0.05</f>
        <v>0</v>
      </c>
      <c r="K34" s="256">
        <f>I34*0.1</f>
        <v>0</v>
      </c>
      <c r="L34" s="128">
        <f t="shared" ref="L34:L39" si="13">(I34*$F$82)+(J34*$F$83)+(K34*$F$84)</f>
        <v>0</v>
      </c>
      <c r="M34" s="259"/>
    </row>
    <row r="35" spans="1:22" x14ac:dyDescent="0.3">
      <c r="A35" s="424"/>
      <c r="B35" s="425"/>
      <c r="C35" s="425"/>
      <c r="D35" s="422" t="s">
        <v>123</v>
      </c>
      <c r="E35" s="423">
        <v>4</v>
      </c>
      <c r="F35" s="423">
        <v>1</v>
      </c>
      <c r="G35" s="423">
        <f t="shared" ref="G35:G39" si="14">E35*F35</f>
        <v>4</v>
      </c>
      <c r="H35" s="252">
        <v>0</v>
      </c>
      <c r="I35" s="256">
        <f t="shared" ref="I35:I39" si="15">G35*H35</f>
        <v>0</v>
      </c>
      <c r="J35" s="256">
        <f t="shared" si="11"/>
        <v>0</v>
      </c>
      <c r="K35" s="256">
        <f t="shared" ref="K35:K39" si="16">I35*0.1</f>
        <v>0</v>
      </c>
      <c r="L35" s="128">
        <f t="shared" si="13"/>
        <v>0</v>
      </c>
      <c r="M35" s="259"/>
    </row>
    <row r="36" spans="1:22" x14ac:dyDescent="0.3">
      <c r="A36" s="424"/>
      <c r="B36" s="425"/>
      <c r="C36" s="425"/>
      <c r="D36" s="422" t="s">
        <v>124</v>
      </c>
      <c r="E36" s="423">
        <v>10</v>
      </c>
      <c r="F36" s="423">
        <v>1</v>
      </c>
      <c r="G36" s="423">
        <f t="shared" si="14"/>
        <v>10</v>
      </c>
      <c r="H36" s="252">
        <f>H37*0.1</f>
        <v>6.210782608695653</v>
      </c>
      <c r="I36" s="256">
        <f t="shared" si="15"/>
        <v>62.107826086956528</v>
      </c>
      <c r="J36" s="285">
        <f t="shared" si="11"/>
        <v>3.1053913043478265</v>
      </c>
      <c r="K36" s="285">
        <f t="shared" si="16"/>
        <v>6.210782608695653</v>
      </c>
      <c r="L36" s="286">
        <f t="shared" si="13"/>
        <v>3975.2486733913047</v>
      </c>
      <c r="M36" s="259"/>
    </row>
    <row r="37" spans="1:22" x14ac:dyDescent="0.3">
      <c r="A37" s="424"/>
      <c r="B37" s="425"/>
      <c r="C37" s="425"/>
      <c r="D37" s="422" t="s">
        <v>125</v>
      </c>
      <c r="E37" s="249">
        <v>65</v>
      </c>
      <c r="F37" s="423">
        <v>2</v>
      </c>
      <c r="G37" s="423">
        <f t="shared" si="14"/>
        <v>130</v>
      </c>
      <c r="H37" s="252">
        <f>'Regulated Sources_Overview'!D149</f>
        <v>62.107826086956528</v>
      </c>
      <c r="I37" s="256">
        <f t="shared" si="15"/>
        <v>8074.0173913043491</v>
      </c>
      <c r="J37" s="256">
        <f t="shared" si="11"/>
        <v>403.70086956521749</v>
      </c>
      <c r="K37" s="256">
        <f t="shared" si="16"/>
        <v>807.40173913043498</v>
      </c>
      <c r="L37" s="286">
        <f t="shared" si="13"/>
        <v>516782.32754086971</v>
      </c>
      <c r="M37" s="259"/>
      <c r="P37" s="338"/>
    </row>
    <row r="38" spans="1:22" x14ac:dyDescent="0.3">
      <c r="A38" s="424"/>
      <c r="B38" s="425"/>
      <c r="C38" s="425"/>
      <c r="D38" s="422" t="s">
        <v>126</v>
      </c>
      <c r="E38" s="423">
        <v>20</v>
      </c>
      <c r="F38" s="423">
        <v>1</v>
      </c>
      <c r="G38" s="423">
        <f t="shared" si="14"/>
        <v>20</v>
      </c>
      <c r="H38" s="252">
        <f>H37</f>
        <v>62.107826086956528</v>
      </c>
      <c r="I38" s="256">
        <f t="shared" si="15"/>
        <v>1242.1565217391305</v>
      </c>
      <c r="J38" s="256">
        <f t="shared" si="11"/>
        <v>62.107826086956528</v>
      </c>
      <c r="K38" s="256">
        <f t="shared" si="16"/>
        <v>124.21565217391306</v>
      </c>
      <c r="L38" s="128">
        <f t="shared" si="13"/>
        <v>79504.973467826087</v>
      </c>
      <c r="M38" s="259"/>
      <c r="P38" s="338"/>
      <c r="T38" s="259">
        <v>45735</v>
      </c>
      <c r="U38" s="130">
        <f>L38/T38</f>
        <v>1.7383835895446833</v>
      </c>
      <c r="V38" s="130">
        <f>H38/U38</f>
        <v>35.727342607521841</v>
      </c>
    </row>
    <row r="39" spans="1:22" x14ac:dyDescent="0.3">
      <c r="A39" s="424"/>
      <c r="B39" s="425"/>
      <c r="C39" s="425"/>
      <c r="D39" s="422" t="s">
        <v>127</v>
      </c>
      <c r="E39" s="423">
        <v>5</v>
      </c>
      <c r="F39" s="423">
        <v>1</v>
      </c>
      <c r="G39" s="423">
        <f t="shared" si="14"/>
        <v>5</v>
      </c>
      <c r="H39" s="252">
        <f>H36</f>
        <v>6.210782608695653</v>
      </c>
      <c r="I39" s="256">
        <f t="shared" si="15"/>
        <v>31.053913043478264</v>
      </c>
      <c r="J39" s="256">
        <f t="shared" si="11"/>
        <v>1.5526956521739133</v>
      </c>
      <c r="K39" s="256">
        <f t="shared" si="16"/>
        <v>3.1053913043478265</v>
      </c>
      <c r="L39" s="128">
        <f t="shared" si="13"/>
        <v>1987.6243366956523</v>
      </c>
      <c r="M39" s="259"/>
      <c r="P39" s="338"/>
    </row>
    <row r="40" spans="1:22" x14ac:dyDescent="0.3">
      <c r="A40" s="424"/>
      <c r="B40" s="425"/>
      <c r="C40" s="367" t="s">
        <v>105</v>
      </c>
      <c r="D40" s="255"/>
      <c r="E40" s="423"/>
      <c r="F40" s="423"/>
      <c r="G40" s="423"/>
      <c r="H40" s="307"/>
      <c r="I40" s="253"/>
      <c r="J40" s="253"/>
      <c r="K40" s="253"/>
      <c r="L40" s="55"/>
      <c r="M40" s="259"/>
    </row>
    <row r="41" spans="1:22" x14ac:dyDescent="0.3">
      <c r="A41" s="424"/>
      <c r="B41" s="425"/>
      <c r="C41" s="425"/>
      <c r="D41" s="422" t="s">
        <v>128</v>
      </c>
      <c r="E41" s="423">
        <v>3</v>
      </c>
      <c r="F41" s="423">
        <v>1</v>
      </c>
      <c r="G41" s="423">
        <f>E41*F41</f>
        <v>3</v>
      </c>
      <c r="H41" s="307">
        <f>H20</f>
        <v>0</v>
      </c>
      <c r="I41" s="256">
        <f t="shared" ref="I41:I42" si="17">G41*H41</f>
        <v>0</v>
      </c>
      <c r="J41" s="256">
        <f t="shared" ref="J41:J42" si="18">I41*0.05</f>
        <v>0</v>
      </c>
      <c r="K41" s="256">
        <f t="shared" ref="K41:K42" si="19">I41*0.1</f>
        <v>0</v>
      </c>
      <c r="L41" s="128">
        <f t="shared" ref="L41:L42" si="20">(I41*$F$82)+(J41*$F$83)+(K41*$F$84)</f>
        <v>0</v>
      </c>
      <c r="M41" s="259"/>
    </row>
    <row r="42" spans="1:22" x14ac:dyDescent="0.3">
      <c r="A42" s="424"/>
      <c r="B42" s="425"/>
      <c r="C42" s="425"/>
      <c r="D42" s="422" t="s">
        <v>119</v>
      </c>
      <c r="E42" s="423">
        <v>5</v>
      </c>
      <c r="F42" s="423">
        <v>1</v>
      </c>
      <c r="G42" s="423">
        <f>E42*F42</f>
        <v>5</v>
      </c>
      <c r="H42" s="307">
        <f>H20</f>
        <v>0</v>
      </c>
      <c r="I42" s="256">
        <f t="shared" si="17"/>
        <v>0</v>
      </c>
      <c r="J42" s="256">
        <f t="shared" si="18"/>
        <v>0</v>
      </c>
      <c r="K42" s="256">
        <f t="shared" si="19"/>
        <v>0</v>
      </c>
      <c r="L42" s="128">
        <f t="shared" si="20"/>
        <v>0</v>
      </c>
      <c r="M42" s="259"/>
    </row>
    <row r="43" spans="1:22" x14ac:dyDescent="0.3">
      <c r="A43" s="424"/>
      <c r="B43" s="425"/>
      <c r="C43" s="425"/>
      <c r="D43" s="422" t="s">
        <v>120</v>
      </c>
      <c r="E43" s="423">
        <v>4</v>
      </c>
      <c r="F43" s="423">
        <v>1</v>
      </c>
      <c r="G43" s="423">
        <f>E43*F43</f>
        <v>4</v>
      </c>
      <c r="H43" s="307">
        <f>H20</f>
        <v>0</v>
      </c>
      <c r="I43" s="256">
        <f>G43*H43</f>
        <v>0</v>
      </c>
      <c r="J43" s="256">
        <f>I43*0.05</f>
        <v>0</v>
      </c>
      <c r="K43" s="256">
        <f>I43*0.1</f>
        <v>0</v>
      </c>
      <c r="L43" s="128">
        <f>(I43*$F$82)+(J43*$F$83)+(K43*$F$84)</f>
        <v>0</v>
      </c>
      <c r="M43" s="259"/>
    </row>
    <row r="44" spans="1:22" x14ac:dyDescent="0.3">
      <c r="A44" s="424"/>
      <c r="B44" s="425"/>
      <c r="C44" s="425"/>
      <c r="D44" s="422" t="s">
        <v>121</v>
      </c>
      <c r="E44" s="251" t="s">
        <v>115</v>
      </c>
      <c r="F44" s="423"/>
      <c r="G44" s="423"/>
      <c r="H44" s="306"/>
      <c r="I44" s="253"/>
      <c r="J44" s="253"/>
      <c r="K44" s="253"/>
      <c r="L44" s="55"/>
      <c r="M44" s="259"/>
    </row>
    <row r="45" spans="1:22" x14ac:dyDescent="0.3">
      <c r="A45" s="424"/>
      <c r="B45" s="425"/>
      <c r="C45" s="425"/>
      <c r="D45" s="422" t="s">
        <v>122</v>
      </c>
      <c r="E45" s="423">
        <v>16.5</v>
      </c>
      <c r="F45" s="423">
        <v>1</v>
      </c>
      <c r="G45" s="423">
        <f>E45*F45</f>
        <v>16.5</v>
      </c>
      <c r="H45" s="307">
        <f>H20</f>
        <v>0</v>
      </c>
      <c r="I45" s="256">
        <f>G45*H45</f>
        <v>0</v>
      </c>
      <c r="J45" s="256">
        <f>I45*0.05</f>
        <v>0</v>
      </c>
      <c r="K45" s="256">
        <f>I45*0.1</f>
        <v>0</v>
      </c>
      <c r="L45" s="128">
        <f t="shared" ref="L45:L50" si="21">(I45*$F$82)+(J45*$F$83)+(K45*$F$84)</f>
        <v>0</v>
      </c>
      <c r="M45" s="259"/>
    </row>
    <row r="46" spans="1:22" x14ac:dyDescent="0.3">
      <c r="A46" s="424"/>
      <c r="B46" s="425"/>
      <c r="C46" s="425"/>
      <c r="D46" s="422" t="s">
        <v>123</v>
      </c>
      <c r="E46" s="423">
        <v>3</v>
      </c>
      <c r="F46" s="423">
        <v>1</v>
      </c>
      <c r="G46" s="423">
        <f t="shared" ref="G46:G47" si="22">E46*F46</f>
        <v>3</v>
      </c>
      <c r="H46" s="307">
        <f>H20</f>
        <v>0</v>
      </c>
      <c r="I46" s="256">
        <f t="shared" ref="I46:I50" si="23">G46*H46</f>
        <v>0</v>
      </c>
      <c r="J46" s="256">
        <f t="shared" ref="J46:J50" si="24">I46*0.05</f>
        <v>0</v>
      </c>
      <c r="K46" s="256">
        <f t="shared" ref="K46:K50" si="25">I46*0.1</f>
        <v>0</v>
      </c>
      <c r="L46" s="128">
        <f t="shared" si="21"/>
        <v>0</v>
      </c>
      <c r="M46" s="259"/>
    </row>
    <row r="47" spans="1:22" x14ac:dyDescent="0.3">
      <c r="A47" s="424"/>
      <c r="B47" s="425"/>
      <c r="C47" s="425"/>
      <c r="D47" s="422" t="s">
        <v>124</v>
      </c>
      <c r="E47" s="423">
        <v>10</v>
      </c>
      <c r="F47" s="423">
        <v>1</v>
      </c>
      <c r="G47" s="423">
        <f t="shared" si="22"/>
        <v>10</v>
      </c>
      <c r="H47" s="378">
        <f>H20*0.1</f>
        <v>0</v>
      </c>
      <c r="I47" s="256">
        <f t="shared" si="23"/>
        <v>0</v>
      </c>
      <c r="J47" s="256">
        <f t="shared" si="24"/>
        <v>0</v>
      </c>
      <c r="K47" s="256">
        <f t="shared" si="25"/>
        <v>0</v>
      </c>
      <c r="L47" s="128">
        <f t="shared" si="21"/>
        <v>0</v>
      </c>
      <c r="M47" s="259"/>
    </row>
    <row r="48" spans="1:22" x14ac:dyDescent="0.3">
      <c r="A48" s="424"/>
      <c r="B48" s="425"/>
      <c r="C48" s="425"/>
      <c r="D48" s="422" t="s">
        <v>125</v>
      </c>
      <c r="E48" s="423">
        <v>75</v>
      </c>
      <c r="F48" s="423">
        <v>2</v>
      </c>
      <c r="G48" s="423">
        <f>E48*F48</f>
        <v>150</v>
      </c>
      <c r="H48" s="307">
        <f>H20</f>
        <v>0</v>
      </c>
      <c r="I48" s="256">
        <f t="shared" si="23"/>
        <v>0</v>
      </c>
      <c r="J48" s="256">
        <f t="shared" si="24"/>
        <v>0</v>
      </c>
      <c r="K48" s="256">
        <f t="shared" si="25"/>
        <v>0</v>
      </c>
      <c r="L48" s="128">
        <f t="shared" si="21"/>
        <v>0</v>
      </c>
      <c r="M48" s="259"/>
      <c r="P48" s="338"/>
    </row>
    <row r="49" spans="1:16" x14ac:dyDescent="0.3">
      <c r="A49" s="424"/>
      <c r="B49" s="425"/>
      <c r="C49" s="425"/>
      <c r="D49" s="422" t="s">
        <v>126</v>
      </c>
      <c r="E49" s="423">
        <v>20</v>
      </c>
      <c r="F49" s="423">
        <v>1</v>
      </c>
      <c r="G49" s="423">
        <f>E49*F49</f>
        <v>20</v>
      </c>
      <c r="H49" s="307">
        <f>H20</f>
        <v>0</v>
      </c>
      <c r="I49" s="256">
        <f t="shared" si="23"/>
        <v>0</v>
      </c>
      <c r="J49" s="256">
        <f t="shared" si="24"/>
        <v>0</v>
      </c>
      <c r="K49" s="256">
        <f t="shared" si="25"/>
        <v>0</v>
      </c>
      <c r="L49" s="128">
        <f t="shared" si="21"/>
        <v>0</v>
      </c>
      <c r="M49" s="259"/>
      <c r="P49" s="338"/>
    </row>
    <row r="50" spans="1:16" x14ac:dyDescent="0.3">
      <c r="A50" s="424"/>
      <c r="B50" s="425"/>
      <c r="C50" s="425"/>
      <c r="D50" s="422" t="s">
        <v>127</v>
      </c>
      <c r="E50" s="423">
        <v>5</v>
      </c>
      <c r="F50" s="423">
        <v>1</v>
      </c>
      <c r="G50" s="423">
        <f>E50*F50</f>
        <v>5</v>
      </c>
      <c r="H50" s="378">
        <f>H20*0.1</f>
        <v>0</v>
      </c>
      <c r="I50" s="256">
        <f t="shared" si="23"/>
        <v>0</v>
      </c>
      <c r="J50" s="256">
        <f t="shared" si="24"/>
        <v>0</v>
      </c>
      <c r="K50" s="256">
        <f t="shared" si="25"/>
        <v>0</v>
      </c>
      <c r="L50" s="128">
        <f t="shared" si="21"/>
        <v>0</v>
      </c>
      <c r="M50" s="259"/>
      <c r="P50" s="338"/>
    </row>
    <row r="51" spans="1:16" s="134" customFormat="1" x14ac:dyDescent="0.3">
      <c r="A51" s="146" t="s">
        <v>129</v>
      </c>
      <c r="B51" s="147"/>
      <c r="C51" s="148"/>
      <c r="D51" s="148"/>
      <c r="E51" s="148"/>
      <c r="F51" s="421"/>
      <c r="G51" s="149"/>
      <c r="H51" s="252"/>
      <c r="I51" s="490">
        <f>SUM(I7:K50)</f>
        <v>28373.15750400001</v>
      </c>
      <c r="J51" s="490"/>
      <c r="K51" s="490"/>
      <c r="L51" s="288">
        <f>SUM(L7:L50)</f>
        <v>1579166.0608156722</v>
      </c>
      <c r="M51" s="314"/>
    </row>
    <row r="52" spans="1:16" x14ac:dyDescent="0.3">
      <c r="A52" s="498" t="s">
        <v>130</v>
      </c>
      <c r="B52" s="499"/>
      <c r="C52" s="499"/>
      <c r="D52" s="491"/>
      <c r="E52" s="423"/>
      <c r="F52" s="423"/>
      <c r="G52" s="423"/>
      <c r="H52" s="252"/>
      <c r="I52" s="253"/>
      <c r="J52" s="253"/>
      <c r="K52" s="253"/>
      <c r="L52" s="55"/>
      <c r="M52" s="259"/>
    </row>
    <row r="53" spans="1:16" ht="12.75" customHeight="1" x14ac:dyDescent="0.3">
      <c r="A53" s="424"/>
      <c r="B53" s="491" t="s">
        <v>92</v>
      </c>
      <c r="C53" s="491"/>
      <c r="D53" s="492"/>
      <c r="E53" s="251" t="s">
        <v>131</v>
      </c>
      <c r="F53" s="423"/>
      <c r="G53" s="423"/>
      <c r="H53" s="252"/>
      <c r="I53" s="253"/>
      <c r="J53" s="253"/>
      <c r="K53" s="253"/>
      <c r="L53" s="55"/>
      <c r="M53" s="259"/>
    </row>
    <row r="54" spans="1:16" x14ac:dyDescent="0.3">
      <c r="A54" s="424"/>
      <c r="B54" s="491" t="s">
        <v>132</v>
      </c>
      <c r="C54" s="491"/>
      <c r="D54" s="492"/>
      <c r="E54" s="251" t="s">
        <v>115</v>
      </c>
      <c r="F54" s="423"/>
      <c r="G54" s="423"/>
      <c r="H54" s="252"/>
      <c r="I54" s="253"/>
      <c r="J54" s="253"/>
      <c r="K54" s="253"/>
      <c r="L54" s="55"/>
      <c r="M54" s="259"/>
    </row>
    <row r="55" spans="1:16" x14ac:dyDescent="0.3">
      <c r="A55" s="424"/>
      <c r="B55" s="491" t="s">
        <v>133</v>
      </c>
      <c r="C55" s="491"/>
      <c r="D55" s="492"/>
      <c r="E55" s="251" t="s">
        <v>115</v>
      </c>
      <c r="F55" s="423"/>
      <c r="G55" s="423"/>
      <c r="H55" s="252"/>
      <c r="I55" s="253"/>
      <c r="J55" s="253"/>
      <c r="K55" s="253"/>
      <c r="L55" s="55"/>
      <c r="M55" s="259"/>
    </row>
    <row r="56" spans="1:16" x14ac:dyDescent="0.3">
      <c r="A56" s="424"/>
      <c r="B56" s="491" t="s">
        <v>134</v>
      </c>
      <c r="C56" s="491"/>
      <c r="D56" s="492"/>
      <c r="E56" s="251" t="s">
        <v>12</v>
      </c>
      <c r="F56" s="423"/>
      <c r="G56" s="423"/>
      <c r="H56" s="252"/>
      <c r="I56" s="253"/>
      <c r="J56" s="253"/>
      <c r="K56" s="253"/>
      <c r="L56" s="55"/>
      <c r="M56" s="259"/>
    </row>
    <row r="57" spans="1:16" x14ac:dyDescent="0.3">
      <c r="A57" s="424"/>
      <c r="B57" s="491" t="s">
        <v>135</v>
      </c>
      <c r="C57" s="491"/>
      <c r="D57" s="492"/>
      <c r="E57" s="423"/>
      <c r="F57" s="423"/>
      <c r="G57" s="423"/>
      <c r="H57" s="252"/>
      <c r="I57" s="253"/>
      <c r="J57" s="253"/>
      <c r="K57" s="253"/>
      <c r="L57" s="55"/>
      <c r="M57" s="259"/>
    </row>
    <row r="58" spans="1:16" x14ac:dyDescent="0.3">
      <c r="A58" s="424"/>
      <c r="B58" s="425"/>
      <c r="C58" s="254" t="s">
        <v>95</v>
      </c>
      <c r="D58" s="255"/>
      <c r="E58" s="423"/>
      <c r="F58" s="423"/>
      <c r="G58" s="423"/>
      <c r="H58" s="263"/>
      <c r="I58" s="253"/>
      <c r="J58" s="253"/>
      <c r="K58" s="253"/>
      <c r="L58" s="55"/>
      <c r="M58" s="259"/>
    </row>
    <row r="59" spans="1:16" x14ac:dyDescent="0.3">
      <c r="A59" s="424"/>
      <c r="B59" s="425"/>
      <c r="C59" s="425"/>
      <c r="D59" s="422" t="s">
        <v>136</v>
      </c>
      <c r="E59" s="423">
        <v>1</v>
      </c>
      <c r="F59" s="423">
        <v>12</v>
      </c>
      <c r="G59" s="423">
        <f t="shared" ref="G59:G66" si="26">E59*F59</f>
        <v>12</v>
      </c>
      <c r="H59" s="263">
        <f>H61*0.1</f>
        <v>6.210782608695653</v>
      </c>
      <c r="I59" s="256">
        <f t="shared" ref="I59:I61" si="27">G59*H59</f>
        <v>74.52939130434784</v>
      </c>
      <c r="J59" s="285">
        <f t="shared" ref="J59:J61" si="28">I59*0.05</f>
        <v>3.7264695652173923</v>
      </c>
      <c r="K59" s="285">
        <f t="shared" ref="K59:K61" si="29">I59*0.1</f>
        <v>7.4529391304347845</v>
      </c>
      <c r="L59" s="286">
        <f>(I59*$F$82)+(J59*$F$83)+(K59*$F$84)</f>
        <v>4770.298408069566</v>
      </c>
      <c r="M59" s="259"/>
    </row>
    <row r="60" spans="1:16" x14ac:dyDescent="0.3">
      <c r="A60" s="424"/>
      <c r="B60" s="425"/>
      <c r="C60" s="425"/>
      <c r="D60" s="422" t="s">
        <v>137</v>
      </c>
      <c r="E60" s="423">
        <v>1</v>
      </c>
      <c r="F60" s="423">
        <v>12</v>
      </c>
      <c r="G60" s="423">
        <f t="shared" si="26"/>
        <v>12</v>
      </c>
      <c r="H60" s="263">
        <f>H61*0.1</f>
        <v>6.210782608695653</v>
      </c>
      <c r="I60" s="256">
        <f t="shared" si="27"/>
        <v>74.52939130434784</v>
      </c>
      <c r="J60" s="285">
        <f t="shared" si="28"/>
        <v>3.7264695652173923</v>
      </c>
      <c r="K60" s="285">
        <f t="shared" si="29"/>
        <v>7.4529391304347845</v>
      </c>
      <c r="L60" s="286">
        <f t="shared" ref="L60" si="30">(I60*$F$82)+(J60*$F$83)+(K60*$F$84)</f>
        <v>4770.298408069566</v>
      </c>
      <c r="M60" s="259"/>
    </row>
    <row r="61" spans="1:16" x14ac:dyDescent="0.3">
      <c r="A61" s="424"/>
      <c r="B61" s="425"/>
      <c r="C61" s="425"/>
      <c r="D61" s="422" t="s">
        <v>138</v>
      </c>
      <c r="E61" s="423">
        <v>2</v>
      </c>
      <c r="F61" s="423">
        <v>12</v>
      </c>
      <c r="G61" s="423">
        <f t="shared" si="26"/>
        <v>24</v>
      </c>
      <c r="H61" s="252">
        <f>'Regulated Sources_Overview'!D149</f>
        <v>62.107826086956528</v>
      </c>
      <c r="I61" s="256">
        <f t="shared" si="27"/>
        <v>1490.5878260869567</v>
      </c>
      <c r="J61" s="285">
        <f t="shared" si="28"/>
        <v>74.52939130434784</v>
      </c>
      <c r="K61" s="285">
        <f t="shared" si="29"/>
        <v>149.05878260869568</v>
      </c>
      <c r="L61" s="286">
        <f>(I61*$F$82)+(J61*$F$83)+(K61*$F$84)</f>
        <v>95405.968161391327</v>
      </c>
      <c r="M61" s="259"/>
    </row>
    <row r="62" spans="1:16" x14ac:dyDescent="0.3">
      <c r="A62" s="424"/>
      <c r="B62" s="425"/>
      <c r="C62" s="367" t="s">
        <v>105</v>
      </c>
      <c r="D62" s="255"/>
      <c r="E62" s="423"/>
      <c r="F62" s="423"/>
      <c r="G62" s="423"/>
      <c r="H62" s="252"/>
      <c r="I62" s="253"/>
      <c r="J62" s="253"/>
      <c r="K62" s="253"/>
      <c r="L62" s="55"/>
      <c r="M62" s="259"/>
    </row>
    <row r="63" spans="1:16" x14ac:dyDescent="0.3">
      <c r="A63" s="424"/>
      <c r="B63" s="425"/>
      <c r="C63" s="425"/>
      <c r="D63" s="422" t="s">
        <v>136</v>
      </c>
      <c r="E63" s="423">
        <v>1</v>
      </c>
      <c r="F63" s="423">
        <v>12</v>
      </c>
      <c r="G63" s="423">
        <f t="shared" si="26"/>
        <v>12</v>
      </c>
      <c r="H63" s="378">
        <f>H20*0.1</f>
        <v>0</v>
      </c>
      <c r="I63" s="256">
        <f t="shared" ref="I63:I66" si="31">G63*H63</f>
        <v>0</v>
      </c>
      <c r="J63" s="256">
        <f t="shared" ref="J63:J66" si="32">I63*0.05</f>
        <v>0</v>
      </c>
      <c r="K63" s="256">
        <f t="shared" ref="K63:K66" si="33">I63*0.1</f>
        <v>0</v>
      </c>
      <c r="L63" s="128">
        <f t="shared" ref="L63:L66" si="34">(I63*$F$82)+(J63*$F$83)+(K63*$F$84)</f>
        <v>0</v>
      </c>
      <c r="M63" s="259"/>
    </row>
    <row r="64" spans="1:16" x14ac:dyDescent="0.3">
      <c r="A64" s="424"/>
      <c r="B64" s="425"/>
      <c r="C64" s="425"/>
      <c r="D64" s="422" t="s">
        <v>137</v>
      </c>
      <c r="E64" s="423">
        <v>1</v>
      </c>
      <c r="F64" s="423">
        <v>12</v>
      </c>
      <c r="G64" s="423">
        <f t="shared" si="26"/>
        <v>12</v>
      </c>
      <c r="H64" s="378">
        <f>H20*0.1</f>
        <v>0</v>
      </c>
      <c r="I64" s="256">
        <f t="shared" si="31"/>
        <v>0</v>
      </c>
      <c r="J64" s="256">
        <f t="shared" si="32"/>
        <v>0</v>
      </c>
      <c r="K64" s="256">
        <f t="shared" si="33"/>
        <v>0</v>
      </c>
      <c r="L64" s="128">
        <f t="shared" si="34"/>
        <v>0</v>
      </c>
      <c r="M64" s="259"/>
    </row>
    <row r="65" spans="1:13" x14ac:dyDescent="0.3">
      <c r="A65" s="424"/>
      <c r="B65" s="425"/>
      <c r="C65" s="425"/>
      <c r="D65" s="422" t="s">
        <v>138</v>
      </c>
      <c r="E65" s="423">
        <v>2</v>
      </c>
      <c r="F65" s="423">
        <v>12</v>
      </c>
      <c r="G65" s="423">
        <f t="shared" si="26"/>
        <v>24</v>
      </c>
      <c r="H65" s="307">
        <f>H20</f>
        <v>0</v>
      </c>
      <c r="I65" s="256">
        <f t="shared" si="31"/>
        <v>0</v>
      </c>
      <c r="J65" s="256">
        <f t="shared" si="32"/>
        <v>0</v>
      </c>
      <c r="K65" s="256">
        <f t="shared" si="33"/>
        <v>0</v>
      </c>
      <c r="L65" s="128">
        <f t="shared" si="34"/>
        <v>0</v>
      </c>
      <c r="M65" s="259"/>
    </row>
    <row r="66" spans="1:13" x14ac:dyDescent="0.3">
      <c r="A66" s="424"/>
      <c r="B66" s="491" t="s">
        <v>140</v>
      </c>
      <c r="C66" s="491"/>
      <c r="D66" s="492"/>
      <c r="E66" s="423">
        <f xml:space="preserve"> 16+ 64</f>
        <v>80</v>
      </c>
      <c r="F66" s="423">
        <v>1</v>
      </c>
      <c r="G66" s="423">
        <f t="shared" si="26"/>
        <v>80</v>
      </c>
      <c r="H66" s="307">
        <f>H42</f>
        <v>0</v>
      </c>
      <c r="I66" s="256">
        <f t="shared" si="31"/>
        <v>0</v>
      </c>
      <c r="J66" s="256">
        <f t="shared" si="32"/>
        <v>0</v>
      </c>
      <c r="K66" s="256">
        <f t="shared" si="33"/>
        <v>0</v>
      </c>
      <c r="L66" s="128">
        <f t="shared" si="34"/>
        <v>0</v>
      </c>
      <c r="M66" s="259"/>
    </row>
    <row r="67" spans="1:13" x14ac:dyDescent="0.3">
      <c r="A67" s="424"/>
      <c r="B67" s="491" t="s">
        <v>141</v>
      </c>
      <c r="C67" s="491"/>
      <c r="D67" s="492"/>
      <c r="E67" s="251" t="s">
        <v>12</v>
      </c>
      <c r="F67" s="423"/>
      <c r="G67" s="423"/>
      <c r="H67" s="252"/>
      <c r="I67" s="253"/>
      <c r="J67" s="253"/>
      <c r="K67" s="253"/>
      <c r="L67" s="55"/>
      <c r="M67" s="259"/>
    </row>
    <row r="68" spans="1:13" s="134" customFormat="1" x14ac:dyDescent="0.3">
      <c r="A68" s="146" t="s">
        <v>142</v>
      </c>
      <c r="B68" s="150"/>
      <c r="C68" s="148"/>
      <c r="D68" s="148"/>
      <c r="E68" s="148"/>
      <c r="F68" s="421"/>
      <c r="G68" s="149"/>
      <c r="H68" s="149"/>
      <c r="I68" s="490">
        <f>SUM(I53:K66)</f>
        <v>1885.5936000000004</v>
      </c>
      <c r="J68" s="490"/>
      <c r="K68" s="490"/>
      <c r="L68" s="288">
        <f>SUM(L53:L66)</f>
        <v>104946.56497753046</v>
      </c>
      <c r="M68" s="187"/>
    </row>
    <row r="69" spans="1:13" s="134" customFormat="1" ht="14.5" x14ac:dyDescent="0.3">
      <c r="A69" s="171" t="s">
        <v>190</v>
      </c>
      <c r="B69" s="150"/>
      <c r="C69" s="172"/>
      <c r="D69" s="223"/>
      <c r="E69" s="224"/>
      <c r="F69" s="225"/>
      <c r="G69" s="226"/>
      <c r="H69" s="226"/>
      <c r="I69" s="493">
        <f>ROUND(I51+I68,-3)</f>
        <v>30000</v>
      </c>
      <c r="J69" s="494"/>
      <c r="K69" s="495"/>
      <c r="L69" s="289">
        <f>ROUND(L51+L68,-5)</f>
        <v>1700000</v>
      </c>
      <c r="M69" s="314"/>
    </row>
    <row r="70" spans="1:13" s="134" customFormat="1" ht="14.5" x14ac:dyDescent="0.3">
      <c r="A70" s="146" t="s">
        <v>191</v>
      </c>
      <c r="B70" s="149"/>
      <c r="C70" s="148"/>
      <c r="D70" s="224"/>
      <c r="E70" s="224"/>
      <c r="F70" s="225"/>
      <c r="G70" s="226"/>
      <c r="H70" s="226"/>
      <c r="I70" s="225"/>
      <c r="J70" s="225"/>
      <c r="K70" s="225"/>
      <c r="L70" s="289">
        <f>ROUND(H102+K113,-5)</f>
        <v>8200000</v>
      </c>
      <c r="M70" s="314"/>
    </row>
    <row r="71" spans="1:13" s="134" customFormat="1" ht="14.5" x14ac:dyDescent="0.3">
      <c r="A71" s="146" t="s">
        <v>192</v>
      </c>
      <c r="B71" s="149"/>
      <c r="C71" s="148"/>
      <c r="D71" s="224"/>
      <c r="E71" s="224"/>
      <c r="F71" s="225"/>
      <c r="G71" s="226"/>
      <c r="H71" s="226"/>
      <c r="I71" s="225"/>
      <c r="J71" s="225">
        <f>ROUND(I69+I68,-3)</f>
        <v>32000</v>
      </c>
      <c r="K71" s="225"/>
      <c r="L71" s="289">
        <f>ROUND(L69+L70,-5)</f>
        <v>9900000</v>
      </c>
      <c r="M71" s="314"/>
    </row>
    <row r="72" spans="1:13" s="152" customFormat="1" x14ac:dyDescent="0.3">
      <c r="A72" s="259"/>
      <c r="B72" s="259"/>
      <c r="C72" s="259"/>
      <c r="D72" s="259"/>
      <c r="E72" s="259"/>
      <c r="F72" s="259"/>
      <c r="G72" s="259"/>
      <c r="H72" s="260"/>
      <c r="I72" s="259"/>
      <c r="J72" s="260"/>
      <c r="K72" s="259"/>
      <c r="L72" s="174"/>
      <c r="M72" s="259"/>
    </row>
    <row r="73" spans="1:13" s="152" customFormat="1" x14ac:dyDescent="0.3">
      <c r="A73" s="261" t="s">
        <v>146</v>
      </c>
      <c r="B73" s="259"/>
      <c r="C73" s="259"/>
      <c r="D73" s="259"/>
      <c r="E73" s="259"/>
      <c r="F73" s="259"/>
      <c r="G73" s="259"/>
      <c r="H73" s="260"/>
      <c r="I73" s="259"/>
      <c r="J73" s="259"/>
      <c r="K73" s="259"/>
      <c r="L73" s="38"/>
      <c r="M73" s="259"/>
    </row>
    <row r="74" spans="1:13" s="152" customFormat="1" ht="48.75" customHeight="1" x14ac:dyDescent="0.3">
      <c r="A74" s="508" t="s">
        <v>203</v>
      </c>
      <c r="B74" s="508"/>
      <c r="C74" s="508"/>
      <c r="D74" s="508"/>
      <c r="E74" s="508"/>
      <c r="F74" s="508"/>
      <c r="G74" s="508"/>
      <c r="H74" s="508"/>
      <c r="I74" s="508"/>
      <c r="J74" s="508"/>
      <c r="K74" s="508"/>
      <c r="L74" s="508"/>
      <c r="M74" s="154"/>
    </row>
    <row r="75" spans="1:13" s="152" customFormat="1" ht="30" customHeight="1" x14ac:dyDescent="0.3">
      <c r="A75" s="497" t="s">
        <v>194</v>
      </c>
      <c r="B75" s="497"/>
      <c r="C75" s="497"/>
      <c r="D75" s="497"/>
      <c r="E75" s="497"/>
      <c r="F75" s="497"/>
      <c r="G75" s="497"/>
      <c r="H75" s="497"/>
      <c r="I75" s="497"/>
      <c r="J75" s="497"/>
      <c r="K75" s="497"/>
      <c r="L75" s="497"/>
      <c r="M75" s="259"/>
    </row>
    <row r="76" spans="1:13" s="151" customFormat="1" ht="28.5" customHeight="1" x14ac:dyDescent="0.3">
      <c r="A76" s="500" t="s">
        <v>195</v>
      </c>
      <c r="B76" s="500"/>
      <c r="C76" s="500"/>
      <c r="D76" s="500"/>
      <c r="E76" s="500"/>
      <c r="F76" s="500"/>
      <c r="G76" s="500"/>
      <c r="H76" s="500"/>
      <c r="I76" s="500"/>
      <c r="J76" s="500"/>
      <c r="K76" s="500"/>
      <c r="L76" s="500"/>
      <c r="M76" s="259"/>
    </row>
    <row r="77" spans="1:13" s="152" customFormat="1" ht="15" customHeight="1" x14ac:dyDescent="0.3">
      <c r="A77" s="500" t="s">
        <v>196</v>
      </c>
      <c r="B77" s="500"/>
      <c r="C77" s="500"/>
      <c r="D77" s="500"/>
      <c r="E77" s="500"/>
      <c r="F77" s="500"/>
      <c r="G77" s="500"/>
      <c r="H77" s="500"/>
      <c r="I77" s="500"/>
      <c r="J77" s="500"/>
      <c r="K77" s="500"/>
      <c r="L77" s="500"/>
      <c r="M77" s="259"/>
    </row>
    <row r="78" spans="1:13" s="152" customFormat="1" ht="15" customHeight="1" x14ac:dyDescent="0.3">
      <c r="A78" s="478" t="s">
        <v>151</v>
      </c>
      <c r="B78" s="478"/>
      <c r="C78" s="478"/>
      <c r="D78" s="478"/>
      <c r="E78" s="478"/>
      <c r="F78" s="478"/>
      <c r="G78" s="478"/>
      <c r="H78" s="478"/>
      <c r="I78" s="478"/>
      <c r="J78" s="478"/>
      <c r="K78" s="478"/>
      <c r="L78" s="478"/>
      <c r="M78" s="259"/>
    </row>
    <row r="79" spans="1:13" s="152" customFormat="1" ht="15.5" x14ac:dyDescent="0.35">
      <c r="A79" s="259"/>
      <c r="B79" s="259"/>
      <c r="C79" s="259"/>
      <c r="D79" s="290" t="s">
        <v>152</v>
      </c>
      <c r="E79" s="259"/>
      <c r="F79" s="259"/>
      <c r="G79" s="259"/>
      <c r="H79" s="260"/>
      <c r="I79" s="259"/>
      <c r="J79" s="259"/>
      <c r="K79" s="259"/>
      <c r="L79" s="210"/>
      <c r="M79" s="259"/>
    </row>
    <row r="80" spans="1:13" s="152" customFormat="1" x14ac:dyDescent="0.3">
      <c r="A80" s="291"/>
      <c r="B80" s="259"/>
      <c r="C80" s="259"/>
      <c r="D80" s="259"/>
      <c r="E80" s="259"/>
      <c r="F80" s="259"/>
      <c r="G80" s="259"/>
      <c r="H80" s="260"/>
      <c r="I80" s="259"/>
      <c r="J80" s="259"/>
      <c r="K80" s="259"/>
      <c r="L80" s="156"/>
      <c r="M80" s="259"/>
    </row>
    <row r="81" spans="1:13" ht="26" x14ac:dyDescent="0.3">
      <c r="A81" s="255"/>
      <c r="B81" s="255"/>
      <c r="C81" s="255"/>
      <c r="D81" s="262"/>
      <c r="E81" s="420" t="s">
        <v>153</v>
      </c>
      <c r="F81" s="420" t="s">
        <v>154</v>
      </c>
      <c r="G81" s="420" t="s">
        <v>197</v>
      </c>
      <c r="H81" s="420" t="s">
        <v>155</v>
      </c>
      <c r="I81" s="264" t="s">
        <v>198</v>
      </c>
      <c r="J81" s="255"/>
      <c r="K81" s="255"/>
      <c r="L81" s="157"/>
      <c r="M81" s="259"/>
    </row>
    <row r="82" spans="1:13" ht="26" x14ac:dyDescent="0.3">
      <c r="A82" s="255"/>
      <c r="B82" s="255"/>
      <c r="C82" s="255"/>
      <c r="D82" s="255"/>
      <c r="E82" s="423" t="s">
        <v>199</v>
      </c>
      <c r="F82" s="376">
        <f>H82*G82</f>
        <v>57.072000000000003</v>
      </c>
      <c r="G82" s="311">
        <v>1.6</v>
      </c>
      <c r="H82" s="293">
        <f>'Table 1b-Year 1'!H82</f>
        <v>35.67</v>
      </c>
      <c r="I82" s="264"/>
      <c r="J82" s="255"/>
      <c r="K82" s="255"/>
      <c r="M82" s="259"/>
    </row>
    <row r="83" spans="1:13" ht="26" x14ac:dyDescent="0.3">
      <c r="A83" s="255"/>
      <c r="B83" s="255"/>
      <c r="C83" s="255"/>
      <c r="D83" s="255"/>
      <c r="E83" s="423" t="s">
        <v>200</v>
      </c>
      <c r="F83" s="376">
        <f>H83*G83</f>
        <v>76.912000000000006</v>
      </c>
      <c r="G83" s="311">
        <v>1.6</v>
      </c>
      <c r="H83" s="293">
        <f>'Table 1b-Year 1'!H83</f>
        <v>48.07</v>
      </c>
      <c r="I83" s="265"/>
      <c r="J83" s="266"/>
      <c r="K83" s="255"/>
      <c r="M83" s="259"/>
    </row>
    <row r="84" spans="1:13" ht="26" x14ac:dyDescent="0.3">
      <c r="A84" s="255"/>
      <c r="B84" s="255"/>
      <c r="C84" s="255"/>
      <c r="D84" s="255"/>
      <c r="E84" s="423" t="s">
        <v>201</v>
      </c>
      <c r="F84" s="376">
        <f>H84*G84</f>
        <v>30.880000000000003</v>
      </c>
      <c r="G84" s="311">
        <v>1.6</v>
      </c>
      <c r="H84" s="293">
        <f>'Table 1b-Year 1'!H84</f>
        <v>19.3</v>
      </c>
      <c r="I84" s="255"/>
      <c r="J84" s="255"/>
      <c r="K84" s="255"/>
      <c r="M84" s="259"/>
    </row>
    <row r="85" spans="1:13" x14ac:dyDescent="0.3">
      <c r="A85" s="255"/>
      <c r="B85" s="255"/>
      <c r="C85" s="255"/>
      <c r="D85" s="267"/>
      <c r="E85" s="255"/>
      <c r="F85" s="268"/>
      <c r="G85" s="255"/>
      <c r="H85" s="269"/>
      <c r="I85" s="255"/>
      <c r="J85" s="255"/>
      <c r="K85" s="255"/>
      <c r="M85" s="259"/>
    </row>
    <row r="86" spans="1:13" x14ac:dyDescent="0.3">
      <c r="A86" s="255"/>
      <c r="B86" s="255"/>
      <c r="C86" s="255"/>
      <c r="D86" s="267"/>
      <c r="E86" s="255"/>
      <c r="F86" s="268"/>
      <c r="G86" s="255"/>
      <c r="H86" s="269"/>
      <c r="I86" s="255"/>
      <c r="J86" s="255"/>
      <c r="K86" s="255"/>
      <c r="M86" s="259"/>
    </row>
    <row r="87" spans="1:13" s="152" customFormat="1" x14ac:dyDescent="0.3">
      <c r="A87" s="259"/>
      <c r="B87" s="259"/>
      <c r="C87" s="259"/>
      <c r="D87" s="255"/>
      <c r="E87" s="270"/>
      <c r="F87" s="271"/>
      <c r="G87" s="259"/>
      <c r="H87" s="260"/>
      <c r="I87" s="259"/>
      <c r="J87" s="259"/>
      <c r="K87" s="38"/>
      <c r="L87" s="259"/>
      <c r="M87" s="259"/>
    </row>
    <row r="88" spans="1:13" ht="15" customHeight="1" x14ac:dyDescent="0.3">
      <c r="A88" s="255"/>
      <c r="B88" s="255"/>
      <c r="C88" s="255"/>
      <c r="D88" s="262"/>
      <c r="E88" s="479" t="s">
        <v>163</v>
      </c>
      <c r="F88" s="480"/>
      <c r="G88" s="480"/>
      <c r="H88" s="481"/>
      <c r="I88" s="294"/>
      <c r="J88" s="255"/>
      <c r="K88" s="158"/>
      <c r="L88" s="255"/>
      <c r="M88" s="259"/>
    </row>
    <row r="89" spans="1:13" x14ac:dyDescent="0.3">
      <c r="A89" s="255"/>
      <c r="B89" s="255"/>
      <c r="C89" s="255"/>
      <c r="D89" s="295" t="s">
        <v>9</v>
      </c>
      <c r="E89" s="420" t="s">
        <v>165</v>
      </c>
      <c r="F89" s="420" t="s">
        <v>166</v>
      </c>
      <c r="G89" s="420" t="s">
        <v>167</v>
      </c>
      <c r="H89" s="420" t="s">
        <v>168</v>
      </c>
      <c r="I89" s="259"/>
      <c r="J89" s="255"/>
      <c r="K89" s="158"/>
      <c r="L89" s="255"/>
      <c r="M89" s="259"/>
    </row>
    <row r="90" spans="1:13" x14ac:dyDescent="0.3">
      <c r="A90" s="255"/>
      <c r="B90" s="255"/>
      <c r="C90" s="255"/>
      <c r="D90" s="296" t="s">
        <v>11</v>
      </c>
      <c r="E90" s="403" t="s">
        <v>169</v>
      </c>
      <c r="F90" s="169">
        <f>'Table 1a-Year 1'!F92</f>
        <v>5167.0448330540685</v>
      </c>
      <c r="G90" s="372">
        <f>H12+H20</f>
        <v>38.506852173913046</v>
      </c>
      <c r="H90" s="297">
        <f>F90*G90</f>
        <v>198966.63156239424</v>
      </c>
      <c r="I90" s="154"/>
      <c r="J90" s="255"/>
      <c r="K90" s="158"/>
      <c r="L90" s="255"/>
      <c r="M90" s="259"/>
    </row>
    <row r="91" spans="1:13" x14ac:dyDescent="0.3">
      <c r="A91" s="255"/>
      <c r="B91" s="255"/>
      <c r="C91" s="255"/>
      <c r="D91" s="296" t="s">
        <v>14</v>
      </c>
      <c r="E91" s="423" t="s">
        <v>170</v>
      </c>
      <c r="F91" s="169">
        <f>'Summary Info_2015'!C61</f>
        <v>20444.262999999999</v>
      </c>
      <c r="G91" s="413">
        <f>H13</f>
        <v>10.55833043478261</v>
      </c>
      <c r="H91" s="297">
        <f t="shared" ref="H91:H92" si="35">F91*G91</f>
        <v>215857.28424960002</v>
      </c>
      <c r="I91" s="154"/>
      <c r="J91" s="255"/>
      <c r="K91" s="158"/>
      <c r="L91" s="255"/>
      <c r="M91" s="259"/>
    </row>
    <row r="92" spans="1:13" s="152" customFormat="1" x14ac:dyDescent="0.3">
      <c r="A92" s="259"/>
      <c r="B92" s="259"/>
      <c r="C92" s="259"/>
      <c r="D92" s="296" t="s">
        <v>20</v>
      </c>
      <c r="E92" s="423" t="s">
        <v>171</v>
      </c>
      <c r="F92" s="169">
        <f>'Summary Info_2015'!M66</f>
        <v>20006</v>
      </c>
      <c r="G92" s="413">
        <f>H14</f>
        <v>14.905878260869567</v>
      </c>
      <c r="H92" s="297">
        <f t="shared" si="35"/>
        <v>298207.00048695656</v>
      </c>
      <c r="I92" s="154"/>
      <c r="J92" s="255"/>
      <c r="K92" s="38"/>
      <c r="L92" s="259"/>
      <c r="M92" s="259"/>
    </row>
    <row r="93" spans="1:13" x14ac:dyDescent="0.3">
      <c r="A93" s="255"/>
      <c r="B93" s="255"/>
      <c r="C93" s="255"/>
      <c r="D93" s="255"/>
      <c r="E93" s="272" t="s">
        <v>45</v>
      </c>
      <c r="F93" s="273">
        <f>SUM(F90:F92)</f>
        <v>45617.307833054067</v>
      </c>
      <c r="G93" s="374">
        <f>SUM(G90:G92)</f>
        <v>63.971060869565221</v>
      </c>
      <c r="H93" s="277">
        <f>SUM(H90:H92)</f>
        <v>713030.91629895079</v>
      </c>
      <c r="I93" s="255"/>
      <c r="J93" s="280"/>
      <c r="K93" s="255"/>
      <c r="L93" s="255"/>
      <c r="M93" s="259"/>
    </row>
    <row r="94" spans="1:13" x14ac:dyDescent="0.3">
      <c r="A94" s="255"/>
      <c r="B94" s="255"/>
      <c r="C94" s="255"/>
      <c r="D94" s="255"/>
      <c r="E94" s="274"/>
      <c r="F94" s="255"/>
      <c r="G94" s="269"/>
      <c r="H94" s="275"/>
      <c r="I94" s="255"/>
      <c r="J94" s="255"/>
      <c r="K94" s="255"/>
      <c r="L94" s="255"/>
      <c r="M94" s="259"/>
    </row>
    <row r="95" spans="1:13" ht="30" customHeight="1" x14ac:dyDescent="0.3">
      <c r="A95" s="255"/>
      <c r="B95" s="255"/>
      <c r="C95" s="255"/>
      <c r="D95" s="255"/>
      <c r="E95" s="479" t="s">
        <v>172</v>
      </c>
      <c r="F95" s="480"/>
      <c r="G95" s="480"/>
      <c r="H95" s="481"/>
      <c r="I95" s="255"/>
      <c r="J95" s="255"/>
      <c r="K95" s="255"/>
      <c r="L95" s="255"/>
      <c r="M95" s="259"/>
    </row>
    <row r="96" spans="1:13" s="152" customFormat="1" x14ac:dyDescent="0.3">
      <c r="A96" s="259"/>
      <c r="B96" s="259"/>
      <c r="C96" s="259"/>
      <c r="D96" s="295" t="s">
        <v>173</v>
      </c>
      <c r="E96" s="420" t="s">
        <v>174</v>
      </c>
      <c r="F96" s="420" t="s">
        <v>175</v>
      </c>
      <c r="G96" s="420" t="s">
        <v>176</v>
      </c>
      <c r="H96" s="420" t="s">
        <v>168</v>
      </c>
      <c r="I96" s="259"/>
      <c r="J96" s="259"/>
      <c r="K96" s="259"/>
      <c r="L96" s="259"/>
      <c r="M96" s="259"/>
    </row>
    <row r="97" spans="1:13" x14ac:dyDescent="0.3">
      <c r="A97" s="255"/>
      <c r="B97" s="255"/>
      <c r="C97" s="255"/>
      <c r="D97" s="296" t="s">
        <v>202</v>
      </c>
      <c r="E97" s="423" t="s">
        <v>11</v>
      </c>
      <c r="F97" s="276">
        <f>'Table 1a-Year 1'!F99</f>
        <v>7940.8962315002973</v>
      </c>
      <c r="G97" s="373">
        <f>'Regulated Sources_Overview'!E117*'Table 1c-Year 2'!F12</f>
        <v>0</v>
      </c>
      <c r="H97" s="299">
        <f>F97*G97</f>
        <v>0</v>
      </c>
      <c r="I97" s="259"/>
      <c r="J97" s="255"/>
      <c r="K97" s="255"/>
      <c r="L97" s="255"/>
      <c r="M97" s="259"/>
    </row>
    <row r="98" spans="1:13" x14ac:dyDescent="0.3">
      <c r="A98" s="255"/>
      <c r="B98" s="255"/>
      <c r="C98" s="255"/>
      <c r="D98" s="296" t="s">
        <v>177</v>
      </c>
      <c r="E98" s="423" t="s">
        <v>14</v>
      </c>
      <c r="F98" s="276">
        <f>'Summary Info_2015'!B63</f>
        <v>111044.6066688</v>
      </c>
      <c r="G98" s="298">
        <f>'Regulated Sources_Overview'!K17</f>
        <v>0</v>
      </c>
      <c r="H98" s="299">
        <f t="shared" ref="H98:H99" si="36">F98*G98</f>
        <v>0</v>
      </c>
      <c r="I98" s="255"/>
      <c r="J98" s="255"/>
      <c r="K98" s="255"/>
      <c r="L98" s="255"/>
      <c r="M98" s="259"/>
    </row>
    <row r="99" spans="1:13" x14ac:dyDescent="0.3">
      <c r="A99" s="255"/>
      <c r="B99" s="255"/>
      <c r="C99" s="255"/>
      <c r="D99" s="296" t="s">
        <v>178</v>
      </c>
      <c r="E99" s="423" t="s">
        <v>20</v>
      </c>
      <c r="F99" s="276">
        <f>'Summary Info_2015'!L63</f>
        <v>174001.69178879997</v>
      </c>
      <c r="G99" s="298">
        <f>'Regulated Sources_Overview'!K18</f>
        <v>0</v>
      </c>
      <c r="H99" s="299">
        <f t="shared" si="36"/>
        <v>0</v>
      </c>
      <c r="I99" s="255"/>
      <c r="J99" s="255"/>
      <c r="K99" s="255"/>
      <c r="L99" s="255"/>
      <c r="M99" s="259"/>
    </row>
    <row r="100" spans="1:13" x14ac:dyDescent="0.3">
      <c r="A100" s="255"/>
      <c r="B100" s="255"/>
      <c r="C100" s="255"/>
      <c r="D100" s="255"/>
      <c r="E100" s="272" t="s">
        <v>45</v>
      </c>
      <c r="F100" s="277">
        <f>SUM(F97:F99)</f>
        <v>292987.19468910026</v>
      </c>
      <c r="G100" s="374">
        <f>SUM(G97:G99)</f>
        <v>0</v>
      </c>
      <c r="H100" s="277">
        <f>SUM(H97:H99)</f>
        <v>0</v>
      </c>
      <c r="I100" s="255"/>
      <c r="J100" s="255"/>
      <c r="K100" s="255"/>
      <c r="M100" s="259"/>
    </row>
    <row r="101" spans="1:13" x14ac:dyDescent="0.3">
      <c r="A101" s="255"/>
      <c r="B101" s="255"/>
      <c r="C101" s="255"/>
      <c r="D101" s="255"/>
      <c r="E101" s="278"/>
      <c r="F101" s="279"/>
      <c r="G101" s="280"/>
      <c r="H101" s="275"/>
      <c r="I101" s="255"/>
      <c r="J101" s="255"/>
      <c r="K101" s="255"/>
      <c r="M101" s="259"/>
    </row>
    <row r="102" spans="1:13" x14ac:dyDescent="0.3">
      <c r="A102" s="255"/>
      <c r="B102" s="255"/>
      <c r="C102" s="255"/>
      <c r="D102" s="255"/>
      <c r="E102" s="424"/>
      <c r="F102" s="509" t="s">
        <v>179</v>
      </c>
      <c r="G102" s="509"/>
      <c r="H102" s="439">
        <f>H93+H100</f>
        <v>713030.91629895079</v>
      </c>
      <c r="I102" s="255"/>
      <c r="J102" s="301"/>
      <c r="K102" s="255"/>
      <c r="M102" s="259"/>
    </row>
    <row r="103" spans="1:13" x14ac:dyDescent="0.3">
      <c r="A103" s="255"/>
      <c r="B103" s="255"/>
      <c r="C103" s="255"/>
      <c r="D103" s="255"/>
      <c r="E103" s="255"/>
      <c r="F103" s="279"/>
      <c r="G103" s="280"/>
      <c r="H103" s="269"/>
      <c r="I103" s="255"/>
      <c r="J103" s="255"/>
      <c r="K103" s="255"/>
      <c r="M103" s="259"/>
    </row>
    <row r="104" spans="1:13" x14ac:dyDescent="0.3">
      <c r="A104" s="255"/>
      <c r="B104" s="255"/>
      <c r="C104" s="255"/>
      <c r="D104" s="255"/>
      <c r="F104" s="279"/>
      <c r="G104" s="280"/>
      <c r="H104" s="269"/>
      <c r="I104" s="255"/>
      <c r="J104" s="255"/>
      <c r="K104" s="255"/>
      <c r="M104" s="259"/>
    </row>
    <row r="105" spans="1:13" x14ac:dyDescent="0.3">
      <c r="A105" s="255"/>
      <c r="B105" s="255"/>
      <c r="C105" s="255"/>
      <c r="E105" s="255"/>
      <c r="F105" s="279"/>
      <c r="G105" s="280"/>
      <c r="H105" s="269"/>
      <c r="I105" s="255"/>
      <c r="J105" s="255"/>
      <c r="K105" s="255"/>
      <c r="M105" s="259"/>
    </row>
    <row r="106" spans="1:13" ht="12.75" customHeight="1" x14ac:dyDescent="0.3">
      <c r="A106" s="255"/>
      <c r="B106" s="255"/>
      <c r="C106" s="255"/>
      <c r="D106" s="255"/>
      <c r="E106" s="302"/>
      <c r="F106" s="302"/>
      <c r="G106" s="302"/>
      <c r="H106" s="302"/>
      <c r="I106" s="302"/>
      <c r="J106" s="302"/>
      <c r="K106" s="302"/>
      <c r="L106" s="302"/>
      <c r="M106" s="259"/>
    </row>
    <row r="107" spans="1:13" ht="12.75" customHeight="1" x14ac:dyDescent="0.35">
      <c r="A107" s="255"/>
      <c r="B107" s="255"/>
      <c r="C107" s="255"/>
      <c r="D107" s="255"/>
      <c r="E107" s="510" t="s">
        <v>180</v>
      </c>
      <c r="F107" s="511"/>
      <c r="G107" s="511"/>
      <c r="H107" s="511"/>
      <c r="I107" s="511"/>
      <c r="J107" s="511"/>
      <c r="K107" s="512"/>
      <c r="L107" s="255"/>
      <c r="M107" s="259"/>
    </row>
    <row r="108" spans="1:13" ht="12.75" customHeight="1" x14ac:dyDescent="0.35">
      <c r="A108" s="255"/>
      <c r="B108" s="255"/>
      <c r="C108" s="255"/>
      <c r="D108" s="255"/>
      <c r="E108" s="485" t="s">
        <v>174</v>
      </c>
      <c r="F108" s="479" t="s">
        <v>181</v>
      </c>
      <c r="G108" s="483"/>
      <c r="H108" s="483"/>
      <c r="I108" s="484"/>
      <c r="J108" s="487" t="s">
        <v>182</v>
      </c>
      <c r="K108" s="489" t="s">
        <v>183</v>
      </c>
      <c r="L108" s="255"/>
      <c r="M108" s="259"/>
    </row>
    <row r="109" spans="1:13" x14ac:dyDescent="0.3">
      <c r="A109" s="255"/>
      <c r="B109" s="255"/>
      <c r="C109" s="255"/>
      <c r="D109" s="255"/>
      <c r="E109" s="486"/>
      <c r="F109" s="420" t="s">
        <v>184</v>
      </c>
      <c r="G109" s="420" t="s">
        <v>185</v>
      </c>
      <c r="H109" s="292" t="s">
        <v>186</v>
      </c>
      <c r="I109" s="420" t="s">
        <v>45</v>
      </c>
      <c r="J109" s="488"/>
      <c r="K109" s="489"/>
      <c r="L109" s="255"/>
      <c r="M109" s="259"/>
    </row>
    <row r="110" spans="1:13" x14ac:dyDescent="0.3">
      <c r="A110" s="255"/>
      <c r="B110" s="255"/>
      <c r="C110" s="255"/>
      <c r="D110" s="255"/>
      <c r="E110" s="282" t="s">
        <v>11</v>
      </c>
      <c r="F110" s="168">
        <f>'Table 1a-Year 1'!F112</f>
        <v>0</v>
      </c>
      <c r="G110" s="168">
        <f>'Table 1a-Year 1'!G112</f>
        <v>14290</v>
      </c>
      <c r="H110" s="168">
        <f>'Table 1a-Year 1'!H112</f>
        <v>13693</v>
      </c>
      <c r="I110" s="168">
        <f>F110+G110+H110</f>
        <v>27983</v>
      </c>
      <c r="J110" s="375">
        <f>'%CEMSCPMSvs.testing_2137.13'!Y3*'Table 1c-Year 1'!F12</f>
        <v>23.600973913043482</v>
      </c>
      <c r="K110" s="312">
        <f>I110*J110</f>
        <v>660426.05300869572</v>
      </c>
      <c r="L110" s="303"/>
      <c r="M110" s="259"/>
    </row>
    <row r="111" spans="1:13" x14ac:dyDescent="0.3">
      <c r="A111" s="255"/>
      <c r="B111" s="255"/>
      <c r="C111" s="255"/>
      <c r="D111" s="255"/>
      <c r="E111" s="282" t="s">
        <v>14</v>
      </c>
      <c r="F111" s="168">
        <f>'Table 1a-Year 2'!F113</f>
        <v>14788.7065664</v>
      </c>
      <c r="G111" s="168">
        <f>'Table 1a-Year 2'!G113</f>
        <v>10931.940845699999</v>
      </c>
      <c r="H111" s="168">
        <f>'Table 1a-Year 2'!H113</f>
        <v>15897.235325044843</v>
      </c>
      <c r="I111" s="168">
        <f>F111+G111+H111</f>
        <v>41617.882737144842</v>
      </c>
      <c r="J111" s="412">
        <f>('%CEMSCPMSvs.testing_2137.13'!K3+'%CEMSCPMSvs.testing_2137.13'!K4)*'Table 1c-Year 3'!F12</f>
        <v>51.549495652173924</v>
      </c>
      <c r="K111" s="168">
        <f t="shared" ref="K111" si="37">I111*J111</f>
        <v>2145380.8652111324</v>
      </c>
      <c r="L111" s="303"/>
      <c r="M111" s="259"/>
    </row>
    <row r="112" spans="1:13" x14ac:dyDescent="0.3">
      <c r="A112" s="255"/>
      <c r="B112" s="255"/>
      <c r="C112" s="255"/>
      <c r="D112" s="255"/>
      <c r="E112" s="282" t="s">
        <v>20</v>
      </c>
      <c r="F112" s="168">
        <f>'Table 1a-Year 2'!F114</f>
        <v>19959.2166464</v>
      </c>
      <c r="G112" s="168">
        <f>'Table 1a-Year 2'!G114</f>
        <v>40011.554765699999</v>
      </c>
      <c r="H112" s="168">
        <f>'Table 1a-Year 2'!H114</f>
        <v>40035.286058200538</v>
      </c>
      <c r="I112" s="168">
        <f>F112+G112+H112</f>
        <v>100006.05747030054</v>
      </c>
      <c r="J112" s="412">
        <f>'%CEMSCPMSvs.testing_2137.13'!C3*'Table 1c-Year 3'!F12</f>
        <v>47.201947826086965</v>
      </c>
      <c r="K112" s="168">
        <f>I112*J112</f>
        <v>4720480.7070057802</v>
      </c>
      <c r="L112" s="303"/>
      <c r="M112" s="259"/>
    </row>
    <row r="113" spans="1:13" x14ac:dyDescent="0.3">
      <c r="A113" s="255"/>
      <c r="B113" s="255"/>
      <c r="C113" s="255"/>
      <c r="D113" s="255"/>
      <c r="E113" s="436" t="s">
        <v>45</v>
      </c>
      <c r="F113" s="437"/>
      <c r="G113" s="437"/>
      <c r="H113" s="437"/>
      <c r="I113" s="437"/>
      <c r="J113" s="438"/>
      <c r="K113" s="437">
        <f>SUM(K110:K112)</f>
        <v>7526287.6252256082</v>
      </c>
      <c r="L113" s="279"/>
      <c r="M113" s="259"/>
    </row>
    <row r="114" spans="1:13" ht="15.5" x14ac:dyDescent="0.35">
      <c r="A114" s="255"/>
      <c r="B114" s="255"/>
      <c r="C114" s="255"/>
      <c r="D114" s="255"/>
      <c r="E114" s="255"/>
      <c r="F114" s="305"/>
      <c r="G114" s="255"/>
      <c r="H114" s="269"/>
      <c r="I114" s="255"/>
      <c r="J114" s="269"/>
      <c r="K114" s="284"/>
      <c r="M114" s="259"/>
    </row>
    <row r="115" spans="1:13" x14ac:dyDescent="0.3">
      <c r="A115" s="255"/>
      <c r="B115" s="255"/>
      <c r="C115" s="255"/>
      <c r="D115" s="255"/>
      <c r="E115" s="255"/>
      <c r="F115" s="255"/>
      <c r="G115" s="255"/>
      <c r="H115" s="269"/>
      <c r="I115" s="255"/>
      <c r="J115" s="269"/>
      <c r="K115" s="301">
        <f>K113+H93</f>
        <v>8239318.5415245593</v>
      </c>
      <c r="M115" s="259"/>
    </row>
    <row r="116" spans="1:13" x14ac:dyDescent="0.3">
      <c r="A116" s="255"/>
      <c r="B116" s="255"/>
      <c r="C116" s="255"/>
      <c r="D116" s="255"/>
      <c r="E116" s="255"/>
      <c r="F116" s="255"/>
      <c r="G116" s="255"/>
      <c r="H116" s="269"/>
      <c r="I116" s="255"/>
      <c r="J116" s="255"/>
      <c r="K116" s="255"/>
      <c r="L116" s="213"/>
      <c r="M116" s="313"/>
    </row>
    <row r="117" spans="1:13" x14ac:dyDescent="0.3">
      <c r="A117" s="255"/>
      <c r="B117" s="255"/>
      <c r="C117" s="255"/>
      <c r="D117" s="255"/>
      <c r="E117" s="255"/>
      <c r="F117" s="255"/>
      <c r="G117" s="255"/>
      <c r="H117" s="269"/>
      <c r="I117" s="255"/>
      <c r="J117" s="255"/>
      <c r="K117" s="255"/>
      <c r="L117" s="213"/>
      <c r="M117" s="313"/>
    </row>
    <row r="118" spans="1:13" x14ac:dyDescent="0.3">
      <c r="A118" s="255"/>
      <c r="B118" s="255"/>
      <c r="C118" s="255"/>
      <c r="D118" s="255"/>
      <c r="E118" s="255"/>
      <c r="F118" s="255"/>
      <c r="G118" s="255"/>
      <c r="H118" s="269"/>
      <c r="I118" s="255"/>
      <c r="J118" s="255"/>
      <c r="K118" s="255"/>
      <c r="L118" s="213"/>
      <c r="M118" s="313"/>
    </row>
    <row r="119" spans="1:13" x14ac:dyDescent="0.3">
      <c r="I119" s="170"/>
      <c r="M119" s="214"/>
    </row>
  </sheetData>
  <mergeCells count="34">
    <mergeCell ref="B9:D9"/>
    <mergeCell ref="B10:D10"/>
    <mergeCell ref="B27:D27"/>
    <mergeCell ref="B28:D28"/>
    <mergeCell ref="B29:D29"/>
    <mergeCell ref="A3:D4"/>
    <mergeCell ref="A5:D5"/>
    <mergeCell ref="A6:D6"/>
    <mergeCell ref="A7:D7"/>
    <mergeCell ref="A8:D8"/>
    <mergeCell ref="I51:K51"/>
    <mergeCell ref="E88:H88"/>
    <mergeCell ref="B53:D53"/>
    <mergeCell ref="B54:D54"/>
    <mergeCell ref="B55:D55"/>
    <mergeCell ref="B56:D56"/>
    <mergeCell ref="B57:D57"/>
    <mergeCell ref="B66:D66"/>
    <mergeCell ref="B67:D67"/>
    <mergeCell ref="I68:K68"/>
    <mergeCell ref="I69:K69"/>
    <mergeCell ref="A74:L74"/>
    <mergeCell ref="A75:L75"/>
    <mergeCell ref="A52:D52"/>
    <mergeCell ref="A76:L76"/>
    <mergeCell ref="A77:L77"/>
    <mergeCell ref="A78:L78"/>
    <mergeCell ref="E95:H95"/>
    <mergeCell ref="F102:G102"/>
    <mergeCell ref="E107:K107"/>
    <mergeCell ref="E108:E109"/>
    <mergeCell ref="F108:I108"/>
    <mergeCell ref="J108:J109"/>
    <mergeCell ref="K108:K109"/>
  </mergeCells>
  <printOptions horizontalCentered="1" verticalCentered="1"/>
  <pageMargins left="0.7" right="0.7" top="0.75" bottom="0.75" header="0.3" footer="0.3"/>
  <pageSetup paperSize="17" orientation="landscape" r:id="rId1"/>
  <headerFooter>
    <oddHeader>&amp;CTable 1a -- Respondent Year 1</oddHeader>
    <oddFooter>&amp;L&amp;P of &amp;N&amp;R&amp;D</oddFooter>
  </headerFooter>
  <rowBreaks count="2" manualBreakCount="2">
    <brk id="51" max="10" man="1"/>
    <brk id="72"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0ECAF-DE2C-4B63-B154-3D454067AD9D}">
  <sheetPr>
    <pageSetUpPr fitToPage="1"/>
  </sheetPr>
  <dimension ref="A1:V119"/>
  <sheetViews>
    <sheetView zoomScaleNormal="100" workbookViewId="0">
      <pane xSplit="4" ySplit="4" topLeftCell="E51" activePane="bottomRight" state="frozen"/>
      <selection pane="topRight" activeCell="E1" sqref="E1"/>
      <selection pane="bottomLeft" activeCell="A6" sqref="A6"/>
      <selection pane="bottomRight" activeCell="A77" sqref="A77:L77"/>
    </sheetView>
  </sheetViews>
  <sheetFormatPr defaultColWidth="9.1796875" defaultRowHeight="13" x14ac:dyDescent="0.3"/>
  <cols>
    <col min="1" max="1" width="2.7265625" style="130" customWidth="1"/>
    <col min="2" max="3" width="2.453125" style="130" customWidth="1"/>
    <col min="4" max="4" width="65.26953125" style="130" customWidth="1"/>
    <col min="5" max="5" width="15" style="130" customWidth="1"/>
    <col min="6" max="6" width="19.1796875" style="130" bestFit="1" customWidth="1"/>
    <col min="7" max="7" width="21.26953125" style="130" customWidth="1"/>
    <col min="8" max="8" width="15" style="131" customWidth="1"/>
    <col min="9" max="9" width="13.1796875" style="130" customWidth="1"/>
    <col min="10" max="11" width="15.26953125" style="130" customWidth="1"/>
    <col min="12" max="12" width="19" style="158" customWidth="1"/>
    <col min="13" max="13" width="15.54296875" style="152" bestFit="1" customWidth="1"/>
    <col min="14" max="14" width="11.453125" style="130" bestFit="1" customWidth="1"/>
    <col min="15" max="15" width="9.26953125" style="130" bestFit="1" customWidth="1"/>
    <col min="16" max="16" width="33.54296875" style="130" customWidth="1"/>
    <col min="17" max="16384" width="9.1796875" style="130"/>
  </cols>
  <sheetData>
    <row r="1" spans="1:16" s="161" customFormat="1" ht="15.5" x14ac:dyDescent="0.35">
      <c r="A1" s="133" t="s">
        <v>188</v>
      </c>
      <c r="B1" s="162"/>
      <c r="C1" s="162"/>
      <c r="D1" s="162"/>
      <c r="E1" s="162"/>
      <c r="F1" s="162"/>
      <c r="G1" s="162"/>
      <c r="H1" s="162"/>
      <c r="I1" s="162"/>
      <c r="J1" s="163"/>
      <c r="K1" s="162"/>
      <c r="L1" s="162"/>
      <c r="M1" s="308"/>
      <c r="N1" s="250"/>
    </row>
    <row r="2" spans="1:16" s="134" customFormat="1" x14ac:dyDescent="0.3">
      <c r="A2" s="135"/>
      <c r="B2" s="135"/>
      <c r="C2" s="135"/>
      <c r="D2" s="135"/>
      <c r="E2" s="135"/>
      <c r="F2" s="135"/>
      <c r="G2" s="135"/>
      <c r="H2" s="135"/>
      <c r="I2" s="135"/>
      <c r="J2" s="136"/>
      <c r="K2" s="135"/>
      <c r="L2" s="135"/>
      <c r="M2" s="187"/>
      <c r="N2" s="182"/>
    </row>
    <row r="3" spans="1:16" s="139" customFormat="1" ht="14.25" customHeight="1" x14ac:dyDescent="0.3">
      <c r="A3" s="501" t="s">
        <v>70</v>
      </c>
      <c r="B3" s="502"/>
      <c r="C3" s="502"/>
      <c r="D3" s="503"/>
      <c r="E3" s="137" t="s">
        <v>71</v>
      </c>
      <c r="F3" s="137" t="s">
        <v>72</v>
      </c>
      <c r="G3" s="137" t="s">
        <v>73</v>
      </c>
      <c r="H3" s="137" t="s">
        <v>74</v>
      </c>
      <c r="I3" s="137" t="s">
        <v>75</v>
      </c>
      <c r="J3" s="137" t="s">
        <v>76</v>
      </c>
      <c r="K3" s="137" t="s">
        <v>77</v>
      </c>
      <c r="L3" s="138" t="s">
        <v>78</v>
      </c>
      <c r="M3" s="309"/>
    </row>
    <row r="4" spans="1:16" s="142" customFormat="1" ht="41.25" customHeight="1" x14ac:dyDescent="0.3">
      <c r="A4" s="504"/>
      <c r="B4" s="505"/>
      <c r="C4" s="505"/>
      <c r="D4" s="506"/>
      <c r="E4" s="140" t="s">
        <v>79</v>
      </c>
      <c r="F4" s="140" t="s">
        <v>80</v>
      </c>
      <c r="G4" s="140" t="s">
        <v>81</v>
      </c>
      <c r="H4" s="140" t="s">
        <v>82</v>
      </c>
      <c r="I4" s="140" t="s">
        <v>83</v>
      </c>
      <c r="J4" s="140" t="s">
        <v>84</v>
      </c>
      <c r="K4" s="140" t="s">
        <v>85</v>
      </c>
      <c r="L4" s="141" t="s">
        <v>86</v>
      </c>
      <c r="M4" s="309"/>
    </row>
    <row r="5" spans="1:16" x14ac:dyDescent="0.3">
      <c r="A5" s="507" t="s">
        <v>88</v>
      </c>
      <c r="B5" s="507"/>
      <c r="C5" s="507"/>
      <c r="D5" s="507"/>
      <c r="E5" s="251" t="s">
        <v>12</v>
      </c>
      <c r="F5" s="423"/>
      <c r="G5" s="423"/>
      <c r="H5" s="252"/>
      <c r="I5" s="253"/>
      <c r="J5" s="253"/>
      <c r="K5" s="253"/>
      <c r="L5" s="55"/>
      <c r="M5" s="259"/>
    </row>
    <row r="6" spans="1:16" x14ac:dyDescent="0.3">
      <c r="A6" s="507" t="s">
        <v>89</v>
      </c>
      <c r="B6" s="507"/>
      <c r="C6" s="507"/>
      <c r="D6" s="507"/>
      <c r="E6" s="251" t="s">
        <v>12</v>
      </c>
      <c r="F6" s="423"/>
      <c r="G6" s="423"/>
      <c r="H6" s="252"/>
      <c r="I6" s="253"/>
      <c r="J6" s="253"/>
      <c r="K6" s="253"/>
      <c r="L6" s="55"/>
      <c r="M6" s="259"/>
    </row>
    <row r="7" spans="1:16" x14ac:dyDescent="0.3">
      <c r="A7" s="507" t="s">
        <v>90</v>
      </c>
      <c r="B7" s="507"/>
      <c r="C7" s="507"/>
      <c r="D7" s="507"/>
      <c r="E7" s="143">
        <v>160.6</v>
      </c>
      <c r="F7" s="423">
        <v>1</v>
      </c>
      <c r="G7" s="143">
        <f>E7*F7</f>
        <v>160.6</v>
      </c>
      <c r="H7" s="252">
        <v>0</v>
      </c>
      <c r="I7" s="256">
        <f>G7*H7</f>
        <v>0</v>
      </c>
      <c r="J7" s="256">
        <f>I7*0.05</f>
        <v>0</v>
      </c>
      <c r="K7" s="256">
        <f>I7*0.1</f>
        <v>0</v>
      </c>
      <c r="L7" s="128">
        <f>(I7*$F$82)+(J7*$F$83)+(K7*$F$84)</f>
        <v>0</v>
      </c>
      <c r="M7" s="259"/>
    </row>
    <row r="8" spans="1:16" x14ac:dyDescent="0.3">
      <c r="A8" s="492" t="s">
        <v>91</v>
      </c>
      <c r="B8" s="492"/>
      <c r="C8" s="492"/>
      <c r="D8" s="492"/>
      <c r="E8" s="423"/>
      <c r="F8" s="423"/>
      <c r="G8" s="423"/>
      <c r="H8" s="252"/>
      <c r="I8" s="253"/>
      <c r="J8" s="253"/>
      <c r="K8" s="253"/>
      <c r="L8" s="55"/>
      <c r="M8" s="259"/>
    </row>
    <row r="9" spans="1:16" x14ac:dyDescent="0.3">
      <c r="A9" s="424"/>
      <c r="B9" s="491" t="s">
        <v>92</v>
      </c>
      <c r="C9" s="491"/>
      <c r="D9" s="492"/>
      <c r="E9" s="423">
        <v>1</v>
      </c>
      <c r="F9" s="423">
        <v>1</v>
      </c>
      <c r="G9" s="423">
        <f>E9*F9</f>
        <v>1</v>
      </c>
      <c r="H9" s="252">
        <f>'Table 1c-Year 1'!E12</f>
        <v>32.055652173913046</v>
      </c>
      <c r="I9" s="256">
        <f>G9*H9</f>
        <v>32.055652173913046</v>
      </c>
      <c r="J9" s="285">
        <f>I9*0.05</f>
        <v>1.6027826086956525</v>
      </c>
      <c r="K9" s="285">
        <f>I9*0.1</f>
        <v>3.205565217391305</v>
      </c>
      <c r="L9" s="286">
        <f>(I9*$F$82)+(J9*$F$83)+(K9*$F$84)</f>
        <v>2051.7412507826089</v>
      </c>
      <c r="M9" s="310"/>
      <c r="N9" s="184"/>
      <c r="O9" s="184"/>
      <c r="P9" s="184"/>
    </row>
    <row r="10" spans="1:16" x14ac:dyDescent="0.3">
      <c r="A10" s="424"/>
      <c r="B10" s="491" t="s">
        <v>94</v>
      </c>
      <c r="C10" s="491"/>
      <c r="D10" s="492"/>
      <c r="E10" s="423"/>
      <c r="F10" s="423"/>
      <c r="G10" s="423"/>
      <c r="H10" s="252"/>
      <c r="I10" s="253"/>
      <c r="J10" s="253"/>
      <c r="K10" s="253"/>
      <c r="L10" s="55"/>
      <c r="M10" s="259"/>
    </row>
    <row r="11" spans="1:16" x14ac:dyDescent="0.3">
      <c r="A11" s="424"/>
      <c r="B11" s="425"/>
      <c r="C11" s="254" t="s">
        <v>95</v>
      </c>
      <c r="D11" s="255"/>
      <c r="E11" s="423"/>
      <c r="F11" s="423"/>
      <c r="G11" s="423"/>
      <c r="H11" s="252"/>
      <c r="I11" s="253"/>
      <c r="J11" s="253"/>
      <c r="K11" s="253"/>
      <c r="L11" s="55"/>
      <c r="M11" s="259"/>
    </row>
    <row r="12" spans="1:16" ht="14.5" x14ac:dyDescent="0.3">
      <c r="A12" s="424"/>
      <c r="B12" s="425"/>
      <c r="C12" s="425"/>
      <c r="D12" s="422" t="s">
        <v>96</v>
      </c>
      <c r="E12" s="423">
        <v>27.8</v>
      </c>
      <c r="F12" s="423">
        <v>1</v>
      </c>
      <c r="G12" s="143">
        <f>E12*F12</f>
        <v>27.8</v>
      </c>
      <c r="H12" s="306">
        <f>('%CEMSCPMSvs.testing_2137.13'!Z4+'%CEMSCPMSvs.testing_2137.13'!Z5)*'Table 1c-Year 1'!F12</f>
        <v>38.506852173913046</v>
      </c>
      <c r="I12" s="256">
        <f t="shared" ref="I12:I18" si="0">G12*H12</f>
        <v>1070.4904904347827</v>
      </c>
      <c r="J12" s="256">
        <f t="shared" ref="J12:J18" si="1">I12*0.05</f>
        <v>53.524524521739139</v>
      </c>
      <c r="K12" s="256">
        <f t="shared" ref="K12:K18" si="2">I12*0.1</f>
        <v>107.04904904347828</v>
      </c>
      <c r="L12" s="128">
        <f t="shared" ref="L12:L18" si="3">(I12*$F$82)+(J12*$F$83)+(K12*$F$84)</f>
        <v>68517.386134572545</v>
      </c>
      <c r="M12" s="259"/>
      <c r="P12" s="338" t="s">
        <v>98</v>
      </c>
    </row>
    <row r="13" spans="1:16" ht="14.5" x14ac:dyDescent="0.3">
      <c r="A13" s="424"/>
      <c r="B13" s="425"/>
      <c r="C13" s="425"/>
      <c r="D13" s="422" t="s">
        <v>99</v>
      </c>
      <c r="E13" s="423">
        <v>26.4</v>
      </c>
      <c r="F13" s="423">
        <v>1</v>
      </c>
      <c r="G13" s="143">
        <f t="shared" ref="G13:G18" si="4">E13*F13</f>
        <v>26.4</v>
      </c>
      <c r="H13" s="257">
        <f>'%CEMSCPMSvs.testing_2137.13'!K5*'Table 1c-Year 1'!F12</f>
        <v>10.55833043478261</v>
      </c>
      <c r="I13" s="256">
        <f t="shared" si="0"/>
        <v>278.73992347826089</v>
      </c>
      <c r="J13" s="256">
        <f t="shared" si="1"/>
        <v>13.936996173913045</v>
      </c>
      <c r="K13" s="256">
        <f t="shared" si="2"/>
        <v>27.873992347826089</v>
      </c>
      <c r="L13" s="128">
        <f t="shared" si="3"/>
        <v>17840.916046180177</v>
      </c>
      <c r="M13" s="259"/>
      <c r="P13" s="338"/>
    </row>
    <row r="14" spans="1:16" ht="14.5" x14ac:dyDescent="0.3">
      <c r="A14" s="424"/>
      <c r="B14" s="425"/>
      <c r="C14" s="425"/>
      <c r="D14" s="422" t="s">
        <v>100</v>
      </c>
      <c r="E14" s="423">
        <v>27.8</v>
      </c>
      <c r="F14" s="423">
        <v>1</v>
      </c>
      <c r="G14" s="143">
        <f t="shared" si="4"/>
        <v>27.8</v>
      </c>
      <c r="H14" s="257">
        <f>'%CEMSCPMSvs.testing_2137.13'!C5*'Table 1c-Year 1'!F12</f>
        <v>14.905878260869567</v>
      </c>
      <c r="I14" s="256">
        <f t="shared" si="0"/>
        <v>414.38341565217399</v>
      </c>
      <c r="J14" s="256">
        <f t="shared" si="1"/>
        <v>20.7191707826087</v>
      </c>
      <c r="K14" s="256">
        <f t="shared" si="2"/>
        <v>41.438341565217399</v>
      </c>
      <c r="L14" s="128">
        <f t="shared" si="3"/>
        <v>26522.859148866792</v>
      </c>
      <c r="M14" s="259"/>
      <c r="P14" s="338"/>
    </row>
    <row r="15" spans="1:16" ht="14.5" x14ac:dyDescent="0.3">
      <c r="A15" s="424"/>
      <c r="B15" s="425"/>
      <c r="C15" s="425"/>
      <c r="D15" s="422" t="s">
        <v>101</v>
      </c>
      <c r="E15" s="423">
        <v>2.5</v>
      </c>
      <c r="F15" s="423">
        <v>4</v>
      </c>
      <c r="G15" s="145">
        <f t="shared" si="4"/>
        <v>10</v>
      </c>
      <c r="H15" s="252">
        <f>('%CEMSCPMSvs.testing_2137.13'!K3+'%CEMSCPMSvs.testing_2137.13'!K4)*'Table 1c-Year 1'!F12</f>
        <v>51.549495652173924</v>
      </c>
      <c r="I15" s="256">
        <f>G15*H15</f>
        <v>515.49495652173925</v>
      </c>
      <c r="J15" s="256">
        <f>I15*0.05</f>
        <v>25.774747826086966</v>
      </c>
      <c r="K15" s="256">
        <f>I15*0.1</f>
        <v>51.549495652173931</v>
      </c>
      <c r="L15" s="286">
        <f t="shared" si="3"/>
        <v>32994.563989147835</v>
      </c>
      <c r="M15" s="259"/>
    </row>
    <row r="16" spans="1:16" ht="14.5" x14ac:dyDescent="0.3">
      <c r="A16" s="424"/>
      <c r="B16" s="425"/>
      <c r="C16" s="425"/>
      <c r="D16" s="422" t="s">
        <v>102</v>
      </c>
      <c r="E16" s="423">
        <v>0.4</v>
      </c>
      <c r="F16" s="423">
        <v>365</v>
      </c>
      <c r="G16" s="145">
        <f t="shared" si="4"/>
        <v>146</v>
      </c>
      <c r="H16" s="252">
        <f>H15</f>
        <v>51.549495652173924</v>
      </c>
      <c r="I16" s="256">
        <f t="shared" si="0"/>
        <v>7526.2263652173933</v>
      </c>
      <c r="J16" s="285">
        <f t="shared" si="1"/>
        <v>376.31131826086971</v>
      </c>
      <c r="K16" s="285">
        <f t="shared" si="2"/>
        <v>752.62263652173942</v>
      </c>
      <c r="L16" s="286">
        <f t="shared" si="3"/>
        <v>481720.63424155844</v>
      </c>
      <c r="M16" s="259"/>
    </row>
    <row r="17" spans="1:16" ht="14.5" x14ac:dyDescent="0.3">
      <c r="A17" s="424"/>
      <c r="B17" s="425"/>
      <c r="C17" s="425"/>
      <c r="D17" s="422" t="s">
        <v>103</v>
      </c>
      <c r="E17" s="423">
        <v>0.25</v>
      </c>
      <c r="F17" s="423">
        <v>365</v>
      </c>
      <c r="G17" s="144">
        <f t="shared" si="4"/>
        <v>91.25</v>
      </c>
      <c r="H17" s="252">
        <f>H15</f>
        <v>51.549495652173924</v>
      </c>
      <c r="I17" s="256">
        <f t="shared" si="0"/>
        <v>4703.8914782608708</v>
      </c>
      <c r="J17" s="287">
        <f t="shared" si="1"/>
        <v>235.19457391304354</v>
      </c>
      <c r="K17" s="285">
        <f t="shared" si="2"/>
        <v>470.38914782608708</v>
      </c>
      <c r="L17" s="286">
        <f t="shared" si="3"/>
        <v>301075.39640097407</v>
      </c>
      <c r="M17" s="259"/>
    </row>
    <row r="18" spans="1:16" ht="14.5" x14ac:dyDescent="0.3">
      <c r="A18" s="424"/>
      <c r="B18" s="425"/>
      <c r="C18" s="425"/>
      <c r="D18" s="422" t="s">
        <v>104</v>
      </c>
      <c r="E18" s="423">
        <v>14</v>
      </c>
      <c r="F18" s="423">
        <v>1</v>
      </c>
      <c r="G18" s="145">
        <f t="shared" si="4"/>
        <v>14</v>
      </c>
      <c r="H18" s="252">
        <f>H15</f>
        <v>51.549495652173924</v>
      </c>
      <c r="I18" s="256">
        <f t="shared" si="0"/>
        <v>721.69293913043498</v>
      </c>
      <c r="J18" s="285">
        <f t="shared" si="1"/>
        <v>36.084646956521752</v>
      </c>
      <c r="K18" s="285">
        <f t="shared" si="2"/>
        <v>72.169293913043504</v>
      </c>
      <c r="L18" s="286">
        <f t="shared" si="3"/>
        <v>46192.389584806981</v>
      </c>
      <c r="M18" s="259"/>
    </row>
    <row r="19" spans="1:16" x14ac:dyDescent="0.3">
      <c r="A19" s="424"/>
      <c r="B19" s="425"/>
      <c r="C19" s="367" t="s">
        <v>105</v>
      </c>
      <c r="D19" s="255"/>
      <c r="E19" s="423"/>
      <c r="F19" s="423"/>
      <c r="G19" s="423"/>
      <c r="H19" s="252"/>
      <c r="I19" s="253"/>
      <c r="J19" s="253"/>
      <c r="K19" s="253"/>
      <c r="L19" s="55"/>
      <c r="M19" s="259"/>
      <c r="P19" s="338"/>
    </row>
    <row r="20" spans="1:16" x14ac:dyDescent="0.3">
      <c r="A20" s="424"/>
      <c r="B20" s="425"/>
      <c r="C20" s="425"/>
      <c r="D20" s="422" t="s">
        <v>189</v>
      </c>
      <c r="E20" s="423">
        <v>27.8</v>
      </c>
      <c r="F20" s="423">
        <v>1</v>
      </c>
      <c r="G20" s="143">
        <f>E20*F20</f>
        <v>27.8</v>
      </c>
      <c r="H20" s="307">
        <f>'%CEMSCPMSvs.testing_2137.13'!Z8*'Table 1c-Year 1'!F12</f>
        <v>0</v>
      </c>
      <c r="I20" s="256">
        <f t="shared" ref="I20:I26" si="5">G20*H20</f>
        <v>0</v>
      </c>
      <c r="J20" s="256">
        <f t="shared" ref="J20:J26" si="6">I20*0.05</f>
        <v>0</v>
      </c>
      <c r="K20" s="256">
        <f t="shared" ref="K20:K26" si="7">I20*0.1</f>
        <v>0</v>
      </c>
      <c r="L20" s="128">
        <f t="shared" ref="L20:L26" si="8">(I20*$F$82)+(J20*$F$83)+(K20*$F$84)</f>
        <v>0</v>
      </c>
      <c r="M20" s="259"/>
      <c r="P20" s="338"/>
    </row>
    <row r="21" spans="1:16" x14ac:dyDescent="0.3">
      <c r="A21" s="424"/>
      <c r="B21" s="425"/>
      <c r="C21" s="425"/>
      <c r="D21" s="422" t="s">
        <v>108</v>
      </c>
      <c r="E21" s="423">
        <v>26.4</v>
      </c>
      <c r="F21" s="423">
        <v>1</v>
      </c>
      <c r="G21" s="143">
        <f>E21*F21</f>
        <v>26.4</v>
      </c>
      <c r="H21" s="252">
        <f>H7*0</f>
        <v>0</v>
      </c>
      <c r="I21" s="256">
        <f>G21*H21</f>
        <v>0</v>
      </c>
      <c r="J21" s="256">
        <f>I21*0.05</f>
        <v>0</v>
      </c>
      <c r="K21" s="256">
        <f>I21*0.1</f>
        <v>0</v>
      </c>
      <c r="L21" s="128">
        <f t="shared" si="8"/>
        <v>0</v>
      </c>
      <c r="M21" s="259"/>
      <c r="P21" s="338"/>
    </row>
    <row r="22" spans="1:16" x14ac:dyDescent="0.3">
      <c r="A22" s="424"/>
      <c r="B22" s="425"/>
      <c r="C22" s="425"/>
      <c r="D22" s="422" t="s">
        <v>109</v>
      </c>
      <c r="E22" s="423">
        <v>27.8</v>
      </c>
      <c r="F22" s="423">
        <v>1</v>
      </c>
      <c r="G22" s="143">
        <f t="shared" ref="G22:G26" si="9">E22*F22</f>
        <v>27.8</v>
      </c>
      <c r="H22" s="252">
        <f>H7*0</f>
        <v>0</v>
      </c>
      <c r="I22" s="256">
        <f t="shared" si="5"/>
        <v>0</v>
      </c>
      <c r="J22" s="256">
        <f t="shared" si="6"/>
        <v>0</v>
      </c>
      <c r="K22" s="256">
        <f t="shared" si="7"/>
        <v>0</v>
      </c>
      <c r="L22" s="128">
        <f t="shared" si="8"/>
        <v>0</v>
      </c>
      <c r="M22" s="259"/>
      <c r="P22" s="338"/>
    </row>
    <row r="23" spans="1:16" x14ac:dyDescent="0.3">
      <c r="A23" s="424"/>
      <c r="B23" s="425"/>
      <c r="C23" s="425"/>
      <c r="D23" s="422" t="s">
        <v>110</v>
      </c>
      <c r="E23" s="423">
        <v>2.46</v>
      </c>
      <c r="F23" s="423">
        <v>4</v>
      </c>
      <c r="G23" s="144">
        <f t="shared" si="9"/>
        <v>9.84</v>
      </c>
      <c r="H23" s="307">
        <f>'Regulated Sources_Overview'!D131*'Table 1c-Year 1'!F12</f>
        <v>0</v>
      </c>
      <c r="I23" s="256">
        <f t="shared" si="5"/>
        <v>0</v>
      </c>
      <c r="J23" s="256">
        <f t="shared" si="6"/>
        <v>0</v>
      </c>
      <c r="K23" s="256">
        <f t="shared" si="7"/>
        <v>0</v>
      </c>
      <c r="L23" s="128">
        <f t="shared" si="8"/>
        <v>0</v>
      </c>
      <c r="M23" s="259"/>
    </row>
    <row r="24" spans="1:16" x14ac:dyDescent="0.3">
      <c r="A24" s="424"/>
      <c r="B24" s="425"/>
      <c r="C24" s="425"/>
      <c r="D24" s="422" t="s">
        <v>111</v>
      </c>
      <c r="E24" s="423">
        <f>ROUND(0.121,2)</f>
        <v>0.12</v>
      </c>
      <c r="F24" s="423">
        <v>365</v>
      </c>
      <c r="G24" s="143">
        <f t="shared" si="9"/>
        <v>43.8</v>
      </c>
      <c r="H24" s="307">
        <f>H23</f>
        <v>0</v>
      </c>
      <c r="I24" s="256">
        <f t="shared" si="5"/>
        <v>0</v>
      </c>
      <c r="J24" s="256">
        <f t="shared" si="6"/>
        <v>0</v>
      </c>
      <c r="K24" s="256">
        <f t="shared" si="7"/>
        <v>0</v>
      </c>
      <c r="L24" s="128">
        <f t="shared" si="8"/>
        <v>0</v>
      </c>
      <c r="M24" s="259"/>
    </row>
    <row r="25" spans="1:16" x14ac:dyDescent="0.3">
      <c r="A25" s="424"/>
      <c r="B25" s="425"/>
      <c r="C25" s="425"/>
      <c r="D25" s="422" t="s">
        <v>112</v>
      </c>
      <c r="E25" s="423">
        <v>0</v>
      </c>
      <c r="F25" s="423">
        <v>365</v>
      </c>
      <c r="G25" s="145">
        <f t="shared" si="9"/>
        <v>0</v>
      </c>
      <c r="H25" s="307">
        <f>H23</f>
        <v>0</v>
      </c>
      <c r="I25" s="256">
        <f t="shared" si="5"/>
        <v>0</v>
      </c>
      <c r="J25" s="256">
        <f t="shared" si="6"/>
        <v>0</v>
      </c>
      <c r="K25" s="256">
        <f t="shared" si="7"/>
        <v>0</v>
      </c>
      <c r="L25" s="128">
        <f t="shared" si="8"/>
        <v>0</v>
      </c>
      <c r="M25" s="259"/>
    </row>
    <row r="26" spans="1:16" x14ac:dyDescent="0.3">
      <c r="A26" s="424"/>
      <c r="B26" s="425"/>
      <c r="C26" s="425"/>
      <c r="D26" s="422" t="s">
        <v>113</v>
      </c>
      <c r="E26" s="423">
        <v>7.3</v>
      </c>
      <c r="F26" s="423">
        <v>365</v>
      </c>
      <c r="G26" s="143">
        <f t="shared" si="9"/>
        <v>2664.5</v>
      </c>
      <c r="H26" s="307">
        <f>H23</f>
        <v>0</v>
      </c>
      <c r="I26" s="256">
        <f t="shared" si="5"/>
        <v>0</v>
      </c>
      <c r="J26" s="256">
        <f t="shared" si="6"/>
        <v>0</v>
      </c>
      <c r="K26" s="256">
        <f t="shared" si="7"/>
        <v>0</v>
      </c>
      <c r="L26" s="128">
        <f t="shared" si="8"/>
        <v>0</v>
      </c>
      <c r="M26" s="259"/>
    </row>
    <row r="27" spans="1:16" x14ac:dyDescent="0.3">
      <c r="A27" s="424"/>
      <c r="B27" s="491" t="s">
        <v>114</v>
      </c>
      <c r="C27" s="491"/>
      <c r="D27" s="492"/>
      <c r="E27" s="251" t="s">
        <v>115</v>
      </c>
      <c r="F27" s="423"/>
      <c r="G27" s="423"/>
      <c r="H27" s="257"/>
      <c r="I27" s="253"/>
      <c r="J27" s="253"/>
      <c r="K27" s="253"/>
      <c r="L27" s="55"/>
      <c r="M27" s="259"/>
    </row>
    <row r="28" spans="1:16" x14ac:dyDescent="0.3">
      <c r="A28" s="424"/>
      <c r="B28" s="491" t="s">
        <v>116</v>
      </c>
      <c r="C28" s="491"/>
      <c r="D28" s="492"/>
      <c r="E28" s="251" t="s">
        <v>117</v>
      </c>
      <c r="F28" s="423"/>
      <c r="G28" s="423"/>
      <c r="H28" s="257"/>
      <c r="I28" s="253"/>
      <c r="J28" s="253"/>
      <c r="K28" s="253"/>
      <c r="L28" s="55"/>
      <c r="M28" s="259"/>
    </row>
    <row r="29" spans="1:16" x14ac:dyDescent="0.3">
      <c r="A29" s="424"/>
      <c r="B29" s="491" t="s">
        <v>118</v>
      </c>
      <c r="C29" s="491"/>
      <c r="D29" s="492"/>
      <c r="E29" s="423"/>
      <c r="F29" s="423"/>
      <c r="G29" s="423"/>
      <c r="H29" s="257"/>
      <c r="I29" s="253"/>
      <c r="J29" s="253"/>
      <c r="K29" s="253"/>
      <c r="L29" s="55"/>
      <c r="M29" s="259"/>
    </row>
    <row r="30" spans="1:16" x14ac:dyDescent="0.3">
      <c r="A30" s="424"/>
      <c r="B30" s="425"/>
      <c r="C30" s="254" t="s">
        <v>95</v>
      </c>
      <c r="D30" s="255"/>
      <c r="E30" s="423"/>
      <c r="F30" s="423"/>
      <c r="G30" s="423"/>
      <c r="H30" s="252"/>
      <c r="I30" s="253"/>
      <c r="J30" s="253"/>
      <c r="K30" s="253"/>
      <c r="L30" s="55"/>
      <c r="M30" s="259"/>
    </row>
    <row r="31" spans="1:16" x14ac:dyDescent="0.3">
      <c r="A31" s="424"/>
      <c r="B31" s="425"/>
      <c r="C31" s="425"/>
      <c r="D31" s="422" t="s">
        <v>119</v>
      </c>
      <c r="E31" s="423">
        <v>5</v>
      </c>
      <c r="F31" s="423">
        <v>1</v>
      </c>
      <c r="G31" s="423">
        <f>E31*F31</f>
        <v>5</v>
      </c>
      <c r="H31" s="252">
        <v>0</v>
      </c>
      <c r="I31" s="256">
        <f t="shared" ref="I31:I32" si="10">G31*H31</f>
        <v>0</v>
      </c>
      <c r="J31" s="256">
        <f t="shared" ref="J31:J39" si="11">I31*0.05</f>
        <v>0</v>
      </c>
      <c r="K31" s="256">
        <f t="shared" ref="K31:K32" si="12">I31*0.1</f>
        <v>0</v>
      </c>
      <c r="L31" s="128">
        <f>(I31*$F$82)+(J31*$F$83)+(K31*$F$84)</f>
        <v>0</v>
      </c>
      <c r="M31" s="259"/>
    </row>
    <row r="32" spans="1:16" x14ac:dyDescent="0.3">
      <c r="A32" s="424"/>
      <c r="B32" s="425"/>
      <c r="C32" s="425"/>
      <c r="D32" s="422" t="s">
        <v>120</v>
      </c>
      <c r="E32" s="423">
        <v>3</v>
      </c>
      <c r="F32" s="423">
        <v>1</v>
      </c>
      <c r="G32" s="423">
        <f>E32*F32</f>
        <v>3</v>
      </c>
      <c r="H32" s="252">
        <v>0</v>
      </c>
      <c r="I32" s="256">
        <f t="shared" si="10"/>
        <v>0</v>
      </c>
      <c r="J32" s="256">
        <f>I32*0.05</f>
        <v>0</v>
      </c>
      <c r="K32" s="256">
        <f t="shared" si="12"/>
        <v>0</v>
      </c>
      <c r="L32" s="128">
        <f>(I32*$F$82)+(J32*$F$83)+(K32*$F$84)</f>
        <v>0</v>
      </c>
      <c r="M32" s="259"/>
    </row>
    <row r="33" spans="1:22" x14ac:dyDescent="0.3">
      <c r="A33" s="424"/>
      <c r="B33" s="425"/>
      <c r="C33" s="425"/>
      <c r="D33" s="422" t="s">
        <v>121</v>
      </c>
      <c r="E33" s="251" t="s">
        <v>115</v>
      </c>
      <c r="F33" s="423"/>
      <c r="G33" s="423"/>
      <c r="H33" s="258"/>
      <c r="I33" s="253"/>
      <c r="J33" s="253"/>
      <c r="K33" s="253"/>
      <c r="L33" s="55"/>
      <c r="M33" s="259"/>
    </row>
    <row r="34" spans="1:22" x14ac:dyDescent="0.3">
      <c r="A34" s="424"/>
      <c r="B34" s="425"/>
      <c r="C34" s="425"/>
      <c r="D34" s="422" t="s">
        <v>122</v>
      </c>
      <c r="E34" s="423">
        <v>16.5</v>
      </c>
      <c r="F34" s="423">
        <v>1</v>
      </c>
      <c r="G34" s="423">
        <f>E34*F34</f>
        <v>16.5</v>
      </c>
      <c r="H34" s="252">
        <v>0</v>
      </c>
      <c r="I34" s="256">
        <f>G34*H34</f>
        <v>0</v>
      </c>
      <c r="J34" s="256">
        <f>I34*0.05</f>
        <v>0</v>
      </c>
      <c r="K34" s="256">
        <f>I34*0.1</f>
        <v>0</v>
      </c>
      <c r="L34" s="128">
        <f t="shared" ref="L34:L39" si="13">(I34*$F$82)+(J34*$F$83)+(K34*$F$84)</f>
        <v>0</v>
      </c>
      <c r="M34" s="259"/>
    </row>
    <row r="35" spans="1:22" x14ac:dyDescent="0.3">
      <c r="A35" s="424"/>
      <c r="B35" s="425"/>
      <c r="C35" s="425"/>
      <c r="D35" s="422" t="s">
        <v>123</v>
      </c>
      <c r="E35" s="423">
        <v>4</v>
      </c>
      <c r="F35" s="423">
        <v>1</v>
      </c>
      <c r="G35" s="423">
        <f t="shared" ref="G35:G39" si="14">E35*F35</f>
        <v>4</v>
      </c>
      <c r="H35" s="252">
        <v>0</v>
      </c>
      <c r="I35" s="256">
        <f t="shared" ref="I35:I39" si="15">G35*H35</f>
        <v>0</v>
      </c>
      <c r="J35" s="256">
        <f t="shared" si="11"/>
        <v>0</v>
      </c>
      <c r="K35" s="256">
        <f t="shared" ref="K35:K39" si="16">I35*0.1</f>
        <v>0</v>
      </c>
      <c r="L35" s="128">
        <f t="shared" si="13"/>
        <v>0</v>
      </c>
      <c r="M35" s="259"/>
    </row>
    <row r="36" spans="1:22" x14ac:dyDescent="0.3">
      <c r="A36" s="424"/>
      <c r="B36" s="425"/>
      <c r="C36" s="425"/>
      <c r="D36" s="422" t="s">
        <v>124</v>
      </c>
      <c r="E36" s="423">
        <v>10</v>
      </c>
      <c r="F36" s="423">
        <v>1</v>
      </c>
      <c r="G36" s="423">
        <f t="shared" si="14"/>
        <v>10</v>
      </c>
      <c r="H36" s="252">
        <f>H37*0.1</f>
        <v>6.210782608695653</v>
      </c>
      <c r="I36" s="256">
        <f t="shared" si="15"/>
        <v>62.107826086956528</v>
      </c>
      <c r="J36" s="285">
        <f t="shared" si="11"/>
        <v>3.1053913043478265</v>
      </c>
      <c r="K36" s="285">
        <f t="shared" si="16"/>
        <v>6.210782608695653</v>
      </c>
      <c r="L36" s="286">
        <f t="shared" si="13"/>
        <v>3975.2486733913047</v>
      </c>
      <c r="M36" s="259"/>
    </row>
    <row r="37" spans="1:22" x14ac:dyDescent="0.3">
      <c r="A37" s="424"/>
      <c r="B37" s="425"/>
      <c r="C37" s="425"/>
      <c r="D37" s="422" t="s">
        <v>125</v>
      </c>
      <c r="E37" s="249">
        <v>65</v>
      </c>
      <c r="F37" s="423">
        <v>2</v>
      </c>
      <c r="G37" s="423">
        <f t="shared" si="14"/>
        <v>130</v>
      </c>
      <c r="H37" s="252">
        <f>'Regulated Sources_Overview'!D149</f>
        <v>62.107826086956528</v>
      </c>
      <c r="I37" s="256">
        <f t="shared" si="15"/>
        <v>8074.0173913043491</v>
      </c>
      <c r="J37" s="256">
        <f t="shared" si="11"/>
        <v>403.70086956521749</v>
      </c>
      <c r="K37" s="256">
        <f t="shared" si="16"/>
        <v>807.40173913043498</v>
      </c>
      <c r="L37" s="286">
        <f t="shared" si="13"/>
        <v>516782.32754086971</v>
      </c>
      <c r="M37" s="259"/>
      <c r="P37" s="338"/>
    </row>
    <row r="38" spans="1:22" x14ac:dyDescent="0.3">
      <c r="A38" s="424"/>
      <c r="B38" s="425"/>
      <c r="C38" s="425"/>
      <c r="D38" s="422" t="s">
        <v>126</v>
      </c>
      <c r="E38" s="423">
        <v>20</v>
      </c>
      <c r="F38" s="423">
        <v>1</v>
      </c>
      <c r="G38" s="423">
        <f t="shared" si="14"/>
        <v>20</v>
      </c>
      <c r="H38" s="252">
        <f>H37</f>
        <v>62.107826086956528</v>
      </c>
      <c r="I38" s="256">
        <f t="shared" si="15"/>
        <v>1242.1565217391305</v>
      </c>
      <c r="J38" s="256">
        <f t="shared" si="11"/>
        <v>62.107826086956528</v>
      </c>
      <c r="K38" s="256">
        <f t="shared" si="16"/>
        <v>124.21565217391306</v>
      </c>
      <c r="L38" s="128">
        <f t="shared" si="13"/>
        <v>79504.973467826087</v>
      </c>
      <c r="M38" s="259"/>
      <c r="P38" s="338"/>
      <c r="T38" s="259">
        <v>45735</v>
      </c>
      <c r="U38" s="130">
        <f>L38/T38</f>
        <v>1.7383835895446833</v>
      </c>
      <c r="V38" s="130">
        <f>H38/U38</f>
        <v>35.727342607521841</v>
      </c>
    </row>
    <row r="39" spans="1:22" x14ac:dyDescent="0.3">
      <c r="A39" s="424"/>
      <c r="B39" s="425"/>
      <c r="C39" s="425"/>
      <c r="D39" s="422" t="s">
        <v>127</v>
      </c>
      <c r="E39" s="423">
        <v>5</v>
      </c>
      <c r="F39" s="423">
        <v>1</v>
      </c>
      <c r="G39" s="423">
        <f t="shared" si="14"/>
        <v>5</v>
      </c>
      <c r="H39" s="252">
        <f>H36</f>
        <v>6.210782608695653</v>
      </c>
      <c r="I39" s="256">
        <f t="shared" si="15"/>
        <v>31.053913043478264</v>
      </c>
      <c r="J39" s="256">
        <f t="shared" si="11"/>
        <v>1.5526956521739133</v>
      </c>
      <c r="K39" s="256">
        <f t="shared" si="16"/>
        <v>3.1053913043478265</v>
      </c>
      <c r="L39" s="128">
        <f t="shared" si="13"/>
        <v>1987.6243366956523</v>
      </c>
      <c r="M39" s="259"/>
      <c r="P39" s="338"/>
    </row>
    <row r="40" spans="1:22" x14ac:dyDescent="0.3">
      <c r="A40" s="424"/>
      <c r="B40" s="425"/>
      <c r="C40" s="367" t="s">
        <v>105</v>
      </c>
      <c r="D40" s="255"/>
      <c r="E40" s="423"/>
      <c r="F40" s="423"/>
      <c r="G40" s="423"/>
      <c r="H40" s="307"/>
      <c r="I40" s="253"/>
      <c r="J40" s="253"/>
      <c r="K40" s="253"/>
      <c r="L40" s="55"/>
      <c r="M40" s="259"/>
    </row>
    <row r="41" spans="1:22" x14ac:dyDescent="0.3">
      <c r="A41" s="424"/>
      <c r="B41" s="425"/>
      <c r="C41" s="425"/>
      <c r="D41" s="422" t="s">
        <v>128</v>
      </c>
      <c r="E41" s="423">
        <v>3</v>
      </c>
      <c r="F41" s="423">
        <v>1</v>
      </c>
      <c r="G41" s="423">
        <f>E41*F41</f>
        <v>3</v>
      </c>
      <c r="H41" s="307">
        <f>H20</f>
        <v>0</v>
      </c>
      <c r="I41" s="256">
        <f t="shared" ref="I41:I42" si="17">G41*H41</f>
        <v>0</v>
      </c>
      <c r="J41" s="256">
        <f t="shared" ref="J41:J42" si="18">I41*0.05</f>
        <v>0</v>
      </c>
      <c r="K41" s="256">
        <f t="shared" ref="K41:K42" si="19">I41*0.1</f>
        <v>0</v>
      </c>
      <c r="L41" s="128">
        <f t="shared" ref="L41:L42" si="20">(I41*$F$82)+(J41*$F$83)+(K41*$F$84)</f>
        <v>0</v>
      </c>
      <c r="M41" s="259"/>
    </row>
    <row r="42" spans="1:22" x14ac:dyDescent="0.3">
      <c r="A42" s="424"/>
      <c r="B42" s="425"/>
      <c r="C42" s="425"/>
      <c r="D42" s="422" t="s">
        <v>119</v>
      </c>
      <c r="E42" s="423">
        <v>5</v>
      </c>
      <c r="F42" s="423">
        <v>1</v>
      </c>
      <c r="G42" s="423">
        <f>E42*F42</f>
        <v>5</v>
      </c>
      <c r="H42" s="307">
        <f>H20</f>
        <v>0</v>
      </c>
      <c r="I42" s="256">
        <f t="shared" si="17"/>
        <v>0</v>
      </c>
      <c r="J42" s="256">
        <f t="shared" si="18"/>
        <v>0</v>
      </c>
      <c r="K42" s="256">
        <f t="shared" si="19"/>
        <v>0</v>
      </c>
      <c r="L42" s="128">
        <f t="shared" si="20"/>
        <v>0</v>
      </c>
      <c r="M42" s="259"/>
    </row>
    <row r="43" spans="1:22" x14ac:dyDescent="0.3">
      <c r="A43" s="424"/>
      <c r="B43" s="425"/>
      <c r="C43" s="425"/>
      <c r="D43" s="422" t="s">
        <v>120</v>
      </c>
      <c r="E43" s="423">
        <v>4</v>
      </c>
      <c r="F43" s="423">
        <v>1</v>
      </c>
      <c r="G43" s="423">
        <f>E43*F43</f>
        <v>4</v>
      </c>
      <c r="H43" s="307">
        <f>H20</f>
        <v>0</v>
      </c>
      <c r="I43" s="256">
        <f>G43*H43</f>
        <v>0</v>
      </c>
      <c r="J43" s="256">
        <f>I43*0.05</f>
        <v>0</v>
      </c>
      <c r="K43" s="256">
        <f>I43*0.1</f>
        <v>0</v>
      </c>
      <c r="L43" s="128">
        <f>(I43*$F$82)+(J43*$F$83)+(K43*$F$84)</f>
        <v>0</v>
      </c>
      <c r="M43" s="259"/>
    </row>
    <row r="44" spans="1:22" x14ac:dyDescent="0.3">
      <c r="A44" s="424"/>
      <c r="B44" s="425"/>
      <c r="C44" s="425"/>
      <c r="D44" s="422" t="s">
        <v>121</v>
      </c>
      <c r="E44" s="251" t="s">
        <v>115</v>
      </c>
      <c r="F44" s="423"/>
      <c r="G44" s="423"/>
      <c r="H44" s="306"/>
      <c r="I44" s="253"/>
      <c r="J44" s="253"/>
      <c r="K44" s="253"/>
      <c r="L44" s="55"/>
      <c r="M44" s="259"/>
    </row>
    <row r="45" spans="1:22" x14ac:dyDescent="0.3">
      <c r="A45" s="424"/>
      <c r="B45" s="425"/>
      <c r="C45" s="425"/>
      <c r="D45" s="422" t="s">
        <v>122</v>
      </c>
      <c r="E45" s="423">
        <v>16.5</v>
      </c>
      <c r="F45" s="423">
        <v>1</v>
      </c>
      <c r="G45" s="423">
        <f>E45*F45</f>
        <v>16.5</v>
      </c>
      <c r="H45" s="307">
        <f>H20</f>
        <v>0</v>
      </c>
      <c r="I45" s="256">
        <f>G45*H45</f>
        <v>0</v>
      </c>
      <c r="J45" s="256">
        <f>I45*0.05</f>
        <v>0</v>
      </c>
      <c r="K45" s="256">
        <f>I45*0.1</f>
        <v>0</v>
      </c>
      <c r="L45" s="128">
        <f t="shared" ref="L45:L50" si="21">(I45*$F$82)+(J45*$F$83)+(K45*$F$84)</f>
        <v>0</v>
      </c>
      <c r="M45" s="259"/>
    </row>
    <row r="46" spans="1:22" x14ac:dyDescent="0.3">
      <c r="A46" s="424"/>
      <c r="B46" s="425"/>
      <c r="C46" s="425"/>
      <c r="D46" s="422" t="s">
        <v>123</v>
      </c>
      <c r="E46" s="423">
        <v>3</v>
      </c>
      <c r="F46" s="423">
        <v>1</v>
      </c>
      <c r="G46" s="423">
        <f t="shared" ref="G46:G47" si="22">E46*F46</f>
        <v>3</v>
      </c>
      <c r="H46" s="307">
        <f>H20</f>
        <v>0</v>
      </c>
      <c r="I46" s="256">
        <f t="shared" ref="I46:I50" si="23">G46*H46</f>
        <v>0</v>
      </c>
      <c r="J46" s="256">
        <f t="shared" ref="J46:J50" si="24">I46*0.05</f>
        <v>0</v>
      </c>
      <c r="K46" s="256">
        <f t="shared" ref="K46:K50" si="25">I46*0.1</f>
        <v>0</v>
      </c>
      <c r="L46" s="128">
        <f t="shared" si="21"/>
        <v>0</v>
      </c>
      <c r="M46" s="259"/>
    </row>
    <row r="47" spans="1:22" x14ac:dyDescent="0.3">
      <c r="A47" s="424"/>
      <c r="B47" s="425"/>
      <c r="C47" s="425"/>
      <c r="D47" s="422" t="s">
        <v>124</v>
      </c>
      <c r="E47" s="423">
        <v>10</v>
      </c>
      <c r="F47" s="423">
        <v>1</v>
      </c>
      <c r="G47" s="423">
        <f t="shared" si="22"/>
        <v>10</v>
      </c>
      <c r="H47" s="378">
        <f>H20*0.1</f>
        <v>0</v>
      </c>
      <c r="I47" s="256">
        <f t="shared" si="23"/>
        <v>0</v>
      </c>
      <c r="J47" s="256">
        <f t="shared" si="24"/>
        <v>0</v>
      </c>
      <c r="K47" s="256">
        <f t="shared" si="25"/>
        <v>0</v>
      </c>
      <c r="L47" s="128">
        <f t="shared" si="21"/>
        <v>0</v>
      </c>
      <c r="M47" s="259"/>
    </row>
    <row r="48" spans="1:22" x14ac:dyDescent="0.3">
      <c r="A48" s="424"/>
      <c r="B48" s="425"/>
      <c r="C48" s="425"/>
      <c r="D48" s="422" t="s">
        <v>125</v>
      </c>
      <c r="E48" s="423">
        <v>75</v>
      </c>
      <c r="F48" s="423">
        <v>2</v>
      </c>
      <c r="G48" s="423">
        <f>E48*F48</f>
        <v>150</v>
      </c>
      <c r="H48" s="307">
        <f>H20</f>
        <v>0</v>
      </c>
      <c r="I48" s="256">
        <f t="shared" si="23"/>
        <v>0</v>
      </c>
      <c r="J48" s="256">
        <f t="shared" si="24"/>
        <v>0</v>
      </c>
      <c r="K48" s="256">
        <f t="shared" si="25"/>
        <v>0</v>
      </c>
      <c r="L48" s="128">
        <f t="shared" si="21"/>
        <v>0</v>
      </c>
      <c r="M48" s="259"/>
      <c r="P48" s="338"/>
    </row>
    <row r="49" spans="1:16" x14ac:dyDescent="0.3">
      <c r="A49" s="424"/>
      <c r="B49" s="425"/>
      <c r="C49" s="425"/>
      <c r="D49" s="422" t="s">
        <v>126</v>
      </c>
      <c r="E49" s="423">
        <v>20</v>
      </c>
      <c r="F49" s="423">
        <v>1</v>
      </c>
      <c r="G49" s="423">
        <f>E49*F49</f>
        <v>20</v>
      </c>
      <c r="H49" s="307">
        <f>H20</f>
        <v>0</v>
      </c>
      <c r="I49" s="256">
        <f t="shared" si="23"/>
        <v>0</v>
      </c>
      <c r="J49" s="256">
        <f t="shared" si="24"/>
        <v>0</v>
      </c>
      <c r="K49" s="256">
        <f t="shared" si="25"/>
        <v>0</v>
      </c>
      <c r="L49" s="128">
        <f t="shared" si="21"/>
        <v>0</v>
      </c>
      <c r="M49" s="259"/>
      <c r="P49" s="338"/>
    </row>
    <row r="50" spans="1:16" x14ac:dyDescent="0.3">
      <c r="A50" s="424"/>
      <c r="B50" s="425"/>
      <c r="C50" s="425"/>
      <c r="D50" s="422" t="s">
        <v>127</v>
      </c>
      <c r="E50" s="423">
        <v>5</v>
      </c>
      <c r="F50" s="423">
        <v>1</v>
      </c>
      <c r="G50" s="423">
        <f>E50*F50</f>
        <v>5</v>
      </c>
      <c r="H50" s="378">
        <f>H20*0.1</f>
        <v>0</v>
      </c>
      <c r="I50" s="256">
        <f t="shared" si="23"/>
        <v>0</v>
      </c>
      <c r="J50" s="256">
        <f t="shared" si="24"/>
        <v>0</v>
      </c>
      <c r="K50" s="256">
        <f t="shared" si="25"/>
        <v>0</v>
      </c>
      <c r="L50" s="128">
        <f t="shared" si="21"/>
        <v>0</v>
      </c>
      <c r="M50" s="259"/>
      <c r="P50" s="338"/>
    </row>
    <row r="51" spans="1:16" s="134" customFormat="1" x14ac:dyDescent="0.3">
      <c r="A51" s="146" t="s">
        <v>129</v>
      </c>
      <c r="B51" s="147"/>
      <c r="C51" s="148"/>
      <c r="D51" s="148"/>
      <c r="E51" s="148"/>
      <c r="F51" s="421"/>
      <c r="G51" s="149"/>
      <c r="H51" s="252"/>
      <c r="I51" s="490">
        <f>SUM(I7:K50)</f>
        <v>28373.15750400001</v>
      </c>
      <c r="J51" s="490"/>
      <c r="K51" s="490"/>
      <c r="L51" s="288">
        <f>SUM(L7:L50)</f>
        <v>1579166.0608156722</v>
      </c>
      <c r="M51" s="314"/>
    </row>
    <row r="52" spans="1:16" x14ac:dyDescent="0.3">
      <c r="A52" s="498" t="s">
        <v>130</v>
      </c>
      <c r="B52" s="499"/>
      <c r="C52" s="499"/>
      <c r="D52" s="491"/>
      <c r="E52" s="423"/>
      <c r="F52" s="423"/>
      <c r="G52" s="423"/>
      <c r="H52" s="252"/>
      <c r="I52" s="253"/>
      <c r="J52" s="253"/>
      <c r="K52" s="253"/>
      <c r="L52" s="55"/>
      <c r="M52" s="259"/>
    </row>
    <row r="53" spans="1:16" ht="12.75" customHeight="1" x14ac:dyDescent="0.3">
      <c r="A53" s="424"/>
      <c r="B53" s="491" t="s">
        <v>92</v>
      </c>
      <c r="C53" s="491"/>
      <c r="D53" s="492"/>
      <c r="E53" s="251" t="s">
        <v>131</v>
      </c>
      <c r="F53" s="423"/>
      <c r="G53" s="423"/>
      <c r="H53" s="252"/>
      <c r="I53" s="253"/>
      <c r="J53" s="253"/>
      <c r="K53" s="253"/>
      <c r="L53" s="55"/>
      <c r="M53" s="259"/>
    </row>
    <row r="54" spans="1:16" x14ac:dyDescent="0.3">
      <c r="A54" s="424"/>
      <c r="B54" s="491" t="s">
        <v>132</v>
      </c>
      <c r="C54" s="491"/>
      <c r="D54" s="492"/>
      <c r="E54" s="251" t="s">
        <v>115</v>
      </c>
      <c r="F54" s="423"/>
      <c r="G54" s="423"/>
      <c r="H54" s="252"/>
      <c r="I54" s="253"/>
      <c r="J54" s="253"/>
      <c r="K54" s="253"/>
      <c r="L54" s="55"/>
      <c r="M54" s="259"/>
    </row>
    <row r="55" spans="1:16" x14ac:dyDescent="0.3">
      <c r="A55" s="424"/>
      <c r="B55" s="491" t="s">
        <v>133</v>
      </c>
      <c r="C55" s="491"/>
      <c r="D55" s="492"/>
      <c r="E55" s="251" t="s">
        <v>115</v>
      </c>
      <c r="F55" s="423"/>
      <c r="G55" s="423"/>
      <c r="H55" s="252"/>
      <c r="I55" s="253"/>
      <c r="J55" s="253"/>
      <c r="K55" s="253"/>
      <c r="L55" s="55"/>
      <c r="M55" s="259"/>
    </row>
    <row r="56" spans="1:16" x14ac:dyDescent="0.3">
      <c r="A56" s="424"/>
      <c r="B56" s="491" t="s">
        <v>134</v>
      </c>
      <c r="C56" s="491"/>
      <c r="D56" s="492"/>
      <c r="E56" s="251" t="s">
        <v>12</v>
      </c>
      <c r="F56" s="423"/>
      <c r="G56" s="423"/>
      <c r="H56" s="252"/>
      <c r="I56" s="253"/>
      <c r="J56" s="253"/>
      <c r="K56" s="253"/>
      <c r="L56" s="55"/>
      <c r="M56" s="259"/>
    </row>
    <row r="57" spans="1:16" x14ac:dyDescent="0.3">
      <c r="A57" s="424"/>
      <c r="B57" s="491" t="s">
        <v>135</v>
      </c>
      <c r="C57" s="491"/>
      <c r="D57" s="492"/>
      <c r="E57" s="423"/>
      <c r="F57" s="423"/>
      <c r="G57" s="423"/>
      <c r="H57" s="252"/>
      <c r="I57" s="253"/>
      <c r="J57" s="253"/>
      <c r="K57" s="253"/>
      <c r="L57" s="55"/>
      <c r="M57" s="259"/>
    </row>
    <row r="58" spans="1:16" x14ac:dyDescent="0.3">
      <c r="A58" s="424"/>
      <c r="B58" s="425"/>
      <c r="C58" s="254" t="s">
        <v>95</v>
      </c>
      <c r="D58" s="255"/>
      <c r="E58" s="423"/>
      <c r="F58" s="423"/>
      <c r="G58" s="423"/>
      <c r="H58" s="263"/>
      <c r="I58" s="253"/>
      <c r="J58" s="253"/>
      <c r="K58" s="253"/>
      <c r="L58" s="55"/>
      <c r="M58" s="259"/>
    </row>
    <row r="59" spans="1:16" x14ac:dyDescent="0.3">
      <c r="A59" s="424"/>
      <c r="B59" s="425"/>
      <c r="C59" s="425"/>
      <c r="D59" s="422" t="s">
        <v>136</v>
      </c>
      <c r="E59" s="423">
        <v>1</v>
      </c>
      <c r="F59" s="423">
        <v>12</v>
      </c>
      <c r="G59" s="423">
        <f t="shared" ref="G59:G66" si="26">E59*F59</f>
        <v>12</v>
      </c>
      <c r="H59" s="263">
        <f>H61*0.1</f>
        <v>6.210782608695653</v>
      </c>
      <c r="I59" s="256">
        <f t="shared" ref="I59:I61" si="27">G59*H59</f>
        <v>74.52939130434784</v>
      </c>
      <c r="J59" s="285">
        <f t="shared" ref="J59:J61" si="28">I59*0.05</f>
        <v>3.7264695652173923</v>
      </c>
      <c r="K59" s="285">
        <f t="shared" ref="K59:K61" si="29">I59*0.1</f>
        <v>7.4529391304347845</v>
      </c>
      <c r="L59" s="286">
        <f>(I59*$F$82)+(J59*$F$83)+(K59*$F$84)</f>
        <v>4770.298408069566</v>
      </c>
      <c r="M59" s="259"/>
    </row>
    <row r="60" spans="1:16" x14ac:dyDescent="0.3">
      <c r="A60" s="424"/>
      <c r="B60" s="425"/>
      <c r="C60" s="425"/>
      <c r="D60" s="422" t="s">
        <v>137</v>
      </c>
      <c r="E60" s="423">
        <v>1</v>
      </c>
      <c r="F60" s="423">
        <v>12</v>
      </c>
      <c r="G60" s="423">
        <f t="shared" si="26"/>
        <v>12</v>
      </c>
      <c r="H60" s="263">
        <f>H61*0.1</f>
        <v>6.210782608695653</v>
      </c>
      <c r="I60" s="256">
        <f t="shared" si="27"/>
        <v>74.52939130434784</v>
      </c>
      <c r="J60" s="285">
        <f t="shared" si="28"/>
        <v>3.7264695652173923</v>
      </c>
      <c r="K60" s="285">
        <f t="shared" si="29"/>
        <v>7.4529391304347845</v>
      </c>
      <c r="L60" s="286">
        <f t="shared" ref="L60" si="30">(I60*$F$82)+(J60*$F$83)+(K60*$F$84)</f>
        <v>4770.298408069566</v>
      </c>
      <c r="M60" s="259"/>
    </row>
    <row r="61" spans="1:16" x14ac:dyDescent="0.3">
      <c r="A61" s="424"/>
      <c r="B61" s="425"/>
      <c r="C61" s="425"/>
      <c r="D61" s="422" t="s">
        <v>138</v>
      </c>
      <c r="E61" s="423">
        <v>2</v>
      </c>
      <c r="F61" s="423">
        <v>12</v>
      </c>
      <c r="G61" s="423">
        <f t="shared" si="26"/>
        <v>24</v>
      </c>
      <c r="H61" s="252">
        <f>'Regulated Sources_Overview'!D149</f>
        <v>62.107826086956528</v>
      </c>
      <c r="I61" s="256">
        <f t="shared" si="27"/>
        <v>1490.5878260869567</v>
      </c>
      <c r="J61" s="285">
        <f t="shared" si="28"/>
        <v>74.52939130434784</v>
      </c>
      <c r="K61" s="285">
        <f t="shared" si="29"/>
        <v>149.05878260869568</v>
      </c>
      <c r="L61" s="286">
        <f>(I61*$F$82)+(J61*$F$83)+(K61*$F$84)</f>
        <v>95405.968161391327</v>
      </c>
      <c r="M61" s="259"/>
    </row>
    <row r="62" spans="1:16" x14ac:dyDescent="0.3">
      <c r="A62" s="424"/>
      <c r="B62" s="425"/>
      <c r="C62" s="367" t="s">
        <v>105</v>
      </c>
      <c r="D62" s="255"/>
      <c r="E62" s="423"/>
      <c r="F62" s="423"/>
      <c r="G62" s="423"/>
      <c r="H62" s="252"/>
      <c r="I62" s="253"/>
      <c r="J62" s="253"/>
      <c r="K62" s="253"/>
      <c r="L62" s="55"/>
      <c r="M62" s="259"/>
    </row>
    <row r="63" spans="1:16" x14ac:dyDescent="0.3">
      <c r="A63" s="424"/>
      <c r="B63" s="425"/>
      <c r="C63" s="425"/>
      <c r="D63" s="422" t="s">
        <v>136</v>
      </c>
      <c r="E63" s="423">
        <v>1</v>
      </c>
      <c r="F63" s="423">
        <v>12</v>
      </c>
      <c r="G63" s="423">
        <f t="shared" si="26"/>
        <v>12</v>
      </c>
      <c r="H63" s="378">
        <f>H20*0.1</f>
        <v>0</v>
      </c>
      <c r="I63" s="256">
        <f t="shared" ref="I63:I66" si="31">G63*H63</f>
        <v>0</v>
      </c>
      <c r="J63" s="256">
        <f t="shared" ref="J63:J66" si="32">I63*0.05</f>
        <v>0</v>
      </c>
      <c r="K63" s="256">
        <f t="shared" ref="K63:K66" si="33">I63*0.1</f>
        <v>0</v>
      </c>
      <c r="L63" s="128">
        <f t="shared" ref="L63:L66" si="34">(I63*$F$82)+(J63*$F$83)+(K63*$F$84)</f>
        <v>0</v>
      </c>
      <c r="M63" s="259"/>
    </row>
    <row r="64" spans="1:16" x14ac:dyDescent="0.3">
      <c r="A64" s="424"/>
      <c r="B64" s="425"/>
      <c r="C64" s="425"/>
      <c r="D64" s="422" t="s">
        <v>137</v>
      </c>
      <c r="E64" s="423">
        <v>1</v>
      </c>
      <c r="F64" s="423">
        <v>12</v>
      </c>
      <c r="G64" s="423">
        <f t="shared" si="26"/>
        <v>12</v>
      </c>
      <c r="H64" s="378">
        <f>H20*0.1</f>
        <v>0</v>
      </c>
      <c r="I64" s="256">
        <f t="shared" si="31"/>
        <v>0</v>
      </c>
      <c r="J64" s="256">
        <f t="shared" si="32"/>
        <v>0</v>
      </c>
      <c r="K64" s="256">
        <f t="shared" si="33"/>
        <v>0</v>
      </c>
      <c r="L64" s="128">
        <f t="shared" si="34"/>
        <v>0</v>
      </c>
      <c r="M64" s="259"/>
    </row>
    <row r="65" spans="1:13" x14ac:dyDescent="0.3">
      <c r="A65" s="424"/>
      <c r="B65" s="425"/>
      <c r="C65" s="425"/>
      <c r="D65" s="422" t="s">
        <v>138</v>
      </c>
      <c r="E65" s="423">
        <v>2</v>
      </c>
      <c r="F65" s="423">
        <v>12</v>
      </c>
      <c r="G65" s="423">
        <f t="shared" si="26"/>
        <v>24</v>
      </c>
      <c r="H65" s="307">
        <f>H20</f>
        <v>0</v>
      </c>
      <c r="I65" s="256">
        <f t="shared" si="31"/>
        <v>0</v>
      </c>
      <c r="J65" s="256">
        <f t="shared" si="32"/>
        <v>0</v>
      </c>
      <c r="K65" s="256">
        <f t="shared" si="33"/>
        <v>0</v>
      </c>
      <c r="L65" s="128">
        <f t="shared" si="34"/>
        <v>0</v>
      </c>
      <c r="M65" s="259"/>
    </row>
    <row r="66" spans="1:13" x14ac:dyDescent="0.3">
      <c r="A66" s="424"/>
      <c r="B66" s="491" t="s">
        <v>140</v>
      </c>
      <c r="C66" s="491"/>
      <c r="D66" s="492"/>
      <c r="E66" s="423">
        <f xml:space="preserve"> 16+ 64</f>
        <v>80</v>
      </c>
      <c r="F66" s="423">
        <v>1</v>
      </c>
      <c r="G66" s="423">
        <f t="shared" si="26"/>
        <v>80</v>
      </c>
      <c r="H66" s="307">
        <f>H42</f>
        <v>0</v>
      </c>
      <c r="I66" s="256">
        <f t="shared" si="31"/>
        <v>0</v>
      </c>
      <c r="J66" s="256">
        <f t="shared" si="32"/>
        <v>0</v>
      </c>
      <c r="K66" s="256">
        <f t="shared" si="33"/>
        <v>0</v>
      </c>
      <c r="L66" s="128">
        <f t="shared" si="34"/>
        <v>0</v>
      </c>
      <c r="M66" s="259"/>
    </row>
    <row r="67" spans="1:13" x14ac:dyDescent="0.3">
      <c r="A67" s="424"/>
      <c r="B67" s="491" t="s">
        <v>141</v>
      </c>
      <c r="C67" s="491"/>
      <c r="D67" s="492"/>
      <c r="E67" s="251" t="s">
        <v>12</v>
      </c>
      <c r="F67" s="423"/>
      <c r="G67" s="423"/>
      <c r="H67" s="252"/>
      <c r="I67" s="253"/>
      <c r="J67" s="253"/>
      <c r="K67" s="253"/>
      <c r="L67" s="55"/>
      <c r="M67" s="259"/>
    </row>
    <row r="68" spans="1:13" s="134" customFormat="1" x14ac:dyDescent="0.3">
      <c r="A68" s="146" t="s">
        <v>142</v>
      </c>
      <c r="B68" s="150"/>
      <c r="C68" s="148"/>
      <c r="D68" s="148"/>
      <c r="E68" s="148"/>
      <c r="F68" s="421"/>
      <c r="G68" s="149"/>
      <c r="H68" s="149"/>
      <c r="I68" s="490">
        <f>SUM(I53:K66)</f>
        <v>1885.5936000000004</v>
      </c>
      <c r="J68" s="490"/>
      <c r="K68" s="490"/>
      <c r="L68" s="288">
        <f>SUM(L53:L66)</f>
        <v>104946.56497753046</v>
      </c>
      <c r="M68" s="187"/>
    </row>
    <row r="69" spans="1:13" s="134" customFormat="1" ht="14.5" x14ac:dyDescent="0.3">
      <c r="A69" s="171" t="s">
        <v>190</v>
      </c>
      <c r="B69" s="150"/>
      <c r="C69" s="172"/>
      <c r="D69" s="223"/>
      <c r="E69" s="224"/>
      <c r="F69" s="225"/>
      <c r="G69" s="226"/>
      <c r="H69" s="226"/>
      <c r="I69" s="493">
        <f>ROUND(I51+I68,-3)</f>
        <v>30000</v>
      </c>
      <c r="J69" s="494"/>
      <c r="K69" s="495"/>
      <c r="L69" s="289">
        <f>ROUND(L51+L68,-5)</f>
        <v>1700000</v>
      </c>
      <c r="M69" s="314"/>
    </row>
    <row r="70" spans="1:13" s="134" customFormat="1" ht="14.5" x14ac:dyDescent="0.3">
      <c r="A70" s="146" t="s">
        <v>191</v>
      </c>
      <c r="B70" s="149"/>
      <c r="C70" s="148"/>
      <c r="D70" s="224"/>
      <c r="E70" s="224"/>
      <c r="F70" s="225"/>
      <c r="G70" s="226"/>
      <c r="H70" s="226"/>
      <c r="I70" s="225"/>
      <c r="J70" s="225"/>
      <c r="K70" s="225"/>
      <c r="L70" s="289">
        <f>ROUND(H102+K113,-5)</f>
        <v>8200000</v>
      </c>
      <c r="M70" s="314"/>
    </row>
    <row r="71" spans="1:13" s="134" customFormat="1" ht="14.5" x14ac:dyDescent="0.3">
      <c r="A71" s="146" t="s">
        <v>192</v>
      </c>
      <c r="B71" s="149"/>
      <c r="C71" s="148"/>
      <c r="D71" s="224"/>
      <c r="E71" s="224"/>
      <c r="F71" s="225"/>
      <c r="G71" s="226"/>
      <c r="H71" s="226"/>
      <c r="I71" s="225"/>
      <c r="J71" s="225">
        <f>ROUND(I69+I68,-3)</f>
        <v>32000</v>
      </c>
      <c r="K71" s="225"/>
      <c r="L71" s="289">
        <f>ROUND(L69+L70,-5)</f>
        <v>9900000</v>
      </c>
      <c r="M71" s="314"/>
    </row>
    <row r="72" spans="1:13" s="152" customFormat="1" x14ac:dyDescent="0.3">
      <c r="A72" s="259"/>
      <c r="B72" s="259"/>
      <c r="C72" s="259"/>
      <c r="D72" s="259"/>
      <c r="E72" s="259"/>
      <c r="F72" s="259"/>
      <c r="G72" s="259"/>
      <c r="H72" s="260"/>
      <c r="I72" s="259"/>
      <c r="J72" s="260"/>
      <c r="K72" s="259"/>
      <c r="L72" s="174"/>
      <c r="M72" s="259"/>
    </row>
    <row r="73" spans="1:13" s="152" customFormat="1" x14ac:dyDescent="0.3">
      <c r="A73" s="261" t="s">
        <v>146</v>
      </c>
      <c r="B73" s="259"/>
      <c r="C73" s="259"/>
      <c r="D73" s="259"/>
      <c r="E73" s="259"/>
      <c r="F73" s="259"/>
      <c r="G73" s="259"/>
      <c r="H73" s="260"/>
      <c r="I73" s="259"/>
      <c r="J73" s="259"/>
      <c r="K73" s="259"/>
      <c r="L73" s="38"/>
      <c r="M73" s="259"/>
    </row>
    <row r="74" spans="1:13" s="152" customFormat="1" ht="60.75" customHeight="1" x14ac:dyDescent="0.3">
      <c r="A74" s="508" t="s">
        <v>203</v>
      </c>
      <c r="B74" s="508"/>
      <c r="C74" s="508"/>
      <c r="D74" s="508"/>
      <c r="E74" s="508"/>
      <c r="F74" s="508"/>
      <c r="G74" s="508"/>
      <c r="H74" s="508"/>
      <c r="I74" s="508"/>
      <c r="J74" s="508"/>
      <c r="K74" s="508"/>
      <c r="L74" s="508"/>
      <c r="M74" s="154"/>
    </row>
    <row r="75" spans="1:13" s="152" customFormat="1" ht="27.75" customHeight="1" x14ac:dyDescent="0.3">
      <c r="A75" s="497" t="s">
        <v>194</v>
      </c>
      <c r="B75" s="497"/>
      <c r="C75" s="497"/>
      <c r="D75" s="497"/>
      <c r="E75" s="497"/>
      <c r="F75" s="497"/>
      <c r="G75" s="497"/>
      <c r="H75" s="497"/>
      <c r="I75" s="497"/>
      <c r="J75" s="497"/>
      <c r="K75" s="497"/>
      <c r="L75" s="497"/>
      <c r="M75" s="259"/>
    </row>
    <row r="76" spans="1:13" s="151" customFormat="1" ht="15" customHeight="1" x14ac:dyDescent="0.3">
      <c r="A76" s="500" t="s">
        <v>195</v>
      </c>
      <c r="B76" s="500"/>
      <c r="C76" s="500"/>
      <c r="D76" s="500"/>
      <c r="E76" s="500"/>
      <c r="F76" s="500"/>
      <c r="G76" s="500"/>
      <c r="H76" s="500"/>
      <c r="I76" s="500"/>
      <c r="J76" s="500"/>
      <c r="K76" s="500"/>
      <c r="L76" s="500"/>
      <c r="M76" s="259"/>
    </row>
    <row r="77" spans="1:13" s="152" customFormat="1" ht="15" customHeight="1" x14ac:dyDescent="0.3">
      <c r="A77" s="500" t="s">
        <v>196</v>
      </c>
      <c r="B77" s="500"/>
      <c r="C77" s="500"/>
      <c r="D77" s="500"/>
      <c r="E77" s="500"/>
      <c r="F77" s="500"/>
      <c r="G77" s="500"/>
      <c r="H77" s="500"/>
      <c r="I77" s="500"/>
      <c r="J77" s="500"/>
      <c r="K77" s="500"/>
      <c r="L77" s="500"/>
      <c r="M77" s="259"/>
    </row>
    <row r="78" spans="1:13" s="152" customFormat="1" ht="15" customHeight="1" x14ac:dyDescent="0.3">
      <c r="A78" s="478" t="s">
        <v>151</v>
      </c>
      <c r="B78" s="478"/>
      <c r="C78" s="478"/>
      <c r="D78" s="478"/>
      <c r="E78" s="478"/>
      <c r="F78" s="478"/>
      <c r="G78" s="478"/>
      <c r="H78" s="478"/>
      <c r="I78" s="478"/>
      <c r="J78" s="478"/>
      <c r="K78" s="478"/>
      <c r="L78" s="478"/>
      <c r="M78" s="259"/>
    </row>
    <row r="79" spans="1:13" s="152" customFormat="1" ht="15.5" x14ac:dyDescent="0.35">
      <c r="A79" s="259"/>
      <c r="B79" s="259"/>
      <c r="C79" s="259"/>
      <c r="D79" s="290" t="s">
        <v>152</v>
      </c>
      <c r="E79" s="259"/>
      <c r="F79" s="259"/>
      <c r="G79" s="259"/>
      <c r="H79" s="260"/>
      <c r="I79" s="259"/>
      <c r="J79" s="259"/>
      <c r="K79" s="259"/>
      <c r="L79" s="210"/>
      <c r="M79" s="259"/>
    </row>
    <row r="80" spans="1:13" s="152" customFormat="1" x14ac:dyDescent="0.3">
      <c r="A80" s="291"/>
      <c r="B80" s="259"/>
      <c r="C80" s="259"/>
      <c r="D80" s="259"/>
      <c r="E80" s="259"/>
      <c r="F80" s="259"/>
      <c r="G80" s="259"/>
      <c r="H80" s="260"/>
      <c r="I80" s="259"/>
      <c r="J80" s="259"/>
      <c r="K80" s="259"/>
      <c r="L80" s="156"/>
      <c r="M80" s="259"/>
    </row>
    <row r="81" spans="1:13" ht="26" x14ac:dyDescent="0.3">
      <c r="A81" s="255"/>
      <c r="B81" s="255"/>
      <c r="C81" s="255"/>
      <c r="D81" s="262"/>
      <c r="E81" s="420" t="s">
        <v>153</v>
      </c>
      <c r="F81" s="420" t="s">
        <v>154</v>
      </c>
      <c r="G81" s="420" t="s">
        <v>197</v>
      </c>
      <c r="H81" s="420" t="s">
        <v>155</v>
      </c>
      <c r="I81" s="264" t="s">
        <v>198</v>
      </c>
      <c r="J81" s="255"/>
      <c r="K81" s="255"/>
      <c r="L81" s="157"/>
      <c r="M81" s="259"/>
    </row>
    <row r="82" spans="1:13" ht="26" x14ac:dyDescent="0.3">
      <c r="A82" s="255"/>
      <c r="B82" s="255"/>
      <c r="C82" s="255"/>
      <c r="D82" s="255"/>
      <c r="E82" s="423" t="s">
        <v>199</v>
      </c>
      <c r="F82" s="376">
        <f>H82*G82</f>
        <v>57.072000000000003</v>
      </c>
      <c r="G82" s="311">
        <v>1.6</v>
      </c>
      <c r="H82" s="293">
        <f>'Table 1b-Year 1'!H82</f>
        <v>35.67</v>
      </c>
      <c r="I82" s="264"/>
      <c r="J82" s="255"/>
      <c r="K82" s="255"/>
      <c r="M82" s="259"/>
    </row>
    <row r="83" spans="1:13" ht="26" x14ac:dyDescent="0.3">
      <c r="A83" s="255"/>
      <c r="B83" s="255"/>
      <c r="C83" s="255"/>
      <c r="D83" s="255"/>
      <c r="E83" s="423" t="s">
        <v>200</v>
      </c>
      <c r="F83" s="376">
        <f>H83*G83</f>
        <v>76.912000000000006</v>
      </c>
      <c r="G83" s="311">
        <v>1.6</v>
      </c>
      <c r="H83" s="293">
        <f>'Table 1b-Year 1'!H83</f>
        <v>48.07</v>
      </c>
      <c r="I83" s="265"/>
      <c r="J83" s="266"/>
      <c r="K83" s="255"/>
      <c r="M83" s="259"/>
    </row>
    <row r="84" spans="1:13" ht="26" x14ac:dyDescent="0.3">
      <c r="A84" s="255"/>
      <c r="B84" s="255"/>
      <c r="C84" s="255"/>
      <c r="D84" s="255"/>
      <c r="E84" s="423" t="s">
        <v>201</v>
      </c>
      <c r="F84" s="376">
        <f>H84*G84</f>
        <v>30.880000000000003</v>
      </c>
      <c r="G84" s="311">
        <v>1.6</v>
      </c>
      <c r="H84" s="293">
        <f>'Table 1b-Year 1'!H84</f>
        <v>19.3</v>
      </c>
      <c r="I84" s="255"/>
      <c r="J84" s="255"/>
      <c r="K84" s="255"/>
      <c r="M84" s="259"/>
    </row>
    <row r="85" spans="1:13" x14ac:dyDescent="0.3">
      <c r="A85" s="255"/>
      <c r="B85" s="255"/>
      <c r="C85" s="255"/>
      <c r="D85" s="267"/>
      <c r="E85" s="255"/>
      <c r="F85" s="268"/>
      <c r="G85" s="255"/>
      <c r="H85" s="269"/>
      <c r="I85" s="255"/>
      <c r="J85" s="255"/>
      <c r="K85" s="255"/>
      <c r="M85" s="259"/>
    </row>
    <row r="86" spans="1:13" x14ac:dyDescent="0.3">
      <c r="A86" s="255"/>
      <c r="B86" s="255"/>
      <c r="C86" s="255"/>
      <c r="D86" s="267"/>
      <c r="E86" s="255"/>
      <c r="F86" s="268"/>
      <c r="G86" s="255"/>
      <c r="H86" s="269"/>
      <c r="I86" s="255"/>
      <c r="J86" s="255"/>
      <c r="K86" s="255"/>
      <c r="M86" s="259"/>
    </row>
    <row r="87" spans="1:13" s="152" customFormat="1" x14ac:dyDescent="0.3">
      <c r="A87" s="259"/>
      <c r="B87" s="259"/>
      <c r="C87" s="259"/>
      <c r="D87" s="255"/>
      <c r="E87" s="270"/>
      <c r="F87" s="271"/>
      <c r="G87" s="259"/>
      <c r="H87" s="260"/>
      <c r="I87" s="259"/>
      <c r="J87" s="259"/>
      <c r="K87" s="38"/>
      <c r="L87" s="259"/>
      <c r="M87" s="259"/>
    </row>
    <row r="88" spans="1:13" ht="15" customHeight="1" x14ac:dyDescent="0.3">
      <c r="A88" s="255"/>
      <c r="B88" s="255"/>
      <c r="C88" s="255"/>
      <c r="D88" s="262"/>
      <c r="E88" s="479" t="s">
        <v>163</v>
      </c>
      <c r="F88" s="480"/>
      <c r="G88" s="480"/>
      <c r="H88" s="481"/>
      <c r="I88" s="294"/>
      <c r="J88" s="255"/>
      <c r="K88" s="158"/>
      <c r="L88" s="255"/>
      <c r="M88" s="259"/>
    </row>
    <row r="89" spans="1:13" x14ac:dyDescent="0.3">
      <c r="A89" s="255"/>
      <c r="B89" s="255"/>
      <c r="C89" s="255"/>
      <c r="D89" s="295" t="s">
        <v>9</v>
      </c>
      <c r="E89" s="420" t="s">
        <v>165</v>
      </c>
      <c r="F89" s="420" t="s">
        <v>166</v>
      </c>
      <c r="G89" s="420" t="s">
        <v>167</v>
      </c>
      <c r="H89" s="420" t="s">
        <v>168</v>
      </c>
      <c r="I89" s="259"/>
      <c r="J89" s="255"/>
      <c r="K89" s="158"/>
      <c r="L89" s="255"/>
      <c r="M89" s="259"/>
    </row>
    <row r="90" spans="1:13" x14ac:dyDescent="0.3">
      <c r="A90" s="255"/>
      <c r="B90" s="255"/>
      <c r="C90" s="255"/>
      <c r="D90" s="296" t="s">
        <v>11</v>
      </c>
      <c r="E90" s="403" t="s">
        <v>169</v>
      </c>
      <c r="F90" s="169">
        <f>'Table 1a-Year 1'!F92</f>
        <v>5167.0448330540685</v>
      </c>
      <c r="G90" s="372">
        <f>H12+H20</f>
        <v>38.506852173913046</v>
      </c>
      <c r="H90" s="297">
        <f>F90*G90</f>
        <v>198966.63156239424</v>
      </c>
      <c r="I90" s="154"/>
      <c r="J90" s="255"/>
      <c r="K90" s="158"/>
      <c r="L90" s="255"/>
      <c r="M90" s="259"/>
    </row>
    <row r="91" spans="1:13" x14ac:dyDescent="0.3">
      <c r="A91" s="255"/>
      <c r="B91" s="255"/>
      <c r="C91" s="255"/>
      <c r="D91" s="296" t="s">
        <v>14</v>
      </c>
      <c r="E91" s="423" t="s">
        <v>170</v>
      </c>
      <c r="F91" s="169">
        <f>'Summary Info_2015'!C61</f>
        <v>20444.262999999999</v>
      </c>
      <c r="G91" s="413">
        <f>H13</f>
        <v>10.55833043478261</v>
      </c>
      <c r="H91" s="297">
        <f t="shared" ref="H91:H92" si="35">F91*G91</f>
        <v>215857.28424960002</v>
      </c>
      <c r="I91" s="154"/>
      <c r="J91" s="255"/>
      <c r="K91" s="158"/>
      <c r="L91" s="255"/>
      <c r="M91" s="259"/>
    </row>
    <row r="92" spans="1:13" s="152" customFormat="1" x14ac:dyDescent="0.3">
      <c r="A92" s="259"/>
      <c r="B92" s="259"/>
      <c r="C92" s="259"/>
      <c r="D92" s="296" t="s">
        <v>20</v>
      </c>
      <c r="E92" s="423" t="s">
        <v>171</v>
      </c>
      <c r="F92" s="169">
        <f>'Summary Info_2015'!M66</f>
        <v>20006</v>
      </c>
      <c r="G92" s="413">
        <f>H14</f>
        <v>14.905878260869567</v>
      </c>
      <c r="H92" s="297">
        <f t="shared" si="35"/>
        <v>298207.00048695656</v>
      </c>
      <c r="I92" s="154"/>
      <c r="J92" s="255"/>
      <c r="K92" s="38"/>
      <c r="L92" s="259"/>
      <c r="M92" s="259"/>
    </row>
    <row r="93" spans="1:13" x14ac:dyDescent="0.3">
      <c r="A93" s="255"/>
      <c r="B93" s="255"/>
      <c r="C93" s="255"/>
      <c r="D93" s="255"/>
      <c r="E93" s="272" t="s">
        <v>45</v>
      </c>
      <c r="F93" s="273">
        <f>SUM(F90:F92)</f>
        <v>45617.307833054067</v>
      </c>
      <c r="G93" s="374">
        <f>SUM(G90:G92)</f>
        <v>63.971060869565221</v>
      </c>
      <c r="H93" s="277">
        <f>SUM(H90:H92)</f>
        <v>713030.91629895079</v>
      </c>
      <c r="I93" s="255"/>
      <c r="J93" s="280"/>
      <c r="K93" s="255"/>
      <c r="L93" s="255"/>
      <c r="M93" s="259"/>
    </row>
    <row r="94" spans="1:13" x14ac:dyDescent="0.3">
      <c r="A94" s="255"/>
      <c r="B94" s="255"/>
      <c r="C94" s="255"/>
      <c r="D94" s="255"/>
      <c r="E94" s="274"/>
      <c r="F94" s="255"/>
      <c r="G94" s="269"/>
      <c r="H94" s="275"/>
      <c r="I94" s="255"/>
      <c r="J94" s="255"/>
      <c r="K94" s="255"/>
      <c r="L94" s="255"/>
      <c r="M94" s="259"/>
    </row>
    <row r="95" spans="1:13" ht="30" customHeight="1" x14ac:dyDescent="0.3">
      <c r="A95" s="255"/>
      <c r="B95" s="255"/>
      <c r="C95" s="255"/>
      <c r="D95" s="255"/>
      <c r="E95" s="479" t="s">
        <v>172</v>
      </c>
      <c r="F95" s="480"/>
      <c r="G95" s="480"/>
      <c r="H95" s="481"/>
      <c r="I95" s="255"/>
      <c r="J95" s="255"/>
      <c r="K95" s="255"/>
      <c r="L95" s="255"/>
      <c r="M95" s="259"/>
    </row>
    <row r="96" spans="1:13" s="152" customFormat="1" x14ac:dyDescent="0.3">
      <c r="A96" s="259"/>
      <c r="B96" s="259"/>
      <c r="C96" s="259"/>
      <c r="D96" s="295" t="s">
        <v>173</v>
      </c>
      <c r="E96" s="420" t="s">
        <v>174</v>
      </c>
      <c r="F96" s="420" t="s">
        <v>175</v>
      </c>
      <c r="G96" s="420" t="s">
        <v>176</v>
      </c>
      <c r="H96" s="420" t="s">
        <v>168</v>
      </c>
      <c r="I96" s="259"/>
      <c r="J96" s="259"/>
      <c r="K96" s="259"/>
      <c r="L96" s="259"/>
      <c r="M96" s="259"/>
    </row>
    <row r="97" spans="1:13" x14ac:dyDescent="0.3">
      <c r="A97" s="255"/>
      <c r="B97" s="255"/>
      <c r="C97" s="255"/>
      <c r="D97" s="296" t="s">
        <v>202</v>
      </c>
      <c r="E97" s="423" t="s">
        <v>11</v>
      </c>
      <c r="F97" s="276">
        <f>'Table 1a-Year 1'!F99</f>
        <v>7940.8962315002973</v>
      </c>
      <c r="G97" s="373">
        <f>'Regulated Sources_Overview'!E123*'Table 1c-Year 2'!F12</f>
        <v>0</v>
      </c>
      <c r="H97" s="299">
        <f>F97*G97</f>
        <v>0</v>
      </c>
      <c r="I97" s="259"/>
      <c r="J97" s="255"/>
      <c r="K97" s="255"/>
      <c r="L97" s="255"/>
      <c r="M97" s="259"/>
    </row>
    <row r="98" spans="1:13" x14ac:dyDescent="0.3">
      <c r="A98" s="255"/>
      <c r="B98" s="255"/>
      <c r="C98" s="255"/>
      <c r="D98" s="296" t="s">
        <v>177</v>
      </c>
      <c r="E98" s="423" t="s">
        <v>14</v>
      </c>
      <c r="F98" s="276">
        <f>'Summary Info_2015'!B63</f>
        <v>111044.6066688</v>
      </c>
      <c r="G98" s="298">
        <f>'Regulated Sources_Overview'!K17</f>
        <v>0</v>
      </c>
      <c r="H98" s="299">
        <f t="shared" ref="H98:H99" si="36">F98*G98</f>
        <v>0</v>
      </c>
      <c r="I98" s="255"/>
      <c r="J98" s="255"/>
      <c r="K98" s="255"/>
      <c r="L98" s="255"/>
      <c r="M98" s="259"/>
    </row>
    <row r="99" spans="1:13" x14ac:dyDescent="0.3">
      <c r="A99" s="255"/>
      <c r="B99" s="255"/>
      <c r="C99" s="255"/>
      <c r="D99" s="296" t="s">
        <v>178</v>
      </c>
      <c r="E99" s="423" t="s">
        <v>20</v>
      </c>
      <c r="F99" s="276">
        <f>'Summary Info_2015'!L63</f>
        <v>174001.69178879997</v>
      </c>
      <c r="G99" s="298">
        <f>'Regulated Sources_Overview'!K18</f>
        <v>0</v>
      </c>
      <c r="H99" s="299">
        <f t="shared" si="36"/>
        <v>0</v>
      </c>
      <c r="I99" s="255"/>
      <c r="J99" s="255"/>
      <c r="K99" s="255"/>
      <c r="L99" s="255"/>
      <c r="M99" s="259"/>
    </row>
    <row r="100" spans="1:13" x14ac:dyDescent="0.3">
      <c r="A100" s="255"/>
      <c r="B100" s="255"/>
      <c r="C100" s="255"/>
      <c r="D100" s="255"/>
      <c r="E100" s="272" t="s">
        <v>45</v>
      </c>
      <c r="F100" s="277">
        <f>SUM(F97:F99)</f>
        <v>292987.19468910026</v>
      </c>
      <c r="G100" s="374">
        <f>SUM(G97:G99)</f>
        <v>0</v>
      </c>
      <c r="H100" s="277">
        <f>SUM(H97:H99)</f>
        <v>0</v>
      </c>
      <c r="I100" s="255"/>
      <c r="J100" s="255"/>
      <c r="K100" s="255"/>
      <c r="M100" s="259"/>
    </row>
    <row r="101" spans="1:13" x14ac:dyDescent="0.3">
      <c r="A101" s="255"/>
      <c r="B101" s="255"/>
      <c r="C101" s="255"/>
      <c r="D101" s="255"/>
      <c r="E101" s="278"/>
      <c r="F101" s="279"/>
      <c r="G101" s="280"/>
      <c r="H101" s="275"/>
      <c r="I101" s="255"/>
      <c r="J101" s="255"/>
      <c r="K101" s="255"/>
      <c r="M101" s="259"/>
    </row>
    <row r="102" spans="1:13" x14ac:dyDescent="0.3">
      <c r="A102" s="255"/>
      <c r="B102" s="255"/>
      <c r="C102" s="255"/>
      <c r="D102" s="255"/>
      <c r="E102" s="424"/>
      <c r="F102" s="482" t="s">
        <v>179</v>
      </c>
      <c r="G102" s="482"/>
      <c r="H102" s="281">
        <f>H93+H100</f>
        <v>713030.91629895079</v>
      </c>
      <c r="I102" s="255"/>
      <c r="J102" s="301"/>
      <c r="K102" s="255"/>
      <c r="M102" s="259"/>
    </row>
    <row r="103" spans="1:13" x14ac:dyDescent="0.3">
      <c r="A103" s="255"/>
      <c r="B103" s="255"/>
      <c r="C103" s="255"/>
      <c r="D103" s="255"/>
      <c r="E103" s="255"/>
      <c r="F103" s="279"/>
      <c r="G103" s="280"/>
      <c r="H103" s="269"/>
      <c r="I103" s="255"/>
      <c r="J103" s="255"/>
      <c r="K103" s="255"/>
      <c r="M103" s="259"/>
    </row>
    <row r="104" spans="1:13" x14ac:dyDescent="0.3">
      <c r="A104" s="255"/>
      <c r="B104" s="255"/>
      <c r="C104" s="255"/>
      <c r="D104" s="255"/>
      <c r="E104" s="255"/>
      <c r="F104" s="279"/>
      <c r="G104" s="280"/>
      <c r="H104" s="269"/>
      <c r="I104" s="255"/>
      <c r="J104" s="255"/>
      <c r="K104" s="255"/>
      <c r="M104" s="259"/>
    </row>
    <row r="105" spans="1:13" x14ac:dyDescent="0.3">
      <c r="A105" s="255"/>
      <c r="B105" s="255"/>
      <c r="C105" s="255"/>
      <c r="D105" s="255"/>
      <c r="E105" s="255"/>
      <c r="F105" s="279"/>
      <c r="G105" s="280"/>
      <c r="H105" s="269"/>
      <c r="I105" s="255"/>
      <c r="J105" s="255"/>
      <c r="K105" s="255"/>
      <c r="M105" s="259"/>
    </row>
    <row r="106" spans="1:13" ht="12.75" customHeight="1" x14ac:dyDescent="0.3">
      <c r="A106" s="255"/>
      <c r="B106" s="255"/>
      <c r="C106" s="255"/>
      <c r="D106" s="255"/>
      <c r="E106" s="302"/>
      <c r="F106" s="302"/>
      <c r="G106" s="302"/>
      <c r="H106" s="302"/>
      <c r="I106" s="302"/>
      <c r="J106" s="302"/>
      <c r="K106" s="302"/>
      <c r="L106" s="302"/>
      <c r="M106" s="259"/>
    </row>
    <row r="107" spans="1:13" ht="12.75" customHeight="1" x14ac:dyDescent="0.35">
      <c r="A107" s="255"/>
      <c r="B107" s="255"/>
      <c r="C107" s="255"/>
      <c r="D107" s="255"/>
      <c r="E107" s="479" t="s">
        <v>180</v>
      </c>
      <c r="F107" s="483"/>
      <c r="G107" s="483"/>
      <c r="H107" s="483"/>
      <c r="I107" s="483"/>
      <c r="J107" s="483"/>
      <c r="K107" s="484"/>
      <c r="L107" s="255"/>
      <c r="M107" s="259"/>
    </row>
    <row r="108" spans="1:13" ht="12.75" customHeight="1" x14ac:dyDescent="0.35">
      <c r="A108" s="255"/>
      <c r="B108" s="255"/>
      <c r="C108" s="255"/>
      <c r="D108" s="255"/>
      <c r="E108" s="485" t="s">
        <v>174</v>
      </c>
      <c r="F108" s="479" t="s">
        <v>181</v>
      </c>
      <c r="G108" s="483"/>
      <c r="H108" s="483"/>
      <c r="I108" s="484"/>
      <c r="J108" s="487" t="s">
        <v>182</v>
      </c>
      <c r="K108" s="489" t="s">
        <v>183</v>
      </c>
      <c r="L108" s="255"/>
      <c r="M108" s="259"/>
    </row>
    <row r="109" spans="1:13" x14ac:dyDescent="0.3">
      <c r="A109" s="255"/>
      <c r="B109" s="255"/>
      <c r="C109" s="255"/>
      <c r="D109" s="255"/>
      <c r="E109" s="486"/>
      <c r="F109" s="420" t="s">
        <v>184</v>
      </c>
      <c r="G109" s="420" t="s">
        <v>185</v>
      </c>
      <c r="H109" s="292" t="s">
        <v>186</v>
      </c>
      <c r="I109" s="420" t="s">
        <v>45</v>
      </c>
      <c r="J109" s="488"/>
      <c r="K109" s="489"/>
      <c r="L109" s="255"/>
      <c r="M109" s="259"/>
    </row>
    <row r="110" spans="1:13" x14ac:dyDescent="0.3">
      <c r="A110" s="255"/>
      <c r="B110" s="255"/>
      <c r="C110" s="255"/>
      <c r="D110" s="255"/>
      <c r="E110" s="282" t="s">
        <v>11</v>
      </c>
      <c r="F110" s="168">
        <f>'Table 1a-Year 1'!F112</f>
        <v>0</v>
      </c>
      <c r="G110" s="168">
        <f>'Table 1a-Year 1'!G112</f>
        <v>14290</v>
      </c>
      <c r="H110" s="168">
        <f>'Table 1a-Year 1'!H112</f>
        <v>13693</v>
      </c>
      <c r="I110" s="168">
        <f>F110+G110+H110</f>
        <v>27983</v>
      </c>
      <c r="J110" s="375">
        <f>'%CEMSCPMSvs.testing_2137.13'!Z3*'Table 1c-Year 3'!F12</f>
        <v>23.600973913043482</v>
      </c>
      <c r="K110" s="312">
        <f>I110*J110</f>
        <v>660426.05300869572</v>
      </c>
      <c r="L110" s="303"/>
      <c r="M110" s="259"/>
    </row>
    <row r="111" spans="1:13" x14ac:dyDescent="0.3">
      <c r="A111" s="255"/>
      <c r="B111" s="255"/>
      <c r="C111" s="255"/>
      <c r="D111" s="255"/>
      <c r="E111" s="282" t="s">
        <v>14</v>
      </c>
      <c r="F111" s="168">
        <f>'Table 1a-Year 2'!F113</f>
        <v>14788.7065664</v>
      </c>
      <c r="G111" s="168">
        <f>'Table 1a-Year 2'!G113</f>
        <v>10931.940845699999</v>
      </c>
      <c r="H111" s="168">
        <f>'Table 1a-Year 2'!H113</f>
        <v>15897.235325044843</v>
      </c>
      <c r="I111" s="168">
        <f>F111+G111+H111</f>
        <v>41617.882737144842</v>
      </c>
      <c r="J111" s="412">
        <f>('%CEMSCPMSvs.testing_2137.13'!K3+'%CEMSCPMSvs.testing_2137.13'!K4)*'Table 1c-Year 3'!F12</f>
        <v>51.549495652173924</v>
      </c>
      <c r="K111" s="168">
        <f t="shared" ref="K111" si="37">I111*J111</f>
        <v>2145380.8652111324</v>
      </c>
      <c r="L111" s="303"/>
      <c r="M111" s="259"/>
    </row>
    <row r="112" spans="1:13" x14ac:dyDescent="0.3">
      <c r="A112" s="255"/>
      <c r="B112" s="255"/>
      <c r="C112" s="255"/>
      <c r="D112" s="255"/>
      <c r="E112" s="282" t="s">
        <v>20</v>
      </c>
      <c r="F112" s="168">
        <f>'Table 1a-Year 2'!F114</f>
        <v>19959.2166464</v>
      </c>
      <c r="G112" s="168">
        <f>'Table 1a-Year 2'!G114</f>
        <v>40011.554765699999</v>
      </c>
      <c r="H112" s="168">
        <f>'Table 1a-Year 2'!H114</f>
        <v>40035.286058200538</v>
      </c>
      <c r="I112" s="168">
        <f>F112+G112+H112</f>
        <v>100006.05747030054</v>
      </c>
      <c r="J112" s="412">
        <f>'%CEMSCPMSvs.testing_2137.13'!C3*'Table 1c-Year 3'!F12</f>
        <v>47.201947826086965</v>
      </c>
      <c r="K112" s="168">
        <f>I112*J112</f>
        <v>4720480.7070057802</v>
      </c>
      <c r="L112" s="303"/>
      <c r="M112" s="259"/>
    </row>
    <row r="113" spans="1:13" x14ac:dyDescent="0.3">
      <c r="A113" s="255"/>
      <c r="B113" s="255"/>
      <c r="C113" s="255"/>
      <c r="D113" s="255"/>
      <c r="E113" s="283" t="s">
        <v>45</v>
      </c>
      <c r="F113" s="132"/>
      <c r="G113" s="132"/>
      <c r="H113" s="132"/>
      <c r="I113" s="132"/>
      <c r="J113" s="304"/>
      <c r="K113" s="132">
        <f>SUM(K110:K112)</f>
        <v>7526287.6252256082</v>
      </c>
      <c r="L113" s="279"/>
      <c r="M113" s="259"/>
    </row>
    <row r="114" spans="1:13" ht="15.5" x14ac:dyDescent="0.35">
      <c r="A114" s="255"/>
      <c r="B114" s="255"/>
      <c r="C114" s="255"/>
      <c r="D114" s="255"/>
      <c r="E114" s="255"/>
      <c r="F114" s="305"/>
      <c r="G114" s="255"/>
      <c r="H114" s="269"/>
      <c r="I114" s="255"/>
      <c r="J114" s="269"/>
      <c r="K114" s="284"/>
      <c r="M114" s="259"/>
    </row>
    <row r="115" spans="1:13" x14ac:dyDescent="0.3">
      <c r="A115" s="255"/>
      <c r="B115" s="255"/>
      <c r="C115" s="255"/>
      <c r="D115" s="255"/>
      <c r="E115" s="255"/>
      <c r="F115" s="255"/>
      <c r="G115" s="255"/>
      <c r="H115" s="269"/>
      <c r="I115" s="255"/>
      <c r="J115" s="269"/>
      <c r="K115" s="301">
        <f>K113+H93</f>
        <v>8239318.5415245593</v>
      </c>
      <c r="M115" s="259"/>
    </row>
    <row r="116" spans="1:13" x14ac:dyDescent="0.3">
      <c r="A116" s="255"/>
      <c r="B116" s="255"/>
      <c r="C116" s="255"/>
      <c r="D116" s="255"/>
      <c r="E116" s="255"/>
      <c r="F116" s="255"/>
      <c r="G116" s="255"/>
      <c r="H116" s="269"/>
      <c r="I116" s="255"/>
      <c r="J116" s="255"/>
      <c r="K116" s="255"/>
      <c r="L116" s="213"/>
      <c r="M116" s="313"/>
    </row>
    <row r="117" spans="1:13" x14ac:dyDescent="0.3">
      <c r="A117" s="255"/>
      <c r="B117" s="255"/>
      <c r="C117" s="255"/>
      <c r="D117" s="255"/>
      <c r="E117" s="255"/>
      <c r="F117" s="255"/>
      <c r="G117" s="255"/>
      <c r="H117" s="269"/>
      <c r="I117" s="255"/>
      <c r="J117" s="255"/>
      <c r="K117" s="255"/>
      <c r="L117" s="213"/>
      <c r="M117" s="313"/>
    </row>
    <row r="118" spans="1:13" x14ac:dyDescent="0.3">
      <c r="A118" s="255"/>
      <c r="B118" s="255"/>
      <c r="C118" s="255"/>
      <c r="D118" s="255"/>
      <c r="E118" s="255"/>
      <c r="F118" s="255"/>
      <c r="G118" s="255"/>
      <c r="H118" s="269"/>
      <c r="I118" s="255"/>
      <c r="J118" s="255"/>
      <c r="K118" s="255"/>
      <c r="L118" s="213"/>
      <c r="M118" s="313"/>
    </row>
    <row r="119" spans="1:13" x14ac:dyDescent="0.3">
      <c r="I119" s="170"/>
      <c r="M119" s="214"/>
    </row>
  </sheetData>
  <mergeCells count="34">
    <mergeCell ref="B9:D9"/>
    <mergeCell ref="B10:D10"/>
    <mergeCell ref="B27:D27"/>
    <mergeCell ref="B28:D28"/>
    <mergeCell ref="B29:D29"/>
    <mergeCell ref="A3:D4"/>
    <mergeCell ref="A5:D5"/>
    <mergeCell ref="A6:D6"/>
    <mergeCell ref="A7:D7"/>
    <mergeCell ref="A8:D8"/>
    <mergeCell ref="I51:K51"/>
    <mergeCell ref="E88:H88"/>
    <mergeCell ref="B53:D53"/>
    <mergeCell ref="B54:D54"/>
    <mergeCell ref="B55:D55"/>
    <mergeCell ref="B56:D56"/>
    <mergeCell ref="B57:D57"/>
    <mergeCell ref="B66:D66"/>
    <mergeCell ref="B67:D67"/>
    <mergeCell ref="I68:K68"/>
    <mergeCell ref="I69:K69"/>
    <mergeCell ref="A74:L74"/>
    <mergeCell ref="A75:L75"/>
    <mergeCell ref="A52:D52"/>
    <mergeCell ref="A76:L76"/>
    <mergeCell ref="A77:L77"/>
    <mergeCell ref="A78:L78"/>
    <mergeCell ref="E95:H95"/>
    <mergeCell ref="F102:G102"/>
    <mergeCell ref="E107:K107"/>
    <mergeCell ref="E108:E109"/>
    <mergeCell ref="F108:I108"/>
    <mergeCell ref="J108:J109"/>
    <mergeCell ref="K108:K109"/>
  </mergeCells>
  <printOptions horizontalCentered="1" verticalCentered="1"/>
  <pageMargins left="0.7" right="0.7" top="0.75" bottom="0.75" header="0.3" footer="0.3"/>
  <pageSetup paperSize="17" orientation="landscape" r:id="rId1"/>
  <headerFooter>
    <oddHeader>&amp;CTable 1a -- Respondent Year 1</oddHeader>
    <oddFooter>&amp;L&amp;P of &amp;N&amp;R&amp;D</oddFooter>
  </headerFooter>
  <rowBreaks count="2" manualBreakCount="2">
    <brk id="51" max="10" man="1"/>
    <brk id="72"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65991-6F79-4EB8-B99F-1DC788ABB581}">
  <sheetPr>
    <tabColor rgb="FF92D050"/>
    <pageSetUpPr fitToPage="1"/>
  </sheetPr>
  <dimension ref="A1:V119"/>
  <sheetViews>
    <sheetView zoomScaleNormal="100" workbookViewId="0">
      <pane xSplit="4" ySplit="4" topLeftCell="E96" activePane="bottomRight" state="frozen"/>
      <selection pane="topRight" activeCell="E1" sqref="E1"/>
      <selection pane="bottomLeft" activeCell="A6" sqref="A6"/>
      <selection pane="bottomRight" activeCell="D99" sqref="D99"/>
    </sheetView>
  </sheetViews>
  <sheetFormatPr defaultColWidth="9.1796875" defaultRowHeight="13" x14ac:dyDescent="0.3"/>
  <cols>
    <col min="1" max="1" width="2.7265625" style="130" customWidth="1"/>
    <col min="2" max="3" width="2.453125" style="130" customWidth="1"/>
    <col min="4" max="4" width="65.26953125" style="130" customWidth="1"/>
    <col min="5" max="5" width="15" style="130" customWidth="1"/>
    <col min="6" max="6" width="19.1796875" style="130" bestFit="1" customWidth="1"/>
    <col min="7" max="7" width="21.26953125" style="130" customWidth="1"/>
    <col min="8" max="8" width="15" style="131" customWidth="1"/>
    <col min="9" max="9" width="13.1796875" style="130" customWidth="1"/>
    <col min="10" max="11" width="15.26953125" style="130" customWidth="1"/>
    <col min="12" max="12" width="19" style="158" customWidth="1"/>
    <col min="13" max="13" width="15.54296875" style="152" bestFit="1" customWidth="1"/>
    <col min="14" max="14" width="11.453125" style="130" bestFit="1" customWidth="1"/>
    <col min="15" max="15" width="9.26953125" style="130" bestFit="1" customWidth="1"/>
    <col min="16" max="16" width="33.54296875" style="130" customWidth="1"/>
    <col min="17" max="16384" width="9.1796875" style="130"/>
  </cols>
  <sheetData>
    <row r="1" spans="1:16" s="161" customFormat="1" ht="15.5" x14ac:dyDescent="0.35">
      <c r="A1" s="133" t="s">
        <v>492</v>
      </c>
      <c r="B1" s="162"/>
      <c r="C1" s="162"/>
      <c r="D1" s="162"/>
      <c r="E1" s="162"/>
      <c r="F1" s="162"/>
      <c r="G1" s="162"/>
      <c r="H1" s="162"/>
      <c r="I1" s="162"/>
      <c r="J1" s="163"/>
      <c r="K1" s="162"/>
      <c r="L1" s="162"/>
      <c r="M1" s="308"/>
      <c r="N1" s="250"/>
    </row>
    <row r="2" spans="1:16" s="134" customFormat="1" x14ac:dyDescent="0.3">
      <c r="A2" s="135"/>
      <c r="B2" s="135"/>
      <c r="C2" s="135"/>
      <c r="D2" s="135"/>
      <c r="E2" s="135"/>
      <c r="F2" s="135"/>
      <c r="G2" s="135"/>
      <c r="H2" s="135"/>
      <c r="I2" s="135"/>
      <c r="J2" s="136"/>
      <c r="K2" s="135"/>
      <c r="L2" s="135"/>
      <c r="M2" s="187"/>
      <c r="N2" s="182"/>
    </row>
    <row r="3" spans="1:16" s="139" customFormat="1" ht="14.25" customHeight="1" x14ac:dyDescent="0.3">
      <c r="A3" s="501" t="s">
        <v>70</v>
      </c>
      <c r="B3" s="502"/>
      <c r="C3" s="502"/>
      <c r="D3" s="503"/>
      <c r="E3" s="137" t="s">
        <v>71</v>
      </c>
      <c r="F3" s="137" t="s">
        <v>72</v>
      </c>
      <c r="G3" s="137" t="s">
        <v>73</v>
      </c>
      <c r="H3" s="137" t="s">
        <v>74</v>
      </c>
      <c r="I3" s="137" t="s">
        <v>75</v>
      </c>
      <c r="J3" s="137" t="s">
        <v>76</v>
      </c>
      <c r="K3" s="137" t="s">
        <v>77</v>
      </c>
      <c r="L3" s="138" t="s">
        <v>78</v>
      </c>
      <c r="M3" s="309"/>
    </row>
    <row r="4" spans="1:16" s="142" customFormat="1" ht="41.25" customHeight="1" x14ac:dyDescent="0.3">
      <c r="A4" s="504"/>
      <c r="B4" s="505"/>
      <c r="C4" s="505"/>
      <c r="D4" s="506"/>
      <c r="E4" s="140" t="s">
        <v>79</v>
      </c>
      <c r="F4" s="140" t="s">
        <v>80</v>
      </c>
      <c r="G4" s="140" t="s">
        <v>81</v>
      </c>
      <c r="H4" s="140" t="s">
        <v>82</v>
      </c>
      <c r="I4" s="140" t="s">
        <v>83</v>
      </c>
      <c r="J4" s="140" t="s">
        <v>84</v>
      </c>
      <c r="K4" s="140" t="s">
        <v>85</v>
      </c>
      <c r="L4" s="141" t="s">
        <v>86</v>
      </c>
      <c r="M4" s="309"/>
    </row>
    <row r="5" spans="1:16" x14ac:dyDescent="0.3">
      <c r="A5" s="507" t="s">
        <v>88</v>
      </c>
      <c r="B5" s="507"/>
      <c r="C5" s="507"/>
      <c r="D5" s="507"/>
      <c r="E5" s="251" t="s">
        <v>12</v>
      </c>
      <c r="F5" s="423"/>
      <c r="G5" s="423"/>
      <c r="H5" s="252"/>
      <c r="I5" s="253"/>
      <c r="J5" s="253"/>
      <c r="K5" s="253"/>
      <c r="L5" s="55"/>
      <c r="M5" s="259"/>
    </row>
    <row r="6" spans="1:16" x14ac:dyDescent="0.3">
      <c r="A6" s="507" t="s">
        <v>89</v>
      </c>
      <c r="B6" s="507"/>
      <c r="C6" s="507"/>
      <c r="D6" s="507"/>
      <c r="E6" s="251" t="s">
        <v>12</v>
      </c>
      <c r="F6" s="423"/>
      <c r="G6" s="423"/>
      <c r="H6" s="252"/>
      <c r="I6" s="253"/>
      <c r="J6" s="253"/>
      <c r="K6" s="253"/>
      <c r="L6" s="55"/>
      <c r="M6" s="259"/>
    </row>
    <row r="7" spans="1:16" x14ac:dyDescent="0.3">
      <c r="A7" s="507" t="s">
        <v>90</v>
      </c>
      <c r="B7" s="507"/>
      <c r="C7" s="507"/>
      <c r="D7" s="507"/>
      <c r="E7" s="143">
        <v>160.6</v>
      </c>
      <c r="F7" s="423">
        <v>1</v>
      </c>
      <c r="G7" s="143">
        <f>E7*F7</f>
        <v>160.6</v>
      </c>
      <c r="H7" s="252">
        <f>AVERAGE('Table 1b-Year 1'!H7,'Table 1b-Year 2'!H7,'Table 1b-Year 3'!H7)</f>
        <v>0</v>
      </c>
      <c r="I7" s="256">
        <f>G7*H7</f>
        <v>0</v>
      </c>
      <c r="J7" s="256">
        <f>I7*0.05</f>
        <v>0</v>
      </c>
      <c r="K7" s="256">
        <f>I7*0.1</f>
        <v>0</v>
      </c>
      <c r="L7" s="128">
        <f>(I7*$F$82)+(J7*$F$83)+(K7*$F$84)</f>
        <v>0</v>
      </c>
      <c r="M7" s="259"/>
    </row>
    <row r="8" spans="1:16" x14ac:dyDescent="0.3">
      <c r="A8" s="492" t="s">
        <v>91</v>
      </c>
      <c r="B8" s="492"/>
      <c r="C8" s="492"/>
      <c r="D8" s="492"/>
      <c r="E8" s="423"/>
      <c r="F8" s="423"/>
      <c r="G8" s="423"/>
      <c r="H8" s="252"/>
      <c r="I8" s="253"/>
      <c r="J8" s="253"/>
      <c r="K8" s="253"/>
      <c r="L8" s="128"/>
      <c r="M8" s="259"/>
    </row>
    <row r="9" spans="1:16" x14ac:dyDescent="0.3">
      <c r="A9" s="424"/>
      <c r="B9" s="491" t="s">
        <v>92</v>
      </c>
      <c r="C9" s="491"/>
      <c r="D9" s="492"/>
      <c r="E9" s="423">
        <v>1</v>
      </c>
      <c r="F9" s="423">
        <v>1</v>
      </c>
      <c r="G9" s="423">
        <f>E9*F9</f>
        <v>1</v>
      </c>
      <c r="H9" s="252">
        <f>AVERAGE('Table 1b-Year 1'!H9,'Table 1b-Year 2'!H9,'Table 1b-Year 3'!H9)</f>
        <v>32.055652173913046</v>
      </c>
      <c r="I9" s="256">
        <f>G9*H9</f>
        <v>32.055652173913046</v>
      </c>
      <c r="J9" s="285">
        <f>I9*0.05</f>
        <v>1.6027826086956525</v>
      </c>
      <c r="K9" s="285">
        <f>I9*0.1</f>
        <v>3.205565217391305</v>
      </c>
      <c r="L9" s="128">
        <f>(I9*$F$82)+(J9*$F$83)+(K9*$F$84)</f>
        <v>2051.7412507826089</v>
      </c>
      <c r="M9" s="310"/>
      <c r="N9" s="184"/>
      <c r="O9" s="184"/>
      <c r="P9" s="184"/>
    </row>
    <row r="10" spans="1:16" x14ac:dyDescent="0.3">
      <c r="A10" s="424"/>
      <c r="B10" s="491" t="s">
        <v>94</v>
      </c>
      <c r="C10" s="491"/>
      <c r="D10" s="492"/>
      <c r="E10" s="423"/>
      <c r="F10" s="423"/>
      <c r="G10" s="423"/>
      <c r="H10" s="252"/>
      <c r="I10" s="253"/>
      <c r="J10" s="253"/>
      <c r="K10" s="253"/>
      <c r="L10" s="128"/>
      <c r="M10" s="259"/>
    </row>
    <row r="11" spans="1:16" x14ac:dyDescent="0.3">
      <c r="A11" s="424"/>
      <c r="B11" s="425"/>
      <c r="C11" s="254" t="s">
        <v>95</v>
      </c>
      <c r="D11" s="255"/>
      <c r="E11" s="423"/>
      <c r="F11" s="423"/>
      <c r="G11" s="423"/>
      <c r="H11" s="252"/>
      <c r="I11" s="253"/>
      <c r="J11" s="253"/>
      <c r="K11" s="253"/>
      <c r="L11" s="128"/>
      <c r="M11" s="259"/>
    </row>
    <row r="12" spans="1:16" ht="14.5" x14ac:dyDescent="0.3">
      <c r="A12" s="424"/>
      <c r="B12" s="425"/>
      <c r="C12" s="425"/>
      <c r="D12" s="422" t="s">
        <v>96</v>
      </c>
      <c r="E12" s="423">
        <v>27.8</v>
      </c>
      <c r="F12" s="423">
        <v>1</v>
      </c>
      <c r="G12" s="143">
        <f>E12*F12</f>
        <v>27.8</v>
      </c>
      <c r="H12" s="306">
        <f>AVERAGE('Table 1b-Year 1'!H12,'Table 1b-Year 2'!H12,'Table 1b-Year 3'!H12)</f>
        <v>38.506852173913046</v>
      </c>
      <c r="I12" s="256">
        <f t="shared" ref="I12:I18" si="0">G12*H12</f>
        <v>1070.4904904347827</v>
      </c>
      <c r="J12" s="256">
        <f t="shared" ref="J12:J18" si="1">I12*0.05</f>
        <v>53.524524521739139</v>
      </c>
      <c r="K12" s="256">
        <f t="shared" ref="K12:K18" si="2">I12*0.1</f>
        <v>107.04904904347828</v>
      </c>
      <c r="L12" s="128">
        <f t="shared" ref="L12:L18" si="3">(I12*$F$82)+(J12*$F$83)+(K12*$F$84)</f>
        <v>68517.386134572545</v>
      </c>
      <c r="M12" s="259"/>
      <c r="P12" s="338" t="s">
        <v>98</v>
      </c>
    </row>
    <row r="13" spans="1:16" ht="14.5" x14ac:dyDescent="0.3">
      <c r="A13" s="424"/>
      <c r="B13" s="425"/>
      <c r="C13" s="425"/>
      <c r="D13" s="422" t="s">
        <v>99</v>
      </c>
      <c r="E13" s="423">
        <v>26.4</v>
      </c>
      <c r="F13" s="423">
        <v>1</v>
      </c>
      <c r="G13" s="143">
        <f t="shared" ref="G13:G18" si="4">E13*F13</f>
        <v>26.4</v>
      </c>
      <c r="H13" s="257">
        <f>AVERAGE('Table 1b-Year 1'!H13,'Table 1b-Year 2'!H13,'Table 1b-Year 3'!H13)</f>
        <v>10.55833043478261</v>
      </c>
      <c r="I13" s="256">
        <f t="shared" si="0"/>
        <v>278.73992347826089</v>
      </c>
      <c r="J13" s="256">
        <f t="shared" si="1"/>
        <v>13.936996173913045</v>
      </c>
      <c r="K13" s="256">
        <f t="shared" si="2"/>
        <v>27.873992347826089</v>
      </c>
      <c r="L13" s="128">
        <f t="shared" si="3"/>
        <v>17840.916046180177</v>
      </c>
      <c r="M13" s="259"/>
      <c r="P13" s="338"/>
    </row>
    <row r="14" spans="1:16" ht="14.5" x14ac:dyDescent="0.3">
      <c r="A14" s="424"/>
      <c r="B14" s="425"/>
      <c r="C14" s="425"/>
      <c r="D14" s="422" t="s">
        <v>100</v>
      </c>
      <c r="E14" s="423">
        <v>27.8</v>
      </c>
      <c r="F14" s="423">
        <v>1</v>
      </c>
      <c r="G14" s="143">
        <f t="shared" si="4"/>
        <v>27.8</v>
      </c>
      <c r="H14" s="257">
        <f>AVERAGE('Table 1b-Year 1'!H14,'Table 1b-Year 2'!H14,'Table 1b-Year 3'!H14)</f>
        <v>14.905878260869565</v>
      </c>
      <c r="I14" s="256">
        <f t="shared" si="0"/>
        <v>414.38341565217394</v>
      </c>
      <c r="J14" s="256">
        <f t="shared" si="1"/>
        <v>20.7191707826087</v>
      </c>
      <c r="K14" s="256">
        <f t="shared" si="2"/>
        <v>41.438341565217399</v>
      </c>
      <c r="L14" s="128">
        <f t="shared" si="3"/>
        <v>26522.859148866788</v>
      </c>
      <c r="M14" s="259"/>
      <c r="P14" s="338"/>
    </row>
    <row r="15" spans="1:16" ht="14.5" x14ac:dyDescent="0.3">
      <c r="A15" s="424"/>
      <c r="B15" s="425"/>
      <c r="C15" s="425"/>
      <c r="D15" s="422" t="s">
        <v>101</v>
      </c>
      <c r="E15" s="423">
        <v>2.5</v>
      </c>
      <c r="F15" s="423">
        <v>4</v>
      </c>
      <c r="G15" s="145">
        <f t="shared" si="4"/>
        <v>10</v>
      </c>
      <c r="H15" s="252">
        <f>AVERAGE('Table 1b-Year 1'!H15,'Table 1b-Year 2'!H15,'Table 1b-Year 3'!H15)</f>
        <v>51.549495652173924</v>
      </c>
      <c r="I15" s="256">
        <f>G15*H15</f>
        <v>515.49495652173925</v>
      </c>
      <c r="J15" s="256">
        <f>I15*0.05</f>
        <v>25.774747826086966</v>
      </c>
      <c r="K15" s="256">
        <f>I15*0.1</f>
        <v>51.549495652173931</v>
      </c>
      <c r="L15" s="128">
        <f t="shared" si="3"/>
        <v>32994.563989147835</v>
      </c>
      <c r="M15" s="259"/>
    </row>
    <row r="16" spans="1:16" ht="14.5" x14ac:dyDescent="0.3">
      <c r="A16" s="424"/>
      <c r="B16" s="425"/>
      <c r="C16" s="425"/>
      <c r="D16" s="422" t="s">
        <v>102</v>
      </c>
      <c r="E16" s="423">
        <v>0.4</v>
      </c>
      <c r="F16" s="423">
        <v>365</v>
      </c>
      <c r="G16" s="145">
        <f t="shared" si="4"/>
        <v>146</v>
      </c>
      <c r="H16" s="252">
        <f>AVERAGE('Table 1b-Year 1'!H16,'Table 1b-Year 2'!H16,'Table 1b-Year 3'!H16)</f>
        <v>51.549495652173924</v>
      </c>
      <c r="I16" s="256">
        <f t="shared" si="0"/>
        <v>7526.2263652173933</v>
      </c>
      <c r="J16" s="285">
        <f t="shared" si="1"/>
        <v>376.31131826086971</v>
      </c>
      <c r="K16" s="285">
        <f t="shared" si="2"/>
        <v>752.62263652173942</v>
      </c>
      <c r="L16" s="128">
        <f t="shared" si="3"/>
        <v>481720.63424155844</v>
      </c>
      <c r="M16" s="259"/>
    </row>
    <row r="17" spans="1:16" ht="14.5" x14ac:dyDescent="0.3">
      <c r="A17" s="424"/>
      <c r="B17" s="425"/>
      <c r="C17" s="425"/>
      <c r="D17" s="422" t="s">
        <v>103</v>
      </c>
      <c r="E17" s="423">
        <v>0.25</v>
      </c>
      <c r="F17" s="423">
        <v>365</v>
      </c>
      <c r="G17" s="144">
        <f t="shared" si="4"/>
        <v>91.25</v>
      </c>
      <c r="H17" s="252">
        <f>AVERAGE('Table 1b-Year 1'!H17,'Table 1b-Year 2'!H17,'Table 1b-Year 3'!H17)</f>
        <v>51.549495652173924</v>
      </c>
      <c r="I17" s="256">
        <f t="shared" si="0"/>
        <v>4703.8914782608708</v>
      </c>
      <c r="J17" s="287">
        <f t="shared" si="1"/>
        <v>235.19457391304354</v>
      </c>
      <c r="K17" s="285">
        <f t="shared" si="2"/>
        <v>470.38914782608708</v>
      </c>
      <c r="L17" s="128">
        <f t="shared" si="3"/>
        <v>301075.39640097407</v>
      </c>
      <c r="M17" s="259"/>
    </row>
    <row r="18" spans="1:16" ht="14.5" x14ac:dyDescent="0.3">
      <c r="A18" s="424"/>
      <c r="B18" s="425"/>
      <c r="C18" s="425"/>
      <c r="D18" s="422" t="s">
        <v>104</v>
      </c>
      <c r="E18" s="423">
        <v>14</v>
      </c>
      <c r="F18" s="423">
        <v>1</v>
      </c>
      <c r="G18" s="145">
        <f t="shared" si="4"/>
        <v>14</v>
      </c>
      <c r="H18" s="252">
        <f>AVERAGE('Table 1b-Year 1'!H18,'Table 1b-Year 2'!H18,'Table 1b-Year 3'!H18)</f>
        <v>51.549495652173924</v>
      </c>
      <c r="I18" s="256">
        <f t="shared" si="0"/>
        <v>721.69293913043498</v>
      </c>
      <c r="J18" s="285">
        <f t="shared" si="1"/>
        <v>36.084646956521752</v>
      </c>
      <c r="K18" s="285">
        <f t="shared" si="2"/>
        <v>72.169293913043504</v>
      </c>
      <c r="L18" s="128">
        <f t="shared" si="3"/>
        <v>46192.389584806981</v>
      </c>
      <c r="M18" s="259"/>
    </row>
    <row r="19" spans="1:16" x14ac:dyDescent="0.3">
      <c r="A19" s="424"/>
      <c r="B19" s="425"/>
      <c r="C19" s="367" t="s">
        <v>105</v>
      </c>
      <c r="D19" s="255"/>
      <c r="E19" s="423"/>
      <c r="F19" s="423"/>
      <c r="G19" s="423"/>
      <c r="H19" s="252"/>
      <c r="I19" s="253"/>
      <c r="J19" s="253"/>
      <c r="K19" s="253"/>
      <c r="L19" s="128"/>
      <c r="M19" s="259"/>
      <c r="P19" s="338"/>
    </row>
    <row r="20" spans="1:16" x14ac:dyDescent="0.3">
      <c r="A20" s="424"/>
      <c r="B20" s="425"/>
      <c r="C20" s="425"/>
      <c r="D20" s="422" t="s">
        <v>189</v>
      </c>
      <c r="E20" s="423">
        <v>27.8</v>
      </c>
      <c r="F20" s="423">
        <v>1</v>
      </c>
      <c r="G20" s="143">
        <f>E20*F20</f>
        <v>27.8</v>
      </c>
      <c r="H20" s="307">
        <f>AVERAGE('Table 1b-Year 1'!H20,'Table 1b-Year 2'!H20,'Table 1b-Year 3'!H20)</f>
        <v>0</v>
      </c>
      <c r="I20" s="256">
        <f t="shared" ref="I20:I26" si="5">G20*H20</f>
        <v>0</v>
      </c>
      <c r="J20" s="256">
        <f t="shared" ref="J20:J26" si="6">I20*0.05</f>
        <v>0</v>
      </c>
      <c r="K20" s="256">
        <f t="shared" ref="K20:K26" si="7">I20*0.1</f>
        <v>0</v>
      </c>
      <c r="L20" s="128">
        <f t="shared" ref="L20:L26" si="8">(I20*$F$82)+(J20*$F$83)+(K20*$F$84)</f>
        <v>0</v>
      </c>
      <c r="M20" s="259"/>
      <c r="P20" s="338"/>
    </row>
    <row r="21" spans="1:16" x14ac:dyDescent="0.3">
      <c r="A21" s="424"/>
      <c r="B21" s="425"/>
      <c r="C21" s="425"/>
      <c r="D21" s="422" t="s">
        <v>108</v>
      </c>
      <c r="E21" s="423">
        <v>26.4</v>
      </c>
      <c r="F21" s="423">
        <v>1</v>
      </c>
      <c r="G21" s="143">
        <f>E21*F21</f>
        <v>26.4</v>
      </c>
      <c r="H21" s="252">
        <f>AVERAGE('Table 1b-Year 1'!H21,'Table 1b-Year 2'!H21,'Table 1b-Year 3'!H21)</f>
        <v>0</v>
      </c>
      <c r="I21" s="256">
        <f>G21*H21</f>
        <v>0</v>
      </c>
      <c r="J21" s="256">
        <f>I21*0.05</f>
        <v>0</v>
      </c>
      <c r="K21" s="256">
        <f>I21*0.1</f>
        <v>0</v>
      </c>
      <c r="L21" s="128">
        <f t="shared" si="8"/>
        <v>0</v>
      </c>
      <c r="M21" s="259"/>
      <c r="P21" s="338"/>
    </row>
    <row r="22" spans="1:16" x14ac:dyDescent="0.3">
      <c r="A22" s="424"/>
      <c r="B22" s="425"/>
      <c r="C22" s="425"/>
      <c r="D22" s="422" t="s">
        <v>109</v>
      </c>
      <c r="E22" s="423">
        <v>27.8</v>
      </c>
      <c r="F22" s="423">
        <v>1</v>
      </c>
      <c r="G22" s="143">
        <f t="shared" ref="G22:G26" si="9">E22*F22</f>
        <v>27.8</v>
      </c>
      <c r="H22" s="252">
        <f>AVERAGE('Table 1b-Year 1'!H22,'Table 1b-Year 2'!H22,'Table 1b-Year 3'!H22)</f>
        <v>0</v>
      </c>
      <c r="I22" s="256">
        <f t="shared" si="5"/>
        <v>0</v>
      </c>
      <c r="J22" s="256">
        <f t="shared" si="6"/>
        <v>0</v>
      </c>
      <c r="K22" s="256">
        <f t="shared" si="7"/>
        <v>0</v>
      </c>
      <c r="L22" s="128">
        <f t="shared" si="8"/>
        <v>0</v>
      </c>
      <c r="M22" s="259"/>
      <c r="P22" s="338"/>
    </row>
    <row r="23" spans="1:16" x14ac:dyDescent="0.3">
      <c r="A23" s="424"/>
      <c r="B23" s="425"/>
      <c r="C23" s="425"/>
      <c r="D23" s="422" t="s">
        <v>110</v>
      </c>
      <c r="E23" s="423">
        <v>2.46</v>
      </c>
      <c r="F23" s="423">
        <v>4</v>
      </c>
      <c r="G23" s="144">
        <f t="shared" si="9"/>
        <v>9.84</v>
      </c>
      <c r="H23" s="307">
        <f>AVERAGE('Table 1b-Year 1'!H23,'Table 1b-Year 2'!H23,'Table 1b-Year 3'!H23)</f>
        <v>0</v>
      </c>
      <c r="I23" s="256">
        <f t="shared" si="5"/>
        <v>0</v>
      </c>
      <c r="J23" s="256">
        <f t="shared" si="6"/>
        <v>0</v>
      </c>
      <c r="K23" s="256">
        <f t="shared" si="7"/>
        <v>0</v>
      </c>
      <c r="L23" s="128">
        <f t="shared" si="8"/>
        <v>0</v>
      </c>
      <c r="M23" s="259"/>
    </row>
    <row r="24" spans="1:16" x14ac:dyDescent="0.3">
      <c r="A24" s="424"/>
      <c r="B24" s="425"/>
      <c r="C24" s="425"/>
      <c r="D24" s="422" t="s">
        <v>111</v>
      </c>
      <c r="E24" s="423">
        <f>ROUND(0.121,2)</f>
        <v>0.12</v>
      </c>
      <c r="F24" s="423">
        <v>365</v>
      </c>
      <c r="G24" s="143">
        <f t="shared" si="9"/>
        <v>43.8</v>
      </c>
      <c r="H24" s="307">
        <f>AVERAGE('Table 1b-Year 1'!H24,'Table 1b-Year 2'!H24,'Table 1b-Year 3'!H24)</f>
        <v>0</v>
      </c>
      <c r="I24" s="256">
        <f t="shared" si="5"/>
        <v>0</v>
      </c>
      <c r="J24" s="256">
        <f t="shared" si="6"/>
        <v>0</v>
      </c>
      <c r="K24" s="256">
        <f t="shared" si="7"/>
        <v>0</v>
      </c>
      <c r="L24" s="128">
        <f t="shared" si="8"/>
        <v>0</v>
      </c>
      <c r="M24" s="259"/>
    </row>
    <row r="25" spans="1:16" x14ac:dyDescent="0.3">
      <c r="A25" s="424"/>
      <c r="B25" s="425"/>
      <c r="C25" s="425"/>
      <c r="D25" s="422" t="s">
        <v>112</v>
      </c>
      <c r="E25" s="423">
        <v>0</v>
      </c>
      <c r="F25" s="423">
        <v>365</v>
      </c>
      <c r="G25" s="145">
        <f t="shared" si="9"/>
        <v>0</v>
      </c>
      <c r="H25" s="307">
        <f>AVERAGE('Table 1b-Year 1'!H25,'Table 1b-Year 2'!H25,'Table 1b-Year 3'!H25)</f>
        <v>0</v>
      </c>
      <c r="I25" s="256">
        <f t="shared" si="5"/>
        <v>0</v>
      </c>
      <c r="J25" s="256">
        <f t="shared" si="6"/>
        <v>0</v>
      </c>
      <c r="K25" s="256">
        <f t="shared" si="7"/>
        <v>0</v>
      </c>
      <c r="L25" s="128">
        <f t="shared" si="8"/>
        <v>0</v>
      </c>
      <c r="M25" s="259"/>
    </row>
    <row r="26" spans="1:16" x14ac:dyDescent="0.3">
      <c r="A26" s="424"/>
      <c r="B26" s="425"/>
      <c r="C26" s="425"/>
      <c r="D26" s="422" t="s">
        <v>113</v>
      </c>
      <c r="E26" s="423">
        <v>7.3</v>
      </c>
      <c r="F26" s="423">
        <v>365</v>
      </c>
      <c r="G26" s="143">
        <f t="shared" si="9"/>
        <v>2664.5</v>
      </c>
      <c r="H26" s="307">
        <f>AVERAGE('Table 1b-Year 1'!H26,'Table 1b-Year 2'!H26,'Table 1b-Year 3'!H26)</f>
        <v>0</v>
      </c>
      <c r="I26" s="256">
        <f t="shared" si="5"/>
        <v>0</v>
      </c>
      <c r="J26" s="256">
        <f t="shared" si="6"/>
        <v>0</v>
      </c>
      <c r="K26" s="256">
        <f t="shared" si="7"/>
        <v>0</v>
      </c>
      <c r="L26" s="128">
        <f t="shared" si="8"/>
        <v>0</v>
      </c>
      <c r="M26" s="259"/>
    </row>
    <row r="27" spans="1:16" x14ac:dyDescent="0.3">
      <c r="A27" s="424"/>
      <c r="B27" s="491" t="s">
        <v>114</v>
      </c>
      <c r="C27" s="491"/>
      <c r="D27" s="492"/>
      <c r="E27" s="251" t="s">
        <v>115</v>
      </c>
      <c r="F27" s="423"/>
      <c r="G27" s="423"/>
      <c r="H27" s="257"/>
      <c r="I27" s="253"/>
      <c r="J27" s="253"/>
      <c r="K27" s="253"/>
      <c r="L27" s="128"/>
      <c r="M27" s="259"/>
    </row>
    <row r="28" spans="1:16" x14ac:dyDescent="0.3">
      <c r="A28" s="424"/>
      <c r="B28" s="491" t="s">
        <v>116</v>
      </c>
      <c r="C28" s="491"/>
      <c r="D28" s="492"/>
      <c r="E28" s="251" t="s">
        <v>117</v>
      </c>
      <c r="F28" s="423"/>
      <c r="G28" s="423"/>
      <c r="H28" s="257"/>
      <c r="I28" s="253"/>
      <c r="J28" s="253"/>
      <c r="K28" s="253"/>
      <c r="L28" s="128"/>
      <c r="M28" s="259"/>
    </row>
    <row r="29" spans="1:16" x14ac:dyDescent="0.3">
      <c r="A29" s="424"/>
      <c r="B29" s="491" t="s">
        <v>118</v>
      </c>
      <c r="C29" s="491"/>
      <c r="D29" s="492"/>
      <c r="E29" s="423"/>
      <c r="F29" s="423"/>
      <c r="G29" s="423"/>
      <c r="H29" s="257"/>
      <c r="I29" s="253"/>
      <c r="J29" s="253"/>
      <c r="K29" s="253"/>
      <c r="L29" s="128"/>
      <c r="M29" s="259"/>
    </row>
    <row r="30" spans="1:16" x14ac:dyDescent="0.3">
      <c r="A30" s="424"/>
      <c r="B30" s="425"/>
      <c r="C30" s="254" t="s">
        <v>95</v>
      </c>
      <c r="D30" s="255"/>
      <c r="E30" s="423"/>
      <c r="F30" s="423"/>
      <c r="G30" s="423"/>
      <c r="H30" s="252"/>
      <c r="I30" s="253"/>
      <c r="J30" s="253"/>
      <c r="K30" s="253"/>
      <c r="L30" s="128"/>
      <c r="M30" s="259"/>
    </row>
    <row r="31" spans="1:16" x14ac:dyDescent="0.3">
      <c r="A31" s="424"/>
      <c r="B31" s="425"/>
      <c r="C31" s="425"/>
      <c r="D31" s="422" t="s">
        <v>119</v>
      </c>
      <c r="E31" s="423">
        <v>5</v>
      </c>
      <c r="F31" s="423">
        <v>1</v>
      </c>
      <c r="G31" s="423">
        <f>E31*F31</f>
        <v>5</v>
      </c>
      <c r="H31" s="252">
        <f>AVERAGE('Table 1b-Year 1'!H31,'Table 1b-Year 2'!H31,'Table 1b-Year 3'!H31)</f>
        <v>0</v>
      </c>
      <c r="I31" s="256">
        <f t="shared" ref="I31:I32" si="10">G31*H31</f>
        <v>0</v>
      </c>
      <c r="J31" s="256">
        <f t="shared" ref="J31:J39" si="11">I31*0.05</f>
        <v>0</v>
      </c>
      <c r="K31" s="256">
        <f t="shared" ref="K31:K32" si="12">I31*0.1</f>
        <v>0</v>
      </c>
      <c r="L31" s="128">
        <f>(I31*$F$82)+(J31*$F$83)+(K31*$F$84)</f>
        <v>0</v>
      </c>
      <c r="M31" s="259"/>
    </row>
    <row r="32" spans="1:16" x14ac:dyDescent="0.3">
      <c r="A32" s="424"/>
      <c r="B32" s="425"/>
      <c r="C32" s="425"/>
      <c r="D32" s="422" t="s">
        <v>120</v>
      </c>
      <c r="E32" s="423">
        <v>3</v>
      </c>
      <c r="F32" s="423">
        <v>1</v>
      </c>
      <c r="G32" s="423">
        <f>E32*F32</f>
        <v>3</v>
      </c>
      <c r="H32" s="252">
        <f>AVERAGE('Table 1b-Year 1'!H32,'Table 1b-Year 2'!H32,'Table 1b-Year 3'!H32)</f>
        <v>0</v>
      </c>
      <c r="I32" s="256">
        <f t="shared" si="10"/>
        <v>0</v>
      </c>
      <c r="J32" s="256">
        <f>I32*0.05</f>
        <v>0</v>
      </c>
      <c r="K32" s="256">
        <f t="shared" si="12"/>
        <v>0</v>
      </c>
      <c r="L32" s="128">
        <f>(I32*$F$82)+(J32*$F$83)+(K32*$F$84)</f>
        <v>0</v>
      </c>
      <c r="M32" s="259"/>
    </row>
    <row r="33" spans="1:22" x14ac:dyDescent="0.3">
      <c r="A33" s="424"/>
      <c r="B33" s="425"/>
      <c r="C33" s="425"/>
      <c r="D33" s="422" t="s">
        <v>121</v>
      </c>
      <c r="E33" s="251" t="s">
        <v>115</v>
      </c>
      <c r="F33" s="423"/>
      <c r="G33" s="423"/>
      <c r="H33" s="258"/>
      <c r="I33" s="253"/>
      <c r="J33" s="253"/>
      <c r="K33" s="253"/>
      <c r="L33" s="128"/>
      <c r="M33" s="259"/>
    </row>
    <row r="34" spans="1:22" x14ac:dyDescent="0.3">
      <c r="A34" s="424"/>
      <c r="B34" s="425"/>
      <c r="C34" s="425"/>
      <c r="D34" s="422" t="s">
        <v>122</v>
      </c>
      <c r="E34" s="423">
        <v>16.5</v>
      </c>
      <c r="F34" s="423">
        <v>1</v>
      </c>
      <c r="G34" s="423">
        <f>E34*F34</f>
        <v>16.5</v>
      </c>
      <c r="H34" s="252">
        <f>AVERAGE('Table 1b-Year 1'!H34,'Table 1b-Year 2'!H34,'Table 1b-Year 3'!H34)</f>
        <v>0</v>
      </c>
      <c r="I34" s="256">
        <f>G34*H34</f>
        <v>0</v>
      </c>
      <c r="J34" s="256">
        <f>I34*0.05</f>
        <v>0</v>
      </c>
      <c r="K34" s="256">
        <f>I34*0.1</f>
        <v>0</v>
      </c>
      <c r="L34" s="128">
        <f t="shared" ref="L34:L39" si="13">(I34*$F$82)+(J34*$F$83)+(K34*$F$84)</f>
        <v>0</v>
      </c>
      <c r="M34" s="259"/>
    </row>
    <row r="35" spans="1:22" x14ac:dyDescent="0.3">
      <c r="A35" s="424"/>
      <c r="B35" s="425"/>
      <c r="C35" s="425"/>
      <c r="D35" s="422" t="s">
        <v>123</v>
      </c>
      <c r="E35" s="423">
        <v>4</v>
      </c>
      <c r="F35" s="423">
        <v>1</v>
      </c>
      <c r="G35" s="423">
        <f t="shared" ref="G35:G39" si="14">E35*F35</f>
        <v>4</v>
      </c>
      <c r="H35" s="252">
        <f>AVERAGE('Table 1b-Year 1'!H35,'Table 1b-Year 2'!H35,'Table 1b-Year 3'!H35)</f>
        <v>0</v>
      </c>
      <c r="I35" s="256">
        <f t="shared" ref="I35:I39" si="15">G35*H35</f>
        <v>0</v>
      </c>
      <c r="J35" s="256">
        <f t="shared" si="11"/>
        <v>0</v>
      </c>
      <c r="K35" s="256">
        <f t="shared" ref="K35:K39" si="16">I35*0.1</f>
        <v>0</v>
      </c>
      <c r="L35" s="128">
        <f t="shared" si="13"/>
        <v>0</v>
      </c>
      <c r="M35" s="259"/>
    </row>
    <row r="36" spans="1:22" x14ac:dyDescent="0.3">
      <c r="A36" s="424"/>
      <c r="B36" s="425"/>
      <c r="C36" s="425"/>
      <c r="D36" s="422" t="s">
        <v>124</v>
      </c>
      <c r="E36" s="423">
        <v>10</v>
      </c>
      <c r="F36" s="423">
        <v>1</v>
      </c>
      <c r="G36" s="423">
        <f t="shared" si="14"/>
        <v>10</v>
      </c>
      <c r="H36" s="252">
        <f>AVERAGE('Table 1b-Year 1'!H36,'Table 1b-Year 2'!H36,'Table 1b-Year 3'!H36)</f>
        <v>6.210782608695653</v>
      </c>
      <c r="I36" s="256">
        <f t="shared" si="15"/>
        <v>62.107826086956528</v>
      </c>
      <c r="J36" s="285">
        <f t="shared" si="11"/>
        <v>3.1053913043478265</v>
      </c>
      <c r="K36" s="285">
        <f t="shared" si="16"/>
        <v>6.210782608695653</v>
      </c>
      <c r="L36" s="128">
        <f t="shared" si="13"/>
        <v>3975.2486733913047</v>
      </c>
      <c r="M36" s="259"/>
    </row>
    <row r="37" spans="1:22" x14ac:dyDescent="0.3">
      <c r="A37" s="424"/>
      <c r="B37" s="425"/>
      <c r="C37" s="425"/>
      <c r="D37" s="422" t="s">
        <v>125</v>
      </c>
      <c r="E37" s="249">
        <v>65</v>
      </c>
      <c r="F37" s="423">
        <v>2</v>
      </c>
      <c r="G37" s="423">
        <f t="shared" si="14"/>
        <v>130</v>
      </c>
      <c r="H37" s="252">
        <f>AVERAGE('Table 1b-Year 1'!H37,'Table 1b-Year 2'!H37,'Table 1b-Year 3'!H37)</f>
        <v>62.107826086956528</v>
      </c>
      <c r="I37" s="256">
        <f t="shared" si="15"/>
        <v>8074.0173913043491</v>
      </c>
      <c r="J37" s="256">
        <f t="shared" si="11"/>
        <v>403.70086956521749</v>
      </c>
      <c r="K37" s="256">
        <f t="shared" si="16"/>
        <v>807.40173913043498</v>
      </c>
      <c r="L37" s="128">
        <f t="shared" si="13"/>
        <v>516782.32754086971</v>
      </c>
      <c r="M37" s="259"/>
      <c r="P37" s="338"/>
    </row>
    <row r="38" spans="1:22" x14ac:dyDescent="0.3">
      <c r="A38" s="424"/>
      <c r="B38" s="425"/>
      <c r="C38" s="425"/>
      <c r="D38" s="422" t="s">
        <v>126</v>
      </c>
      <c r="E38" s="423">
        <v>20</v>
      </c>
      <c r="F38" s="423">
        <v>1</v>
      </c>
      <c r="G38" s="423">
        <f t="shared" si="14"/>
        <v>20</v>
      </c>
      <c r="H38" s="252">
        <f>AVERAGE('Table 1b-Year 1'!H38,'Table 1b-Year 2'!H38,'Table 1b-Year 3'!H38)</f>
        <v>62.107826086956528</v>
      </c>
      <c r="I38" s="256">
        <f t="shared" si="15"/>
        <v>1242.1565217391305</v>
      </c>
      <c r="J38" s="256">
        <f t="shared" si="11"/>
        <v>62.107826086956528</v>
      </c>
      <c r="K38" s="256">
        <f t="shared" si="16"/>
        <v>124.21565217391306</v>
      </c>
      <c r="L38" s="128">
        <f t="shared" si="13"/>
        <v>79504.973467826087</v>
      </c>
      <c r="M38" s="259"/>
      <c r="P38" s="338"/>
      <c r="T38" s="259">
        <v>45735</v>
      </c>
      <c r="U38" s="130">
        <f>L38/T38</f>
        <v>1.7383835895446833</v>
      </c>
      <c r="V38" s="130">
        <f>H38/U38</f>
        <v>35.727342607521841</v>
      </c>
    </row>
    <row r="39" spans="1:22" x14ac:dyDescent="0.3">
      <c r="A39" s="424"/>
      <c r="B39" s="425"/>
      <c r="C39" s="425"/>
      <c r="D39" s="422" t="s">
        <v>127</v>
      </c>
      <c r="E39" s="423">
        <v>5</v>
      </c>
      <c r="F39" s="423">
        <v>1</v>
      </c>
      <c r="G39" s="423">
        <f t="shared" si="14"/>
        <v>5</v>
      </c>
      <c r="H39" s="252">
        <f>AVERAGE('Table 1b-Year 1'!H39,'Table 1b-Year 2'!H39,'Table 1b-Year 3'!H39)</f>
        <v>6.210782608695653</v>
      </c>
      <c r="I39" s="256">
        <f t="shared" si="15"/>
        <v>31.053913043478264</v>
      </c>
      <c r="J39" s="256">
        <f t="shared" si="11"/>
        <v>1.5526956521739133</v>
      </c>
      <c r="K39" s="256">
        <f t="shared" si="16"/>
        <v>3.1053913043478265</v>
      </c>
      <c r="L39" s="128">
        <f t="shared" si="13"/>
        <v>1987.6243366956523</v>
      </c>
      <c r="M39" s="259"/>
      <c r="P39" s="338"/>
    </row>
    <row r="40" spans="1:22" x14ac:dyDescent="0.3">
      <c r="A40" s="424"/>
      <c r="B40" s="425"/>
      <c r="C40" s="367" t="s">
        <v>105</v>
      </c>
      <c r="D40" s="255"/>
      <c r="E40" s="423"/>
      <c r="F40" s="423"/>
      <c r="G40" s="423"/>
      <c r="H40" s="307"/>
      <c r="I40" s="253"/>
      <c r="J40" s="253"/>
      <c r="K40" s="253"/>
      <c r="L40" s="128"/>
      <c r="M40" s="259"/>
    </row>
    <row r="41" spans="1:22" x14ac:dyDescent="0.3">
      <c r="A41" s="424"/>
      <c r="B41" s="425"/>
      <c r="C41" s="425"/>
      <c r="D41" s="422" t="s">
        <v>128</v>
      </c>
      <c r="E41" s="423">
        <v>3</v>
      </c>
      <c r="F41" s="423">
        <v>1</v>
      </c>
      <c r="G41" s="423">
        <f>E41*F41</f>
        <v>3</v>
      </c>
      <c r="H41" s="307">
        <f>AVERAGE('Table 1b-Year 1'!H41,'Table 1b-Year 2'!H41,'Table 1b-Year 3'!H41)</f>
        <v>0</v>
      </c>
      <c r="I41" s="256">
        <f t="shared" ref="I41:I42" si="17">G41*H41</f>
        <v>0</v>
      </c>
      <c r="J41" s="256">
        <f t="shared" ref="J41:J42" si="18">I41*0.05</f>
        <v>0</v>
      </c>
      <c r="K41" s="256">
        <f t="shared" ref="K41:K42" si="19">I41*0.1</f>
        <v>0</v>
      </c>
      <c r="L41" s="128">
        <f t="shared" ref="L41:L42" si="20">(I41*$F$82)+(J41*$F$83)+(K41*$F$84)</f>
        <v>0</v>
      </c>
      <c r="M41" s="259"/>
    </row>
    <row r="42" spans="1:22" x14ac:dyDescent="0.3">
      <c r="A42" s="424"/>
      <c r="B42" s="425"/>
      <c r="C42" s="425"/>
      <c r="D42" s="422" t="s">
        <v>119</v>
      </c>
      <c r="E42" s="423">
        <v>5</v>
      </c>
      <c r="F42" s="423">
        <v>1</v>
      </c>
      <c r="G42" s="423">
        <f>E42*F42</f>
        <v>5</v>
      </c>
      <c r="H42" s="307">
        <f>AVERAGE('Table 1b-Year 1'!H42,'Table 1b-Year 2'!H42,'Table 1b-Year 3'!H42)</f>
        <v>0</v>
      </c>
      <c r="I42" s="256">
        <f t="shared" si="17"/>
        <v>0</v>
      </c>
      <c r="J42" s="256">
        <f t="shared" si="18"/>
        <v>0</v>
      </c>
      <c r="K42" s="256">
        <f t="shared" si="19"/>
        <v>0</v>
      </c>
      <c r="L42" s="128">
        <f t="shared" si="20"/>
        <v>0</v>
      </c>
      <c r="M42" s="259"/>
    </row>
    <row r="43" spans="1:22" x14ac:dyDescent="0.3">
      <c r="A43" s="424"/>
      <c r="B43" s="425"/>
      <c r="C43" s="425"/>
      <c r="D43" s="422" t="s">
        <v>120</v>
      </c>
      <c r="E43" s="423">
        <v>4</v>
      </c>
      <c r="F43" s="423">
        <v>1</v>
      </c>
      <c r="G43" s="423">
        <f>E43*F43</f>
        <v>4</v>
      </c>
      <c r="H43" s="307">
        <f>AVERAGE('Table 1b-Year 1'!H43,'Table 1b-Year 2'!H43,'Table 1b-Year 3'!H43)</f>
        <v>0</v>
      </c>
      <c r="I43" s="256">
        <f>G43*H43</f>
        <v>0</v>
      </c>
      <c r="J43" s="256">
        <f>I43*0.05</f>
        <v>0</v>
      </c>
      <c r="K43" s="256">
        <f>I43*0.1</f>
        <v>0</v>
      </c>
      <c r="L43" s="128">
        <f>(I43*$F$82)+(J43*$F$83)+(K43*$F$84)</f>
        <v>0</v>
      </c>
      <c r="M43" s="259"/>
    </row>
    <row r="44" spans="1:22" x14ac:dyDescent="0.3">
      <c r="A44" s="424"/>
      <c r="B44" s="425"/>
      <c r="C44" s="425"/>
      <c r="D44" s="422" t="s">
        <v>121</v>
      </c>
      <c r="E44" s="251" t="s">
        <v>115</v>
      </c>
      <c r="F44" s="423"/>
      <c r="G44" s="423"/>
      <c r="H44" s="306"/>
      <c r="I44" s="253"/>
      <c r="J44" s="253"/>
      <c r="K44" s="253"/>
      <c r="L44" s="128"/>
      <c r="M44" s="259"/>
    </row>
    <row r="45" spans="1:22" x14ac:dyDescent="0.3">
      <c r="A45" s="424"/>
      <c r="B45" s="425"/>
      <c r="C45" s="425"/>
      <c r="D45" s="422" t="s">
        <v>122</v>
      </c>
      <c r="E45" s="423">
        <v>16.5</v>
      </c>
      <c r="F45" s="423">
        <v>1</v>
      </c>
      <c r="G45" s="423">
        <f>E45*F45</f>
        <v>16.5</v>
      </c>
      <c r="H45" s="307">
        <f>AVERAGE('Table 1b-Year 1'!H45,'Table 1b-Year 2'!H45,'Table 1b-Year 3'!H45)</f>
        <v>0</v>
      </c>
      <c r="I45" s="256">
        <f>G45*H45</f>
        <v>0</v>
      </c>
      <c r="J45" s="256">
        <f>I45*0.05</f>
        <v>0</v>
      </c>
      <c r="K45" s="256">
        <f>I45*0.1</f>
        <v>0</v>
      </c>
      <c r="L45" s="128">
        <f t="shared" ref="L45:L50" si="21">(I45*$F$82)+(J45*$F$83)+(K45*$F$84)</f>
        <v>0</v>
      </c>
      <c r="M45" s="259"/>
    </row>
    <row r="46" spans="1:22" x14ac:dyDescent="0.3">
      <c r="A46" s="424"/>
      <c r="B46" s="425"/>
      <c r="C46" s="425"/>
      <c r="D46" s="422" t="s">
        <v>123</v>
      </c>
      <c r="E46" s="423">
        <v>3</v>
      </c>
      <c r="F46" s="423">
        <v>1</v>
      </c>
      <c r="G46" s="423">
        <f t="shared" ref="G46:G47" si="22">E46*F46</f>
        <v>3</v>
      </c>
      <c r="H46" s="307">
        <f>AVERAGE('Table 1b-Year 1'!H46,'Table 1b-Year 2'!H46,'Table 1b-Year 3'!H46)</f>
        <v>0</v>
      </c>
      <c r="I46" s="256">
        <f t="shared" ref="I46:I50" si="23">G46*H46</f>
        <v>0</v>
      </c>
      <c r="J46" s="256">
        <f t="shared" ref="J46:J50" si="24">I46*0.05</f>
        <v>0</v>
      </c>
      <c r="K46" s="256">
        <f t="shared" ref="K46:K50" si="25">I46*0.1</f>
        <v>0</v>
      </c>
      <c r="L46" s="128">
        <f t="shared" si="21"/>
        <v>0</v>
      </c>
      <c r="M46" s="259"/>
    </row>
    <row r="47" spans="1:22" x14ac:dyDescent="0.3">
      <c r="A47" s="424"/>
      <c r="B47" s="425"/>
      <c r="C47" s="425"/>
      <c r="D47" s="422" t="s">
        <v>124</v>
      </c>
      <c r="E47" s="423">
        <v>10</v>
      </c>
      <c r="F47" s="423">
        <v>1</v>
      </c>
      <c r="G47" s="423">
        <f t="shared" si="22"/>
        <v>10</v>
      </c>
      <c r="H47" s="378">
        <f>AVERAGE('Table 1b-Year 1'!H47,'Table 1b-Year 2'!H47,'Table 1b-Year 3'!H47)</f>
        <v>0</v>
      </c>
      <c r="I47" s="256">
        <f t="shared" si="23"/>
        <v>0</v>
      </c>
      <c r="J47" s="256">
        <f t="shared" si="24"/>
        <v>0</v>
      </c>
      <c r="K47" s="256">
        <f t="shared" si="25"/>
        <v>0</v>
      </c>
      <c r="L47" s="128">
        <f t="shared" si="21"/>
        <v>0</v>
      </c>
      <c r="M47" s="259"/>
    </row>
    <row r="48" spans="1:22" x14ac:dyDescent="0.3">
      <c r="A48" s="424"/>
      <c r="B48" s="425"/>
      <c r="C48" s="425"/>
      <c r="D48" s="422" t="s">
        <v>125</v>
      </c>
      <c r="E48" s="423">
        <v>75</v>
      </c>
      <c r="F48" s="423">
        <v>2</v>
      </c>
      <c r="G48" s="423">
        <f>E48*F48</f>
        <v>150</v>
      </c>
      <c r="H48" s="307">
        <f>AVERAGE('Table 1b-Year 1'!H48,'Table 1b-Year 2'!H48,'Table 1b-Year 3'!H48)</f>
        <v>0</v>
      </c>
      <c r="I48" s="256">
        <f t="shared" si="23"/>
        <v>0</v>
      </c>
      <c r="J48" s="256">
        <f t="shared" si="24"/>
        <v>0</v>
      </c>
      <c r="K48" s="256">
        <f t="shared" si="25"/>
        <v>0</v>
      </c>
      <c r="L48" s="128">
        <f t="shared" si="21"/>
        <v>0</v>
      </c>
      <c r="M48" s="259"/>
      <c r="P48" s="338"/>
    </row>
    <row r="49" spans="1:16" x14ac:dyDescent="0.3">
      <c r="A49" s="424"/>
      <c r="B49" s="425"/>
      <c r="C49" s="425"/>
      <c r="D49" s="422" t="s">
        <v>126</v>
      </c>
      <c r="E49" s="423">
        <v>20</v>
      </c>
      <c r="F49" s="423">
        <v>1</v>
      </c>
      <c r="G49" s="423">
        <f>E49*F49</f>
        <v>20</v>
      </c>
      <c r="H49" s="307">
        <f>AVERAGE('Table 1b-Year 1'!H49,'Table 1b-Year 2'!H49,'Table 1b-Year 3'!H49)</f>
        <v>0</v>
      </c>
      <c r="I49" s="256">
        <f t="shared" si="23"/>
        <v>0</v>
      </c>
      <c r="J49" s="256">
        <f t="shared" si="24"/>
        <v>0</v>
      </c>
      <c r="K49" s="256">
        <f t="shared" si="25"/>
        <v>0</v>
      </c>
      <c r="L49" s="128">
        <f t="shared" si="21"/>
        <v>0</v>
      </c>
      <c r="M49" s="259"/>
      <c r="P49" s="338"/>
    </row>
    <row r="50" spans="1:16" x14ac:dyDescent="0.3">
      <c r="A50" s="424"/>
      <c r="B50" s="425"/>
      <c r="C50" s="425"/>
      <c r="D50" s="422" t="s">
        <v>127</v>
      </c>
      <c r="E50" s="423">
        <v>5</v>
      </c>
      <c r="F50" s="423">
        <v>1</v>
      </c>
      <c r="G50" s="423">
        <f>E50*F50</f>
        <v>5</v>
      </c>
      <c r="H50" s="378">
        <f>AVERAGE('Table 1b-Year 1'!H50,'Table 1b-Year 2'!H50,'Table 1b-Year 3'!H50)</f>
        <v>0</v>
      </c>
      <c r="I50" s="256">
        <f t="shared" si="23"/>
        <v>0</v>
      </c>
      <c r="J50" s="256">
        <f t="shared" si="24"/>
        <v>0</v>
      </c>
      <c r="K50" s="256">
        <f t="shared" si="25"/>
        <v>0</v>
      </c>
      <c r="L50" s="128">
        <f t="shared" si="21"/>
        <v>0</v>
      </c>
      <c r="M50" s="259"/>
      <c r="P50" s="338"/>
    </row>
    <row r="51" spans="1:16" s="134" customFormat="1" x14ac:dyDescent="0.3">
      <c r="A51" s="146" t="s">
        <v>129</v>
      </c>
      <c r="B51" s="147"/>
      <c r="C51" s="148"/>
      <c r="D51" s="148"/>
      <c r="E51" s="148"/>
      <c r="F51" s="421"/>
      <c r="G51" s="149"/>
      <c r="H51" s="252"/>
      <c r="I51" s="490">
        <f>ROUND(SUM(I7:K50),-3)</f>
        <v>28000</v>
      </c>
      <c r="J51" s="490"/>
      <c r="K51" s="490"/>
      <c r="L51" s="390">
        <f>SUM(L7:L50)</f>
        <v>1579166.0608156722</v>
      </c>
      <c r="M51" s="314"/>
    </row>
    <row r="52" spans="1:16" x14ac:dyDescent="0.3">
      <c r="A52" s="498" t="s">
        <v>130</v>
      </c>
      <c r="B52" s="499"/>
      <c r="C52" s="499"/>
      <c r="D52" s="491"/>
      <c r="E52" s="423"/>
      <c r="F52" s="423"/>
      <c r="G52" s="423"/>
      <c r="H52" s="252"/>
      <c r="I52" s="253"/>
      <c r="J52" s="253"/>
      <c r="K52" s="253"/>
      <c r="L52" s="128"/>
      <c r="M52" s="259"/>
    </row>
    <row r="53" spans="1:16" ht="12.75" customHeight="1" x14ac:dyDescent="0.3">
      <c r="A53" s="424"/>
      <c r="B53" s="491" t="s">
        <v>92</v>
      </c>
      <c r="C53" s="491"/>
      <c r="D53" s="492"/>
      <c r="E53" s="251" t="s">
        <v>131</v>
      </c>
      <c r="F53" s="423"/>
      <c r="G53" s="423"/>
      <c r="H53" s="252"/>
      <c r="I53" s="253"/>
      <c r="J53" s="253"/>
      <c r="K53" s="253"/>
      <c r="L53" s="128"/>
      <c r="M53" s="259"/>
    </row>
    <row r="54" spans="1:16" x14ac:dyDescent="0.3">
      <c r="A54" s="424"/>
      <c r="B54" s="491" t="s">
        <v>132</v>
      </c>
      <c r="C54" s="491"/>
      <c r="D54" s="492"/>
      <c r="E54" s="251" t="s">
        <v>115</v>
      </c>
      <c r="F54" s="423"/>
      <c r="G54" s="423"/>
      <c r="H54" s="252"/>
      <c r="I54" s="253"/>
      <c r="J54" s="253"/>
      <c r="K54" s="253"/>
      <c r="L54" s="128"/>
      <c r="M54" s="259"/>
    </row>
    <row r="55" spans="1:16" x14ac:dyDescent="0.3">
      <c r="A55" s="424"/>
      <c r="B55" s="491" t="s">
        <v>133</v>
      </c>
      <c r="C55" s="491"/>
      <c r="D55" s="492"/>
      <c r="E55" s="251" t="s">
        <v>115</v>
      </c>
      <c r="F55" s="423"/>
      <c r="G55" s="423"/>
      <c r="H55" s="252"/>
      <c r="I55" s="253"/>
      <c r="J55" s="253"/>
      <c r="K55" s="253"/>
      <c r="L55" s="128"/>
      <c r="M55" s="259"/>
    </row>
    <row r="56" spans="1:16" x14ac:dyDescent="0.3">
      <c r="A56" s="424"/>
      <c r="B56" s="491" t="s">
        <v>134</v>
      </c>
      <c r="C56" s="491"/>
      <c r="D56" s="492"/>
      <c r="E56" s="251" t="s">
        <v>12</v>
      </c>
      <c r="F56" s="423"/>
      <c r="G56" s="423"/>
      <c r="H56" s="252"/>
      <c r="I56" s="253"/>
      <c r="J56" s="253"/>
      <c r="K56" s="253"/>
      <c r="L56" s="128"/>
      <c r="M56" s="259"/>
    </row>
    <row r="57" spans="1:16" x14ac:dyDescent="0.3">
      <c r="A57" s="424"/>
      <c r="B57" s="491" t="s">
        <v>135</v>
      </c>
      <c r="C57" s="491"/>
      <c r="D57" s="492"/>
      <c r="E57" s="423"/>
      <c r="F57" s="423"/>
      <c r="G57" s="423"/>
      <c r="H57" s="252"/>
      <c r="I57" s="253"/>
      <c r="J57" s="253"/>
      <c r="K57" s="253"/>
      <c r="L57" s="128"/>
      <c r="M57" s="259"/>
    </row>
    <row r="58" spans="1:16" x14ac:dyDescent="0.3">
      <c r="A58" s="424"/>
      <c r="B58" s="425"/>
      <c r="C58" s="254" t="s">
        <v>95</v>
      </c>
      <c r="D58" s="255"/>
      <c r="E58" s="423"/>
      <c r="F58" s="423"/>
      <c r="G58" s="423"/>
      <c r="H58" s="263"/>
      <c r="I58" s="253"/>
      <c r="J58" s="253"/>
      <c r="K58" s="253"/>
      <c r="L58" s="128"/>
      <c r="M58" s="259"/>
    </row>
    <row r="59" spans="1:16" x14ac:dyDescent="0.3">
      <c r="A59" s="424"/>
      <c r="B59" s="425"/>
      <c r="C59" s="425"/>
      <c r="D59" s="422" t="s">
        <v>136</v>
      </c>
      <c r="E59" s="423">
        <v>1</v>
      </c>
      <c r="F59" s="423">
        <v>12</v>
      </c>
      <c r="G59" s="423">
        <f t="shared" ref="G59:G66" si="26">E59*F59</f>
        <v>12</v>
      </c>
      <c r="H59" s="263">
        <f>AVERAGE('Table 1b-Year 1'!H59,'Table 1b-Year 2'!H59,'Table 1b-Year 3'!H59)</f>
        <v>6.210782608695653</v>
      </c>
      <c r="I59" s="256">
        <f t="shared" ref="I59:I61" si="27">G59*H59</f>
        <v>74.52939130434784</v>
      </c>
      <c r="J59" s="285">
        <f t="shared" ref="J59:J61" si="28">I59*0.05</f>
        <v>3.7264695652173923</v>
      </c>
      <c r="K59" s="285">
        <f t="shared" ref="K59:K61" si="29">I59*0.1</f>
        <v>7.4529391304347845</v>
      </c>
      <c r="L59" s="128">
        <f>(I59*$F$82)+(J59*$F$83)+(K59*$F$84)</f>
        <v>4770.298408069566</v>
      </c>
      <c r="M59" s="259"/>
    </row>
    <row r="60" spans="1:16" x14ac:dyDescent="0.3">
      <c r="A60" s="424"/>
      <c r="B60" s="425"/>
      <c r="C60" s="425"/>
      <c r="D60" s="422" t="s">
        <v>137</v>
      </c>
      <c r="E60" s="423">
        <v>1</v>
      </c>
      <c r="F60" s="423">
        <v>12</v>
      </c>
      <c r="G60" s="423">
        <f t="shared" si="26"/>
        <v>12</v>
      </c>
      <c r="H60" s="263">
        <f>AVERAGE('Table 1b-Year 1'!H60,'Table 1b-Year 2'!H60,'Table 1b-Year 3'!H60)</f>
        <v>6.210782608695653</v>
      </c>
      <c r="I60" s="256">
        <f t="shared" si="27"/>
        <v>74.52939130434784</v>
      </c>
      <c r="J60" s="285">
        <f t="shared" si="28"/>
        <v>3.7264695652173923</v>
      </c>
      <c r="K60" s="285">
        <f t="shared" si="29"/>
        <v>7.4529391304347845</v>
      </c>
      <c r="L60" s="128">
        <f t="shared" ref="L60" si="30">(I60*$F$82)+(J60*$F$83)+(K60*$F$84)</f>
        <v>4770.298408069566</v>
      </c>
      <c r="M60" s="259"/>
    </row>
    <row r="61" spans="1:16" x14ac:dyDescent="0.3">
      <c r="A61" s="424"/>
      <c r="B61" s="425"/>
      <c r="C61" s="425"/>
      <c r="D61" s="422" t="s">
        <v>138</v>
      </c>
      <c r="E61" s="423">
        <v>2</v>
      </c>
      <c r="F61" s="423">
        <v>12</v>
      </c>
      <c r="G61" s="423">
        <f t="shared" si="26"/>
        <v>24</v>
      </c>
      <c r="H61" s="252">
        <f>AVERAGE('Table 1b-Year 1'!H61,'Table 1b-Year 2'!H61,'Table 1b-Year 3'!H61)</f>
        <v>62.107826086956528</v>
      </c>
      <c r="I61" s="256">
        <f t="shared" si="27"/>
        <v>1490.5878260869567</v>
      </c>
      <c r="J61" s="285">
        <f t="shared" si="28"/>
        <v>74.52939130434784</v>
      </c>
      <c r="K61" s="285">
        <f t="shared" si="29"/>
        <v>149.05878260869568</v>
      </c>
      <c r="L61" s="128">
        <f>(I61*$F$82)+(J61*$F$83)+(K61*$F$84)</f>
        <v>95405.968161391327</v>
      </c>
      <c r="M61" s="259"/>
    </row>
    <row r="62" spans="1:16" x14ac:dyDescent="0.3">
      <c r="A62" s="424"/>
      <c r="B62" s="425"/>
      <c r="C62" s="254" t="s">
        <v>139</v>
      </c>
      <c r="D62" s="255"/>
      <c r="E62" s="423"/>
      <c r="F62" s="423"/>
      <c r="G62" s="423"/>
      <c r="H62" s="252"/>
      <c r="I62" s="253"/>
      <c r="J62" s="253"/>
      <c r="K62" s="253"/>
      <c r="L62" s="128"/>
      <c r="M62" s="259"/>
    </row>
    <row r="63" spans="1:16" x14ac:dyDescent="0.3">
      <c r="A63" s="424"/>
      <c r="B63" s="425"/>
      <c r="C63" s="425"/>
      <c r="D63" s="422" t="s">
        <v>136</v>
      </c>
      <c r="E63" s="423">
        <v>1</v>
      </c>
      <c r="F63" s="423">
        <v>12</v>
      </c>
      <c r="G63" s="423">
        <f t="shared" si="26"/>
        <v>12</v>
      </c>
      <c r="H63" s="378">
        <f>AVERAGE('Table 1b-Year 1'!H63,'Table 1b-Year 2'!H63,'Table 1b-Year 3'!H63)</f>
        <v>0</v>
      </c>
      <c r="I63" s="256">
        <f t="shared" ref="I63:I66" si="31">G63*H63</f>
        <v>0</v>
      </c>
      <c r="J63" s="256">
        <f t="shared" ref="J63:J66" si="32">I63*0.05</f>
        <v>0</v>
      </c>
      <c r="K63" s="256">
        <f t="shared" ref="K63:K66" si="33">I63*0.1</f>
        <v>0</v>
      </c>
      <c r="L63" s="128">
        <f t="shared" ref="L63:L66" si="34">(I63*$F$82)+(J63*$F$83)+(K63*$F$84)</f>
        <v>0</v>
      </c>
      <c r="M63" s="259"/>
    </row>
    <row r="64" spans="1:16" x14ac:dyDescent="0.3">
      <c r="A64" s="424"/>
      <c r="B64" s="425"/>
      <c r="C64" s="425"/>
      <c r="D64" s="422" t="s">
        <v>137</v>
      </c>
      <c r="E64" s="423">
        <v>1</v>
      </c>
      <c r="F64" s="423">
        <v>12</v>
      </c>
      <c r="G64" s="423">
        <f t="shared" si="26"/>
        <v>12</v>
      </c>
      <c r="H64" s="378">
        <f>AVERAGE('Table 1b-Year 1'!H64,'Table 1b-Year 2'!H64,'Table 1b-Year 3'!H64)</f>
        <v>0</v>
      </c>
      <c r="I64" s="256">
        <f t="shared" si="31"/>
        <v>0</v>
      </c>
      <c r="J64" s="256">
        <f t="shared" si="32"/>
        <v>0</v>
      </c>
      <c r="K64" s="256">
        <f t="shared" si="33"/>
        <v>0</v>
      </c>
      <c r="L64" s="128">
        <f t="shared" si="34"/>
        <v>0</v>
      </c>
      <c r="M64" s="259"/>
    </row>
    <row r="65" spans="1:14" x14ac:dyDescent="0.3">
      <c r="A65" s="424"/>
      <c r="B65" s="425"/>
      <c r="C65" s="425"/>
      <c r="D65" s="422" t="s">
        <v>138</v>
      </c>
      <c r="E65" s="423">
        <v>2</v>
      </c>
      <c r="F65" s="423">
        <v>12</v>
      </c>
      <c r="G65" s="423">
        <f t="shared" si="26"/>
        <v>24</v>
      </c>
      <c r="H65" s="307">
        <f>AVERAGE('Table 1b-Year 1'!H65,'Table 1b-Year 2'!H65,'Table 1b-Year 3'!H65)</f>
        <v>0</v>
      </c>
      <c r="I65" s="256">
        <f t="shared" si="31"/>
        <v>0</v>
      </c>
      <c r="J65" s="256">
        <f t="shared" si="32"/>
        <v>0</v>
      </c>
      <c r="K65" s="256">
        <f t="shared" si="33"/>
        <v>0</v>
      </c>
      <c r="L65" s="128">
        <f t="shared" si="34"/>
        <v>0</v>
      </c>
      <c r="M65" s="259"/>
    </row>
    <row r="66" spans="1:14" x14ac:dyDescent="0.3">
      <c r="A66" s="424"/>
      <c r="B66" s="491" t="s">
        <v>140</v>
      </c>
      <c r="C66" s="491"/>
      <c r="D66" s="492"/>
      <c r="E66" s="423">
        <f xml:space="preserve"> 16+ 64</f>
        <v>80</v>
      </c>
      <c r="F66" s="423">
        <v>1</v>
      </c>
      <c r="G66" s="423">
        <f t="shared" si="26"/>
        <v>80</v>
      </c>
      <c r="H66" s="307">
        <f>AVERAGE('Table 1b-Year 1'!H66,'Table 1b-Year 2'!H66,'Table 1b-Year 3'!H66)</f>
        <v>0</v>
      </c>
      <c r="I66" s="256">
        <f t="shared" si="31"/>
        <v>0</v>
      </c>
      <c r="J66" s="256">
        <f t="shared" si="32"/>
        <v>0</v>
      </c>
      <c r="K66" s="256">
        <f t="shared" si="33"/>
        <v>0</v>
      </c>
      <c r="L66" s="128">
        <f t="shared" si="34"/>
        <v>0</v>
      </c>
      <c r="M66" s="259"/>
    </row>
    <row r="67" spans="1:14" x14ac:dyDescent="0.3">
      <c r="A67" s="424"/>
      <c r="B67" s="491" t="s">
        <v>141</v>
      </c>
      <c r="C67" s="491"/>
      <c r="D67" s="492"/>
      <c r="E67" s="251" t="s">
        <v>12</v>
      </c>
      <c r="F67" s="423"/>
      <c r="G67" s="423"/>
      <c r="H67" s="252"/>
      <c r="I67" s="253"/>
      <c r="J67" s="253"/>
      <c r="K67" s="253"/>
      <c r="L67" s="55"/>
      <c r="M67" s="259"/>
    </row>
    <row r="68" spans="1:14" s="134" customFormat="1" x14ac:dyDescent="0.3">
      <c r="A68" s="146" t="s">
        <v>142</v>
      </c>
      <c r="B68" s="150"/>
      <c r="C68" s="148"/>
      <c r="D68" s="148"/>
      <c r="E68" s="148"/>
      <c r="F68" s="421"/>
      <c r="G68" s="149"/>
      <c r="H68" s="149"/>
      <c r="I68" s="490">
        <f>ROUND(SUM(I53:K66),-2)</f>
        <v>1900</v>
      </c>
      <c r="J68" s="490"/>
      <c r="K68" s="490"/>
      <c r="L68" s="288">
        <f>ROUND(SUM(L53:L66),-3)</f>
        <v>105000</v>
      </c>
      <c r="M68" s="187"/>
    </row>
    <row r="69" spans="1:14" s="134" customFormat="1" ht="14.5" x14ac:dyDescent="0.3">
      <c r="A69" s="171" t="s">
        <v>190</v>
      </c>
      <c r="B69" s="150"/>
      <c r="C69" s="172"/>
      <c r="D69" s="223"/>
      <c r="E69" s="224"/>
      <c r="F69" s="225"/>
      <c r="G69" s="226"/>
      <c r="H69" s="226"/>
      <c r="I69" s="493">
        <f>ROUND(I51+I68,-3)</f>
        <v>30000</v>
      </c>
      <c r="J69" s="494"/>
      <c r="K69" s="495"/>
      <c r="L69" s="289">
        <f>ROUND(L51+L68,-5)</f>
        <v>1700000</v>
      </c>
      <c r="M69" s="314"/>
      <c r="N69" s="382">
        <f>I69</f>
        <v>30000</v>
      </c>
    </row>
    <row r="70" spans="1:14" s="134" customFormat="1" ht="14.5" x14ac:dyDescent="0.3">
      <c r="A70" s="146" t="s">
        <v>191</v>
      </c>
      <c r="B70" s="149"/>
      <c r="C70" s="148"/>
      <c r="D70" s="224"/>
      <c r="E70" s="224"/>
      <c r="F70" s="225"/>
      <c r="G70" s="226"/>
      <c r="H70" s="226"/>
      <c r="I70" s="225"/>
      <c r="J70" s="225"/>
      <c r="K70" s="225"/>
      <c r="L70" s="289">
        <f>ROUND(H102+K113,-5)</f>
        <v>8200000</v>
      </c>
      <c r="M70" s="314"/>
    </row>
    <row r="71" spans="1:14" s="134" customFormat="1" ht="14.5" x14ac:dyDescent="0.3">
      <c r="A71" s="146" t="s">
        <v>192</v>
      </c>
      <c r="B71" s="149"/>
      <c r="C71" s="148"/>
      <c r="D71" s="224"/>
      <c r="E71" s="224"/>
      <c r="F71" s="225"/>
      <c r="G71" s="226"/>
      <c r="H71" s="226"/>
      <c r="I71" s="225"/>
      <c r="J71" s="225"/>
      <c r="K71" s="225"/>
      <c r="L71" s="289">
        <f>ROUND(L69+L70,-5)</f>
        <v>9900000</v>
      </c>
      <c r="M71" s="314"/>
    </row>
    <row r="72" spans="1:14" s="152" customFormat="1" x14ac:dyDescent="0.3">
      <c r="A72" s="259"/>
      <c r="B72" s="259"/>
      <c r="C72" s="259"/>
      <c r="D72" s="259"/>
      <c r="E72" s="259"/>
      <c r="F72" s="259"/>
      <c r="G72" s="259"/>
      <c r="H72" s="260"/>
      <c r="I72" s="259"/>
      <c r="J72" s="260"/>
      <c r="K72" s="259"/>
      <c r="L72" s="174"/>
      <c r="M72" s="259"/>
    </row>
    <row r="73" spans="1:14" s="152" customFormat="1" x14ac:dyDescent="0.3">
      <c r="A73" s="261" t="s">
        <v>146</v>
      </c>
      <c r="B73" s="259"/>
      <c r="C73" s="259"/>
      <c r="D73" s="259"/>
      <c r="E73" s="259"/>
      <c r="F73" s="259"/>
      <c r="G73" s="259"/>
      <c r="H73" s="260"/>
      <c r="I73" s="259"/>
      <c r="J73" s="259"/>
      <c r="K73" s="259"/>
      <c r="L73" s="38"/>
      <c r="M73" s="259"/>
    </row>
    <row r="74" spans="1:14" s="152" customFormat="1" ht="54.75" customHeight="1" x14ac:dyDescent="0.3">
      <c r="A74" s="508" t="s">
        <v>203</v>
      </c>
      <c r="B74" s="508"/>
      <c r="C74" s="508"/>
      <c r="D74" s="508"/>
      <c r="E74" s="508"/>
      <c r="F74" s="508"/>
      <c r="G74" s="508"/>
      <c r="H74" s="508"/>
      <c r="I74" s="508"/>
      <c r="J74" s="508"/>
      <c r="K74" s="508"/>
      <c r="L74" s="508"/>
      <c r="M74" s="154"/>
    </row>
    <row r="75" spans="1:14" s="152" customFormat="1" ht="30" customHeight="1" x14ac:dyDescent="0.3">
      <c r="A75" s="497" t="s">
        <v>204</v>
      </c>
      <c r="B75" s="497"/>
      <c r="C75" s="497"/>
      <c r="D75" s="497"/>
      <c r="E75" s="497"/>
      <c r="F75" s="497"/>
      <c r="G75" s="497"/>
      <c r="H75" s="497"/>
      <c r="I75" s="497"/>
      <c r="J75" s="497"/>
      <c r="K75" s="497"/>
      <c r="L75" s="497"/>
      <c r="M75" s="259"/>
    </row>
    <row r="76" spans="1:14" s="151" customFormat="1" ht="27" customHeight="1" x14ac:dyDescent="0.3">
      <c r="A76" s="500" t="s">
        <v>195</v>
      </c>
      <c r="B76" s="500"/>
      <c r="C76" s="500"/>
      <c r="D76" s="500"/>
      <c r="E76" s="500"/>
      <c r="F76" s="500"/>
      <c r="G76" s="500"/>
      <c r="H76" s="500"/>
      <c r="I76" s="500"/>
      <c r="J76" s="500"/>
      <c r="K76" s="500"/>
      <c r="L76" s="500"/>
      <c r="M76" s="259"/>
    </row>
    <row r="77" spans="1:14" s="152" customFormat="1" ht="15" customHeight="1" x14ac:dyDescent="0.3">
      <c r="A77" s="500" t="s">
        <v>196</v>
      </c>
      <c r="B77" s="500"/>
      <c r="C77" s="500"/>
      <c r="D77" s="500"/>
      <c r="E77" s="500"/>
      <c r="F77" s="500"/>
      <c r="G77" s="500"/>
      <c r="H77" s="500"/>
      <c r="I77" s="500"/>
      <c r="J77" s="500"/>
      <c r="K77" s="500"/>
      <c r="L77" s="500"/>
      <c r="M77" s="259"/>
    </row>
    <row r="78" spans="1:14" s="152" customFormat="1" ht="15" customHeight="1" x14ac:dyDescent="0.3">
      <c r="A78" s="478" t="s">
        <v>151</v>
      </c>
      <c r="B78" s="478"/>
      <c r="C78" s="478"/>
      <c r="D78" s="478"/>
      <c r="E78" s="478"/>
      <c r="F78" s="478"/>
      <c r="G78" s="478"/>
      <c r="H78" s="478"/>
      <c r="I78" s="478"/>
      <c r="J78" s="478"/>
      <c r="K78" s="478"/>
      <c r="L78" s="478"/>
      <c r="M78" s="259"/>
    </row>
    <row r="79" spans="1:14" s="152" customFormat="1" ht="15.5" x14ac:dyDescent="0.35">
      <c r="A79" s="259"/>
      <c r="B79" s="259"/>
      <c r="C79" s="259"/>
      <c r="D79" s="290" t="s">
        <v>152</v>
      </c>
      <c r="E79" s="259"/>
      <c r="F79" s="259"/>
      <c r="G79" s="259"/>
      <c r="H79" s="260"/>
      <c r="I79" s="259"/>
      <c r="J79" s="259"/>
      <c r="K79" s="259"/>
      <c r="L79" s="210"/>
      <c r="M79" s="259"/>
    </row>
    <row r="80" spans="1:14" s="152" customFormat="1" x14ac:dyDescent="0.3">
      <c r="A80" s="291"/>
      <c r="B80" s="259"/>
      <c r="C80" s="259"/>
      <c r="D80" s="259"/>
      <c r="E80" s="259"/>
      <c r="F80" s="259"/>
      <c r="G80" s="259"/>
      <c r="H80" s="260"/>
      <c r="I80" s="259"/>
      <c r="J80" s="259"/>
      <c r="K80" s="259"/>
      <c r="L80" s="156"/>
      <c r="M80" s="259"/>
    </row>
    <row r="81" spans="1:13" ht="26" x14ac:dyDescent="0.3">
      <c r="A81" s="255"/>
      <c r="B81" s="255"/>
      <c r="C81" s="255"/>
      <c r="D81" s="262"/>
      <c r="E81" s="420" t="s">
        <v>153</v>
      </c>
      <c r="F81" s="420" t="s">
        <v>154</v>
      </c>
      <c r="G81" s="420" t="s">
        <v>197</v>
      </c>
      <c r="H81" s="420" t="s">
        <v>155</v>
      </c>
      <c r="I81" s="264"/>
      <c r="J81" s="255"/>
      <c r="K81" s="255"/>
      <c r="L81" s="157"/>
      <c r="M81" s="259"/>
    </row>
    <row r="82" spans="1:13" ht="26" x14ac:dyDescent="0.3">
      <c r="A82" s="255"/>
      <c r="B82" s="255"/>
      <c r="C82" s="255"/>
      <c r="D82" s="255"/>
      <c r="E82" s="423" t="s">
        <v>199</v>
      </c>
      <c r="F82" s="376">
        <f>H82*G82</f>
        <v>57.072000000000003</v>
      </c>
      <c r="G82" s="311">
        <v>1.6</v>
      </c>
      <c r="H82" s="293">
        <f>'Table 1b-Year 1'!H82</f>
        <v>35.67</v>
      </c>
      <c r="I82" s="264"/>
      <c r="J82" s="255"/>
      <c r="K82" s="255"/>
      <c r="M82" s="259"/>
    </row>
    <row r="83" spans="1:13" ht="26" x14ac:dyDescent="0.3">
      <c r="A83" s="255"/>
      <c r="B83" s="255"/>
      <c r="C83" s="255"/>
      <c r="D83" s="255"/>
      <c r="E83" s="423" t="s">
        <v>200</v>
      </c>
      <c r="F83" s="376">
        <f>H83*G83</f>
        <v>76.912000000000006</v>
      </c>
      <c r="G83" s="311">
        <v>1.6</v>
      </c>
      <c r="H83" s="293">
        <f>'Table 1b-Year 1'!H83</f>
        <v>48.07</v>
      </c>
      <c r="I83" s="265"/>
      <c r="J83" s="266"/>
      <c r="K83" s="255"/>
      <c r="M83" s="259"/>
    </row>
    <row r="84" spans="1:13" ht="26" x14ac:dyDescent="0.3">
      <c r="A84" s="255"/>
      <c r="B84" s="255"/>
      <c r="C84" s="255"/>
      <c r="D84" s="255"/>
      <c r="E84" s="423" t="s">
        <v>201</v>
      </c>
      <c r="F84" s="376">
        <f>H84*G84</f>
        <v>30.880000000000003</v>
      </c>
      <c r="G84" s="311">
        <v>1.6</v>
      </c>
      <c r="H84" s="293">
        <f>'Table 1b-Year 1'!H84</f>
        <v>19.3</v>
      </c>
      <c r="I84" s="255"/>
      <c r="J84" s="255"/>
      <c r="K84" s="255"/>
      <c r="M84" s="259"/>
    </row>
    <row r="85" spans="1:13" x14ac:dyDescent="0.3">
      <c r="A85" s="255"/>
      <c r="B85" s="255"/>
      <c r="C85" s="255"/>
      <c r="D85" s="267"/>
      <c r="E85" s="255"/>
      <c r="F85" s="414"/>
      <c r="G85" s="255"/>
      <c r="H85" s="269"/>
      <c r="I85" s="255"/>
      <c r="J85" s="255"/>
      <c r="K85" s="255"/>
      <c r="M85" s="259"/>
    </row>
    <row r="86" spans="1:13" x14ac:dyDescent="0.3">
      <c r="A86" s="255"/>
      <c r="B86" s="255"/>
      <c r="C86" s="255"/>
      <c r="D86" s="267"/>
      <c r="E86" s="255"/>
      <c r="F86" s="268"/>
      <c r="G86" s="255"/>
      <c r="H86" s="269"/>
      <c r="I86" s="255"/>
      <c r="J86" s="255"/>
      <c r="K86" s="255"/>
      <c r="M86" s="259"/>
    </row>
    <row r="87" spans="1:13" s="152" customFormat="1" x14ac:dyDescent="0.3">
      <c r="A87" s="259"/>
      <c r="B87" s="259"/>
      <c r="C87" s="259"/>
      <c r="D87" s="255"/>
      <c r="E87" s="270"/>
      <c r="F87" s="271"/>
      <c r="G87" s="259"/>
      <c r="H87" s="260"/>
      <c r="I87" s="259"/>
      <c r="J87" s="259"/>
      <c r="K87" s="38"/>
      <c r="L87" s="259"/>
      <c r="M87" s="259"/>
    </row>
    <row r="88" spans="1:13" ht="15" customHeight="1" x14ac:dyDescent="0.3">
      <c r="A88" s="255"/>
      <c r="B88" s="255"/>
      <c r="C88" s="255"/>
      <c r="D88" s="262"/>
      <c r="E88" s="479" t="s">
        <v>163</v>
      </c>
      <c r="F88" s="480"/>
      <c r="G88" s="480"/>
      <c r="H88" s="481"/>
      <c r="I88" s="294"/>
      <c r="J88" s="255"/>
      <c r="K88" s="158"/>
      <c r="L88" s="255"/>
      <c r="M88" s="259"/>
    </row>
    <row r="89" spans="1:13" x14ac:dyDescent="0.3">
      <c r="A89" s="255"/>
      <c r="B89" s="255"/>
      <c r="C89" s="255"/>
      <c r="D89" s="295" t="s">
        <v>9</v>
      </c>
      <c r="E89" s="420" t="s">
        <v>165</v>
      </c>
      <c r="F89" s="420" t="s">
        <v>166</v>
      </c>
      <c r="G89" s="420" t="s">
        <v>167</v>
      </c>
      <c r="H89" s="420" t="s">
        <v>168</v>
      </c>
      <c r="I89" s="259"/>
      <c r="J89" s="255"/>
      <c r="K89" s="158"/>
      <c r="L89" s="255"/>
      <c r="M89" s="259"/>
    </row>
    <row r="90" spans="1:13" x14ac:dyDescent="0.3">
      <c r="A90" s="255"/>
      <c r="B90" s="255"/>
      <c r="C90" s="255"/>
      <c r="D90" s="296" t="s">
        <v>11</v>
      </c>
      <c r="E90" s="403" t="s">
        <v>169</v>
      </c>
      <c r="F90" s="169">
        <f>'Table 1a-Year 1'!F92</f>
        <v>5167.0448330540685</v>
      </c>
      <c r="G90" s="307">
        <f>AVERAGE('Table 1b-Year 1'!G90,'Table 1b-Year 2'!G90,'Table 1b-Year 3'!G90)</f>
        <v>38.506852173913046</v>
      </c>
      <c r="H90" s="297">
        <f>F90*G90</f>
        <v>198966.63156239424</v>
      </c>
      <c r="I90" s="154"/>
      <c r="J90" s="255"/>
      <c r="K90" s="158"/>
      <c r="L90" s="255"/>
      <c r="M90" s="259"/>
    </row>
    <row r="91" spans="1:13" x14ac:dyDescent="0.3">
      <c r="A91" s="255"/>
      <c r="B91" s="255"/>
      <c r="C91" s="255"/>
      <c r="D91" s="296" t="s">
        <v>14</v>
      </c>
      <c r="E91" s="423" t="s">
        <v>170</v>
      </c>
      <c r="F91" s="169">
        <f>'Summary Info_2015'!C61</f>
        <v>20444.262999999999</v>
      </c>
      <c r="G91" s="252">
        <f>AVERAGE('Table 1b-Year 1'!G91,'Table 1b-Year 2'!G91,'Table 1b-Year 3'!G91)</f>
        <v>10.55833043478261</v>
      </c>
      <c r="H91" s="297">
        <f t="shared" ref="H91:H92" si="35">F91*G91</f>
        <v>215857.28424960002</v>
      </c>
      <c r="I91" s="154"/>
      <c r="J91" s="255"/>
      <c r="K91" s="158"/>
      <c r="L91" s="255"/>
      <c r="M91" s="259"/>
    </row>
    <row r="92" spans="1:13" s="152" customFormat="1" x14ac:dyDescent="0.3">
      <c r="A92" s="259"/>
      <c r="B92" s="259"/>
      <c r="C92" s="259"/>
      <c r="D92" s="296" t="s">
        <v>20</v>
      </c>
      <c r="E92" s="423" t="s">
        <v>171</v>
      </c>
      <c r="F92" s="169">
        <f>'Summary Info_2015'!M66</f>
        <v>20006</v>
      </c>
      <c r="G92" s="252">
        <f>AVERAGE('Table 1b-Year 1'!G92,'Table 1b-Year 2'!G92,'Table 1b-Year 3'!G92)</f>
        <v>14.905878260869565</v>
      </c>
      <c r="H92" s="297">
        <f t="shared" si="35"/>
        <v>298207.0004869565</v>
      </c>
      <c r="I92" s="154"/>
      <c r="J92" s="255"/>
      <c r="K92" s="38"/>
      <c r="L92" s="259"/>
      <c r="M92" s="259"/>
    </row>
    <row r="93" spans="1:13" x14ac:dyDescent="0.3">
      <c r="A93" s="255"/>
      <c r="B93" s="255"/>
      <c r="C93" s="255"/>
      <c r="D93" s="255"/>
      <c r="E93" s="272" t="s">
        <v>45</v>
      </c>
      <c r="F93" s="273">
        <f>SUM(F90:F92)</f>
        <v>45617.307833054067</v>
      </c>
      <c r="G93" s="374">
        <f>SUM(G90:G92)</f>
        <v>63.971060869565221</v>
      </c>
      <c r="H93" s="277">
        <f>SUM(H90:H92)</f>
        <v>713030.91629895079</v>
      </c>
      <c r="I93" s="255"/>
      <c r="J93" s="280"/>
      <c r="K93" s="255"/>
      <c r="L93" s="255"/>
      <c r="M93" s="259"/>
    </row>
    <row r="94" spans="1:13" x14ac:dyDescent="0.3">
      <c r="A94" s="255"/>
      <c r="B94" s="255"/>
      <c r="C94" s="255"/>
      <c r="D94" s="255"/>
      <c r="E94" s="274"/>
      <c r="F94" s="255"/>
      <c r="G94" s="269"/>
      <c r="H94" s="275"/>
      <c r="I94" s="255"/>
      <c r="J94" s="255"/>
      <c r="K94" s="255"/>
      <c r="L94" s="255"/>
      <c r="M94" s="259"/>
    </row>
    <row r="95" spans="1:13" ht="30" customHeight="1" x14ac:dyDescent="0.3">
      <c r="A95" s="255"/>
      <c r="B95" s="255"/>
      <c r="C95" s="255"/>
      <c r="D95" s="255"/>
      <c r="E95" s="479" t="s">
        <v>172</v>
      </c>
      <c r="F95" s="480"/>
      <c r="G95" s="480"/>
      <c r="H95" s="481"/>
      <c r="I95" s="255"/>
      <c r="J95" s="255"/>
      <c r="K95" s="255"/>
      <c r="L95" s="255"/>
      <c r="M95" s="259"/>
    </row>
    <row r="96" spans="1:13" s="152" customFormat="1" x14ac:dyDescent="0.3">
      <c r="A96" s="259"/>
      <c r="B96" s="259"/>
      <c r="C96" s="259"/>
      <c r="D96" s="295" t="s">
        <v>173</v>
      </c>
      <c r="E96" s="420" t="s">
        <v>174</v>
      </c>
      <c r="F96" s="420" t="s">
        <v>175</v>
      </c>
      <c r="G96" s="420" t="s">
        <v>176</v>
      </c>
      <c r="H96" s="420" t="s">
        <v>168</v>
      </c>
      <c r="I96" s="259"/>
      <c r="J96" s="259"/>
      <c r="K96" s="259"/>
      <c r="L96" s="259"/>
      <c r="M96" s="259"/>
    </row>
    <row r="97" spans="1:13" x14ac:dyDescent="0.3">
      <c r="A97" s="255"/>
      <c r="B97" s="255"/>
      <c r="C97" s="255"/>
      <c r="D97" s="296" t="s">
        <v>202</v>
      </c>
      <c r="E97" s="423" t="s">
        <v>11</v>
      </c>
      <c r="F97" s="276">
        <f>'Table 1a-Year 1'!F99</f>
        <v>7940.8962315002973</v>
      </c>
      <c r="G97" s="307">
        <f>AVERAGE('Table 1b-Year 1'!G97,'Table 1b-Year 2'!G97,'Table 1b-Year 3'!G97)</f>
        <v>0</v>
      </c>
      <c r="H97" s="299">
        <f>F97*G97</f>
        <v>0</v>
      </c>
      <c r="I97" s="259"/>
      <c r="J97" s="255"/>
      <c r="K97" s="255"/>
      <c r="L97" s="255"/>
      <c r="M97" s="259"/>
    </row>
    <row r="98" spans="1:13" x14ac:dyDescent="0.3">
      <c r="A98" s="255"/>
      <c r="B98" s="255"/>
      <c r="C98" s="255"/>
      <c r="D98" s="296" t="s">
        <v>177</v>
      </c>
      <c r="E98" s="423" t="s">
        <v>14</v>
      </c>
      <c r="F98" s="276">
        <f>'Summary Info_2015'!B63</f>
        <v>111044.6066688</v>
      </c>
      <c r="G98" s="298">
        <f>'Regulated Sources_Overview'!K17</f>
        <v>0</v>
      </c>
      <c r="H98" s="299">
        <f t="shared" ref="H98:H99" si="36">F98*G98</f>
        <v>0</v>
      </c>
      <c r="I98" s="255"/>
      <c r="J98" s="255"/>
      <c r="K98" s="255"/>
      <c r="L98" s="255"/>
      <c r="M98" s="259"/>
    </row>
    <row r="99" spans="1:13" x14ac:dyDescent="0.3">
      <c r="A99" s="255"/>
      <c r="B99" s="255"/>
      <c r="C99" s="255"/>
      <c r="D99" s="296" t="s">
        <v>178</v>
      </c>
      <c r="E99" s="423" t="s">
        <v>20</v>
      </c>
      <c r="F99" s="276">
        <f>'Summary Info_2015'!L63</f>
        <v>174001.69178879997</v>
      </c>
      <c r="G99" s="298">
        <f>'Regulated Sources_Overview'!K18</f>
        <v>0</v>
      </c>
      <c r="H99" s="299">
        <f t="shared" si="36"/>
        <v>0</v>
      </c>
      <c r="I99" s="255"/>
      <c r="J99" s="255"/>
      <c r="K99" s="255"/>
      <c r="L99" s="255"/>
      <c r="M99" s="259"/>
    </row>
    <row r="100" spans="1:13" x14ac:dyDescent="0.3">
      <c r="A100" s="255"/>
      <c r="B100" s="255"/>
      <c r="C100" s="255"/>
      <c r="D100" s="255"/>
      <c r="E100" s="272" t="s">
        <v>45</v>
      </c>
      <c r="F100" s="277">
        <f>SUM(F97:F99)</f>
        <v>292987.19468910026</v>
      </c>
      <c r="G100" s="300">
        <f>SUM(G97:G99)</f>
        <v>0</v>
      </c>
      <c r="H100" s="277">
        <f>SUM(H97:H99)</f>
        <v>0</v>
      </c>
      <c r="I100" s="255"/>
      <c r="J100" s="301">
        <f>'Table 1a-Avg'!H104+'Table 1b-Avg'!H102</f>
        <v>4270758.0924155908</v>
      </c>
      <c r="K100" s="255"/>
      <c r="M100" s="259"/>
    </row>
    <row r="101" spans="1:13" x14ac:dyDescent="0.3">
      <c r="A101" s="255"/>
      <c r="B101" s="255"/>
      <c r="C101" s="255"/>
      <c r="D101" s="255"/>
      <c r="E101" s="278"/>
      <c r="F101" s="279"/>
      <c r="G101" s="280"/>
      <c r="H101" s="275"/>
      <c r="I101" s="255"/>
      <c r="J101" s="255"/>
      <c r="K101" s="255"/>
      <c r="M101" s="259"/>
    </row>
    <row r="102" spans="1:13" x14ac:dyDescent="0.3">
      <c r="A102" s="255"/>
      <c r="B102" s="255"/>
      <c r="C102" s="255"/>
      <c r="D102" s="255"/>
      <c r="E102" s="424"/>
      <c r="F102" s="482" t="s">
        <v>179</v>
      </c>
      <c r="G102" s="482"/>
      <c r="H102" s="281">
        <f>H93+H100</f>
        <v>713030.91629895079</v>
      </c>
      <c r="I102" s="255"/>
      <c r="J102" s="301"/>
      <c r="K102" s="255"/>
      <c r="M102" s="259"/>
    </row>
    <row r="103" spans="1:13" x14ac:dyDescent="0.3">
      <c r="A103" s="255"/>
      <c r="B103" s="255"/>
      <c r="C103" s="255"/>
      <c r="D103" s="255"/>
      <c r="E103" s="255"/>
      <c r="F103" s="279"/>
      <c r="G103" s="280"/>
      <c r="H103" s="269"/>
      <c r="I103" s="255"/>
      <c r="J103" s="255"/>
      <c r="K103" s="255"/>
      <c r="M103" s="259"/>
    </row>
    <row r="104" spans="1:13" x14ac:dyDescent="0.3">
      <c r="A104" s="255"/>
      <c r="B104" s="255"/>
      <c r="C104" s="255"/>
      <c r="D104" s="255"/>
      <c r="E104" s="255"/>
      <c r="F104" s="279"/>
      <c r="G104" s="280"/>
      <c r="H104" s="269"/>
      <c r="I104" s="255"/>
      <c r="J104" s="255"/>
      <c r="K104" s="255"/>
      <c r="M104" s="259"/>
    </row>
    <row r="105" spans="1:13" x14ac:dyDescent="0.3">
      <c r="A105" s="255"/>
      <c r="B105" s="255"/>
      <c r="C105" s="255"/>
      <c r="D105" s="255"/>
      <c r="E105" s="255"/>
      <c r="F105" s="279"/>
      <c r="G105" s="280"/>
      <c r="H105" s="269"/>
      <c r="I105" s="255"/>
      <c r="J105" s="255"/>
      <c r="K105" s="255"/>
      <c r="M105" s="259"/>
    </row>
    <row r="106" spans="1:13" ht="12.75" customHeight="1" x14ac:dyDescent="0.3">
      <c r="A106" s="255"/>
      <c r="B106" s="255"/>
      <c r="C106" s="255"/>
      <c r="D106" s="255"/>
      <c r="E106" s="302"/>
      <c r="F106" s="302"/>
      <c r="G106" s="302"/>
      <c r="H106" s="302"/>
      <c r="I106" s="302"/>
      <c r="J106" s="302"/>
      <c r="K106" s="302"/>
      <c r="L106" s="302"/>
      <c r="M106" s="259"/>
    </row>
    <row r="107" spans="1:13" ht="12.75" customHeight="1" x14ac:dyDescent="0.35">
      <c r="A107" s="255"/>
      <c r="B107" s="255"/>
      <c r="C107" s="255"/>
      <c r="D107" s="255"/>
      <c r="E107" s="479" t="s">
        <v>180</v>
      </c>
      <c r="F107" s="483"/>
      <c r="G107" s="483"/>
      <c r="H107" s="483"/>
      <c r="I107" s="483"/>
      <c r="J107" s="483"/>
      <c r="K107" s="484"/>
      <c r="L107" s="255"/>
      <c r="M107" s="259"/>
    </row>
    <row r="108" spans="1:13" ht="12.75" customHeight="1" x14ac:dyDescent="0.35">
      <c r="A108" s="255"/>
      <c r="B108" s="255"/>
      <c r="C108" s="255"/>
      <c r="D108" s="255"/>
      <c r="E108" s="485" t="s">
        <v>174</v>
      </c>
      <c r="F108" s="479" t="s">
        <v>181</v>
      </c>
      <c r="G108" s="483"/>
      <c r="H108" s="483"/>
      <c r="I108" s="484"/>
      <c r="J108" s="487" t="s">
        <v>182</v>
      </c>
      <c r="K108" s="489" t="s">
        <v>183</v>
      </c>
      <c r="L108" s="255"/>
      <c r="M108" s="259"/>
    </row>
    <row r="109" spans="1:13" x14ac:dyDescent="0.3">
      <c r="A109" s="255"/>
      <c r="B109" s="255"/>
      <c r="C109" s="255"/>
      <c r="D109" s="255"/>
      <c r="E109" s="486"/>
      <c r="F109" s="420" t="s">
        <v>184</v>
      </c>
      <c r="G109" s="420" t="s">
        <v>185</v>
      </c>
      <c r="H109" s="292" t="s">
        <v>186</v>
      </c>
      <c r="I109" s="420" t="s">
        <v>45</v>
      </c>
      <c r="J109" s="488"/>
      <c r="K109" s="489"/>
      <c r="L109" s="255"/>
      <c r="M109" s="259"/>
    </row>
    <row r="110" spans="1:13" x14ac:dyDescent="0.3">
      <c r="A110" s="255"/>
      <c r="B110" s="255"/>
      <c r="C110" s="255"/>
      <c r="D110" s="255"/>
      <c r="E110" s="282" t="s">
        <v>11</v>
      </c>
      <c r="F110" s="168">
        <f>'Table 1a-Year 2'!F112</f>
        <v>0</v>
      </c>
      <c r="G110" s="168">
        <f>'Table 1a-Year 2'!G112</f>
        <v>14290</v>
      </c>
      <c r="H110" s="168">
        <f>'Table 1a-Year 2'!H112</f>
        <v>13693</v>
      </c>
      <c r="I110" s="168">
        <f>F110+G110+H110</f>
        <v>27983</v>
      </c>
      <c r="J110" s="307">
        <f>AVERAGE('Table 1b-Year 1'!J110,'Table 1b-Year 2'!J110,'Table 1b-Year 3'!J110)</f>
        <v>23.600973913043486</v>
      </c>
      <c r="K110" s="168">
        <f>I110*J110</f>
        <v>660426.05300869583</v>
      </c>
      <c r="L110" s="303"/>
      <c r="M110" s="259"/>
    </row>
    <row r="111" spans="1:13" x14ac:dyDescent="0.3">
      <c r="A111" s="255"/>
      <c r="B111" s="255"/>
      <c r="C111" s="255"/>
      <c r="D111" s="255"/>
      <c r="E111" s="282" t="s">
        <v>14</v>
      </c>
      <c r="F111" s="168">
        <f>'Table 1a-Year 2'!F113</f>
        <v>14788.7065664</v>
      </c>
      <c r="G111" s="168">
        <f>'Table 1a-Year 2'!G113</f>
        <v>10931.940845699999</v>
      </c>
      <c r="H111" s="168">
        <f>'Table 1a-Year 2'!H113</f>
        <v>15897.235325044843</v>
      </c>
      <c r="I111" s="168">
        <f>F111+G111+H111</f>
        <v>41617.882737144842</v>
      </c>
      <c r="J111" s="252">
        <f>AVERAGE('Table 1b-Year 1'!J111,'Table 1b-Year 2'!J111,'Table 1b-Year 3'!J111)</f>
        <v>51.549495652173924</v>
      </c>
      <c r="K111" s="168">
        <f t="shared" ref="K111" si="37">I111*J111</f>
        <v>2145380.8652111324</v>
      </c>
      <c r="L111" s="303"/>
      <c r="M111" s="259"/>
    </row>
    <row r="112" spans="1:13" x14ac:dyDescent="0.3">
      <c r="A112" s="255"/>
      <c r="B112" s="255"/>
      <c r="C112" s="255"/>
      <c r="D112" s="255"/>
      <c r="E112" s="282" t="s">
        <v>20</v>
      </c>
      <c r="F112" s="168">
        <f>'Table 1a-Year 2'!F114</f>
        <v>19959.2166464</v>
      </c>
      <c r="G112" s="168">
        <f>'Table 1a-Year 2'!G114</f>
        <v>40011.554765699999</v>
      </c>
      <c r="H112" s="168">
        <f>'Table 1a-Year 2'!H114</f>
        <v>40035.286058200538</v>
      </c>
      <c r="I112" s="168">
        <f>F112+G112+H112</f>
        <v>100006.05747030054</v>
      </c>
      <c r="J112" s="252">
        <f>AVERAGE('Table 1b-Year 1'!J112,'Table 1b-Year 2'!J112,'Table 1b-Year 3'!J112)</f>
        <v>47.201947826086972</v>
      </c>
      <c r="K112" s="168">
        <f>I112*J112</f>
        <v>4720480.7070057811</v>
      </c>
      <c r="L112" s="303"/>
      <c r="M112" s="259"/>
    </row>
    <row r="113" spans="1:13" x14ac:dyDescent="0.3">
      <c r="A113" s="255"/>
      <c r="B113" s="255"/>
      <c r="C113" s="255"/>
      <c r="D113" s="255"/>
      <c r="E113" s="283" t="s">
        <v>45</v>
      </c>
      <c r="F113" s="132"/>
      <c r="G113" s="132"/>
      <c r="H113" s="132"/>
      <c r="I113" s="132"/>
      <c r="J113" s="304"/>
      <c r="K113" s="132">
        <f>SUM(K110:K112)</f>
        <v>7526287.6252256092</v>
      </c>
      <c r="L113" s="279"/>
      <c r="M113" s="259"/>
    </row>
    <row r="114" spans="1:13" ht="15.5" x14ac:dyDescent="0.35">
      <c r="A114" s="255"/>
      <c r="B114" s="255"/>
      <c r="C114" s="255"/>
      <c r="D114" s="255"/>
      <c r="E114" s="255"/>
      <c r="F114" s="305"/>
      <c r="G114" s="255"/>
      <c r="H114" s="269"/>
      <c r="I114" s="255"/>
      <c r="J114" s="269"/>
      <c r="K114" s="284"/>
      <c r="M114" s="259"/>
    </row>
    <row r="115" spans="1:13" x14ac:dyDescent="0.3">
      <c r="A115" s="255"/>
      <c r="B115" s="255"/>
      <c r="C115" s="255"/>
      <c r="D115" s="255"/>
      <c r="E115" s="255"/>
      <c r="F115" s="255"/>
      <c r="G115" s="255"/>
      <c r="H115" s="269"/>
      <c r="I115" s="255"/>
      <c r="J115" s="269"/>
      <c r="K115" s="301">
        <f>H102+K113</f>
        <v>8239318.5415245602</v>
      </c>
      <c r="M115" s="259"/>
    </row>
    <row r="116" spans="1:13" x14ac:dyDescent="0.3">
      <c r="A116" s="255"/>
      <c r="B116" s="255"/>
      <c r="C116" s="255"/>
      <c r="D116" s="255"/>
      <c r="E116" s="255"/>
      <c r="F116" s="255"/>
      <c r="G116" s="255"/>
      <c r="H116" s="269"/>
      <c r="I116" s="255"/>
      <c r="J116" s="255"/>
      <c r="K116" s="255"/>
      <c r="L116" s="213"/>
      <c r="M116" s="313"/>
    </row>
    <row r="117" spans="1:13" x14ac:dyDescent="0.3">
      <c r="A117" s="255"/>
      <c r="B117" s="255"/>
      <c r="C117" s="255"/>
      <c r="D117" s="255"/>
      <c r="E117" s="255"/>
      <c r="F117" s="255"/>
      <c r="G117" s="255"/>
      <c r="H117" s="269"/>
      <c r="I117" s="255"/>
      <c r="J117" s="255"/>
      <c r="K117" s="255"/>
      <c r="L117" s="213"/>
      <c r="M117" s="313"/>
    </row>
    <row r="118" spans="1:13" x14ac:dyDescent="0.3">
      <c r="A118" s="255"/>
      <c r="B118" s="255"/>
      <c r="C118" s="255"/>
      <c r="D118" s="255"/>
      <c r="E118" s="255"/>
      <c r="F118" s="255"/>
      <c r="G118" s="255"/>
      <c r="H118" s="269"/>
      <c r="I118" s="255"/>
      <c r="J118" s="255"/>
      <c r="K118" s="255"/>
      <c r="L118" s="213"/>
      <c r="M118" s="313"/>
    </row>
    <row r="119" spans="1:13" x14ac:dyDescent="0.3">
      <c r="I119" s="170"/>
      <c r="M119" s="214"/>
    </row>
  </sheetData>
  <mergeCells count="34">
    <mergeCell ref="B9:D9"/>
    <mergeCell ref="B10:D10"/>
    <mergeCell ref="B27:D27"/>
    <mergeCell ref="B28:D28"/>
    <mergeCell ref="B29:D29"/>
    <mergeCell ref="A3:D4"/>
    <mergeCell ref="A5:D5"/>
    <mergeCell ref="A6:D6"/>
    <mergeCell ref="A7:D7"/>
    <mergeCell ref="A8:D8"/>
    <mergeCell ref="I51:K51"/>
    <mergeCell ref="E88:H88"/>
    <mergeCell ref="B53:D53"/>
    <mergeCell ref="B54:D54"/>
    <mergeCell ref="B55:D55"/>
    <mergeCell ref="B56:D56"/>
    <mergeCell ref="B57:D57"/>
    <mergeCell ref="B66:D66"/>
    <mergeCell ref="B67:D67"/>
    <mergeCell ref="I68:K68"/>
    <mergeCell ref="I69:K69"/>
    <mergeCell ref="A74:L74"/>
    <mergeCell ref="A75:L75"/>
    <mergeCell ref="A52:D52"/>
    <mergeCell ref="A76:L76"/>
    <mergeCell ref="A77:L77"/>
    <mergeCell ref="A78:L78"/>
    <mergeCell ref="E95:H95"/>
    <mergeCell ref="F102:G102"/>
    <mergeCell ref="E107:K107"/>
    <mergeCell ref="E108:E109"/>
    <mergeCell ref="F108:I108"/>
    <mergeCell ref="J108:J109"/>
    <mergeCell ref="K108:K109"/>
  </mergeCells>
  <printOptions horizontalCentered="1" verticalCentered="1"/>
  <pageMargins left="0.7" right="0.7" top="0.75" bottom="0.75" header="0.3" footer="0.3"/>
  <pageSetup paperSize="17" orientation="landscape" r:id="rId1"/>
  <headerFooter>
    <oddHeader>&amp;CTable 1a -- Respondent Year 1</oddHeader>
    <oddFooter>&amp;L&amp;P of &amp;N&amp;R&amp;D</oddFooter>
  </headerFooter>
  <rowBreaks count="2" manualBreakCount="2">
    <brk id="51" max="10" man="1"/>
    <brk id="72"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_x0020_Creation_x0020_Date xmlns="4ffa91fb-a0ff-4ac5-b2db-65c790d184a4">2025-03-24T14:27:21+00:00</Document_x0020_Creation_x0020_Date>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E6C59BE9-CDBA-42A2-A4CF-4B0BDE9FA6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2fe02c4-dc41-46ff-9d52-90c0a1b1f611"/>
    <ds:schemaRef ds:uri="96fc5250-dc30-4f01-945b-7e46a880e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AFAF2A-68B4-42B8-BB8D-437E0747390F}">
  <ds:schemaRefs>
    <ds:schemaRef ds:uri="http://purl.org/dc/elements/1.1/"/>
    <ds:schemaRef ds:uri="http://schemas.microsoft.com/sharepoint.v3"/>
    <ds:schemaRef ds:uri="http://purl.org/dc/terms/"/>
    <ds:schemaRef ds:uri="http://www.w3.org/XML/1998/namespace"/>
    <ds:schemaRef ds:uri="4ffa91fb-a0ff-4ac5-b2db-65c790d184a4"/>
    <ds:schemaRef ds:uri="http://schemas.microsoft.com/office/2006/documentManagement/types"/>
    <ds:schemaRef ds:uri="http://schemas.microsoft.com/sharepoint/v3/fields"/>
    <ds:schemaRef ds:uri="http://schemas.microsoft.com/office/infopath/2007/PartnerControls"/>
    <ds:schemaRef ds:uri="http://schemas.microsoft.com/sharepoint/v3"/>
    <ds:schemaRef ds:uri="http://schemas.openxmlformats.org/package/2006/metadata/core-properties"/>
    <ds:schemaRef ds:uri="http://schemas.microsoft.com/office/2006/metadata/properties"/>
    <ds:schemaRef ds:uri="22d004a6-2f8d-4a75-9f1d-859e2ae55add"/>
    <ds:schemaRef ds:uri="9c7d48fa-d08a-4784-b72d-ce98120e47c7"/>
    <ds:schemaRef ds:uri="http://purl.org/dc/dcmitype/"/>
  </ds:schemaRefs>
</ds:datastoreItem>
</file>

<file path=customXml/itemProps3.xml><?xml version="1.0" encoding="utf-8"?>
<ds:datastoreItem xmlns:ds="http://schemas.openxmlformats.org/officeDocument/2006/customXml" ds:itemID="{F997A76B-6DB6-45BB-9712-E2D2983809F8}">
  <ds:schemaRefs>
    <ds:schemaRef ds:uri="http://schemas.microsoft.com/sharepoint/v3/contenttype/forms"/>
  </ds:schemaRefs>
</ds:datastoreItem>
</file>

<file path=customXml/itemProps4.xml><?xml version="1.0" encoding="utf-8"?>
<ds:datastoreItem xmlns:ds="http://schemas.openxmlformats.org/officeDocument/2006/customXml" ds:itemID="{BA533918-D86F-4C6F-9761-86D25A6951A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8</vt:i4>
      </vt:variant>
    </vt:vector>
  </HeadingPairs>
  <TitlesOfParts>
    <vt:vector size="38" baseType="lpstr">
      <vt:lpstr>Regulated Sources_Overview</vt:lpstr>
      <vt:lpstr>Table 1a-Year 1</vt:lpstr>
      <vt:lpstr>Table 1a-Year 2</vt:lpstr>
      <vt:lpstr>Table 1a-Year 3</vt:lpstr>
      <vt:lpstr>Table 1a-Avg</vt:lpstr>
      <vt:lpstr>Table 1b-Year 1</vt:lpstr>
      <vt:lpstr>Table 1b-Year 2</vt:lpstr>
      <vt:lpstr>Table 1b-Year 3</vt:lpstr>
      <vt:lpstr>Table 1b-Avg</vt:lpstr>
      <vt:lpstr>Table 1c-Year 1</vt:lpstr>
      <vt:lpstr>Table 1c-Year 2</vt:lpstr>
      <vt:lpstr>Table 1c-Year 3</vt:lpstr>
      <vt:lpstr>Table 1c-Avg</vt:lpstr>
      <vt:lpstr>Table 2-Year 1</vt:lpstr>
      <vt:lpstr>Table 2-Year 2</vt:lpstr>
      <vt:lpstr>Table 2-Year 3</vt:lpstr>
      <vt:lpstr>Table 2-Avg</vt:lpstr>
      <vt:lpstr>Annual Responses-Year 1</vt:lpstr>
      <vt:lpstr>Annual Responses-Year 2</vt:lpstr>
      <vt:lpstr>Annual Responses-Year 3</vt:lpstr>
      <vt:lpstr>Annual Responses-Avg</vt:lpstr>
      <vt:lpstr>Summary of CEMS Costs_2018</vt:lpstr>
      <vt:lpstr>%CEMSCPMSvs.testing_2137.13</vt:lpstr>
      <vt:lpstr>%CEMSCPMSvs.testing_2137.12</vt:lpstr>
      <vt:lpstr>Summary Info_2015</vt:lpstr>
      <vt:lpstr>Hg 1 monitor_2015</vt:lpstr>
      <vt:lpstr>HCl 1 monitor_2015</vt:lpstr>
      <vt:lpstr>PM 1 monitor_2015</vt:lpstr>
      <vt:lpstr>PM beta 1 monitor_2015</vt:lpstr>
      <vt:lpstr>PM extractive_2015</vt:lpstr>
      <vt:lpstr>'Annual Responses-Avg'!Print_Area</vt:lpstr>
      <vt:lpstr>'Annual Responses-Year 1'!Print_Area</vt:lpstr>
      <vt:lpstr>'Annual Responses-Year 2'!Print_Area</vt:lpstr>
      <vt:lpstr>'Annual Responses-Year 3'!Print_Area</vt:lpstr>
      <vt:lpstr>'Table 2-Avg'!Print_Area</vt:lpstr>
      <vt:lpstr>'Table 2-Year 1'!Print_Area</vt:lpstr>
      <vt:lpstr>'Table 2-Year 2'!Print_Area</vt:lpstr>
      <vt:lpstr>'Table 2-Year 3'!Print_Area</vt:lpstr>
    </vt:vector>
  </TitlesOfParts>
  <Manager/>
  <Company>RTI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Donna C. Colville-Taylor</dc:creator>
  <cp:keywords/>
  <dc:description/>
  <cp:lastModifiedBy>Bernales, Barbara</cp:lastModifiedBy>
  <cp:revision/>
  <dcterms:created xsi:type="dcterms:W3CDTF">2008-04-10T17:53:28Z</dcterms:created>
  <dcterms:modified xsi:type="dcterms:W3CDTF">2025-04-28T17:00:17Z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y fmtid="{D5CDD505-2E9C-101B-9397-08002B2CF9AE}" pid="4" name="Document_x0020_Type">
    <vt:lpwstr/>
  </property>
  <property fmtid="{D5CDD505-2E9C-101B-9397-08002B2CF9AE}" pid="5" name="EPA_x0020_Subject">
    <vt:lpwstr/>
  </property>
  <property fmtid="{D5CDD505-2E9C-101B-9397-08002B2CF9AE}" pid="6" name="EPA Subject">
    <vt:lpwstr/>
  </property>
  <property fmtid="{D5CDD505-2E9C-101B-9397-08002B2CF9AE}" pid="7" name="Document Type">
    <vt:lpwstr/>
  </property>
  <property fmtid="{D5CDD505-2E9C-101B-9397-08002B2CF9AE}" pid="8" name="_docset_NoMedatataSyncRequired">
    <vt:lpwstr>True</vt:lpwstr>
  </property>
  <property fmtid="{D5CDD505-2E9C-101B-9397-08002B2CF9AE}" pid="9" name="e3f09c3df709400db2417a7161762d62">
    <vt:lpwstr/>
  </property>
</Properties>
</file>