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sepa.sharepoint.com/sites/SPD/Shared Documents/PI Branch/Regulatory Actions/Process Agents/nprm/ICR-to-OMS/initial_2023-10-10/"/>
    </mc:Choice>
  </mc:AlternateContent>
  <xr:revisionPtr revIDLastSave="59" documentId="8_{4C2881C4-189A-4737-82A7-39479E61E03B}" xr6:coauthVersionLast="47" xr6:coauthVersionMax="47" xr10:uidLastSave="{68F0F5D2-F4FA-4D91-934E-2F70B2BCBD36}"/>
  <bookViews>
    <workbookView xWindow="28680" yWindow="-105" windowWidth="19440" windowHeight="14880" tabRatio="792" activeTab="4" xr2:uid="{C34AE246-E70B-45A1-AB90-DE71D05F720B}"/>
  </bookViews>
  <sheets>
    <sheet name="Reporting Activity" sheetId="6" r:id="rId1"/>
    <sheet name="Respondent Assumptions" sheetId="4" r:id="rId2"/>
    <sheet name="Respondent Burden - ICR" sheetId="1" r:id="rId3"/>
    <sheet name="Agency Assumptions" sheetId="5" r:id="rId4"/>
    <sheet name="Agency Burden" sheetId="2" r:id="rId5"/>
  </sheets>
  <definedNames>
    <definedName name="_xlnm._FilterDatabase" localSheetId="1" hidden="1">'Respondent Assumptions'!$B$4:$H$10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8" i="2" l="1"/>
  <c r="AE8" i="2" l="1"/>
  <c r="L7" i="1"/>
  <c r="K7" i="1"/>
  <c r="J7" i="1"/>
  <c r="N7" i="4"/>
  <c r="M7" i="4"/>
  <c r="L7" i="4"/>
  <c r="G9" i="4"/>
  <c r="G8" i="4"/>
  <c r="G6" i="4"/>
  <c r="L6" i="1"/>
  <c r="K6" i="1"/>
  <c r="J8" i="1"/>
  <c r="K8" i="1"/>
  <c r="L8" i="1"/>
  <c r="D7" i="1"/>
  <c r="J6" i="1"/>
  <c r="H8" i="1" l="1"/>
  <c r="F8" i="1" l="1"/>
  <c r="L5" i="4"/>
  <c r="G8" i="1" l="1"/>
  <c r="F5" i="1" l="1"/>
  <c r="G10" i="4"/>
  <c r="E7" i="1" l="1"/>
  <c r="E6" i="1"/>
  <c r="Q6" i="1" l="1"/>
  <c r="R6" i="1"/>
  <c r="F6" i="1"/>
  <c r="E5" i="1"/>
  <c r="L8" i="4"/>
  <c r="D5" i="1"/>
  <c r="D6" i="1"/>
  <c r="F7" i="1"/>
  <c r="E8" i="1"/>
  <c r="D8" i="1"/>
  <c r="G7" i="4"/>
  <c r="N6" i="4" s="1"/>
  <c r="G5" i="4"/>
  <c r="E8" i="6"/>
  <c r="G5" i="1" l="1"/>
  <c r="H5" i="1"/>
  <c r="M6" i="1"/>
  <c r="M8" i="1"/>
  <c r="M6" i="4"/>
  <c r="V6" i="1" s="1"/>
  <c r="L6" i="4"/>
  <c r="P8" i="1"/>
  <c r="AC12" i="1" s="1"/>
  <c r="V8" i="1"/>
  <c r="O7" i="1"/>
  <c r="G7" i="1"/>
  <c r="R7" i="1" s="1"/>
  <c r="P6" i="1" l="1"/>
  <c r="AF7" i="1"/>
  <c r="AF6" i="1"/>
  <c r="P7" i="1"/>
  <c r="V7" i="1"/>
  <c r="N7" i="1"/>
  <c r="Q7" i="1"/>
  <c r="M7" i="1"/>
  <c r="C9" i="5" s="1"/>
  <c r="C6" i="1" l="1"/>
  <c r="F14" i="2" l="1"/>
  <c r="C5" i="2" l="1"/>
  <c r="D5" i="2"/>
  <c r="E5" i="2"/>
  <c r="F5" i="2"/>
  <c r="B15" i="1"/>
  <c r="B14" i="1"/>
  <c r="S6" i="1" l="1"/>
  <c r="W6" i="1" s="1"/>
  <c r="H7" i="1"/>
  <c r="H6" i="1"/>
  <c r="S8" i="1"/>
  <c r="W8" i="1" s="1"/>
  <c r="K5" i="1"/>
  <c r="L5" i="1"/>
  <c r="J5" i="1"/>
  <c r="V5" i="1" l="1"/>
  <c r="AF5" i="1" s="1"/>
  <c r="AF8" i="1" s="1"/>
  <c r="S5" i="1"/>
  <c r="W5" i="1" s="1"/>
  <c r="P5" i="1"/>
  <c r="T7" i="1"/>
  <c r="X7" i="1" s="1"/>
  <c r="S7" i="1"/>
  <c r="W7" i="1" s="1"/>
  <c r="U7" i="1"/>
  <c r="Y7" i="1" s="1"/>
  <c r="T6" i="1"/>
  <c r="X6" i="1" s="1"/>
  <c r="U6" i="1"/>
  <c r="Y6" i="1" s="1"/>
  <c r="M5" i="1"/>
  <c r="G6" i="1"/>
  <c r="O5" i="1"/>
  <c r="N5" i="1"/>
  <c r="AC11" i="1"/>
  <c r="V9" i="1" l="1"/>
  <c r="G5" i="2"/>
  <c r="M9" i="1"/>
  <c r="AC5" i="1" s="1"/>
  <c r="R5" i="1"/>
  <c r="AE11" i="1" s="1"/>
  <c r="P9" i="1"/>
  <c r="AD5" i="1" s="1"/>
  <c r="Q5" i="1"/>
  <c r="AD11" i="1" s="1"/>
  <c r="T5" i="1"/>
  <c r="U5" i="1"/>
  <c r="AF11" i="1" l="1"/>
  <c r="S9" i="1"/>
  <c r="AE5" i="1" s="1"/>
  <c r="F11" i="2"/>
  <c r="AG5" i="1" l="1"/>
  <c r="W9" i="1"/>
  <c r="B5" i="2"/>
  <c r="B9" i="5"/>
  <c r="C5" i="1" l="1"/>
  <c r="K5" i="4" l="1"/>
  <c r="M8" i="4" l="1"/>
  <c r="N8" i="4"/>
  <c r="Q8" i="1" l="1"/>
  <c r="T8" i="1"/>
  <c r="X8" i="1" s="1"/>
  <c r="N8" i="1"/>
  <c r="R8" i="1"/>
  <c r="O8" i="1"/>
  <c r="U8" i="1"/>
  <c r="Y8" i="1" s="1"/>
  <c r="O6" i="1"/>
  <c r="N6" i="1"/>
  <c r="T9" i="1"/>
  <c r="AE6" i="1" s="1"/>
  <c r="E9" i="5" l="1"/>
  <c r="I5" i="2" s="1"/>
  <c r="O9" i="1"/>
  <c r="AC7" i="1" s="1"/>
  <c r="D9" i="5"/>
  <c r="H5" i="2" s="1"/>
  <c r="N9" i="1"/>
  <c r="AC6" i="1" s="1"/>
  <c r="U9" i="1"/>
  <c r="AE7" i="1" s="1"/>
  <c r="AG7" i="1" s="1"/>
  <c r="AG6" i="1"/>
  <c r="AE12" i="1"/>
  <c r="R9" i="1"/>
  <c r="AD7" i="1" s="1"/>
  <c r="AD12" i="1"/>
  <c r="Q9" i="1"/>
  <c r="X9" i="1"/>
  <c r="Y9" i="1"/>
  <c r="AE8" i="1" l="1"/>
  <c r="AC8" i="1"/>
  <c r="AG8" i="1"/>
  <c r="AF12" i="1"/>
  <c r="AF13" i="1" s="1"/>
  <c r="AD6" i="1"/>
  <c r="AD8" i="1" s="1"/>
  <c r="L5" i="2"/>
  <c r="AE7" i="2" s="1"/>
  <c r="K5" i="2"/>
  <c r="AE6" i="2" s="1"/>
  <c r="J5" i="2"/>
  <c r="AE5" i="2" s="1"/>
  <c r="J6" i="2" l="1"/>
  <c r="O5" i="2"/>
  <c r="P5" i="2"/>
  <c r="N5" i="2"/>
  <c r="W5" i="2"/>
  <c r="Y5" i="2" l="1"/>
  <c r="X5" i="2"/>
  <c r="V10" i="1"/>
  <c r="V11" i="1"/>
  <c r="L6" i="2"/>
  <c r="K6" i="2"/>
  <c r="F13" i="2"/>
  <c r="F12" i="2"/>
  <c r="U5" i="2" l="1"/>
  <c r="V5" i="2"/>
  <c r="T5" i="2"/>
  <c r="Q5" i="2"/>
  <c r="S5" i="2"/>
  <c r="R5" i="2"/>
  <c r="M10" i="1"/>
  <c r="M11" i="1"/>
  <c r="Y6" i="2"/>
  <c r="W6" i="2"/>
  <c r="X6" i="2"/>
  <c r="AB5" i="2" l="1"/>
  <c r="AA5" i="2"/>
  <c r="Z5" i="2"/>
  <c r="P10" i="1"/>
  <c r="P11" i="1"/>
  <c r="R6" i="2"/>
  <c r="U6" i="2"/>
  <c r="O6" i="2"/>
  <c r="Q6" i="2"/>
  <c r="T6" i="2"/>
  <c r="P6" i="2"/>
  <c r="N6" i="2"/>
  <c r="S6" i="2"/>
  <c r="V6" i="2"/>
  <c r="Z6" i="2" l="1"/>
  <c r="AF5" i="2" s="1"/>
  <c r="AB6" i="2"/>
  <c r="AF7" i="2" s="1"/>
  <c r="AA6" i="2"/>
  <c r="AF6" i="2" s="1"/>
  <c r="Z7" i="2" l="1"/>
  <c r="S10" i="1"/>
  <c r="S11" i="1"/>
  <c r="W10" i="1" l="1"/>
  <c r="W11" i="1"/>
  <c r="T7" i="2"/>
  <c r="W7" i="2"/>
  <c r="J8" i="2"/>
  <c r="Q7" i="2"/>
  <c r="Q8" i="2" l="1"/>
  <c r="J7" i="2"/>
  <c r="W8" i="2"/>
  <c r="T8" i="2"/>
  <c r="N7" i="2"/>
  <c r="Z8" i="2"/>
  <c r="N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Emily Golla</author>
  </authors>
  <commentList>
    <comment ref="B14" authorId="0" shapeId="0" xr:uid="{3CDCB16F-DA31-4FEE-922F-55DF233D3D7C}">
      <text>
        <r>
          <rPr>
            <b/>
            <sz val="9"/>
            <color indexed="81"/>
            <rFont val="Tahoma"/>
            <family val="2"/>
          </rPr>
          <t xml:space="preserve">$60.54 </t>
        </r>
        <r>
          <rPr>
            <sz val="9"/>
            <color indexed="81"/>
            <rFont val="Tahoma"/>
            <family val="2"/>
          </rPr>
          <t>is the hourly wage rate for professional and related persons, derived from Bureau of Labor Statistics Employer Cost and Employee Compensation Table 2 (“Civilian workers, by occupational and industry group”), June, 2022.
https://www.bls.gov/news.release/ecec.t02.htm#ect_table2.f.1
The rate was then increase by 110% for fringe and benefit.</t>
        </r>
      </text>
    </comment>
    <comment ref="B15" authorId="0" shapeId="0" xr:uid="{21543C01-7E99-4728-AD60-0AFDEBD51617}">
      <text>
        <r>
          <rPr>
            <b/>
            <sz val="9"/>
            <color indexed="81"/>
            <rFont val="Tahoma"/>
            <family val="2"/>
          </rPr>
          <t xml:space="preserve">$47.73 </t>
        </r>
        <r>
          <rPr>
            <sz val="9"/>
            <color indexed="81"/>
            <rFont val="Tahoma"/>
            <family val="2"/>
          </rPr>
          <t>is the hourly wage rate for administrative services and facilities managers, derived from Bureau of Labor Statistics Occupational Outlook Handbook, April, 2022.
https://www.bls.gov/ooh/management/administrative-services-managers.htm
The rate was then increase by 110% for fringe and benefit.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ICF</author>
    <author>Lauren Flinn</author>
    <author>Bremner, Cecilia</author>
    <author>Christine Wrublesky</author>
  </authors>
  <commentList>
    <comment ref="C11" authorId="0" shapeId="0" xr:uid="{209AC1B7-AB3B-4A6D-824D-E95C3847458C}">
      <text>
        <r>
          <rPr>
            <sz val="8"/>
            <color indexed="81"/>
            <rFont val="Tahoma"/>
            <family val="2"/>
          </rPr>
          <t>From 2022 OPM hourly base pay table for DC region: 
https://www.opm.gov/policy-data-oversight/pay-leave/salaries-wages/salary-tables/pdf/2022/DCB_h.pdf</t>
        </r>
      </text>
    </comment>
    <comment ref="E11" authorId="1" shapeId="0" xr:uid="{502EBCA6-99A2-4228-8D41-EFB7BBEC0875}">
      <text>
        <r>
          <rPr>
            <sz val="8"/>
            <color indexed="81"/>
            <rFont val="Tahoma"/>
            <family val="2"/>
          </rPr>
          <t>Standard Government Benefits Multiplier</t>
        </r>
      </text>
    </comment>
    <comment ref="C12" authorId="0" shapeId="0" xr:uid="{2BC908CF-1F42-4E3F-9B7C-1E8E47232F4E}">
      <text>
        <r>
          <rPr>
            <sz val="8"/>
            <color indexed="81"/>
            <rFont val="Tahoma"/>
            <family val="2"/>
          </rPr>
          <t>From 2022 OPM hourly base pay table for DC region: 
https://www.opm.gov/policy-data-oversight/pay-leave/salaries-wages/salary-tables/pdf/2022/DCB_h.pdf</t>
        </r>
      </text>
    </comment>
    <comment ref="E12" authorId="1" shapeId="0" xr:uid="{74E9DA73-832D-4A95-BF5F-286FA0F1E942}">
      <text>
        <r>
          <rPr>
            <sz val="8"/>
            <color indexed="81"/>
            <rFont val="Tahoma"/>
            <family val="2"/>
          </rPr>
          <t>Standard Government Benefits Multiplier</t>
        </r>
      </text>
    </comment>
    <comment ref="C13" authorId="2" shapeId="0" xr:uid="{B64DE35F-E3AF-4BBD-AFE6-B9BF5E92727B}">
      <text>
        <r>
          <rPr>
            <sz val="9"/>
            <color indexed="81"/>
            <rFont val="Tahoma"/>
            <family val="2"/>
          </rPr>
          <t>From 2022 OPM hourly base pay table for DC region: 
https://www.opm.gov/policy-data-oversight/pay-leave/salaries-wages/salary-tables/pdf/2022/DCB_h.pdf</t>
        </r>
      </text>
    </comment>
    <comment ref="E13" authorId="1" shapeId="0" xr:uid="{84861048-8077-4E6F-A36B-92FF6C02F6D2}">
      <text>
        <r>
          <rPr>
            <sz val="8"/>
            <color indexed="81"/>
            <rFont val="Tahoma"/>
            <family val="2"/>
          </rPr>
          <t>Standard Government Benefits Multiplier</t>
        </r>
      </text>
    </comment>
    <comment ref="F14" authorId="3" shapeId="0" xr:uid="{5A0EF5FF-CEC9-42A0-A380-1D6A9ABA82D6}">
      <text>
        <r>
          <rPr>
            <sz val="10"/>
            <color indexed="81"/>
            <rFont val="Tahoma"/>
            <family val="2"/>
          </rPr>
          <t>Source: Based on OYI average hourly rate for Senior Technical Analyst III and Consultant I under EPA contract 68HERH19D0029, TO 10</t>
        </r>
      </text>
    </comment>
  </commentList>
</comments>
</file>

<file path=xl/sharedStrings.xml><?xml version="1.0" encoding="utf-8"?>
<sst xmlns="http://schemas.openxmlformats.org/spreadsheetml/2006/main" count="167" uniqueCount="98">
  <si>
    <t>Number of Reports</t>
  </si>
  <si>
    <t>Respondents per Year</t>
  </si>
  <si>
    <t>Respondent Type</t>
  </si>
  <si>
    <t>Acitvity</t>
  </si>
  <si>
    <t>Technical Hours per Response</t>
  </si>
  <si>
    <t>Clerical Hours per Response</t>
  </si>
  <si>
    <t>Responses per Year</t>
  </si>
  <si>
    <t>Maximum Respondents per Acitvity</t>
  </si>
  <si>
    <t>Basis for Assumptions</t>
  </si>
  <si>
    <t>Y1 (2024)</t>
  </si>
  <si>
    <t>Y2 (2025)</t>
  </si>
  <si>
    <t>Y3 (2026)</t>
  </si>
  <si>
    <t>Maintain records</t>
  </si>
  <si>
    <t>Submit one-time report</t>
  </si>
  <si>
    <t>HFC Process Agent Use</t>
  </si>
  <si>
    <t>Submit annual report</t>
  </si>
  <si>
    <t> </t>
  </si>
  <si>
    <t>Activity</t>
  </si>
  <si>
    <t>Responses per Respondent per Year</t>
  </si>
  <si>
    <t>Total Hours per Respondent per Year</t>
  </si>
  <si>
    <t>Labor Cost per Respondent per Year</t>
  </si>
  <si>
    <t>O&amp;M Costs per Respondent per Year</t>
  </si>
  <si>
    <t>Respondents per Activity per Year</t>
  </si>
  <si>
    <t>Total Responses per Year</t>
  </si>
  <si>
    <t>Total Hours per Year</t>
  </si>
  <si>
    <t>Total Labor Cost per Year</t>
  </si>
  <si>
    <t>Total O&amp;M Costs per Year</t>
  </si>
  <si>
    <t>Total Cost per Year</t>
  </si>
  <si>
    <t>Year</t>
  </si>
  <si>
    <t>Total Responses</t>
  </si>
  <si>
    <t>Total Hours</t>
  </si>
  <si>
    <t>Total Labor Costs</t>
  </si>
  <si>
    <t>Total O&amp;M Costs</t>
  </si>
  <si>
    <t>Total Costs</t>
  </si>
  <si>
    <t>Y1</t>
  </si>
  <si>
    <t>Y2</t>
  </si>
  <si>
    <t>Y3</t>
  </si>
  <si>
    <t>Year 3</t>
  </si>
  <si>
    <t>Annual Average</t>
  </si>
  <si>
    <t>Annual Total</t>
  </si>
  <si>
    <t>3 Year Total</t>
  </si>
  <si>
    <t>Respondent Burden</t>
  </si>
  <si>
    <t>Hourly Labor Rate - Technical Staff</t>
  </si>
  <si>
    <t>Hourly Labor Rate - Clerical Staff</t>
  </si>
  <si>
    <t>Agency Assumptions</t>
  </si>
  <si>
    <t>Managerial Hours per activity</t>
  </si>
  <si>
    <t>Technical Hours per activity</t>
  </si>
  <si>
    <t>Clerical Hours per activity</t>
  </si>
  <si>
    <t>Contractor Hours per activity</t>
  </si>
  <si>
    <t>Source</t>
  </si>
  <si>
    <t>Review Data for Reporting Completeness and Compliance</t>
  </si>
  <si>
    <t>Based on ODS ICR, input from EPA, and HFC reporting experience</t>
  </si>
  <si>
    <t>Number of Activities</t>
  </si>
  <si>
    <t>Agency Burden</t>
  </si>
  <si>
    <t>Managerial Hours per Activity</t>
  </si>
  <si>
    <t>Technical Hours per Activity</t>
  </si>
  <si>
    <t>Clerical Hours per Activity</t>
  </si>
  <si>
    <t>Contractor Hours per Activity</t>
  </si>
  <si>
    <t xml:space="preserve">Number of Activities </t>
  </si>
  <si>
    <t xml:space="preserve">Total Hours </t>
  </si>
  <si>
    <t xml:space="preserve">Managerial Cost </t>
  </si>
  <si>
    <t xml:space="preserve">Technical Cost </t>
  </si>
  <si>
    <t xml:space="preserve">Clerical Cost </t>
  </si>
  <si>
    <t xml:space="preserve">Contractor Cost </t>
  </si>
  <si>
    <t xml:space="preserve">Total Cost </t>
  </si>
  <si>
    <t>TOTAL</t>
  </si>
  <si>
    <t>Hourly Rates</t>
  </si>
  <si>
    <t>Managerial Rate</t>
  </si>
  <si>
    <t>GS 15 Step 1</t>
  </si>
  <si>
    <t>Technical Rate</t>
  </si>
  <si>
    <t>GS 13 Step 1</t>
  </si>
  <si>
    <t>Clerical Rate</t>
  </si>
  <si>
    <t>GS 11 Step 1</t>
  </si>
  <si>
    <t>Extramural Rate</t>
  </si>
  <si>
    <t>Submit significant process changes report</t>
  </si>
  <si>
    <t>ODS Process Agent Use</t>
  </si>
  <si>
    <t>Significant process changes</t>
  </si>
  <si>
    <t>One-time report</t>
  </si>
  <si>
    <t>Annual annual report</t>
  </si>
  <si>
    <t>As-needed</t>
  </si>
  <si>
    <t>Regular</t>
  </si>
  <si>
    <t>Equals the number of one-time annual, and significant process change reports received per year</t>
  </si>
  <si>
    <t>Number of unique facilities</t>
  </si>
  <si>
    <t>Average Reports/Facility/Year</t>
  </si>
  <si>
    <t>Assumes initial response per year for each identified facility</t>
  </si>
  <si>
    <t>Number of facilities identified by EPA</t>
  </si>
  <si>
    <t>Year 1</t>
  </si>
  <si>
    <t>Year 2</t>
  </si>
  <si>
    <t>Total Hours/Year</t>
  </si>
  <si>
    <t>Average</t>
  </si>
  <si>
    <t>Reporting</t>
  </si>
  <si>
    <t>Recordkeeping</t>
  </si>
  <si>
    <t>EPA assessment</t>
  </si>
  <si>
    <t>Respondent Burden Assumptions</t>
  </si>
  <si>
    <t>Initial emissions reporting (part of one-time report)</t>
  </si>
  <si>
    <t>Annual emissions reporting (part of annual report)</t>
  </si>
  <si>
    <t>Annual Averaged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</si>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</sst>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&quot;$&quot;#,##0.00"/>
    <numFmt numFmtId="167" formatCode="&quot;$&quot;#,##0"/>
    <numFmt numFmtId="168" formatCode="_(* #,##0_);_(* \(#,##0\);_(* &quot;-&quot;??_);_(@_)"/>
    <numFmt numFmtId="169" formatCode="#,##0.0"/>
    <numFmt numFmtId="170" formatCode="_(&quot;$&quot;* #,##0_);_(&quot;$&quot;* \(#,##0\);_(&quot;$&quot;* &quot;-&quot;??_);_(@_)"/>
    <numFmt numFmtId="171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rgb="FF808080"/>
      <name val="Calibri"/>
      <family val="2"/>
    </font>
    <font>
      <sz val="9"/>
      <color rgb="FF808080"/>
      <name val="Calibri"/>
      <family val="2"/>
    </font>
    <font>
      <sz val="9"/>
      <color theme="1"/>
      <name val="Calibri"/>
      <family val="2"/>
      <scheme val="minor"/>
    </font>
    <font>
      <sz val="9"/>
      <color theme="0" tint="-0.249977111117893"/>
      <name val="Times New Roman"/>
      <family val="1"/>
    </font>
    <font>
      <sz val="9"/>
      <color rgb="FF808080"/>
      <name val="Times New Roman"/>
      <family val="1"/>
    </font>
    <font>
      <sz val="9"/>
      <color theme="2" tint="-0.499984740745262"/>
      <name val="Calibri"/>
      <family val="2"/>
      <scheme val="minor"/>
    </font>
    <font>
      <sz val="1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1" fillId="11" borderId="0" applyNumberFormat="0" applyBorder="0" applyAlignment="0" applyProtection="0"/>
  </cellStyleXfs>
  <cellXfs count="144">
    <xf numFmtId="0" fontId="0" fillId="0" borderId="0" xfId="0"/>
    <xf numFmtId="0" fontId="2" fillId="0" borderId="1" xfId="0" applyFont="1" applyBorder="1"/>
    <xf numFmtId="0" fontId="4" fillId="0" borderId="0" xfId="0" applyFont="1"/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1" xfId="0" applyFont="1" applyBorder="1"/>
    <xf numFmtId="166" fontId="6" fillId="0" borderId="1" xfId="2" applyNumberFormat="1" applyFont="1" applyFill="1" applyBorder="1" applyAlignment="1"/>
    <xf numFmtId="7" fontId="6" fillId="0" borderId="1" xfId="0" applyNumberFormat="1" applyFont="1" applyBorder="1"/>
    <xf numFmtId="166" fontId="6" fillId="0" borderId="1" xfId="1" applyNumberFormat="1" applyFont="1" applyFill="1" applyBorder="1" applyAlignment="1"/>
    <xf numFmtId="0" fontId="0" fillId="0" borderId="0" xfId="0" applyAlignment="1">
      <alignment wrapText="1"/>
    </xf>
    <xf numFmtId="167" fontId="6" fillId="0" borderId="1" xfId="1" applyNumberFormat="1" applyFont="1" applyBorder="1" applyAlignment="1">
      <alignment horizontal="right" vertical="center" wrapText="1"/>
    </xf>
    <xf numFmtId="167" fontId="6" fillId="0" borderId="1" xfId="1" applyNumberFormat="1" applyFont="1" applyFill="1" applyBorder="1" applyAlignment="1">
      <alignment horizontal="right" vertical="center" wrapText="1"/>
    </xf>
    <xf numFmtId="164" fontId="6" fillId="0" borderId="4" xfId="1" applyNumberFormat="1" applyFont="1" applyFill="1" applyBorder="1" applyAlignment="1">
      <alignment horizontal="right" vertical="center" wrapText="1"/>
    </xf>
    <xf numFmtId="168" fontId="6" fillId="0" borderId="1" xfId="1" applyNumberFormat="1" applyFont="1" applyBorder="1" applyAlignment="1">
      <alignment horizontal="right" vertical="center" wrapText="1"/>
    </xf>
    <xf numFmtId="0" fontId="12" fillId="4" borderId="0" xfId="0" applyFont="1" applyFill="1"/>
    <xf numFmtId="0" fontId="12" fillId="5" borderId="0" xfId="0" applyFont="1" applyFill="1"/>
    <xf numFmtId="0" fontId="13" fillId="0" borderId="0" xfId="0" applyFont="1"/>
    <xf numFmtId="168" fontId="3" fillId="6" borderId="1" xfId="1" applyNumberFormat="1" applyFont="1" applyFill="1" applyBorder="1" applyAlignment="1">
      <alignment vertical="center"/>
    </xf>
    <xf numFmtId="167" fontId="5" fillId="6" borderId="1" xfId="2" applyNumberFormat="1" applyFont="1" applyFill="1" applyBorder="1" applyAlignment="1">
      <alignment horizontal="right" vertical="center" wrapText="1"/>
    </xf>
    <xf numFmtId="8" fontId="6" fillId="0" borderId="1" xfId="0" applyNumberFormat="1" applyFont="1" applyBorder="1"/>
    <xf numFmtId="166" fontId="6" fillId="0" borderId="1" xfId="0" applyNumberFormat="1" applyFont="1" applyBorder="1" applyAlignment="1">
      <alignment horizontal="right" vertical="center"/>
    </xf>
    <xf numFmtId="168" fontId="6" fillId="0" borderId="1" xfId="1" applyNumberFormat="1" applyFont="1" applyFill="1" applyBorder="1" applyAlignment="1">
      <alignment horizontal="right" vertical="center" wrapText="1"/>
    </xf>
    <xf numFmtId="3" fontId="3" fillId="3" borderId="4" xfId="1" applyNumberFormat="1" applyFont="1" applyFill="1" applyBorder="1" applyAlignment="1">
      <alignment horizontal="left" vertical="center"/>
    </xf>
    <xf numFmtId="164" fontId="6" fillId="7" borderId="1" xfId="1" applyNumberFormat="1" applyFont="1" applyFill="1" applyBorder="1" applyAlignment="1">
      <alignment horizontal="right" vertical="center" wrapText="1"/>
    </xf>
    <xf numFmtId="168" fontId="6" fillId="7" borderId="1" xfId="1" applyNumberFormat="1" applyFont="1" applyFill="1" applyBorder="1" applyAlignment="1">
      <alignment horizontal="right" vertical="center" wrapText="1"/>
    </xf>
    <xf numFmtId="164" fontId="4" fillId="6" borderId="2" xfId="0" applyNumberFormat="1" applyFont="1" applyFill="1" applyBorder="1" applyAlignment="1">
      <alignment horizontal="left" vertical="center"/>
    </xf>
    <xf numFmtId="164" fontId="4" fillId="6" borderId="3" xfId="0" applyNumberFormat="1" applyFont="1" applyFill="1" applyBorder="1" applyAlignment="1">
      <alignment horizontal="left" vertical="center"/>
    </xf>
    <xf numFmtId="164" fontId="4" fillId="6" borderId="4" xfId="0" applyNumberFormat="1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left" vertical="center"/>
    </xf>
    <xf numFmtId="164" fontId="4" fillId="3" borderId="3" xfId="0" applyNumberFormat="1" applyFont="1" applyFill="1" applyBorder="1" applyAlignment="1">
      <alignment horizontal="left" vertical="center"/>
    </xf>
    <xf numFmtId="1" fontId="6" fillId="0" borderId="1" xfId="1" applyNumberFormat="1" applyFont="1" applyFill="1" applyBorder="1" applyAlignment="1">
      <alignment horizontal="right" vertical="center" wrapText="1"/>
    </xf>
    <xf numFmtId="164" fontId="4" fillId="3" borderId="2" xfId="0" applyNumberFormat="1" applyFont="1" applyFill="1" applyBorder="1" applyAlignment="1">
      <alignment vertical="center"/>
    </xf>
    <xf numFmtId="164" fontId="4" fillId="3" borderId="3" xfId="0" applyNumberFormat="1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vertical="center"/>
    </xf>
    <xf numFmtId="1" fontId="6" fillId="0" borderId="1" xfId="1" applyNumberFormat="1" applyFont="1" applyBorder="1" applyAlignment="1">
      <alignment horizontal="right" vertical="center" wrapText="1"/>
    </xf>
    <xf numFmtId="0" fontId="14" fillId="0" borderId="0" xfId="0" applyFont="1" applyAlignment="1">
      <alignment wrapText="1"/>
    </xf>
    <xf numFmtId="167" fontId="0" fillId="0" borderId="0" xfId="0" applyNumberFormat="1"/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center" vertical="center" wrapText="1"/>
    </xf>
    <xf numFmtId="3" fontId="6" fillId="7" borderId="1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0" fontId="17" fillId="9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3" fontId="6" fillId="7" borderId="4" xfId="1" applyNumberFormat="1" applyFont="1" applyFill="1" applyBorder="1" applyAlignment="1">
      <alignment horizontal="right" vertical="center" wrapText="1"/>
    </xf>
    <xf numFmtId="169" fontId="6" fillId="7" borderId="4" xfId="1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right" vertical="center" wrapText="1"/>
    </xf>
    <xf numFmtId="3" fontId="3" fillId="3" borderId="3" xfId="1" applyNumberFormat="1" applyFont="1" applyFill="1" applyBorder="1" applyAlignment="1">
      <alignment horizontal="left" vertical="center"/>
    </xf>
    <xf numFmtId="0" fontId="0" fillId="0" borderId="1" xfId="0" applyBorder="1"/>
    <xf numFmtId="0" fontId="13" fillId="0" borderId="1" xfId="0" applyFont="1" applyBorder="1"/>
    <xf numFmtId="168" fontId="3" fillId="6" borderId="4" xfId="1" applyNumberFormat="1" applyFont="1" applyFill="1" applyBorder="1" applyAlignment="1">
      <alignment vertical="center"/>
    </xf>
    <xf numFmtId="168" fontId="5" fillId="6" borderId="1" xfId="1" applyNumberFormat="1" applyFont="1" applyFill="1" applyBorder="1" applyAlignment="1">
      <alignment horizontal="right" vertical="center" wrapText="1"/>
    </xf>
    <xf numFmtId="164" fontId="6" fillId="10" borderId="1" xfId="1" applyNumberFormat="1" applyFont="1" applyFill="1" applyBorder="1" applyAlignment="1">
      <alignment horizontal="right" vertical="center" wrapText="1"/>
    </xf>
    <xf numFmtId="1" fontId="0" fillId="0" borderId="0" xfId="0" applyNumberFormat="1"/>
    <xf numFmtId="1" fontId="6" fillId="0" borderId="1" xfId="1" applyNumberFormat="1" applyFont="1" applyFill="1" applyBorder="1" applyAlignment="1">
      <alignment horizontal="left" vertical="center" wrapText="1"/>
    </xf>
    <xf numFmtId="167" fontId="3" fillId="3" borderId="2" xfId="2" applyNumberFormat="1" applyFont="1" applyFill="1" applyBorder="1" applyAlignment="1">
      <alignment horizontal="center" vertical="center"/>
    </xf>
    <xf numFmtId="167" fontId="3" fillId="3" borderId="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1" fontId="2" fillId="0" borderId="0" xfId="0" applyNumberFormat="1" applyFont="1"/>
    <xf numFmtId="165" fontId="0" fillId="0" borderId="1" xfId="1" applyNumberFormat="1" applyFont="1" applyFill="1" applyBorder="1"/>
    <xf numFmtId="0" fontId="2" fillId="0" borderId="1" xfId="0" applyFont="1" applyBorder="1" applyAlignment="1">
      <alignment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3" fontId="2" fillId="11" borderId="1" xfId="5" applyNumberFormat="1" applyFont="1" applyBorder="1" applyAlignment="1">
      <alignment wrapText="1"/>
    </xf>
    <xf numFmtId="1" fontId="2" fillId="11" borderId="1" xfId="5" applyNumberFormat="1" applyFont="1" applyBorder="1" applyAlignment="1">
      <alignment wrapText="1"/>
    </xf>
    <xf numFmtId="165" fontId="6" fillId="0" borderId="1" xfId="1" applyNumberFormat="1" applyFont="1" applyFill="1" applyBorder="1" applyAlignment="1">
      <alignment horizontal="right" vertical="center" wrapText="1"/>
    </xf>
    <xf numFmtId="166" fontId="0" fillId="0" borderId="0" xfId="0" applyNumberFormat="1"/>
    <xf numFmtId="1" fontId="6" fillId="0" borderId="0" xfId="1" applyNumberFormat="1" applyFont="1" applyFill="1" applyBorder="1" applyAlignment="1">
      <alignment vertical="center" wrapText="1"/>
    </xf>
    <xf numFmtId="168" fontId="0" fillId="0" borderId="0" xfId="0" applyNumberFormat="1"/>
    <xf numFmtId="0" fontId="15" fillId="8" borderId="1" xfId="0" applyFont="1" applyFill="1" applyBorder="1" applyAlignment="1">
      <alignment horizontal="center" vertical="center" wrapText="1"/>
    </xf>
    <xf numFmtId="170" fontId="0" fillId="0" borderId="0" xfId="2" applyNumberFormat="1" applyFont="1"/>
    <xf numFmtId="167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left" vertical="center" wrapText="1"/>
    </xf>
    <xf numFmtId="3" fontId="16" fillId="0" borderId="0" xfId="0" applyNumberFormat="1" applyFont="1" applyAlignment="1">
      <alignment horizontal="left" vertical="center" wrapText="1"/>
    </xf>
    <xf numFmtId="3" fontId="16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4" fontId="0" fillId="0" borderId="0" xfId="2" applyFont="1"/>
    <xf numFmtId="170" fontId="0" fillId="0" borderId="0" xfId="0" applyNumberFormat="1"/>
    <xf numFmtId="44" fontId="0" fillId="0" borderId="0" xfId="0" applyNumberFormat="1"/>
    <xf numFmtId="3" fontId="0" fillId="0" borderId="0" xfId="0" applyNumberFormat="1"/>
    <xf numFmtId="168" fontId="0" fillId="0" borderId="0" xfId="1" applyNumberFormat="1" applyFont="1"/>
    <xf numFmtId="171" fontId="0" fillId="0" borderId="0" xfId="0" applyNumberFormat="1"/>
    <xf numFmtId="1" fontId="6" fillId="0" borderId="1" xfId="1" applyNumberFormat="1" applyFont="1" applyFill="1" applyBorder="1" applyAlignment="1">
      <alignment horizontal="left" vertical="center" wrapText="1"/>
    </xf>
    <xf numFmtId="1" fontId="2" fillId="0" borderId="1" xfId="0" applyNumberFormat="1" applyFont="1" applyBorder="1"/>
    <xf numFmtId="169" fontId="6" fillId="0" borderId="1" xfId="1" applyNumberFormat="1" applyFont="1" applyFill="1" applyBorder="1" applyAlignment="1">
      <alignment horizontal="right" vertical="center" wrapText="1"/>
    </xf>
    <xf numFmtId="170" fontId="3" fillId="6" borderId="1" xfId="2" applyNumberFormat="1" applyFont="1" applyFill="1" applyBorder="1" applyAlignment="1">
      <alignment vertical="center"/>
    </xf>
    <xf numFmtId="0" fontId="23" fillId="12" borderId="1" xfId="0" applyFont="1" applyFill="1" applyBorder="1" applyAlignment="1">
      <alignment horizontal="left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167" fontId="23" fillId="12" borderId="1" xfId="0" applyNumberFormat="1" applyFont="1" applyFill="1" applyBorder="1" applyAlignment="1">
      <alignment horizontal="center" vertical="center" wrapText="1"/>
    </xf>
    <xf numFmtId="167" fontId="23" fillId="0" borderId="1" xfId="0" applyNumberFormat="1" applyFont="1" applyBorder="1" applyAlignment="1">
      <alignment horizontal="center" vertical="center" wrapText="1"/>
    </xf>
    <xf numFmtId="1" fontId="23" fillId="12" borderId="1" xfId="0" applyNumberFormat="1" applyFont="1" applyFill="1" applyBorder="1" applyAlignment="1">
      <alignment horizontal="center"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1" fontId="6" fillId="0" borderId="12" xfId="1" applyNumberFormat="1" applyFont="1" applyFill="1" applyBorder="1" applyAlignment="1">
      <alignment horizontal="center" vertical="center" wrapText="1"/>
    </xf>
    <xf numFmtId="1" fontId="6" fillId="0" borderId="6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left" vertical="center" wrapText="1"/>
    </xf>
    <xf numFmtId="1" fontId="6" fillId="0" borderId="5" xfId="1" applyNumberFormat="1" applyFont="1" applyBorder="1" applyAlignment="1">
      <alignment vertical="center" wrapText="1"/>
    </xf>
    <xf numFmtId="1" fontId="6" fillId="0" borderId="12" xfId="1" applyNumberFormat="1" applyFont="1" applyBorder="1" applyAlignment="1">
      <alignment vertical="center" wrapText="1"/>
    </xf>
    <xf numFmtId="1" fontId="6" fillId="0" borderId="6" xfId="1" applyNumberFormat="1" applyFont="1" applyBorder="1" applyAlignment="1">
      <alignment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7" fontId="3" fillId="3" borderId="2" xfId="2" applyNumberFormat="1" applyFont="1" applyFill="1" applyBorder="1" applyAlignment="1">
      <alignment horizontal="center" vertical="center"/>
    </xf>
    <xf numFmtId="167" fontId="3" fillId="3" borderId="3" xfId="2" applyNumberFormat="1" applyFont="1" applyFill="1" applyBorder="1" applyAlignment="1">
      <alignment horizontal="center" vertical="center"/>
    </xf>
    <xf numFmtId="167" fontId="3" fillId="3" borderId="4" xfId="2" applyNumberFormat="1" applyFont="1" applyFill="1" applyBorder="1" applyAlignment="1">
      <alignment horizontal="center" vertical="center"/>
    </xf>
    <xf numFmtId="167" fontId="3" fillId="3" borderId="1" xfId="2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/>
    </xf>
    <xf numFmtId="3" fontId="3" fillId="3" borderId="4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168" fontId="15" fillId="8" borderId="1" xfId="0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9" xfId="1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 vertical="center" wrapText="1"/>
    </xf>
    <xf numFmtId="165" fontId="3" fillId="2" borderId="10" xfId="1" applyNumberFormat="1" applyFont="1" applyFill="1" applyBorder="1" applyAlignment="1">
      <alignment horizontal="center" vertical="center" wrapText="1"/>
    </xf>
    <xf numFmtId="165" fontId="3" fillId="2" borderId="1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7" fontId="5" fillId="3" borderId="1" xfId="1" applyNumberFormat="1" applyFont="1" applyFill="1" applyBorder="1" applyAlignment="1">
      <alignment horizontal="center" vertical="center" wrapText="1"/>
    </xf>
    <xf numFmtId="169" fontId="5" fillId="3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left"/>
    </xf>
    <xf numFmtId="164" fontId="3" fillId="3" borderId="2" xfId="0" applyNumberFormat="1" applyFont="1" applyFill="1" applyBorder="1" applyAlignment="1">
      <alignment horizontal="left"/>
    </xf>
    <xf numFmtId="164" fontId="3" fillId="3" borderId="3" xfId="0" applyNumberFormat="1" applyFont="1" applyFill="1" applyBorder="1" applyAlignment="1">
      <alignment horizontal="left"/>
    </xf>
    <xf numFmtId="164" fontId="3" fillId="3" borderId="4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165" fontId="3" fillId="2" borderId="8" xfId="1" applyNumberFormat="1" applyFont="1" applyFill="1" applyBorder="1" applyAlignment="1">
      <alignment horizontal="center" vertical="center" wrapText="1"/>
    </xf>
  </cellXfs>
  <cellStyles count="6">
    <cellStyle name="20% - Accent4" xfId="5" builtinId="42"/>
    <cellStyle name="Comma" xfId="1" builtinId="3"/>
    <cellStyle name="Currency" xfId="2" builtinId="4"/>
    <cellStyle name="Currency 2" xfId="4" xr:uid="{C8921A53-D3BF-4C37-9A1F-4B6E6105BD39}"/>
    <cellStyle name="Normal" xfId="0" builtinId="0"/>
    <cellStyle name="Normal 2" xfId="3" xr:uid="{4DFC4194-A011-40B5-8DE2-6CC8082FB70C}"/>
  </cellStyles>
  <dxfs count="0"/>
  <tableStyles count="0" defaultTableStyle="TableStyleMedium2" defaultPivotStyle="PivotStyleLight16"/>
  <colors>
    <mruColors>
      <color rgb="FFFFF2CC"/>
      <color rgb="FFC6E0B4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20BFB-92DD-498C-9CC7-AA64B42C8279}">
  <sheetPr>
    <tabColor theme="8"/>
  </sheetPr>
  <dimension ref="B2:E8"/>
  <sheetViews>
    <sheetView workbookViewId="0">
      <selection activeCell="B5" sqref="B5"/>
    </sheetView>
  </sheetViews>
  <sheetFormatPr defaultRowHeight="14.4" x14ac:dyDescent="0.3"/>
  <cols>
    <col min="2" max="2" width="20.88671875" customWidth="1"/>
    <col min="3" max="3" width="36.5546875" bestFit="1" customWidth="1"/>
    <col min="4" max="4" width="18.109375" bestFit="1" customWidth="1"/>
    <col min="5" max="5" width="30.33203125" bestFit="1" customWidth="1"/>
  </cols>
  <sheetData>
    <row r="2" spans="2:5" x14ac:dyDescent="0.3">
      <c r="B2" s="56" t="s">
        <v>80</v>
      </c>
      <c r="C2" s="56" t="s">
        <v>82</v>
      </c>
    </row>
    <row r="3" spans="2:5" x14ac:dyDescent="0.3">
      <c r="B3" s="55" t="s">
        <v>77</v>
      </c>
      <c r="C3" s="55">
        <v>9</v>
      </c>
    </row>
    <row r="4" spans="2:5" x14ac:dyDescent="0.3">
      <c r="B4" s="55" t="s">
        <v>78</v>
      </c>
      <c r="C4" s="55">
        <v>9</v>
      </c>
    </row>
    <row r="5" spans="2:5" x14ac:dyDescent="0.3">
      <c r="B5" s="55" t="s">
        <v>12</v>
      </c>
      <c r="C5" s="55">
        <v>9</v>
      </c>
    </row>
    <row r="7" spans="2:5" x14ac:dyDescent="0.3">
      <c r="B7" s="56" t="s">
        <v>79</v>
      </c>
      <c r="C7" s="56" t="s">
        <v>82</v>
      </c>
      <c r="D7" s="56" t="s">
        <v>0</v>
      </c>
      <c r="E7" s="56" t="s">
        <v>83</v>
      </c>
    </row>
    <row r="8" spans="2:5" x14ac:dyDescent="0.3">
      <c r="B8" s="55" t="s">
        <v>76</v>
      </c>
      <c r="C8" s="55">
        <v>9</v>
      </c>
      <c r="D8" s="55">
        <v>1</v>
      </c>
      <c r="E8" s="71">
        <f>D8/C8</f>
        <v>0.1111111111111111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5FC9D-FC5B-4906-A09C-7FF1B5F9DF46}">
  <sheetPr codeName="Sheet1">
    <tabColor theme="8"/>
  </sheetPr>
  <dimension ref="A1:N20"/>
  <sheetViews>
    <sheetView topLeftCell="C1" zoomScaleNormal="100" workbookViewId="0">
      <selection activeCell="L7" sqref="L7:N7"/>
    </sheetView>
  </sheetViews>
  <sheetFormatPr defaultRowHeight="14.4" x14ac:dyDescent="0.3"/>
  <cols>
    <col min="1" max="1" width="4.109375" customWidth="1"/>
    <col min="2" max="2" width="20.44140625" customWidth="1"/>
    <col min="3" max="3" width="29.88671875" customWidth="1"/>
    <col min="4" max="5" width="9.109375" customWidth="1"/>
    <col min="6" max="6" width="10.44140625" customWidth="1"/>
    <col min="7" max="7" width="12.5546875" customWidth="1"/>
    <col min="8" max="8" width="40.88671875" customWidth="1"/>
    <col min="10" max="10" width="20.6640625" customWidth="1"/>
    <col min="11" max="11" width="30.33203125" customWidth="1"/>
    <col min="12" max="14" width="9.33203125" customWidth="1"/>
    <col min="15" max="15" width="8.109375" customWidth="1"/>
  </cols>
  <sheetData>
    <row r="1" spans="1:14" s="18" customFormat="1" ht="18" x14ac:dyDescent="0.35">
      <c r="A1" s="18" t="s">
        <v>93</v>
      </c>
    </row>
    <row r="2" spans="1:14" s="20" customFormat="1" x14ac:dyDescent="0.3"/>
    <row r="3" spans="1:14" x14ac:dyDescent="0.3">
      <c r="J3" s="20" t="s">
        <v>1</v>
      </c>
    </row>
    <row r="4" spans="1:14" ht="34.200000000000003" x14ac:dyDescent="0.3">
      <c r="B4" s="65" t="s">
        <v>2</v>
      </c>
      <c r="C4" s="65" t="s">
        <v>17</v>
      </c>
      <c r="D4" s="65" t="s">
        <v>4</v>
      </c>
      <c r="E4" s="65" t="s">
        <v>5</v>
      </c>
      <c r="F4" s="49" t="s">
        <v>6</v>
      </c>
      <c r="G4" s="65" t="s">
        <v>7</v>
      </c>
      <c r="H4" s="65" t="s">
        <v>8</v>
      </c>
      <c r="J4" s="65" t="s">
        <v>2</v>
      </c>
      <c r="K4" s="65" t="s">
        <v>3</v>
      </c>
      <c r="L4" s="65" t="s">
        <v>9</v>
      </c>
      <c r="M4" s="65" t="s">
        <v>10</v>
      </c>
      <c r="N4" s="65" t="s">
        <v>11</v>
      </c>
    </row>
    <row r="5" spans="1:14" x14ac:dyDescent="0.3">
      <c r="B5" s="106" t="s">
        <v>14</v>
      </c>
      <c r="C5" s="61" t="s">
        <v>13</v>
      </c>
      <c r="D5" s="34">
        <v>90</v>
      </c>
      <c r="E5" s="34">
        <v>12</v>
      </c>
      <c r="F5" s="50">
        <v>1</v>
      </c>
      <c r="G5" s="34">
        <f>'Reporting Activity'!C3</f>
        <v>9</v>
      </c>
      <c r="H5" s="61" t="s">
        <v>84</v>
      </c>
      <c r="I5" s="60"/>
      <c r="J5" s="103" t="s">
        <v>14</v>
      </c>
      <c r="K5" s="61" t="str">
        <f t="shared" ref="K5" si="0">C5</f>
        <v>Submit one-time report</v>
      </c>
      <c r="L5" s="38">
        <f>$G5*F5</f>
        <v>9</v>
      </c>
      <c r="M5" s="38">
        <v>0</v>
      </c>
      <c r="N5" s="38">
        <v>0</v>
      </c>
    </row>
    <row r="6" spans="1:14" ht="24" x14ac:dyDescent="0.3">
      <c r="B6" s="106"/>
      <c r="C6" s="94" t="s">
        <v>94</v>
      </c>
      <c r="D6" s="34">
        <v>1300</v>
      </c>
      <c r="E6" s="34">
        <v>185</v>
      </c>
      <c r="F6" s="50">
        <v>1</v>
      </c>
      <c r="G6" s="34">
        <f>'Reporting Activity'!C3</f>
        <v>9</v>
      </c>
      <c r="H6" s="94" t="s">
        <v>84</v>
      </c>
      <c r="I6" s="60"/>
      <c r="J6" s="104"/>
      <c r="K6" s="67" t="s">
        <v>15</v>
      </c>
      <c r="L6" s="38">
        <f>$G7</f>
        <v>9</v>
      </c>
      <c r="M6" s="38">
        <f>$G7</f>
        <v>9</v>
      </c>
      <c r="N6" s="38">
        <f>$G7</f>
        <v>9</v>
      </c>
    </row>
    <row r="7" spans="1:14" x14ac:dyDescent="0.3">
      <c r="B7" s="106"/>
      <c r="C7" s="61" t="s">
        <v>15</v>
      </c>
      <c r="D7" s="34">
        <v>6</v>
      </c>
      <c r="E7" s="34">
        <v>0</v>
      </c>
      <c r="F7" s="50">
        <v>1</v>
      </c>
      <c r="G7" s="34">
        <f>'Reporting Activity'!C4</f>
        <v>9</v>
      </c>
      <c r="H7" s="61" t="s">
        <v>85</v>
      </c>
      <c r="I7" s="60"/>
      <c r="J7" s="104"/>
      <c r="K7" s="67" t="s">
        <v>74</v>
      </c>
      <c r="L7" s="38">
        <f>'Reporting Activity'!C8</f>
        <v>9</v>
      </c>
      <c r="M7" s="38">
        <f>'Reporting Activity'!C8</f>
        <v>9</v>
      </c>
      <c r="N7" s="38">
        <f>'Reporting Activity'!C8</f>
        <v>9</v>
      </c>
    </row>
    <row r="8" spans="1:14" ht="24" x14ac:dyDescent="0.3">
      <c r="B8" s="106"/>
      <c r="C8" s="94" t="s">
        <v>95</v>
      </c>
      <c r="D8" s="34">
        <v>100</v>
      </c>
      <c r="E8" s="34">
        <v>14</v>
      </c>
      <c r="F8" s="50">
        <v>1</v>
      </c>
      <c r="G8" s="34">
        <f>'Reporting Activity'!C4</f>
        <v>9</v>
      </c>
      <c r="H8" s="94" t="s">
        <v>85</v>
      </c>
      <c r="I8" s="60"/>
      <c r="J8" s="105"/>
      <c r="K8" s="67" t="s">
        <v>12</v>
      </c>
      <c r="L8" s="38">
        <f>$G10</f>
        <v>9</v>
      </c>
      <c r="M8" s="38">
        <f>$G7</f>
        <v>9</v>
      </c>
      <c r="N8" s="38">
        <f>$G7</f>
        <v>9</v>
      </c>
    </row>
    <row r="9" spans="1:14" x14ac:dyDescent="0.3">
      <c r="B9" s="106"/>
      <c r="C9" s="67" t="s">
        <v>74</v>
      </c>
      <c r="D9" s="34">
        <v>6</v>
      </c>
      <c r="E9" s="34">
        <v>0</v>
      </c>
      <c r="F9" s="96">
        <v>0.1</v>
      </c>
      <c r="G9" s="34">
        <f>'Reporting Activity'!C8</f>
        <v>9</v>
      </c>
      <c r="H9" s="67" t="s">
        <v>92</v>
      </c>
      <c r="I9" s="60"/>
      <c r="J9" s="79"/>
    </row>
    <row r="10" spans="1:14" s="69" customFormat="1" x14ac:dyDescent="0.3">
      <c r="B10" s="106"/>
      <c r="C10" s="72" t="s">
        <v>12</v>
      </c>
      <c r="D10" s="1">
        <v>0</v>
      </c>
      <c r="E10" s="1">
        <v>42</v>
      </c>
      <c r="F10" s="1">
        <v>1</v>
      </c>
      <c r="G10" s="95">
        <f>'Reporting Activity'!C5</f>
        <v>9</v>
      </c>
      <c r="H10" s="67" t="s">
        <v>85</v>
      </c>
      <c r="I10" s="70"/>
      <c r="J10" s="79"/>
      <c r="K10"/>
      <c r="L10"/>
      <c r="M10"/>
      <c r="N10"/>
    </row>
    <row r="12" spans="1:14" x14ac:dyDescent="0.3">
      <c r="D12" s="60"/>
      <c r="E12" s="60"/>
      <c r="F12" s="60"/>
    </row>
    <row r="13" spans="1:14" x14ac:dyDescent="0.3">
      <c r="D13" s="60"/>
      <c r="E13" s="60"/>
      <c r="F13" s="60"/>
    </row>
    <row r="20" spans="5:5" ht="15" customHeight="1" x14ac:dyDescent="0.3">
      <c r="E20" s="93"/>
    </row>
  </sheetData>
  <autoFilter ref="B4:H10" xr:uid="{3285FC9D-FC5B-4906-A09C-7FF1B5F9DF46}"/>
  <mergeCells count="2">
    <mergeCell ref="J5:J8"/>
    <mergeCell ref="B5:B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5DF7-DF29-41B6-B480-6F886A83F319}">
  <sheetPr codeName="Sheet2">
    <tabColor theme="8"/>
  </sheetPr>
  <dimension ref="A1:AG25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22" sqref="G22"/>
    </sheetView>
  </sheetViews>
  <sheetFormatPr defaultRowHeight="14.4" x14ac:dyDescent="0.3"/>
  <cols>
    <col min="1" max="1" width="3.6640625" customWidth="1"/>
    <col min="2" max="2" width="12.88671875" customWidth="1"/>
    <col min="3" max="3" width="41.88671875" customWidth="1"/>
    <col min="4" max="4" width="18.44140625" customWidth="1"/>
    <col min="5" max="5" width="10.33203125" customWidth="1"/>
    <col min="6" max="6" width="21" customWidth="1"/>
    <col min="7" max="7" width="13.88671875" customWidth="1"/>
    <col min="8" max="8" width="12.5546875" customWidth="1"/>
    <col min="9" max="9" width="13.33203125" customWidth="1"/>
    <col min="10" max="12" width="7.109375" customWidth="1"/>
    <col min="13" max="13" width="8.88671875" customWidth="1"/>
    <col min="14" max="15" width="12.33203125" customWidth="1"/>
    <col min="16" max="17" width="9.44140625" bestFit="1" customWidth="1"/>
    <col min="18" max="18" width="9.88671875" bestFit="1" customWidth="1"/>
    <col min="19" max="19" width="12.5546875" customWidth="1"/>
    <col min="20" max="20" width="12.33203125" customWidth="1"/>
    <col min="21" max="21" width="13.44140625" customWidth="1"/>
    <col min="22" max="22" width="15.44140625" customWidth="1"/>
    <col min="23" max="24" width="12.5546875" bestFit="1" customWidth="1"/>
    <col min="25" max="25" width="13" bestFit="1" customWidth="1"/>
    <col min="26" max="26" width="5.33203125" style="48" customWidth="1"/>
    <col min="27" max="27" width="7.109375" style="48" customWidth="1"/>
    <col min="28" max="28" width="18" customWidth="1"/>
    <col min="29" max="29" width="9.6640625" customWidth="1"/>
    <col min="30" max="30" width="11.44140625" bestFit="1" customWidth="1"/>
    <col min="31" max="31" width="12.109375" customWidth="1"/>
    <col min="32" max="32" width="10.6640625" customWidth="1"/>
    <col min="33" max="33" width="12.33203125" customWidth="1"/>
  </cols>
  <sheetData>
    <row r="1" spans="1:33" s="18" customFormat="1" ht="18" x14ac:dyDescent="0.35">
      <c r="A1" s="18" t="s">
        <v>41</v>
      </c>
      <c r="Z1" s="46" t="s">
        <v>16</v>
      </c>
      <c r="AA1" s="46"/>
    </row>
    <row r="2" spans="1:33" x14ac:dyDescent="0.3">
      <c r="Z2" s="47"/>
      <c r="AA2" s="47"/>
    </row>
    <row r="3" spans="1:33" s="13" customFormat="1" ht="33" customHeight="1" x14ac:dyDescent="0.3">
      <c r="B3" s="110" t="s">
        <v>2</v>
      </c>
      <c r="C3" s="110" t="s">
        <v>17</v>
      </c>
      <c r="D3" s="112" t="s">
        <v>18</v>
      </c>
      <c r="E3" s="110" t="s">
        <v>4</v>
      </c>
      <c r="F3" s="110" t="s">
        <v>5</v>
      </c>
      <c r="G3" s="110" t="s">
        <v>19</v>
      </c>
      <c r="H3" s="110" t="s">
        <v>20</v>
      </c>
      <c r="I3" s="110" t="s">
        <v>21</v>
      </c>
      <c r="J3" s="118" t="s">
        <v>22</v>
      </c>
      <c r="K3" s="119"/>
      <c r="L3" s="119"/>
      <c r="M3" s="118" t="s">
        <v>23</v>
      </c>
      <c r="N3" s="119"/>
      <c r="O3" s="120"/>
      <c r="P3" s="118" t="s">
        <v>24</v>
      </c>
      <c r="Q3" s="119"/>
      <c r="R3" s="120"/>
      <c r="S3" s="118" t="s">
        <v>25</v>
      </c>
      <c r="T3" s="119"/>
      <c r="U3" s="120"/>
      <c r="V3" s="110" t="s">
        <v>26</v>
      </c>
      <c r="W3" s="118" t="s">
        <v>27</v>
      </c>
      <c r="X3" s="119"/>
      <c r="Y3" s="120"/>
      <c r="Z3" s="47"/>
      <c r="AA3" s="47"/>
      <c r="AB3" s="126" t="s">
        <v>28</v>
      </c>
      <c r="AC3" s="126" t="s">
        <v>29</v>
      </c>
      <c r="AD3" s="126" t="s">
        <v>30</v>
      </c>
      <c r="AE3" s="127" t="s">
        <v>31</v>
      </c>
      <c r="AF3" s="126" t="s">
        <v>32</v>
      </c>
      <c r="AG3" s="126" t="s">
        <v>33</v>
      </c>
    </row>
    <row r="4" spans="1:33" s="13" customFormat="1" x14ac:dyDescent="0.3">
      <c r="B4" s="111"/>
      <c r="C4" s="111"/>
      <c r="D4" s="113"/>
      <c r="E4" s="111"/>
      <c r="F4" s="111"/>
      <c r="G4" s="111"/>
      <c r="H4" s="111"/>
      <c r="I4" s="111"/>
      <c r="J4" s="65" t="s">
        <v>34</v>
      </c>
      <c r="K4" s="65" t="s">
        <v>35</v>
      </c>
      <c r="L4" s="65" t="s">
        <v>36</v>
      </c>
      <c r="M4" s="65" t="s">
        <v>34</v>
      </c>
      <c r="N4" s="65" t="s">
        <v>35</v>
      </c>
      <c r="O4" s="65" t="s">
        <v>36</v>
      </c>
      <c r="P4" s="65" t="s">
        <v>34</v>
      </c>
      <c r="Q4" s="65" t="s">
        <v>35</v>
      </c>
      <c r="R4" s="65" t="s">
        <v>36</v>
      </c>
      <c r="S4" s="65" t="s">
        <v>34</v>
      </c>
      <c r="T4" s="65" t="s">
        <v>35</v>
      </c>
      <c r="U4" s="65" t="s">
        <v>36</v>
      </c>
      <c r="V4" s="111"/>
      <c r="W4" s="65" t="s">
        <v>34</v>
      </c>
      <c r="X4" s="65" t="s">
        <v>35</v>
      </c>
      <c r="Y4" s="65" t="s">
        <v>36</v>
      </c>
      <c r="Z4" s="47"/>
      <c r="AA4" s="47"/>
      <c r="AB4" s="126"/>
      <c r="AC4" s="126"/>
      <c r="AD4" s="126"/>
      <c r="AE4" s="126"/>
      <c r="AF4" s="126"/>
      <c r="AG4" s="126"/>
    </row>
    <row r="5" spans="1:33" s="13" customFormat="1" x14ac:dyDescent="0.3">
      <c r="A5" s="39">
        <v>1</v>
      </c>
      <c r="B5" s="107" t="s">
        <v>75</v>
      </c>
      <c r="C5" s="61" t="str">
        <f>'Respondent Assumptions'!C5</f>
        <v>Submit one-time report</v>
      </c>
      <c r="D5" s="51">
        <f>'Respondent Assumptions'!F5</f>
        <v>1</v>
      </c>
      <c r="E5" s="52">
        <f>'Respondent Assumptions'!D5+'Respondent Assumptions'!D6</f>
        <v>1390</v>
      </c>
      <c r="F5" s="51">
        <f>'Respondent Assumptions'!E5+'Respondent Assumptions'!E6</f>
        <v>197</v>
      </c>
      <c r="G5" s="16">
        <f>D5*(E5+F5)</f>
        <v>1587</v>
      </c>
      <c r="H5" s="15">
        <f>(D5*E5*$B$14)+(D5*F5*$B$15)</f>
        <v>196456.00999999998</v>
      </c>
      <c r="I5" s="14">
        <v>1851</v>
      </c>
      <c r="J5" s="44">
        <f>'Respondent Assumptions'!L5</f>
        <v>9</v>
      </c>
      <c r="K5" s="44">
        <f>'Respondent Assumptions'!M5</f>
        <v>0</v>
      </c>
      <c r="L5" s="44">
        <f>'Respondent Assumptions'!N5</f>
        <v>0</v>
      </c>
      <c r="M5" s="25">
        <f>$D5*J5</f>
        <v>9</v>
      </c>
      <c r="N5" s="25">
        <f t="shared" ref="N5" si="0">$D5*K5</f>
        <v>0</v>
      </c>
      <c r="O5" s="25">
        <f t="shared" ref="O5" si="1">$D5*L5</f>
        <v>0</v>
      </c>
      <c r="P5" s="45">
        <f>J5*$G5</f>
        <v>14283</v>
      </c>
      <c r="Q5" s="45">
        <f t="shared" ref="Q5" si="2">K5*$G5</f>
        <v>0</v>
      </c>
      <c r="R5" s="45">
        <f t="shared" ref="R5" si="3">L5*$G5</f>
        <v>0</v>
      </c>
      <c r="S5" s="14">
        <f>$H5*J5</f>
        <v>1768104.0899999999</v>
      </c>
      <c r="T5" s="14">
        <f t="shared" ref="T5" si="4">$H5*K5</f>
        <v>0</v>
      </c>
      <c r="U5" s="14">
        <f t="shared" ref="U5" si="5">$H5*L5</f>
        <v>0</v>
      </c>
      <c r="V5" s="14">
        <f>I5*(AVERAGE(J5,K5,L5))</f>
        <v>5553</v>
      </c>
      <c r="W5" s="14">
        <f>S5+$V5*3</f>
        <v>1784763.0899999999</v>
      </c>
      <c r="X5" s="14">
        <v>0</v>
      </c>
      <c r="Y5" s="14">
        <v>0</v>
      </c>
      <c r="Z5" s="47">
        <v>1</v>
      </c>
      <c r="AA5" s="47"/>
      <c r="AB5" s="41" t="s">
        <v>86</v>
      </c>
      <c r="AC5" s="42">
        <f>M9</f>
        <v>28</v>
      </c>
      <c r="AD5" s="42">
        <f>P9</f>
        <v>14721</v>
      </c>
      <c r="AE5" s="83">
        <f>S9</f>
        <v>1813618.8299999998</v>
      </c>
      <c r="AF5" s="43">
        <f>V5*3</f>
        <v>16659</v>
      </c>
      <c r="AG5" s="43">
        <f>AE5+AF5</f>
        <v>1830277.8299999998</v>
      </c>
    </row>
    <row r="6" spans="1:33" s="13" customFormat="1" x14ac:dyDescent="0.3">
      <c r="A6" s="39">
        <v>1</v>
      </c>
      <c r="B6" s="108"/>
      <c r="C6" s="61" t="str">
        <f>'Respondent Assumptions'!C7</f>
        <v>Submit annual report</v>
      </c>
      <c r="D6" s="51">
        <f>'Respondent Assumptions'!F7</f>
        <v>1</v>
      </c>
      <c r="E6" s="52">
        <f>'Respondent Assumptions'!D7+'Respondent Assumptions'!D8*2/3</f>
        <v>72.666666666666671</v>
      </c>
      <c r="F6" s="51">
        <f>'Respondent Assumptions'!E7+'Respondent Assumptions'!E8*2/3</f>
        <v>9.3333333333333339</v>
      </c>
      <c r="G6" s="16">
        <f>D6*(E6+F6)</f>
        <v>82</v>
      </c>
      <c r="H6" s="15">
        <f>(D6*E6*$B$14)+(D6*F6*$B$15)</f>
        <v>10173.593333333332</v>
      </c>
      <c r="I6" s="14">
        <v>2521.33</v>
      </c>
      <c r="J6" s="44">
        <f>'Respondent Assumptions'!L6</f>
        <v>9</v>
      </c>
      <c r="K6" s="44">
        <f>'Respondent Assumptions'!M6</f>
        <v>9</v>
      </c>
      <c r="L6" s="44">
        <f>'Respondent Assumptions'!N6</f>
        <v>9</v>
      </c>
      <c r="M6" s="25">
        <f>$D6*J6</f>
        <v>9</v>
      </c>
      <c r="N6" s="25">
        <f>$D6*K6</f>
        <v>9</v>
      </c>
      <c r="O6" s="25">
        <f>$D6*L6</f>
        <v>9</v>
      </c>
      <c r="P6" s="45">
        <f>M6*('Respondent Assumptions'!D7+'Respondent Assumptions'!E7)</f>
        <v>54</v>
      </c>
      <c r="Q6" s="45">
        <f>9*('Respondent Assumptions'!D7+'Respondent Assumptions'!E7+'Respondent Assumptions'!D8+'Respondent Assumptions'!E8)</f>
        <v>1080</v>
      </c>
      <c r="R6" s="45">
        <f>9*('Respondent Assumptions'!D7+'Respondent Assumptions'!E7+'Respondent Assumptions'!D8+'Respondent Assumptions'!E8)</f>
        <v>1080</v>
      </c>
      <c r="S6" s="14">
        <f>('Respondent Assumptions'!D7*'Respondent Burden - ICR'!B14)*J6</f>
        <v>6865.0199999999995</v>
      </c>
      <c r="T6" s="14">
        <f>$H6*K6</f>
        <v>91562.34</v>
      </c>
      <c r="U6" s="14">
        <f>$H6*L6</f>
        <v>91562.34</v>
      </c>
      <c r="V6" s="14">
        <f>I6*(AVERAGE(J6,K6,L6))</f>
        <v>22691.97</v>
      </c>
      <c r="W6" s="14">
        <f>S6</f>
        <v>6865.0199999999995</v>
      </c>
      <c r="X6" s="14">
        <f>T6+$V6*3/2</f>
        <v>125600.295</v>
      </c>
      <c r="Y6" s="14">
        <f>U6+$V6*3/2</f>
        <v>125600.295</v>
      </c>
      <c r="Z6" s="47">
        <v>1</v>
      </c>
      <c r="AA6" s="47"/>
      <c r="AB6" s="41" t="s">
        <v>87</v>
      </c>
      <c r="AC6" s="42">
        <f>N9</f>
        <v>19</v>
      </c>
      <c r="AD6" s="42">
        <f>Q9</f>
        <v>1464</v>
      </c>
      <c r="AE6" s="83">
        <f>T9</f>
        <v>130212.06</v>
      </c>
      <c r="AF6" s="43">
        <f>V6*3/2</f>
        <v>34037.955000000002</v>
      </c>
      <c r="AG6" s="43">
        <f>AE6+AF6</f>
        <v>164250.01500000001</v>
      </c>
    </row>
    <row r="7" spans="1:33" s="13" customFormat="1" x14ac:dyDescent="0.3">
      <c r="A7" s="39">
        <v>1</v>
      </c>
      <c r="B7" s="108"/>
      <c r="C7" s="67" t="s">
        <v>74</v>
      </c>
      <c r="D7" s="52">
        <f>'Reporting Activity'!E8</f>
        <v>0.1111111111111111</v>
      </c>
      <c r="E7" s="52">
        <f>'Respondent Assumptions'!D9</f>
        <v>6</v>
      </c>
      <c r="F7" s="51">
        <f>'Respondent Assumptions'!E9</f>
        <v>0</v>
      </c>
      <c r="G7" s="16">
        <f t="shared" ref="G7" si="6">D7*(E7+F7)</f>
        <v>0.66666666666666663</v>
      </c>
      <c r="H7" s="15">
        <f t="shared" ref="H7" si="7">(D7*E7*$B$14)+(D7*F7*$B$15)</f>
        <v>84.75333333333333</v>
      </c>
      <c r="I7" s="14">
        <v>0</v>
      </c>
      <c r="J7" s="44">
        <f>'Respondent Assumptions'!L7</f>
        <v>9</v>
      </c>
      <c r="K7" s="44">
        <f>'Respondent Assumptions'!M7</f>
        <v>9</v>
      </c>
      <c r="L7" s="44">
        <f>'Respondent Assumptions'!N7</f>
        <v>9</v>
      </c>
      <c r="M7" s="77">
        <f>$D7*J7</f>
        <v>1</v>
      </c>
      <c r="N7" s="77">
        <f t="shared" ref="N7:N8" si="8">$D7*K7</f>
        <v>1</v>
      </c>
      <c r="O7" s="77">
        <f t="shared" ref="O7:O8" si="9">$D7*L7</f>
        <v>1</v>
      </c>
      <c r="P7" s="45">
        <f>J7*$G7</f>
        <v>6</v>
      </c>
      <c r="Q7" s="45">
        <f t="shared" ref="Q7:Q8" si="10">K7*$G7</f>
        <v>6</v>
      </c>
      <c r="R7" s="45">
        <f t="shared" ref="R7:R8" si="11">L7*$G7</f>
        <v>6</v>
      </c>
      <c r="S7" s="14">
        <f t="shared" ref="S7:S8" si="12">$H7*J7</f>
        <v>762.78</v>
      </c>
      <c r="T7" s="14">
        <f t="shared" ref="T7:T8" si="13">$H7*K7</f>
        <v>762.78</v>
      </c>
      <c r="U7" s="14">
        <f>$H7*L7</f>
        <v>762.78</v>
      </c>
      <c r="V7" s="14">
        <f t="shared" ref="V7:V8" si="14">I7*J7</f>
        <v>0</v>
      </c>
      <c r="W7" s="14">
        <f>S7+$V7</f>
        <v>762.78</v>
      </c>
      <c r="X7" s="14">
        <f t="shared" ref="X7:X8" si="15">T7+$V7</f>
        <v>762.78</v>
      </c>
      <c r="Y7" s="14">
        <f t="shared" ref="Y7:Y8" si="16">U7+$V7</f>
        <v>762.78</v>
      </c>
      <c r="Z7" s="47">
        <v>1</v>
      </c>
      <c r="AA7" s="47"/>
      <c r="AB7" s="41" t="s">
        <v>37</v>
      </c>
      <c r="AC7" s="42">
        <f>O9</f>
        <v>19</v>
      </c>
      <c r="AD7" s="42">
        <f>R9</f>
        <v>1464</v>
      </c>
      <c r="AE7" s="83">
        <f>U9</f>
        <v>130212.06</v>
      </c>
      <c r="AF7" s="43">
        <f>V6*3/2</f>
        <v>34037.955000000002</v>
      </c>
      <c r="AG7" s="43">
        <f>AE7+AF7</f>
        <v>164250.01500000001</v>
      </c>
    </row>
    <row r="8" spans="1:33" s="68" customFormat="1" ht="13.2" x14ac:dyDescent="0.25">
      <c r="A8" s="73">
        <v>2</v>
      </c>
      <c r="B8" s="109"/>
      <c r="C8" s="72" t="s">
        <v>12</v>
      </c>
      <c r="D8" s="75">
        <f>'Respondent Assumptions'!F10</f>
        <v>1</v>
      </c>
      <c r="E8" s="76">
        <f>'Respondent Assumptions'!D10</f>
        <v>0</v>
      </c>
      <c r="F8" s="51">
        <f>'Respondent Assumptions'!E10</f>
        <v>42</v>
      </c>
      <c r="G8" s="16">
        <f>D8*(E8+F8)</f>
        <v>42</v>
      </c>
      <c r="H8" s="15">
        <f>(D8*E8*$B$14)+(D8*F8*$B$15)</f>
        <v>4209.66</v>
      </c>
      <c r="I8" s="72">
        <v>0</v>
      </c>
      <c r="J8" s="76">
        <f>'Respondent Assumptions'!L8</f>
        <v>9</v>
      </c>
      <c r="K8" s="76">
        <f>'Respondent Assumptions'!M8</f>
        <v>9</v>
      </c>
      <c r="L8" s="76">
        <f>'Respondent Assumptions'!N8</f>
        <v>9</v>
      </c>
      <c r="M8" s="25">
        <f t="shared" ref="M8" si="17">$D8*J8</f>
        <v>9</v>
      </c>
      <c r="N8" s="25">
        <f t="shared" si="8"/>
        <v>9</v>
      </c>
      <c r="O8" s="25">
        <f t="shared" si="9"/>
        <v>9</v>
      </c>
      <c r="P8" s="45">
        <f>J8*$G8</f>
        <v>378</v>
      </c>
      <c r="Q8" s="45">
        <f t="shared" si="10"/>
        <v>378</v>
      </c>
      <c r="R8" s="45">
        <f t="shared" si="11"/>
        <v>378</v>
      </c>
      <c r="S8" s="14">
        <f t="shared" si="12"/>
        <v>37886.94</v>
      </c>
      <c r="T8" s="14">
        <f t="shared" si="13"/>
        <v>37886.94</v>
      </c>
      <c r="U8" s="14">
        <f>$H8*L8</f>
        <v>37886.94</v>
      </c>
      <c r="V8" s="14">
        <f t="shared" si="14"/>
        <v>0</v>
      </c>
      <c r="W8" s="14">
        <f t="shared" ref="W8" si="18">S8+$V8</f>
        <v>37886.94</v>
      </c>
      <c r="X8" s="14">
        <f t="shared" si="15"/>
        <v>37886.94</v>
      </c>
      <c r="Y8" s="14">
        <f t="shared" si="16"/>
        <v>37886.94</v>
      </c>
      <c r="Z8" s="87">
        <v>2</v>
      </c>
      <c r="AA8" s="74"/>
      <c r="AB8" s="41" t="s">
        <v>38</v>
      </c>
      <c r="AC8" s="42">
        <f>AVERAGE(AC5:AC7)</f>
        <v>22</v>
      </c>
      <c r="AD8" s="42">
        <f>AVERAGE(AD5:AD7)</f>
        <v>5883</v>
      </c>
      <c r="AE8" s="83">
        <f>AVERAGE(AE5:AE7)</f>
        <v>691347.65</v>
      </c>
      <c r="AF8" s="43">
        <f>AVERAGE(AF5:AF7)</f>
        <v>28244.97</v>
      </c>
      <c r="AG8" s="43">
        <f>AVERAGE(AG5:AG7)</f>
        <v>719592.62</v>
      </c>
    </row>
    <row r="9" spans="1:33" x14ac:dyDescent="0.3">
      <c r="B9" s="29" t="s">
        <v>39</v>
      </c>
      <c r="C9" s="30"/>
      <c r="D9" s="30"/>
      <c r="E9" s="30"/>
      <c r="F9" s="30"/>
      <c r="G9" s="30"/>
      <c r="H9" s="30"/>
      <c r="I9" s="30"/>
      <c r="J9" s="30"/>
      <c r="K9" s="30"/>
      <c r="L9" s="31"/>
      <c r="M9" s="57">
        <f>SUM(M5:M8)</f>
        <v>28</v>
      </c>
      <c r="N9" s="21">
        <f>SUM(N5:N8)</f>
        <v>19</v>
      </c>
      <c r="O9" s="21">
        <f>SUM(O5:O8)</f>
        <v>19</v>
      </c>
      <c r="P9" s="21">
        <f t="shared" ref="P9:Y9" si="19">SUM(P5:P8)</f>
        <v>14721</v>
      </c>
      <c r="Q9" s="21">
        <f t="shared" si="19"/>
        <v>1464</v>
      </c>
      <c r="R9" s="21">
        <f t="shared" si="19"/>
        <v>1464</v>
      </c>
      <c r="S9" s="97">
        <f t="shared" si="19"/>
        <v>1813618.8299999998</v>
      </c>
      <c r="T9" s="97">
        <f t="shared" si="19"/>
        <v>130212.06</v>
      </c>
      <c r="U9" s="97">
        <f t="shared" si="19"/>
        <v>130212.06</v>
      </c>
      <c r="V9" s="97">
        <f t="shared" si="19"/>
        <v>28244.97</v>
      </c>
      <c r="W9" s="97">
        <f t="shared" si="19"/>
        <v>1830277.8299999998</v>
      </c>
      <c r="X9" s="97">
        <f t="shared" si="19"/>
        <v>164250.01500000001</v>
      </c>
      <c r="Y9" s="97">
        <f t="shared" si="19"/>
        <v>164250.01500000001</v>
      </c>
      <c r="Z9" s="47"/>
      <c r="AA9" s="47"/>
    </row>
    <row r="10" spans="1:33" x14ac:dyDescent="0.3">
      <c r="B10" s="32" t="s">
        <v>40</v>
      </c>
      <c r="C10" s="33"/>
      <c r="D10" s="33"/>
      <c r="E10" s="33"/>
      <c r="F10" s="33"/>
      <c r="G10" s="33"/>
      <c r="H10" s="33"/>
      <c r="I10" s="63"/>
      <c r="J10" s="54"/>
      <c r="K10" s="54"/>
      <c r="L10" s="26"/>
      <c r="M10" s="124">
        <f>SUM(M9:O9)</f>
        <v>66</v>
      </c>
      <c r="N10" s="124"/>
      <c r="O10" s="122"/>
      <c r="P10" s="125">
        <f>SUM(P9:R9)</f>
        <v>17649</v>
      </c>
      <c r="Q10" s="124"/>
      <c r="R10" s="122"/>
      <c r="S10" s="114">
        <f>SUM(S9:U9)</f>
        <v>2074042.95</v>
      </c>
      <c r="T10" s="115"/>
      <c r="U10" s="116"/>
      <c r="V10" s="62">
        <f>V9*3</f>
        <v>84734.91</v>
      </c>
      <c r="W10" s="114">
        <f>SUM(W9:Y9)</f>
        <v>2158777.86</v>
      </c>
      <c r="X10" s="115"/>
      <c r="Y10" s="116"/>
      <c r="Z10" s="47"/>
      <c r="AA10" s="47"/>
      <c r="AB10" s="81" t="s">
        <v>88</v>
      </c>
      <c r="AC10" s="81" t="s">
        <v>86</v>
      </c>
      <c r="AD10" s="81" t="s">
        <v>87</v>
      </c>
      <c r="AE10" s="81" t="s">
        <v>37</v>
      </c>
      <c r="AF10" s="81" t="s">
        <v>89</v>
      </c>
    </row>
    <row r="11" spans="1:33" x14ac:dyDescent="0.3">
      <c r="B11" s="35" t="s">
        <v>38</v>
      </c>
      <c r="C11" s="36"/>
      <c r="D11" s="36"/>
      <c r="E11" s="36"/>
      <c r="F11" s="36"/>
      <c r="G11" s="36"/>
      <c r="H11" s="33"/>
      <c r="I11" s="63"/>
      <c r="J11" s="36"/>
      <c r="K11" s="36"/>
      <c r="L11" s="37"/>
      <c r="M11" s="122">
        <f>AVERAGE(M9:O9)</f>
        <v>22</v>
      </c>
      <c r="N11" s="123"/>
      <c r="O11" s="123"/>
      <c r="P11" s="121">
        <f>AVERAGE(P9:R9)</f>
        <v>5883</v>
      </c>
      <c r="Q11" s="121"/>
      <c r="R11" s="121"/>
      <c r="S11" s="117">
        <f>AVERAGE(S9:U9)</f>
        <v>691347.65</v>
      </c>
      <c r="T11" s="117"/>
      <c r="U11" s="117"/>
      <c r="V11" s="62">
        <f>V9</f>
        <v>28244.97</v>
      </c>
      <c r="W11" s="117">
        <f>AVERAGE(W9:Y9)</f>
        <v>719592.62</v>
      </c>
      <c r="X11" s="117"/>
      <c r="Y11" s="117"/>
      <c r="Z11" s="47"/>
      <c r="AA11" s="47"/>
      <c r="AB11" s="84" t="s">
        <v>90</v>
      </c>
      <c r="AC11" s="42">
        <f>SUMIF($Z$5:$Z$74,"1",P$5:P$74)</f>
        <v>14343</v>
      </c>
      <c r="AD11" s="42">
        <f>SUMIF($Z$5:$Z$74,"1",Q$5:Q$74)</f>
        <v>1086</v>
      </c>
      <c r="AE11" s="42">
        <f>SUMIF($Z$5:$Z$74,"1",R$5:R$74)</f>
        <v>1086</v>
      </c>
      <c r="AF11" s="42">
        <f>AVERAGE(AC11:AE11)</f>
        <v>5505</v>
      </c>
    </row>
    <row r="12" spans="1:33" x14ac:dyDescent="0.3">
      <c r="Z12" s="47"/>
      <c r="AA12" s="47"/>
      <c r="AB12" s="84" t="s">
        <v>91</v>
      </c>
      <c r="AC12" s="42">
        <f>SUMIF($Z$5:$Z$74,"2",P$5:P$74)</f>
        <v>378</v>
      </c>
      <c r="AD12" s="42">
        <f>SUMIF($Z$5:$Z$74,"2",Q$5:Q$74)</f>
        <v>378</v>
      </c>
      <c r="AE12" s="42">
        <f>SUMIF($Z$5:$Z$74,"2",R$5:R$74)</f>
        <v>378</v>
      </c>
      <c r="AF12" s="42">
        <f t="shared" ref="AF12" si="20">AVERAGE(AC12:AE12)</f>
        <v>378</v>
      </c>
    </row>
    <row r="13" spans="1:33" x14ac:dyDescent="0.3">
      <c r="B13" s="3" t="s">
        <v>41</v>
      </c>
      <c r="C13" s="3"/>
      <c r="V13" s="78"/>
      <c r="W13" s="40"/>
      <c r="X13" s="40"/>
      <c r="Y13" s="40"/>
      <c r="Z13"/>
      <c r="AA13" s="47"/>
      <c r="AB13" s="47"/>
      <c r="AC13" s="85"/>
      <c r="AD13" s="86"/>
      <c r="AE13" s="42" t="s">
        <v>97</v>
      </c>
      <c r="AF13" s="42">
        <f>SUM(AF11:AF12)</f>
        <v>5883</v>
      </c>
    </row>
    <row r="14" spans="1:33" x14ac:dyDescent="0.3">
      <c r="B14" s="24">
        <f>ROUND(60.54*2.1,2)</f>
        <v>127.13</v>
      </c>
      <c r="C14" s="4" t="s">
        <v>42</v>
      </c>
      <c r="G14" s="91"/>
      <c r="H14" s="82"/>
      <c r="I14" s="82"/>
      <c r="N14" s="40"/>
      <c r="R14" s="80"/>
      <c r="W14" s="80"/>
      <c r="X14" s="78"/>
      <c r="Y14" s="40"/>
      <c r="Z14"/>
      <c r="AA14" s="47"/>
      <c r="AB14" s="47"/>
    </row>
    <row r="15" spans="1:33" x14ac:dyDescent="0.3">
      <c r="B15" s="24">
        <f>ROUND(47.73*2.1,2)</f>
        <v>100.23</v>
      </c>
      <c r="C15" s="4" t="s">
        <v>43</v>
      </c>
      <c r="H15" s="40"/>
      <c r="O15" s="78"/>
      <c r="X15" s="78"/>
      <c r="Z15"/>
      <c r="AA15" s="47"/>
      <c r="AB15" s="47"/>
    </row>
    <row r="16" spans="1:33" x14ac:dyDescent="0.3">
      <c r="G16" s="91"/>
      <c r="H16" s="82"/>
      <c r="I16" s="82"/>
      <c r="J16" s="88"/>
      <c r="X16" s="78"/>
      <c r="Z16"/>
      <c r="AA16" s="47"/>
      <c r="AB16" s="47"/>
    </row>
    <row r="17" spans="7:28" x14ac:dyDescent="0.3">
      <c r="G17" s="91"/>
      <c r="H17" s="82"/>
      <c r="I17" s="82"/>
      <c r="X17" s="78"/>
      <c r="Z17"/>
      <c r="AB17" s="48"/>
    </row>
    <row r="18" spans="7:28" x14ac:dyDescent="0.3">
      <c r="G18" s="91"/>
      <c r="H18" s="82"/>
      <c r="I18" s="82"/>
      <c r="Z18"/>
      <c r="AB18" s="48"/>
    </row>
    <row r="19" spans="7:28" x14ac:dyDescent="0.3">
      <c r="G19" s="92"/>
      <c r="H19" s="89"/>
      <c r="I19" s="90"/>
      <c r="Z19"/>
      <c r="AB19" s="48"/>
    </row>
    <row r="20" spans="7:28" x14ac:dyDescent="0.3">
      <c r="R20" s="40"/>
      <c r="U20" s="80"/>
    </row>
    <row r="21" spans="7:28" x14ac:dyDescent="0.3">
      <c r="H21" s="78"/>
    </row>
    <row r="24" spans="7:28" x14ac:dyDescent="0.3">
      <c r="H24" s="40"/>
      <c r="I24" s="40"/>
    </row>
    <row r="25" spans="7:28" x14ac:dyDescent="0.3">
      <c r="H25" s="40"/>
    </row>
  </sheetData>
  <mergeCells count="29">
    <mergeCell ref="AG3:AG4"/>
    <mergeCell ref="AB3:AB4"/>
    <mergeCell ref="AC3:AC4"/>
    <mergeCell ref="AD3:AD4"/>
    <mergeCell ref="AE3:AE4"/>
    <mergeCell ref="AF3:AF4"/>
    <mergeCell ref="W10:Y10"/>
    <mergeCell ref="W11:Y11"/>
    <mergeCell ref="V3:V4"/>
    <mergeCell ref="I3:I4"/>
    <mergeCell ref="P3:R3"/>
    <mergeCell ref="S3:U3"/>
    <mergeCell ref="S11:U11"/>
    <mergeCell ref="P11:R11"/>
    <mergeCell ref="M11:O11"/>
    <mergeCell ref="M10:O10"/>
    <mergeCell ref="P10:R10"/>
    <mergeCell ref="S10:U10"/>
    <mergeCell ref="W3:Y3"/>
    <mergeCell ref="M3:O3"/>
    <mergeCell ref="J3:L3"/>
    <mergeCell ref="B5:B8"/>
    <mergeCell ref="G3:G4"/>
    <mergeCell ref="H3:H4"/>
    <mergeCell ref="F3:F4"/>
    <mergeCell ref="B3:B4"/>
    <mergeCell ref="C3:C4"/>
    <mergeCell ref="D3:D4"/>
    <mergeCell ref="E3:E4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8265-A74A-4269-A9AC-56CB0E2E4201}">
  <sheetPr codeName="Sheet3">
    <tabColor theme="7" tint="0.59999389629810485"/>
  </sheetPr>
  <dimension ref="A1:G9"/>
  <sheetViews>
    <sheetView workbookViewId="0">
      <selection activeCell="D33" sqref="D33"/>
    </sheetView>
  </sheetViews>
  <sheetFormatPr defaultRowHeight="14.4" x14ac:dyDescent="0.3"/>
  <cols>
    <col min="1" max="1" width="4.44140625" customWidth="1"/>
    <col min="2" max="2" width="42.5546875" customWidth="1"/>
    <col min="3" max="6" width="11.88671875" customWidth="1"/>
    <col min="7" max="7" width="61.88671875" customWidth="1"/>
  </cols>
  <sheetData>
    <row r="1" spans="1:7" s="19" customFormat="1" ht="18" x14ac:dyDescent="0.35">
      <c r="A1" s="19" t="s">
        <v>44</v>
      </c>
    </row>
    <row r="4" spans="1:7" ht="34.200000000000003" x14ac:dyDescent="0.3">
      <c r="B4" s="66" t="s">
        <v>17</v>
      </c>
      <c r="C4" s="65" t="s">
        <v>45</v>
      </c>
      <c r="D4" s="65" t="s">
        <v>46</v>
      </c>
      <c r="E4" s="65" t="s">
        <v>47</v>
      </c>
      <c r="F4" s="65" t="s">
        <v>48</v>
      </c>
      <c r="G4" s="65" t="s">
        <v>49</v>
      </c>
    </row>
    <row r="5" spans="1:7" x14ac:dyDescent="0.3">
      <c r="B5" s="64" t="s">
        <v>50</v>
      </c>
      <c r="C5" s="27">
        <v>0</v>
      </c>
      <c r="D5" s="27">
        <v>0.33</v>
      </c>
      <c r="E5" s="59">
        <v>0</v>
      </c>
      <c r="F5" s="27">
        <v>0.5</v>
      </c>
      <c r="G5" s="64" t="s">
        <v>51</v>
      </c>
    </row>
    <row r="7" spans="1:7" ht="23.1" customHeight="1" x14ac:dyDescent="0.3">
      <c r="B7" s="112" t="s">
        <v>17</v>
      </c>
      <c r="C7" s="128" t="s">
        <v>52</v>
      </c>
      <c r="D7" s="128"/>
      <c r="E7" s="128"/>
      <c r="F7" s="129" t="s">
        <v>49</v>
      </c>
      <c r="G7" s="130"/>
    </row>
    <row r="8" spans="1:7" x14ac:dyDescent="0.3">
      <c r="B8" s="113"/>
      <c r="C8" s="65" t="s">
        <v>34</v>
      </c>
      <c r="D8" s="65" t="s">
        <v>35</v>
      </c>
      <c r="E8" s="65" t="s">
        <v>36</v>
      </c>
      <c r="F8" s="131"/>
      <c r="G8" s="132"/>
    </row>
    <row r="9" spans="1:7" ht="26.25" customHeight="1" x14ac:dyDescent="0.3">
      <c r="B9" s="64" t="str">
        <f>B5</f>
        <v>Review Data for Reporting Completeness and Compliance</v>
      </c>
      <c r="C9" s="28">
        <f>SUMIF('Respondent Burden - ICR'!$A$5:$A$8,"1",'Respondent Burden - ICR'!M5:M8)</f>
        <v>19</v>
      </c>
      <c r="D9" s="28">
        <f>SUMIF('Respondent Burden - ICR'!$A$5:$A$8,"1",'Respondent Burden - ICR'!N5:N8)</f>
        <v>10</v>
      </c>
      <c r="E9" s="28">
        <f>SUMIF('Respondent Burden - ICR'!$A$5:$A$8,"1",'Respondent Burden - ICR'!O5:O8)</f>
        <v>10</v>
      </c>
      <c r="F9" s="133" t="s">
        <v>81</v>
      </c>
      <c r="G9" s="133"/>
    </row>
  </sheetData>
  <mergeCells count="4">
    <mergeCell ref="B7:B8"/>
    <mergeCell ref="C7:E7"/>
    <mergeCell ref="F7:G8"/>
    <mergeCell ref="F9:G9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56B4-CC75-4716-B3AE-B0F18E03C64D}">
  <sheetPr codeName="Sheet4">
    <tabColor theme="7" tint="0.59999389629810485"/>
  </sheetPr>
  <dimension ref="A1:AF20"/>
  <sheetViews>
    <sheetView tabSelected="1" zoomScaleNormal="100" workbookViewId="0">
      <selection activeCell="AF11" sqref="AF11"/>
    </sheetView>
  </sheetViews>
  <sheetFormatPr defaultRowHeight="14.4" x14ac:dyDescent="0.3"/>
  <cols>
    <col min="1" max="1" width="4.88671875" customWidth="1"/>
    <col min="2" max="2" width="51.109375" customWidth="1"/>
    <col min="3" max="6" width="11" customWidth="1"/>
    <col min="7" max="9" width="7.5546875" customWidth="1"/>
    <col min="10" max="10" width="8.5546875" customWidth="1"/>
    <col min="11" max="12" width="8.44140625" bestFit="1" customWidth="1"/>
    <col min="13" max="13" width="6.109375" customWidth="1"/>
    <col min="14" max="16" width="8.88671875" customWidth="1"/>
    <col min="17" max="19" width="9.109375" bestFit="1" customWidth="1"/>
    <col min="20" max="20" width="10.6640625" customWidth="1"/>
    <col min="21" max="22" width="8.88671875" customWidth="1"/>
    <col min="23" max="28" width="9.109375" bestFit="1" customWidth="1"/>
    <col min="30" max="30" width="13.88671875" bestFit="1" customWidth="1"/>
    <col min="32" max="32" width="11.109375" bestFit="1" customWidth="1"/>
  </cols>
  <sheetData>
    <row r="1" spans="1:32" s="19" customFormat="1" ht="18" x14ac:dyDescent="0.35">
      <c r="A1" s="19" t="s">
        <v>53</v>
      </c>
    </row>
    <row r="3" spans="1:32" ht="15.9" customHeight="1" x14ac:dyDescent="0.3">
      <c r="B3" s="142" t="s">
        <v>17</v>
      </c>
      <c r="C3" s="128" t="s">
        <v>54</v>
      </c>
      <c r="D3" s="128" t="s">
        <v>55</v>
      </c>
      <c r="E3" s="128" t="s">
        <v>56</v>
      </c>
      <c r="F3" s="128" t="s">
        <v>57</v>
      </c>
      <c r="G3" s="129" t="s">
        <v>58</v>
      </c>
      <c r="H3" s="143"/>
      <c r="I3" s="130"/>
      <c r="J3" s="118" t="s">
        <v>59</v>
      </c>
      <c r="K3" s="119"/>
      <c r="L3" s="120"/>
      <c r="N3" s="118" t="s">
        <v>60</v>
      </c>
      <c r="O3" s="119"/>
      <c r="P3" s="120"/>
      <c r="Q3" s="118" t="s">
        <v>61</v>
      </c>
      <c r="R3" s="119"/>
      <c r="S3" s="120"/>
      <c r="T3" s="118" t="s">
        <v>62</v>
      </c>
      <c r="U3" s="119"/>
      <c r="V3" s="120"/>
      <c r="W3" s="118" t="s">
        <v>63</v>
      </c>
      <c r="X3" s="119"/>
      <c r="Y3" s="120"/>
      <c r="Z3" s="118" t="s">
        <v>64</v>
      </c>
      <c r="AA3" s="119"/>
      <c r="AB3" s="120"/>
      <c r="AD3" s="126" t="s">
        <v>28</v>
      </c>
      <c r="AE3" s="126" t="s">
        <v>30</v>
      </c>
      <c r="AF3" s="126" t="s">
        <v>33</v>
      </c>
    </row>
    <row r="4" spans="1:32" ht="18.75" customHeight="1" x14ac:dyDescent="0.3">
      <c r="B4" s="142"/>
      <c r="C4" s="128"/>
      <c r="D4" s="128"/>
      <c r="E4" s="128"/>
      <c r="F4" s="128"/>
      <c r="G4" s="65" t="s">
        <v>34</v>
      </c>
      <c r="H4" s="65" t="s">
        <v>35</v>
      </c>
      <c r="I4" s="65" t="s">
        <v>36</v>
      </c>
      <c r="J4" s="65" t="s">
        <v>34</v>
      </c>
      <c r="K4" s="65" t="s">
        <v>35</v>
      </c>
      <c r="L4" s="65" t="s">
        <v>36</v>
      </c>
      <c r="N4" s="65" t="s">
        <v>34</v>
      </c>
      <c r="O4" s="65" t="s">
        <v>35</v>
      </c>
      <c r="P4" s="65" t="s">
        <v>36</v>
      </c>
      <c r="Q4" s="65" t="s">
        <v>34</v>
      </c>
      <c r="R4" s="65" t="s">
        <v>35</v>
      </c>
      <c r="S4" s="65" t="s">
        <v>36</v>
      </c>
      <c r="T4" s="65" t="s">
        <v>34</v>
      </c>
      <c r="U4" s="65" t="s">
        <v>35</v>
      </c>
      <c r="V4" s="65" t="s">
        <v>36</v>
      </c>
      <c r="W4" s="65" t="s">
        <v>34</v>
      </c>
      <c r="X4" s="65" t="s">
        <v>35</v>
      </c>
      <c r="Y4" s="65" t="s">
        <v>36</v>
      </c>
      <c r="Z4" s="65" t="s">
        <v>34</v>
      </c>
      <c r="AA4" s="65" t="s">
        <v>35</v>
      </c>
      <c r="AB4" s="65" t="s">
        <v>36</v>
      </c>
      <c r="AD4" s="126"/>
      <c r="AE4" s="126"/>
      <c r="AF4" s="126"/>
    </row>
    <row r="5" spans="1:32" ht="15.9" customHeight="1" x14ac:dyDescent="0.3">
      <c r="B5" s="64" t="str">
        <f>'Agency Assumptions'!B5</f>
        <v>Review Data for Reporting Completeness and Compliance</v>
      </c>
      <c r="C5" s="53">
        <f>'Agency Assumptions'!C5</f>
        <v>0</v>
      </c>
      <c r="D5" s="53">
        <f>'Agency Assumptions'!D5</f>
        <v>0.33</v>
      </c>
      <c r="E5" s="53">
        <f>'Agency Assumptions'!E5</f>
        <v>0</v>
      </c>
      <c r="F5" s="53">
        <f>'Agency Assumptions'!F5</f>
        <v>0.5</v>
      </c>
      <c r="G5" s="17">
        <f>'Agency Assumptions'!C9</f>
        <v>19</v>
      </c>
      <c r="H5" s="17">
        <f>'Agency Assumptions'!D9</f>
        <v>10</v>
      </c>
      <c r="I5" s="17">
        <f>'Agency Assumptions'!E9</f>
        <v>10</v>
      </c>
      <c r="J5" s="17">
        <f t="shared" ref="J5" si="0">SUM($C5:$F5)*G5</f>
        <v>15.770000000000001</v>
      </c>
      <c r="K5" s="17">
        <f t="shared" ref="K5" si="1">SUM($C5:$F5)*H5</f>
        <v>8.3000000000000007</v>
      </c>
      <c r="L5" s="17">
        <f t="shared" ref="L5" si="2">SUM($C5:$F5)*I5</f>
        <v>8.3000000000000007</v>
      </c>
      <c r="N5" s="14">
        <f>$C5*G5*$F$11</f>
        <v>0</v>
      </c>
      <c r="O5" s="14">
        <f>$C5*H5*$F$11</f>
        <v>0</v>
      </c>
      <c r="P5" s="14">
        <f>$C5*I5*$F$11</f>
        <v>0</v>
      </c>
      <c r="Q5" s="14">
        <f>$D5*G5*$F$12</f>
        <v>513.45030000000008</v>
      </c>
      <c r="R5" s="14">
        <f>$D5*H5*$F$12</f>
        <v>270.23700000000002</v>
      </c>
      <c r="S5" s="14">
        <f>$D5*I5*$F$12</f>
        <v>270.23700000000002</v>
      </c>
      <c r="T5" s="14">
        <f>$E5*G5*$F$13</f>
        <v>0</v>
      </c>
      <c r="U5" s="14">
        <f>$E5*H5*$F$13</f>
        <v>0</v>
      </c>
      <c r="V5" s="14">
        <f>$E5*I5*$F$13</f>
        <v>0</v>
      </c>
      <c r="W5" s="14">
        <f>$F5*G5*$F$14</f>
        <v>1239.9399999999998</v>
      </c>
      <c r="X5" s="14">
        <f>$F5*H5*$F$14</f>
        <v>652.59999999999991</v>
      </c>
      <c r="Y5" s="14">
        <f>$F5*I5*$F$14</f>
        <v>652.59999999999991</v>
      </c>
      <c r="Z5" s="14">
        <f t="shared" ref="Z5" si="3">N5+Q5+T5+W5</f>
        <v>1753.3903</v>
      </c>
      <c r="AA5" s="14">
        <f t="shared" ref="AA5" si="4">O5+R5+U5+X5</f>
        <v>922.83699999999999</v>
      </c>
      <c r="AB5" s="14">
        <f t="shared" ref="AB5" si="5">P5+S5+V5+Y5</f>
        <v>922.83699999999999</v>
      </c>
      <c r="AD5" s="41" t="s">
        <v>86</v>
      </c>
      <c r="AE5" s="102">
        <f>J5</f>
        <v>15.770000000000001</v>
      </c>
      <c r="AF5" s="100">
        <f>Z6</f>
        <v>1753.3903</v>
      </c>
    </row>
    <row r="6" spans="1:32" x14ac:dyDescent="0.3">
      <c r="B6" s="137" t="s">
        <v>65</v>
      </c>
      <c r="C6" s="137"/>
      <c r="D6" s="137"/>
      <c r="E6" s="137"/>
      <c r="F6" s="137"/>
      <c r="G6" s="137"/>
      <c r="H6" s="137"/>
      <c r="I6" s="137"/>
      <c r="J6" s="58">
        <f>SUM(J5:J5)</f>
        <v>15.770000000000001</v>
      </c>
      <c r="K6" s="58">
        <f>SUM(K5:K5)</f>
        <v>8.3000000000000007</v>
      </c>
      <c r="L6" s="58">
        <f>SUM(L5:L5)</f>
        <v>8.3000000000000007</v>
      </c>
      <c r="N6" s="22">
        <f t="shared" ref="N6:AB6" si="6">SUM(N5:N5)</f>
        <v>0</v>
      </c>
      <c r="O6" s="22">
        <f t="shared" si="6"/>
        <v>0</v>
      </c>
      <c r="P6" s="22">
        <f t="shared" si="6"/>
        <v>0</v>
      </c>
      <c r="Q6" s="22">
        <f t="shared" si="6"/>
        <v>513.45030000000008</v>
      </c>
      <c r="R6" s="22">
        <f t="shared" si="6"/>
        <v>270.23700000000002</v>
      </c>
      <c r="S6" s="22">
        <f t="shared" si="6"/>
        <v>270.23700000000002</v>
      </c>
      <c r="T6" s="22">
        <f t="shared" si="6"/>
        <v>0</v>
      </c>
      <c r="U6" s="22">
        <f t="shared" si="6"/>
        <v>0</v>
      </c>
      <c r="V6" s="22">
        <f t="shared" si="6"/>
        <v>0</v>
      </c>
      <c r="W6" s="22">
        <f t="shared" si="6"/>
        <v>1239.9399999999998</v>
      </c>
      <c r="X6" s="22">
        <f t="shared" si="6"/>
        <v>652.59999999999991</v>
      </c>
      <c r="Y6" s="22">
        <f t="shared" si="6"/>
        <v>652.59999999999991</v>
      </c>
      <c r="Z6" s="22">
        <f t="shared" si="6"/>
        <v>1753.3903</v>
      </c>
      <c r="AA6" s="22">
        <f t="shared" si="6"/>
        <v>922.83699999999999</v>
      </c>
      <c r="AB6" s="22">
        <f t="shared" si="6"/>
        <v>922.83699999999999</v>
      </c>
      <c r="AD6" s="98" t="s">
        <v>87</v>
      </c>
      <c r="AE6" s="102">
        <f>K5</f>
        <v>8.3000000000000007</v>
      </c>
      <c r="AF6" s="100">
        <f>AA6</f>
        <v>922.83699999999999</v>
      </c>
    </row>
    <row r="7" spans="1:32" s="20" customFormat="1" x14ac:dyDescent="0.3">
      <c r="B7" s="138" t="s">
        <v>40</v>
      </c>
      <c r="C7" s="138"/>
      <c r="D7" s="138"/>
      <c r="E7" s="138"/>
      <c r="F7" s="138"/>
      <c r="G7" s="138"/>
      <c r="H7" s="138"/>
      <c r="I7" s="138"/>
      <c r="J7" s="135">
        <f>SUM(J6:L6)</f>
        <v>32.370000000000005</v>
      </c>
      <c r="K7" s="135"/>
      <c r="L7" s="135"/>
      <c r="M7"/>
      <c r="N7" s="134">
        <f>SUM(N6:P6)</f>
        <v>0</v>
      </c>
      <c r="O7" s="134"/>
      <c r="P7" s="134"/>
      <c r="Q7" s="134">
        <f>SUM(Q6:S6)</f>
        <v>1053.9243000000001</v>
      </c>
      <c r="R7" s="134"/>
      <c r="S7" s="134"/>
      <c r="T7" s="134">
        <f>SUM(T6:V6)</f>
        <v>0</v>
      </c>
      <c r="U7" s="134"/>
      <c r="V7" s="134"/>
      <c r="W7" s="134">
        <f>SUM(W6:Y6)</f>
        <v>2545.1399999999994</v>
      </c>
      <c r="X7" s="134"/>
      <c r="Y7" s="134"/>
      <c r="Z7" s="134">
        <f>SUM(Z6:AB6)</f>
        <v>3599.0643</v>
      </c>
      <c r="AA7" s="134"/>
      <c r="AB7" s="134"/>
      <c r="AD7" s="41" t="s">
        <v>37</v>
      </c>
      <c r="AE7" s="99">
        <f>L5</f>
        <v>8.3000000000000007</v>
      </c>
      <c r="AF7" s="101">
        <f>AB6</f>
        <v>922.83699999999999</v>
      </c>
    </row>
    <row r="8" spans="1:32" x14ac:dyDescent="0.3">
      <c r="B8" s="139" t="s">
        <v>38</v>
      </c>
      <c r="C8" s="140"/>
      <c r="D8" s="140"/>
      <c r="E8" s="140"/>
      <c r="F8" s="140"/>
      <c r="G8" s="140"/>
      <c r="H8" s="140"/>
      <c r="I8" s="141"/>
      <c r="J8" s="136">
        <f>AVERAGE(J6:L6)</f>
        <v>10.790000000000001</v>
      </c>
      <c r="K8" s="136"/>
      <c r="L8" s="136"/>
      <c r="N8" s="134">
        <f>AVERAGE(N6:P6)</f>
        <v>0</v>
      </c>
      <c r="O8" s="134"/>
      <c r="P8" s="134"/>
      <c r="Q8" s="134">
        <f>AVERAGE(Q6:S6)</f>
        <v>351.30810000000002</v>
      </c>
      <c r="R8" s="134"/>
      <c r="S8" s="134"/>
      <c r="T8" s="134">
        <f>AVERAGE(T6:V6)</f>
        <v>0</v>
      </c>
      <c r="U8" s="134"/>
      <c r="V8" s="134"/>
      <c r="W8" s="134">
        <f>AVERAGE(W6:Y6)</f>
        <v>848.37999999999977</v>
      </c>
      <c r="X8" s="134"/>
      <c r="Y8" s="134"/>
      <c r="Z8" s="134">
        <f>AVERAGE(Z6:AB6)</f>
        <v>1199.6881000000001</v>
      </c>
      <c r="AA8" s="134"/>
      <c r="AB8" s="134"/>
      <c r="AD8" s="41" t="s">
        <v>96</v>
      </c>
      <c r="AE8" s="99">
        <f>AVERAGE(AE5:AE7)</f>
        <v>10.790000000000001</v>
      </c>
      <c r="AF8" s="101">
        <f>AVERAGE(AF5:AF7)</f>
        <v>1199.6881000000001</v>
      </c>
    </row>
    <row r="10" spans="1:32" x14ac:dyDescent="0.3">
      <c r="B10" s="5" t="s">
        <v>66</v>
      </c>
      <c r="C10" s="6"/>
      <c r="D10" s="7"/>
      <c r="E10" s="6"/>
      <c r="F10" s="8"/>
      <c r="AD10" s="20"/>
      <c r="AE10" s="20"/>
      <c r="AF10" s="20"/>
    </row>
    <row r="11" spans="1:32" x14ac:dyDescent="0.3">
      <c r="B11" s="9" t="s">
        <v>67</v>
      </c>
      <c r="C11" s="9" t="s">
        <v>68</v>
      </c>
      <c r="D11" s="10">
        <v>71.150000000000006</v>
      </c>
      <c r="E11" s="9">
        <v>1.6</v>
      </c>
      <c r="F11" s="11">
        <f>ROUND(D11*E11,2)</f>
        <v>113.84</v>
      </c>
      <c r="AF11" s="78"/>
    </row>
    <row r="12" spans="1:32" x14ac:dyDescent="0.3">
      <c r="B12" s="1" t="s">
        <v>69</v>
      </c>
      <c r="C12" s="9" t="s">
        <v>70</v>
      </c>
      <c r="D12" s="10">
        <v>51.18</v>
      </c>
      <c r="E12" s="9">
        <v>1.6</v>
      </c>
      <c r="F12" s="11">
        <f>ROUND(D12*E12,2)</f>
        <v>81.89</v>
      </c>
      <c r="AD12" s="40"/>
    </row>
    <row r="13" spans="1:32" x14ac:dyDescent="0.3">
      <c r="B13" s="1" t="s">
        <v>71</v>
      </c>
      <c r="C13" s="12" t="s">
        <v>72</v>
      </c>
      <c r="D13" s="10">
        <v>49.04</v>
      </c>
      <c r="E13" s="9">
        <v>1.6</v>
      </c>
      <c r="F13" s="11">
        <f>ROUND(D13*E13,2)</f>
        <v>78.459999999999994</v>
      </c>
    </row>
    <row r="14" spans="1:32" x14ac:dyDescent="0.3">
      <c r="B14" s="1" t="s">
        <v>73</v>
      </c>
      <c r="C14" s="1"/>
      <c r="D14" s="1"/>
      <c r="E14" s="1"/>
      <c r="F14" s="23">
        <f>(164.13+96.91)/2</f>
        <v>130.51999999999998</v>
      </c>
    </row>
    <row r="16" spans="1:32" x14ac:dyDescent="0.3">
      <c r="B16" s="2"/>
      <c r="T16" s="40"/>
    </row>
    <row r="18" ht="14.25" customHeight="1" x14ac:dyDescent="0.3"/>
    <row r="19" ht="18.45" customHeight="1" x14ac:dyDescent="0.3"/>
    <row r="20" ht="15" customHeight="1" x14ac:dyDescent="0.3"/>
  </sheetData>
  <mergeCells count="30">
    <mergeCell ref="G3:I3"/>
    <mergeCell ref="J3:L3"/>
    <mergeCell ref="N3:P3"/>
    <mergeCell ref="Q3:S3"/>
    <mergeCell ref="T3:V3"/>
    <mergeCell ref="B3:B4"/>
    <mergeCell ref="C3:C4"/>
    <mergeCell ref="D3:D4"/>
    <mergeCell ref="E3:E4"/>
    <mergeCell ref="F3:F4"/>
    <mergeCell ref="J7:L7"/>
    <mergeCell ref="J8:L8"/>
    <mergeCell ref="B6:I6"/>
    <mergeCell ref="B7:I7"/>
    <mergeCell ref="B8:I8"/>
    <mergeCell ref="N7:P7"/>
    <mergeCell ref="N8:P8"/>
    <mergeCell ref="Q7:S7"/>
    <mergeCell ref="Q8:S8"/>
    <mergeCell ref="T7:V7"/>
    <mergeCell ref="T8:V8"/>
    <mergeCell ref="AD3:AD4"/>
    <mergeCell ref="AE3:AE4"/>
    <mergeCell ref="AF3:AF4"/>
    <mergeCell ref="W7:Y7"/>
    <mergeCell ref="W8:Y8"/>
    <mergeCell ref="Z7:AB7"/>
    <mergeCell ref="Z8:AB8"/>
    <mergeCell ref="W3:Y3"/>
    <mergeCell ref="Z3:AB3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B04EF5C753074E8F20D27BC3DE7DE2" ma:contentTypeVersion="18" ma:contentTypeDescription="Create a new document." ma:contentTypeScope="" ma:versionID="3810b0d63c220196821a7734d9c17824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20af4edb-1540-4aba-b7d0-294715a11a7a" xmlns:ns6="8c57eaaf-0617-4b5e-abd8-c9c87ce9c094" targetNamespace="http://schemas.microsoft.com/office/2006/metadata/properties" ma:root="true" ma:fieldsID="d5357a3a0ff076c13a1bffd27f72514c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20af4edb-1540-4aba-b7d0-294715a11a7a"/>
    <xsd:import namespace="8c57eaaf-0617-4b5e-abd8-c9c87ce9c094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6:SharedWithUsers" minOccurs="0"/>
                <xsd:element ref="ns6:SharedWithDetails" minOccurs="0"/>
                <xsd:element ref="ns5:MediaServiceDateTaken" minOccurs="0"/>
                <xsd:element ref="ns1:_ip_UnifiedCompliancePolicyProperties" minOccurs="0"/>
                <xsd:element ref="ns1:_ip_UnifiedCompliancePolicyUIAction" minOccurs="0"/>
                <xsd:element ref="ns5:lcf76f155ced4ddcb4097134ff3c332f" minOccurs="0"/>
                <xsd:element ref="ns5:MediaLengthInSeconds" minOccurs="0"/>
                <xsd:element ref="ns5:MediaServiceObjectDetectorVersions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bad415ec-5cf2-480c-84ea-8d7bd9371bca}" ma:internalName="TaxCatchAllLabel" ma:readOnly="true" ma:showField="CatchAllDataLabel" ma:web="8c57eaaf-0617-4b5e-abd8-c9c87ce9c0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bad415ec-5cf2-480c-84ea-8d7bd9371bca}" ma:internalName="TaxCatchAll" ma:showField="CatchAllData" ma:web="8c57eaaf-0617-4b5e-abd8-c9c87ce9c0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f4edb-1540-4aba-b7d0-294715a11a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4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7eaaf-0617-4b5e-abd8-c9c87ce9c094" elementFormDefault="qualified">
    <xsd:import namespace="http://schemas.microsoft.com/office/2006/documentManagement/types"/>
    <xsd:import namespace="http://schemas.microsoft.com/office/infopath/2007/PartnerControls"/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c57eaaf-0617-4b5e-abd8-c9c87ce9c094">
      <UserInfo>
        <DisplayName>Kuntal Merchant</DisplayName>
        <AccountId>14</AccountId>
        <AccountType/>
      </UserInfo>
      <UserInfo>
        <DisplayName>Akerman, Nancy</DisplayName>
        <AccountId>30</AccountId>
        <AccountType/>
      </UserInfo>
      <UserInfo>
        <DisplayName>Arling, Jeremy (he/him/his)</DisplayName>
        <AccountId>25</AccountId>
        <AccountType/>
      </UserInfo>
      <UserInfo>
        <DisplayName>SharingLinks.007412e8-17b7-4b00-bb19-b68ffea9c922.Flexible.3b79b8c7-0fa7-4345-a58b-6b66953b3f6d</DisplayName>
        <AccountId>95</AccountId>
        <AccountType/>
      </UserInfo>
      <UserInfo>
        <DisplayName>SharingLinks.43bd346e-f32d-4b83-9653-296475c63f91.Flexible.b6d2183d-5ade-4188-908d-e1400a4156b6</DisplayName>
        <AccountId>33</AccountId>
        <AccountType/>
      </UserInfo>
      <UserInfo>
        <DisplayName>SharingLinks.ccbb858d-3b5c-422c-924e-59d02ab94acb.Flexible.3ec0d7fc-aa25-46a6-9659-8e27600483c6</DisplayName>
        <AccountId>106</AccountId>
        <AccountType/>
      </UserInfo>
      <UserInfo>
        <DisplayName>SharingLinks.151dfb12-2736-48ad-99f9-3c4c75b228c9.Flexible.8c884e8d-776f-40c8-8a92-4787ab05d529</DisplayName>
        <AccountId>75</AccountId>
        <AccountType/>
      </UserInfo>
      <UserInfo>
        <DisplayName>SharingLinks.45b3eee6-eaef-4a0c-87cd-c2803dca0e35.Flexible.3c097ba5-acf7-49ef-b0ae-89414c8ac873</DisplayName>
        <AccountId>122</AccountId>
        <AccountType/>
      </UserInfo>
      <UserInfo>
        <DisplayName>Hall-Jordan, Luke</DisplayName>
        <AccountId>22</AccountId>
        <AccountType/>
      </UserInfo>
      <UserInfo>
        <DisplayName>Feather, John</DisplayName>
        <AccountId>255</AccountId>
        <AccountType/>
      </UserInfo>
      <UserInfo>
        <DisplayName>Bianco, Karen</DisplayName>
        <AccountId>41</AccountId>
        <AccountType/>
      </UserInfo>
    </SharedWithUsers>
    <TaxCatchAll xmlns="4ffa91fb-a0ff-4ac5-b2db-65c790d184a4" xsi:nil="true"/>
    <lcf76f155ced4ddcb4097134ff3c332f xmlns="20af4edb-1540-4aba-b7d0-294715a11a7a">
      <Terms xmlns="http://schemas.microsoft.com/office/infopath/2007/PartnerControls"/>
    </lcf76f155ced4ddcb4097134ff3c332f>
    <_Source xmlns="http://schemas.microsoft.com/sharepoint/v3/fields" xsi:nil="true"/>
    <Language xmlns="http://schemas.microsoft.com/sharepoint/v3">English</Language>
    <_ip_UnifiedCompliancePolicyUIAction xmlns="http://schemas.microsoft.com/sharepoint/v3" xsi:nil="true"/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_ip_UnifiedCompliancePolicyProperties xmlns="http://schemas.microsoft.com/sharepoint/v3" xsi:nil="true"/>
    <Rights xmlns="4ffa91fb-a0ff-4ac5-b2db-65c790d184a4" xsi:nil="true"/>
    <Document_x0020_Creation_x0020_Date xmlns="4ffa91fb-a0ff-4ac5-b2db-65c790d184a4">2023-04-21T14:22:32+00:00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8E3668-F028-4244-81B6-D6404FE791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20af4edb-1540-4aba-b7d0-294715a11a7a"/>
    <ds:schemaRef ds:uri="8c57eaaf-0617-4b5e-abd8-c9c87ce9c0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ED03A7-E01A-4623-A677-F849BEF50B5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4E29A97-C7C4-4009-A2FF-51260D2342CF}">
  <ds:schemaRefs>
    <ds:schemaRef ds:uri="http://schemas.microsoft.com/office/2006/metadata/properties"/>
    <ds:schemaRef ds:uri="http://schemas.microsoft.com/office/infopath/2007/PartnerControls"/>
    <ds:schemaRef ds:uri="8c57eaaf-0617-4b5e-abd8-c9c87ce9c094"/>
    <ds:schemaRef ds:uri="4ffa91fb-a0ff-4ac5-b2db-65c790d184a4"/>
    <ds:schemaRef ds:uri="20af4edb-1540-4aba-b7d0-294715a11a7a"/>
    <ds:schemaRef ds:uri="http://schemas.microsoft.com/sharepoint/v3/fields"/>
    <ds:schemaRef ds:uri="http://schemas.microsoft.com/sharepoint/v3"/>
    <ds:schemaRef ds:uri="http://schemas.microsoft.com/sharepoint.v3"/>
  </ds:schemaRefs>
</ds:datastoreItem>
</file>

<file path=customXml/itemProps4.xml><?xml version="1.0" encoding="utf-8"?>
<ds:datastoreItem xmlns:ds="http://schemas.openxmlformats.org/officeDocument/2006/customXml" ds:itemID="{6258034F-3D90-4C3B-BAB8-55989AF7A7B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Reporting Activity</vt:lpstr>
      <vt:lpstr>Respondent Assumptions</vt:lpstr>
      <vt:lpstr>Respondent Burden - ICR</vt:lpstr>
      <vt:lpstr>Agency Assumptions</vt:lpstr>
      <vt:lpstr>Agency Burden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Oksana Bihun</dc:creator>
  <cp:keywords/>
  <dc:description/>
  <cp:lastModifiedBy>Feather, John</cp:lastModifiedBy>
  <cp:revision/>
  <dcterms:created xsi:type="dcterms:W3CDTF">2021-02-11T15:50:30Z</dcterms:created>
  <dcterms:modified xsi:type="dcterms:W3CDTF">2023-10-10T20:18:38Z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0x0101003EB04EF5C753074E8F20D27BC3DE7DE2</vt:lpwstr>
  </property>
  <property fmtid="{D5CDD505-2E9C-101B-9397-08002B2CF9AE}" pid="3" name="TaxKeyword">
    <vt:lpwstr/>
  </property>
  <property fmtid="{D5CDD505-2E9C-101B-9397-08002B2CF9AE}" pid="4" name="e3f09c3df709400db2417a7161762d62">
    <vt:lpwstr/>
  </property>
  <property fmtid="{D5CDD505-2E9C-101B-9397-08002B2CF9AE}" pid="5" name="EPA_x0020_Subject">
    <vt:lpwstr/>
  </property>
  <property fmtid="{D5CDD505-2E9C-101B-9397-08002B2CF9AE}" pid="6" name="Document Type">
    <vt:lpwstr/>
  </property>
  <property fmtid="{D5CDD505-2E9C-101B-9397-08002B2CF9AE}" pid="7" name="EPA Subject">
    <vt:lpwstr/>
  </property>
  <property fmtid="{D5CDD505-2E9C-101B-9397-08002B2CF9AE}" pid="8" name="MediaServiceImageTags">
    <vt:lpwstr/>
  </property>
</Properties>
</file>