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sepa.sharepoint.com/sites/RegulatorySupportDivision/Shared Documents/ICR Program/ICR Desk Officer Materials/OAR Stuff/Converted SSs and Template Files/1901.09/"/>
    </mc:Choice>
  </mc:AlternateContent>
  <xr:revisionPtr revIDLastSave="109" documentId="13_ncr:1_{245D7653-AD9D-4C8C-AAEE-E78E82E96074}" xr6:coauthVersionLast="47" xr6:coauthVersionMax="47" xr10:uidLastSave="{8529CDA0-A795-4476-9858-07750FFB3AE7}"/>
  <bookViews>
    <workbookView xWindow="-110" yWindow="-110" windowWidth="19420" windowHeight="10300" tabRatio="862" firstSheet="2" activeTab="7" xr2:uid="{00000000-000D-0000-FFFF-FFFF00000000}"/>
  </bookViews>
  <sheets>
    <sheet name="Summary" sheetId="7" r:id="rId1"/>
    <sheet name="Breakdown" sheetId="11" r:id="rId2"/>
    <sheet name="Industry (Private) Table 1a" sheetId="8" r:id="rId3"/>
    <sheet name="Industry (Public) Table 1b" sheetId="9" r:id="rId4"/>
    <sheet name="StateLocal Burden Table 1c" sheetId="10" r:id="rId5"/>
    <sheet name="Federal Agency Burden 2" sheetId="12" r:id="rId6"/>
    <sheet name="Capital O&amp;M" sheetId="6" r:id="rId7"/>
    <sheet name="Respondents" sheetId="4" r:id="rId8"/>
    <sheet name="Responses" sheetId="3"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D8" i="4"/>
  <c r="B8" i="4"/>
  <c r="F5" i="4"/>
  <c r="B5" i="7"/>
  <c r="H5" i="11"/>
  <c r="H2" i="11"/>
  <c r="G4" i="11"/>
  <c r="G3" i="11"/>
  <c r="G2" i="11"/>
  <c r="F4" i="11"/>
  <c r="D4" i="11"/>
  <c r="E4" i="11"/>
  <c r="E2" i="11"/>
  <c r="E3" i="11"/>
  <c r="D3" i="11"/>
  <c r="D2" i="11"/>
  <c r="E11" i="3"/>
  <c r="B10" i="3"/>
  <c r="B9" i="3"/>
  <c r="E8" i="3"/>
  <c r="B8" i="3"/>
  <c r="E4" i="6"/>
  <c r="B4" i="6"/>
  <c r="F6" i="4" l="1"/>
  <c r="C7" i="4" s="1"/>
  <c r="F7" i="4" s="1"/>
  <c r="G5" i="12"/>
  <c r="D15" i="12"/>
  <c r="G15" i="10"/>
  <c r="D15" i="10"/>
  <c r="G12" i="10"/>
  <c r="G13" i="10"/>
  <c r="G14" i="10"/>
  <c r="G6" i="10"/>
  <c r="G7" i="10"/>
  <c r="G8" i="10"/>
  <c r="G9" i="10"/>
  <c r="G10" i="10"/>
  <c r="G11" i="10"/>
  <c r="G5" i="10"/>
  <c r="D12" i="10"/>
  <c r="I48" i="9"/>
  <c r="I46" i="9"/>
  <c r="F46" i="9"/>
  <c r="I45" i="9"/>
  <c r="F45" i="9"/>
  <c r="I32" i="9"/>
  <c r="F32" i="9"/>
  <c r="I6" i="9"/>
  <c r="I49" i="8"/>
  <c r="F47" i="8"/>
  <c r="F46" i="8"/>
  <c r="F33" i="8"/>
  <c r="C16" i="8"/>
  <c r="I7" i="8"/>
  <c r="C8" i="4" l="1"/>
  <c r="F8" i="4"/>
  <c r="G4" i="6" l="1"/>
  <c r="B6" i="7" s="1"/>
  <c r="G6" i="12"/>
  <c r="G7" i="12"/>
  <c r="G8" i="12"/>
  <c r="G9" i="12"/>
  <c r="G10" i="12"/>
  <c r="G11" i="12"/>
  <c r="G12" i="12"/>
  <c r="G14" i="12"/>
  <c r="E5" i="3" l="1"/>
  <c r="E6" i="3"/>
  <c r="E7" i="3"/>
  <c r="E9" i="3"/>
  <c r="E10" i="3"/>
  <c r="E4" i="3"/>
  <c r="I12" i="8" l="1"/>
  <c r="I11" i="8"/>
  <c r="I10" i="8"/>
  <c r="I9" i="8"/>
  <c r="D14" i="12"/>
  <c r="D13" i="12"/>
  <c r="D12" i="12"/>
  <c r="D11" i="12"/>
  <c r="E11" i="12" s="1"/>
  <c r="D10" i="12"/>
  <c r="D9" i="12"/>
  <c r="E9" i="12" s="1"/>
  <c r="D8" i="12"/>
  <c r="D7" i="12"/>
  <c r="E7" i="12" s="1"/>
  <c r="D6" i="12"/>
  <c r="D5" i="12"/>
  <c r="E5" i="12" s="1"/>
  <c r="B4" i="11"/>
  <c r="H3" i="11"/>
  <c r="H4" i="11"/>
  <c r="I29" i="9"/>
  <c r="I28" i="9"/>
  <c r="I27" i="9"/>
  <c r="I26" i="9"/>
  <c r="I25" i="9"/>
  <c r="I24" i="9"/>
  <c r="I23" i="9"/>
  <c r="I22" i="9"/>
  <c r="I21" i="9"/>
  <c r="I11" i="9"/>
  <c r="I10" i="9"/>
  <c r="I9" i="9"/>
  <c r="I8" i="9"/>
  <c r="I30" i="8"/>
  <c r="I29" i="8"/>
  <c r="I28" i="8"/>
  <c r="I27" i="8"/>
  <c r="I26" i="8"/>
  <c r="I25" i="8"/>
  <c r="I24" i="8"/>
  <c r="I23" i="8"/>
  <c r="I22" i="8"/>
  <c r="D14" i="10"/>
  <c r="D13" i="10"/>
  <c r="E13" i="10" s="1"/>
  <c r="D11" i="10"/>
  <c r="E11" i="10" s="1"/>
  <c r="D10" i="10"/>
  <c r="D9" i="10"/>
  <c r="E9" i="10" s="1"/>
  <c r="D8" i="10"/>
  <c r="D7" i="10"/>
  <c r="E7" i="10" s="1"/>
  <c r="D6" i="10"/>
  <c r="E6" i="10" s="1"/>
  <c r="D5" i="10"/>
  <c r="D42" i="9"/>
  <c r="D41" i="9"/>
  <c r="D40" i="9"/>
  <c r="D39" i="9"/>
  <c r="D31" i="9"/>
  <c r="E30" i="9"/>
  <c r="E39" i="9" s="1"/>
  <c r="D30" i="9"/>
  <c r="D29" i="9"/>
  <c r="F29" i="9" s="1"/>
  <c r="H29" i="9" s="1"/>
  <c r="D28" i="9"/>
  <c r="F28" i="9" s="1"/>
  <c r="D27" i="9"/>
  <c r="F27" i="9" s="1"/>
  <c r="H27" i="9" s="1"/>
  <c r="D26" i="9"/>
  <c r="F26" i="9" s="1"/>
  <c r="D25" i="9"/>
  <c r="F25" i="9" s="1"/>
  <c r="D24" i="9"/>
  <c r="F24" i="9" s="1"/>
  <c r="F23" i="9"/>
  <c r="H23" i="9" s="1"/>
  <c r="D23" i="9"/>
  <c r="D22" i="9"/>
  <c r="F22" i="9" s="1"/>
  <c r="D21" i="9"/>
  <c r="F21" i="9" s="1"/>
  <c r="H21" i="9" s="1"/>
  <c r="E16" i="9"/>
  <c r="D16" i="9"/>
  <c r="E15" i="9"/>
  <c r="D15" i="9"/>
  <c r="F15" i="9" s="1"/>
  <c r="E14" i="9"/>
  <c r="D14" i="9"/>
  <c r="D12" i="9"/>
  <c r="F12" i="9" s="1"/>
  <c r="D11" i="9"/>
  <c r="F11" i="9" s="1"/>
  <c r="D10" i="9"/>
  <c r="F10" i="9" s="1"/>
  <c r="D8" i="9"/>
  <c r="F8" i="9" s="1"/>
  <c r="D6" i="9"/>
  <c r="F6" i="9" s="1"/>
  <c r="D43" i="8"/>
  <c r="D42" i="8"/>
  <c r="D41" i="8"/>
  <c r="D40" i="8"/>
  <c r="D32" i="8"/>
  <c r="E31" i="8"/>
  <c r="E43" i="8" s="1"/>
  <c r="D31" i="8"/>
  <c r="D30" i="8"/>
  <c r="F30" i="8" s="1"/>
  <c r="H30" i="8" s="1"/>
  <c r="D29" i="8"/>
  <c r="F29" i="8" s="1"/>
  <c r="F28" i="8"/>
  <c r="H28" i="8" s="1"/>
  <c r="D28" i="8"/>
  <c r="D27" i="8"/>
  <c r="F27" i="8" s="1"/>
  <c r="D26" i="8"/>
  <c r="F26" i="8" s="1"/>
  <c r="D25" i="8"/>
  <c r="F25" i="8" s="1"/>
  <c r="D24" i="8"/>
  <c r="F24" i="8" s="1"/>
  <c r="D23" i="8"/>
  <c r="F23" i="8" s="1"/>
  <c r="D22" i="8"/>
  <c r="F22" i="8" s="1"/>
  <c r="H22" i="8" s="1"/>
  <c r="E17" i="8"/>
  <c r="D17" i="8"/>
  <c r="D16" i="8"/>
  <c r="F16" i="8" s="1"/>
  <c r="D15" i="8"/>
  <c r="F15" i="8" s="1"/>
  <c r="D13" i="8"/>
  <c r="F13" i="8" s="1"/>
  <c r="D12" i="8"/>
  <c r="F12" i="8" s="1"/>
  <c r="D11" i="8"/>
  <c r="F11" i="8" s="1"/>
  <c r="D9" i="8"/>
  <c r="F9" i="8" s="1"/>
  <c r="D7" i="8"/>
  <c r="F7" i="8" s="1"/>
  <c r="E13" i="12" l="1"/>
  <c r="G13" i="12"/>
  <c r="G15" i="12" s="1"/>
  <c r="F16" i="9"/>
  <c r="H16" i="9" s="1"/>
  <c r="F7" i="10"/>
  <c r="I13" i="8"/>
  <c r="F31" i="8"/>
  <c r="H31" i="8" s="1"/>
  <c r="F9" i="12"/>
  <c r="F5" i="12"/>
  <c r="F11" i="12"/>
  <c r="F7" i="12"/>
  <c r="F13" i="12"/>
  <c r="E6" i="12"/>
  <c r="E8" i="12"/>
  <c r="E10" i="12"/>
  <c r="E12" i="12"/>
  <c r="E14" i="12"/>
  <c r="F6" i="12"/>
  <c r="F8" i="12"/>
  <c r="F10" i="12"/>
  <c r="F12" i="12"/>
  <c r="F14" i="12"/>
  <c r="H22" i="9"/>
  <c r="G22" i="9"/>
  <c r="F14" i="9"/>
  <c r="F11" i="10"/>
  <c r="E5" i="10"/>
  <c r="F13" i="10"/>
  <c r="F5" i="10"/>
  <c r="F9" i="10"/>
  <c r="G26" i="8"/>
  <c r="H26" i="8"/>
  <c r="F17" i="8"/>
  <c r="F43" i="8"/>
  <c r="H8" i="9"/>
  <c r="G8" i="9"/>
  <c r="G10" i="9"/>
  <c r="H10" i="9"/>
  <c r="G7" i="8"/>
  <c r="H7" i="8"/>
  <c r="G11" i="9"/>
  <c r="H11" i="9"/>
  <c r="G24" i="9"/>
  <c r="H24" i="9"/>
  <c r="G23" i="8"/>
  <c r="H23" i="8"/>
  <c r="H29" i="8"/>
  <c r="G29" i="8"/>
  <c r="H43" i="8"/>
  <c r="G43" i="8"/>
  <c r="H24" i="8"/>
  <c r="G24" i="8"/>
  <c r="G25" i="8"/>
  <c r="H25" i="8"/>
  <c r="G17" i="8"/>
  <c r="G11" i="8"/>
  <c r="H11" i="8"/>
  <c r="H26" i="9"/>
  <c r="G26" i="9"/>
  <c r="G12" i="8"/>
  <c r="H12" i="8"/>
  <c r="H27" i="8"/>
  <c r="G27" i="8"/>
  <c r="G15" i="8"/>
  <c r="H15" i="8"/>
  <c r="H28" i="9"/>
  <c r="G28" i="9"/>
  <c r="G16" i="8"/>
  <c r="H16" i="8"/>
  <c r="H9" i="8"/>
  <c r="G9" i="8"/>
  <c r="H12" i="9"/>
  <c r="G12" i="9"/>
  <c r="I12" i="9" s="1"/>
  <c r="G25" i="9"/>
  <c r="H25" i="9"/>
  <c r="H13" i="8"/>
  <c r="G13" i="8"/>
  <c r="H6" i="9"/>
  <c r="G6" i="9"/>
  <c r="H15" i="9"/>
  <c r="G15" i="9"/>
  <c r="F39" i="9"/>
  <c r="E42" i="9"/>
  <c r="F42" i="9" s="1"/>
  <c r="G28" i="8"/>
  <c r="E42" i="8"/>
  <c r="F42" i="8" s="1"/>
  <c r="G27" i="9"/>
  <c r="F30" i="9"/>
  <c r="G22" i="8"/>
  <c r="G30" i="8"/>
  <c r="E41" i="8"/>
  <c r="F41" i="8" s="1"/>
  <c r="G21" i="9"/>
  <c r="G29" i="9"/>
  <c r="F6" i="10"/>
  <c r="E8" i="10"/>
  <c r="E10" i="10"/>
  <c r="E12" i="10"/>
  <c r="E14" i="10"/>
  <c r="E40" i="9"/>
  <c r="F40" i="9" s="1"/>
  <c r="F8" i="10"/>
  <c r="F10" i="10"/>
  <c r="F12" i="10"/>
  <c r="F14" i="10"/>
  <c r="F32" i="8"/>
  <c r="E40" i="8"/>
  <c r="F40" i="8" s="1"/>
  <c r="G23" i="9"/>
  <c r="E41" i="9"/>
  <c r="F41" i="9" s="1"/>
  <c r="E31" i="9"/>
  <c r="F31" i="9" s="1"/>
  <c r="I16" i="8" l="1"/>
  <c r="G16" i="9"/>
  <c r="I16" i="9" s="1"/>
  <c r="I15" i="9"/>
  <c r="I39" i="9"/>
  <c r="I31" i="9"/>
  <c r="H14" i="9"/>
  <c r="G14" i="9"/>
  <c r="I14" i="9" s="1"/>
  <c r="G31" i="8"/>
  <c r="I31" i="8" s="1"/>
  <c r="I43" i="8"/>
  <c r="I15" i="8"/>
  <c r="I32" i="8"/>
  <c r="H17" i="8"/>
  <c r="H41" i="9"/>
  <c r="G41" i="9"/>
  <c r="I41" i="9" s="1"/>
  <c r="H41" i="8"/>
  <c r="G41" i="8"/>
  <c r="I41" i="8" s="1"/>
  <c r="H42" i="8"/>
  <c r="G42" i="8"/>
  <c r="I42" i="8" s="1"/>
  <c r="G40" i="8"/>
  <c r="I40" i="8" s="1"/>
  <c r="H40" i="8"/>
  <c r="H39" i="9"/>
  <c r="G39" i="9"/>
  <c r="H31" i="9"/>
  <c r="G31" i="9"/>
  <c r="G32" i="8"/>
  <c r="H32" i="8"/>
  <c r="H40" i="9"/>
  <c r="I40" i="9" s="1"/>
  <c r="G40" i="9"/>
  <c r="G30" i="9"/>
  <c r="I30" i="9" s="1"/>
  <c r="H30" i="9"/>
  <c r="G42" i="9"/>
  <c r="I42" i="9" s="1"/>
  <c r="H42" i="9"/>
  <c r="C2" i="11" l="1"/>
  <c r="I17" i="8"/>
  <c r="I33" i="8" s="1"/>
  <c r="C3" i="11"/>
  <c r="B2" i="7" l="1"/>
  <c r="C4" i="11"/>
  <c r="I46" i="8"/>
  <c r="I47" i="8" s="1"/>
  <c r="F3" i="11" l="1"/>
  <c r="F2" i="11"/>
  <c r="B4" i="7"/>
  <c r="E18" i="4"/>
  <c r="D18" i="4"/>
  <c r="B18" i="4"/>
  <c r="F15" i="4"/>
  <c r="C16" i="4" s="1"/>
  <c r="F16" i="4" l="1"/>
  <c r="C17" i="4" l="1"/>
  <c r="F17" i="4" l="1"/>
  <c r="F18" i="4" s="1"/>
  <c r="B3" i="7" s="1"/>
  <c r="C18" i="4"/>
</calcChain>
</file>

<file path=xl/sharedStrings.xml><?xml version="1.0" encoding="utf-8"?>
<sst xmlns="http://schemas.openxmlformats.org/spreadsheetml/2006/main" count="316" uniqueCount="189">
  <si>
    <t>ICR Summary Information</t>
  </si>
  <si>
    <t>Hours Per Response</t>
  </si>
  <si>
    <t>Number of Respondents</t>
  </si>
  <si>
    <t>Total Estimated Burden Hours</t>
  </si>
  <si>
    <t>Total Estimated Costs</t>
  </si>
  <si>
    <t>Annualized Capital O&amp;M</t>
  </si>
  <si>
    <t>Form Number</t>
  </si>
  <si>
    <t>Not Applicable</t>
  </si>
  <si>
    <t>(D)</t>
  </si>
  <si>
    <t>(F)</t>
  </si>
  <si>
    <t>(G)</t>
  </si>
  <si>
    <t>1. Applications</t>
  </si>
  <si>
    <t>N/A</t>
  </si>
  <si>
    <t>3. Reporting Requirements</t>
  </si>
  <si>
    <t>See 3B</t>
  </si>
  <si>
    <t>Assumptions:</t>
  </si>
  <si>
    <t>Managerial</t>
  </si>
  <si>
    <t>Technical</t>
  </si>
  <si>
    <t>Clerical</t>
  </si>
  <si>
    <t>Capital/Startup vs. Operation and Maintenance (O&amp;M) Costs</t>
  </si>
  <si>
    <t>(A)</t>
  </si>
  <si>
    <t>(B)</t>
  </si>
  <si>
    <t>(C)</t>
  </si>
  <si>
    <t>(E)</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</si>
  <si>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</si>
  <si>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</si>
  <si>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</si>
  <si>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</si>
  <si>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</si>
  <si>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</si>
  <si>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</si>
  <si>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</si>
  <si>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</si>
  <si>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</si>
  <si>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</si>
  <si>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</si>
  <si>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</si>
  <si>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</si>
  <si>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Number of Respondents
(E=A+B+C-D)</t>
  </si>
  <si>
    <t>Average</t>
  </si>
  <si>
    <r>
      <t>1</t>
    </r>
    <r>
      <rPr>
        <sz val="10"/>
        <color rgb="FF000000"/>
        <rFont val="Times New Roman"/>
        <family val="1"/>
      </rPr>
      <t xml:space="preserve"> New respondents include sources with constructed, reconstructed and modified affected facilities. </t>
    </r>
  </si>
  <si>
    <t>Total Annual Responses</t>
  </si>
  <si>
    <t>Information Collection Activity</t>
  </si>
  <si>
    <t>Number of Responses</t>
  </si>
  <si>
    <t>Number of Existing Respondents That Keep Records But Do Not Submit Reports</t>
  </si>
  <si>
    <t>Total Annual Responses
E=(BxC)+D</t>
  </si>
  <si>
    <t>Total (rounded)</t>
  </si>
  <si>
    <r>
      <t xml:space="preserve">b </t>
    </r>
    <r>
      <rPr>
        <sz val="10"/>
        <rFont val="Times New Roman"/>
        <family val="1"/>
      </rPr>
      <t>No additional sources will become subject to the standard over the next three years.  We also assume affected air quality program administrator in States and U.S. territories have already submitted a State Plan and/or negative declaration.</t>
    </r>
  </si>
  <si>
    <r>
      <t>f</t>
    </r>
    <r>
      <rPr>
        <sz val="10"/>
        <rFont val="Times New Roman"/>
        <family val="1"/>
      </rPr>
      <t xml:space="preserve"> Totals have been rounded to 3 significant figures. Figures may not add exactly due to rounding.</t>
    </r>
  </si>
  <si>
    <t>Burden item</t>
  </si>
  <si>
    <t>(A)
Person-hours per occurrence</t>
  </si>
  <si>
    <t>(B)
No. of occurrence per respondent per year</t>
  </si>
  <si>
    <t>(C)
Person-hours per respondent per year
(C=AxB)</t>
  </si>
  <si>
    <r>
      <t>(D) Respondents per year</t>
    </r>
    <r>
      <rPr>
        <b/>
        <vertAlign val="superscript"/>
        <sz val="10"/>
        <color theme="1"/>
        <rFont val="Times New Roman"/>
        <family val="1"/>
      </rPr>
      <t xml:space="preserve">a, b </t>
    </r>
  </si>
  <si>
    <t>(E)
Technical person-hours per year
(E=CxD)</t>
  </si>
  <si>
    <t>(F)
Management person-hours per year
(F=E x 0.05)</t>
  </si>
  <si>
    <t>(G) Clerical person hours per year
(G = E x 0.1)</t>
  </si>
  <si>
    <r>
      <t>(H) Cost</t>
    </r>
    <r>
      <rPr>
        <b/>
        <vertAlign val="superscript"/>
        <sz val="10"/>
        <color theme="1"/>
        <rFont val="Times New Roman"/>
        <family val="1"/>
      </rPr>
      <t xml:space="preserve"> </t>
    </r>
    <r>
      <rPr>
        <b/>
        <sz val="10"/>
        <color theme="1"/>
        <rFont val="Times New Roman"/>
        <family val="1"/>
      </rPr>
      <t xml:space="preserve">$ </t>
    </r>
    <r>
      <rPr>
        <b/>
        <vertAlign val="superscript"/>
        <sz val="10"/>
        <color theme="1"/>
        <rFont val="Times New Roman"/>
        <family val="1"/>
      </rPr>
      <t>c</t>
    </r>
  </si>
  <si>
    <t>Mgmt.</t>
  </si>
  <si>
    <t>2. Survey and Studies</t>
  </si>
  <si>
    <t>Tech.</t>
  </si>
  <si>
    <t>Cler.</t>
  </si>
  <si>
    <t xml:space="preserve">    A.  Familiarization with Regulatory Requirements</t>
  </si>
  <si>
    <t xml:space="preserve">    B.  Required Activities</t>
  </si>
  <si>
    <t xml:space="preserve">         i.   Initial performance tests and reports (PM, dioxins/furans, opacity, fugitives, HCl, Cd, Pb, Hg)</t>
  </si>
  <si>
    <r>
      <t>          ii.  CEMS demonstration (SO</t>
    </r>
    <r>
      <rPr>
        <vertAlign val="subscript"/>
        <sz val="10"/>
        <color theme="1"/>
        <rFont val="Times New Roman"/>
        <family val="1"/>
      </rPr>
      <t>2</t>
    </r>
    <r>
      <rPr>
        <sz val="10"/>
        <color theme="1"/>
        <rFont val="Times New Roman"/>
        <family val="1"/>
      </rPr>
      <t>, NOx, opacity, CO, CO</t>
    </r>
    <r>
      <rPr>
        <vertAlign val="subscript"/>
        <sz val="10"/>
        <color theme="1"/>
        <rFont val="Times New Roman"/>
        <family val="1"/>
      </rPr>
      <t>2</t>
    </r>
    <r>
      <rPr>
        <sz val="10"/>
        <color theme="1"/>
        <rFont val="Times New Roman"/>
        <family val="1"/>
      </rPr>
      <t>, O</t>
    </r>
    <r>
      <rPr>
        <vertAlign val="subscript"/>
        <sz val="10"/>
        <color theme="1"/>
        <rFont val="Times New Roman"/>
        <family val="1"/>
      </rPr>
      <t>2</t>
    </r>
    <r>
      <rPr>
        <sz val="10"/>
        <color theme="1"/>
        <rFont val="Times New Roman"/>
        <family val="1"/>
      </rPr>
      <t>)</t>
    </r>
  </si>
  <si>
    <t>                a.  Installation of CEM units</t>
  </si>
  <si>
    <t>                b.  Initial demonstration</t>
  </si>
  <si>
    <t>          iii.  Annual performance tests and test reports (PM, dioxins/furans, opacity, fugitives, HCl, Cd, Pb, Hg)</t>
  </si>
  <si>
    <r>
      <t>          iv.  Quarterly Appendix F audits of CEMS (SO</t>
    </r>
    <r>
      <rPr>
        <vertAlign val="subscript"/>
        <sz val="10"/>
        <color theme="1"/>
        <rFont val="Times New Roman"/>
        <family val="1"/>
      </rPr>
      <t>2</t>
    </r>
    <r>
      <rPr>
        <sz val="10"/>
        <color theme="1"/>
        <rFont val="Times New Roman"/>
        <family val="1"/>
      </rPr>
      <t>, NOx, CO)</t>
    </r>
  </si>
  <si>
    <r>
      <t xml:space="preserve">                a.  RATA audit (one per year) </t>
    </r>
    <r>
      <rPr>
        <vertAlign val="superscript"/>
        <sz val="10"/>
        <color theme="1"/>
        <rFont val="Times New Roman"/>
        <family val="1"/>
      </rPr>
      <t>d</t>
    </r>
  </si>
  <si>
    <r>
      <t xml:space="preserve">                b.  RAA audit (three per year) </t>
    </r>
    <r>
      <rPr>
        <vertAlign val="superscript"/>
        <sz val="10"/>
        <color theme="1"/>
        <rFont val="Times New Roman"/>
        <family val="1"/>
      </rPr>
      <t>e</t>
    </r>
  </si>
  <si>
    <r>
      <t xml:space="preserve">                c.  Daily calibration and operation </t>
    </r>
    <r>
      <rPr>
        <vertAlign val="superscript"/>
        <sz val="10"/>
        <color theme="1"/>
        <rFont val="Times New Roman"/>
        <family val="1"/>
      </rPr>
      <t>f</t>
    </r>
  </si>
  <si>
    <t xml:space="preserve">    C.  Create Information</t>
  </si>
  <si>
    <t xml:space="preserve">    D.  Gather Information</t>
  </si>
  <si>
    <t>See 3E</t>
  </si>
  <si>
    <t xml:space="preserve">    E.  Report Preparation</t>
  </si>
  <si>
    <t xml:space="preserve">         i.  Plant startup</t>
  </si>
  <si>
    <t xml:space="preserve">                a.  Plant Control Plan</t>
  </si>
  <si>
    <t xml:space="preserve">                b.  Notification of Contract Awards</t>
  </si>
  <si>
    <t xml:space="preserve">                c.  Notification of on-site construction start</t>
  </si>
  <si>
    <t xml:space="preserve">                d.  Notification of construction completion</t>
  </si>
  <si>
    <t xml:space="preserve">                e.  Notification of final completion</t>
  </si>
  <si>
    <t xml:space="preserve">         ii.  Notification of initial performance tests</t>
  </si>
  <si>
    <t xml:space="preserve">         iii.  Initial compliance reports</t>
  </si>
  <si>
    <t xml:space="preserve">         iv.  Notification of CEMS demonstration</t>
  </si>
  <si>
    <t xml:space="preserve">         v.  Initial CEMS demonstration report</t>
  </si>
  <si>
    <t xml:space="preserve">         vi.  Annual compliance reports</t>
  </si>
  <si>
    <r>
      <t xml:space="preserve">         vii.  Semiannual excess emission reports </t>
    </r>
    <r>
      <rPr>
        <vertAlign val="superscript"/>
        <sz val="10"/>
        <color theme="1"/>
        <rFont val="Times New Roman"/>
        <family val="1"/>
      </rPr>
      <t>g</t>
    </r>
  </si>
  <si>
    <t>Reporting Subtotal</t>
  </si>
  <si>
    <t>4.  Recordkeeping Requirements</t>
  </si>
  <si>
    <t>See 3A</t>
  </si>
  <si>
    <t xml:space="preserve">    B.  Plan Activities</t>
  </si>
  <si>
    <t xml:space="preserve">    C.  Implement Activities</t>
  </si>
  <si>
    <t xml:space="preserve">    D.  Develop Record System</t>
  </si>
  <si>
    <t xml:space="preserve">    E.  Record information</t>
  </si>
  <si>
    <r>
      <t xml:space="preserve">         i.  Record startups, shutdowns, and malfunctions </t>
    </r>
    <r>
      <rPr>
        <vertAlign val="superscript"/>
        <sz val="10"/>
        <color theme="1"/>
        <rFont val="Times New Roman"/>
        <family val="1"/>
      </rPr>
      <t>h</t>
    </r>
  </si>
  <si>
    <r>
      <t xml:space="preserve">         ii.  Records of all emission rates, computations, tests </t>
    </r>
    <r>
      <rPr>
        <vertAlign val="superscript"/>
        <sz val="10"/>
        <color theme="1"/>
        <rFont val="Times New Roman"/>
        <family val="1"/>
      </rPr>
      <t>h</t>
    </r>
  </si>
  <si>
    <t xml:space="preserve">         iii.  Records of employee review of operations manual</t>
  </si>
  <si>
    <t xml:space="preserve">         iv.  Record amount of sorbent used for Hg and dioxin/furan control</t>
  </si>
  <si>
    <t xml:space="preserve">    F.  Personnel Training</t>
  </si>
  <si>
    <t xml:space="preserve">    G.  Time for audits</t>
  </si>
  <si>
    <t>Recordkeeping subtotal</t>
  </si>
  <si>
    <r>
      <t>TOTAL LABOR  BURDEN AND COST (Rounded):</t>
    </r>
    <r>
      <rPr>
        <b/>
        <vertAlign val="superscript"/>
        <sz val="10"/>
        <color theme="1"/>
        <rFont val="Times New Roman"/>
        <family val="1"/>
      </rPr>
      <t>i</t>
    </r>
  </si>
  <si>
    <r>
      <t>Capital and O&amp;M Cost (Rounded):</t>
    </r>
    <r>
      <rPr>
        <b/>
        <vertAlign val="superscript"/>
        <sz val="10"/>
        <rFont val="Times New Roman"/>
        <family val="1"/>
      </rPr>
      <t>i</t>
    </r>
  </si>
  <si>
    <r>
      <t>GRAND TOTAL (Rounded):</t>
    </r>
    <r>
      <rPr>
        <b/>
        <vertAlign val="superscript"/>
        <sz val="10"/>
        <rFont val="Times New Roman"/>
        <family val="1"/>
      </rPr>
      <t>i</t>
    </r>
  </si>
  <si>
    <r>
      <t>b</t>
    </r>
    <r>
      <rPr>
        <sz val="10"/>
        <color rgb="FF000000"/>
        <rFont val="Times New Roman"/>
        <family val="1"/>
      </rPr>
      <t xml:space="preserve"> No additional facilities will become subject to the standard over the next three years.</t>
    </r>
  </si>
  <si>
    <r>
      <t>h</t>
    </r>
    <r>
      <rPr>
        <sz val="10"/>
        <color rgb="FF000000"/>
        <rFont val="Times New Roman"/>
        <family val="1"/>
      </rPr>
      <t xml:space="preserve"> Assumes 47 weeks of operation (90 percent availability) per year per facility.</t>
    </r>
  </si>
  <si>
    <r>
      <t>i</t>
    </r>
    <r>
      <rPr>
        <sz val="10"/>
        <color rgb="FF000000"/>
        <rFont val="Times New Roman"/>
        <family val="1"/>
      </rPr>
      <t xml:space="preserve"> Totals have been rounded to 3 significant figures. Figures may not add exactly due to rounding.</t>
    </r>
  </si>
  <si>
    <t>          ii.  CEMS demonstration (SO2, NOx, opacity, CO, CO2, O2)</t>
  </si>
  <si>
    <t>          iv.  Quarterly Appendix F audits of CEMS (SO2, NOx, CO)</t>
  </si>
  <si>
    <r>
      <t xml:space="preserve">         vii.  Semiannual excess emission reports</t>
    </r>
    <r>
      <rPr>
        <vertAlign val="superscript"/>
        <sz val="10"/>
        <color theme="1"/>
        <rFont val="Times New Roman"/>
        <family val="1"/>
      </rPr>
      <t>g</t>
    </r>
  </si>
  <si>
    <t>TOTAL LABOR  BURDEN AND COST (Rounded):</t>
  </si>
  <si>
    <t>Capital and O&amp;M Cost (see Section 6(b)(iii)):</t>
  </si>
  <si>
    <t xml:space="preserve">TOTAL COST: </t>
  </si>
  <si>
    <r>
      <t>g</t>
    </r>
    <r>
      <rPr>
        <sz val="10"/>
        <rFont val="Times New Roman"/>
        <family val="1"/>
      </rPr>
      <t xml:space="preserve"> Assumes 10 percent of public sources (1.6) have affected facilities with excess emissions and must submit two semiannual reports.</t>
    </r>
  </si>
  <si>
    <t>Activity</t>
  </si>
  <si>
    <t>(A)
No. occurrence per year</t>
  </si>
  <si>
    <t>(B)
Person-hours per occurrence</t>
  </si>
  <si>
    <t>(C)
Technical person-hours per year
(C = A x B)</t>
  </si>
  <si>
    <t>(D)
Management person-hours per year
 (D = C x 0.05)</t>
  </si>
  <si>
    <t>(E)
Clerical person-hours per year
(E = C x 0.1)</t>
  </si>
  <si>
    <r>
      <t>(H)
Cost</t>
    </r>
    <r>
      <rPr>
        <b/>
        <vertAlign val="superscript"/>
        <sz val="10"/>
        <color theme="1"/>
        <rFont val="Times New Roman"/>
        <family val="1"/>
      </rPr>
      <t>a</t>
    </r>
    <r>
      <rPr>
        <b/>
        <sz val="10"/>
        <color theme="1"/>
        <rFont val="Times New Roman"/>
        <family val="1"/>
      </rPr>
      <t xml:space="preserve"> $</t>
    </r>
  </si>
  <si>
    <t>1.  Applications</t>
  </si>
  <si>
    <r>
      <t xml:space="preserve">2.  Report Reviews </t>
    </r>
    <r>
      <rPr>
        <vertAlign val="superscript"/>
        <sz val="10"/>
        <color theme="1"/>
        <rFont val="Times New Roman"/>
        <family val="1"/>
      </rPr>
      <t>b, c</t>
    </r>
  </si>
  <si>
    <t>i.  Review preliminary and final material separation plans and siting analysis</t>
  </si>
  <si>
    <t>ii.  Review notification of construction</t>
  </si>
  <si>
    <t>iii.  Review notification of startup</t>
  </si>
  <si>
    <t>iv.  Review notification of initial performance test</t>
  </si>
  <si>
    <t>v.  Review notification of initial CEMS demonstration</t>
  </si>
  <si>
    <t>vi.  Review initial performance test report</t>
  </si>
  <si>
    <t>vii.  Review initial CEMS demonstration report</t>
  </si>
  <si>
    <r>
      <t xml:space="preserve">viii.  Review annual compliance report </t>
    </r>
    <r>
      <rPr>
        <vertAlign val="superscript"/>
        <sz val="10"/>
        <color theme="1"/>
        <rFont val="Times New Roman"/>
        <family val="1"/>
      </rPr>
      <t>d</t>
    </r>
  </si>
  <si>
    <r>
      <t xml:space="preserve">ix.  Review semi-annual excess emission report </t>
    </r>
    <r>
      <rPr>
        <vertAlign val="superscript"/>
        <sz val="10"/>
        <color theme="1"/>
        <rFont val="Times New Roman"/>
        <family val="1"/>
      </rPr>
      <t>e</t>
    </r>
  </si>
  <si>
    <t>3. Prepare annual summary report</t>
  </si>
  <si>
    <r>
      <t xml:space="preserve">TOTAL ANNUAL COST (rounded) </t>
    </r>
    <r>
      <rPr>
        <b/>
        <vertAlign val="superscript"/>
        <sz val="10"/>
        <color theme="1"/>
        <rFont val="Times New Roman"/>
        <family val="1"/>
      </rPr>
      <t>f</t>
    </r>
  </si>
  <si>
    <t>Table 1b: Annual Respondent Burden and Cost for Publicly-Owned Entities – NSPS for Emission Guidelines and Compliance Times for Small Municipal Waste Combustion Units Constructed on or before August 30, 1999 (40 CFR part 60, Subpart BBBB) (Renewal)</t>
  </si>
  <si>
    <t>Table 1a: Annual Respondent Burden and Cost for Private Industry – NSPS for Emission Guidelines and Compliance Times for Small Municipal Waste Combustion Units Constructed on or before August 30, 1999 (40 CFR part 60, Subpart BBBB) (Renewal)</t>
  </si>
  <si>
    <t>Labor Rates:</t>
  </si>
  <si>
    <t>State plan</t>
  </si>
  <si>
    <t>Negative Declaration</t>
  </si>
  <si>
    <t>Plant Startup (Plant Control Plan, notifications, etc.)</t>
  </si>
  <si>
    <t>Notifications (Performance Test, CEMS Demonstration, etc.)</t>
  </si>
  <si>
    <t>Annual Reports (Private)</t>
  </si>
  <si>
    <t>Annual Reports (Public)</t>
  </si>
  <si>
    <t>Semiannual Excess Emission Reports</t>
  </si>
  <si>
    <t>(C)
Technical person-hours per year
(C = A x B)</t>
  </si>
  <si>
    <t>(D)
Management person-hours per year
 (D = C x 0.05)</t>
  </si>
  <si>
    <t>(E)
Clerical person-hours per year
(E = C x 0.1)</t>
  </si>
  <si>
    <t>Category</t>
  </si>
  <si>
    <t>Reporting Hours</t>
  </si>
  <si>
    <t>Recordkeeping Hours</t>
  </si>
  <si>
    <t>Total Respondent Labor Hours</t>
  </si>
  <si>
    <t>Respondent Labor Cost</t>
  </si>
  <si>
    <t>Capital &amp; O&amp;M Cost</t>
  </si>
  <si>
    <t>Privately-Owned</t>
  </si>
  <si>
    <t>State &amp; Local Government-Owned MWCs</t>
  </si>
  <si>
    <t>hrs/response</t>
  </si>
  <si>
    <r>
      <t>a</t>
    </r>
    <r>
      <rPr>
        <sz val="10"/>
        <color rgb="FF000000"/>
        <rFont val="Times New Roman"/>
        <family val="1"/>
      </rPr>
      <t xml:space="preserve"> Assumes an average of 5 private respondents and 2.4 affected facilities (i.e., sources or units) per respondent [12 facilities at 5 plants; 12/5 = 2.4].</t>
    </r>
  </si>
  <si>
    <r>
      <t>d</t>
    </r>
    <r>
      <rPr>
        <sz val="10"/>
        <rFont val="Times New Roman"/>
        <family val="1"/>
      </rPr>
      <t xml:space="preserve"> Relative accuracy test audits (RATA) occur once per year for each affected facility (1 x 2.4 = 2.4). RATA are performed for one of the four quarterly audits. RAA tests are performed for three of the four quarterly audits. Audits of the diluent monitor (O</t>
    </r>
    <r>
      <rPr>
        <vertAlign val="subscript"/>
        <sz val="10"/>
        <rFont val="Times New Roman"/>
        <family val="1"/>
      </rPr>
      <t>2</t>
    </r>
    <r>
      <rPr>
        <sz val="10"/>
        <rFont val="Times New Roman"/>
        <family val="1"/>
      </rPr>
      <t xml:space="preserve"> or CO</t>
    </r>
    <r>
      <rPr>
        <vertAlign val="subscript"/>
        <sz val="10"/>
        <rFont val="Times New Roman"/>
        <family val="1"/>
      </rPr>
      <t>2</t>
    </r>
    <r>
      <rPr>
        <sz val="10"/>
        <rFont val="Times New Roman"/>
        <family val="1"/>
      </rPr>
      <t>) are not required because tests on SO</t>
    </r>
    <r>
      <rPr>
        <vertAlign val="subscript"/>
        <sz val="10"/>
        <rFont val="Times New Roman"/>
        <family val="1"/>
      </rPr>
      <t>2</t>
    </r>
    <r>
      <rPr>
        <sz val="10"/>
        <rFont val="Times New Roman"/>
        <family val="1"/>
      </rPr>
      <t xml:space="preserve"> and CO monitors will incorporate the use of the diluent monitor.</t>
    </r>
  </si>
  <si>
    <r>
      <t>e</t>
    </r>
    <r>
      <rPr>
        <sz val="10"/>
        <rFont val="Times New Roman"/>
        <family val="1"/>
      </rPr>
      <t xml:space="preserve"> Relative accuracy audits (RAA) occur three times per year for each affected facility (3 x 2.4 = 7.2).</t>
    </r>
  </si>
  <si>
    <r>
      <t>f</t>
    </r>
    <r>
      <rPr>
        <sz val="10"/>
        <rFont val="Times New Roman"/>
        <family val="1"/>
      </rPr>
      <t xml:space="preserve"> Daily calibration and operation data occurs daily [365 x 2.4 = 876 (Rounded)].</t>
    </r>
  </si>
  <si>
    <r>
      <t>g</t>
    </r>
    <r>
      <rPr>
        <sz val="10"/>
        <rFont val="Times New Roman"/>
        <family val="1"/>
      </rPr>
      <t xml:space="preserve"> Assumes 10 percent of private sources (0.5) have affected facilities with excess emissions and must submit two semiannual reports.</t>
    </r>
  </si>
  <si>
    <t>(C)
Person-hours per respondent per year
(C=AxB)</t>
  </si>
  <si>
    <t>(E)
Technical person-hours per year
(E=CxD)</t>
  </si>
  <si>
    <t>(F)
Management person-hours per year
(F=E x 0.05)</t>
  </si>
  <si>
    <t>(G) Clerical person hours per year
(G = E x 0.1)</t>
  </si>
  <si>
    <r>
      <t xml:space="preserve">e </t>
    </r>
    <r>
      <rPr>
        <sz val="10"/>
        <rFont val="Times New Roman"/>
        <family val="1"/>
      </rPr>
      <t>Assumes submission of semiannual excess emission reports will be required for 10 percent of units (14 x 0.10 = 1.4); (2 x 1.4 = 2.8).</t>
    </r>
  </si>
  <si>
    <r>
      <t>c</t>
    </r>
    <r>
      <rPr>
        <sz val="10"/>
        <rFont val="Times New Roman"/>
        <family val="1"/>
      </rPr>
      <t xml:space="preserve"> Assumes 14 affected units at 8 plants are subject to the Federal Plan.</t>
    </r>
  </si>
  <si>
    <r>
      <t>b</t>
    </r>
    <r>
      <rPr>
        <sz val="10"/>
        <color rgb="FF000000"/>
        <rFont val="Times New Roman"/>
        <family val="1"/>
      </rPr>
      <t xml:space="preserve">  This ICR uses the following labor rates: Managerial $172.41 ($82.10+ 110%); Technical $141.75 ($67.50 + 110%); and Clerical $71.36 ($33.98 + 110%). These rates are from the United States Department of Labor, Bureau of Labor Statistics, December 2023, “Table 2. Civilian workers by occupational and industry group.” The rates are from column 1, “Total compensation.” The rates are increased by 110 percent to account for varying industry wage rates and the additional overhead business costs of employing workers beyond their wages and benefits, including business expenses associated with hiring, training, and equipping their employees.</t>
    </r>
  </si>
  <si>
    <r>
      <t>b</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</si>
  <si>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r>
      <t>d</t>
    </r>
    <r>
      <rPr>
        <sz val="10"/>
        <rFont val="Times New Roman"/>
        <family val="1"/>
      </rPr>
      <t xml:space="preserve"> Assumes four hours to review the annual compliance report for each plant (4 x 8 = 32).</t>
    </r>
  </si>
  <si>
    <r>
      <t>d</t>
    </r>
    <r>
      <rPr>
        <sz val="10"/>
        <rFont val="Times New Roman"/>
        <family val="1"/>
      </rPr>
      <t xml:space="preserve"> Assumes four hours to review the annual compliance report for each plant (4 x 6 = 24).</t>
    </r>
  </si>
  <si>
    <r>
      <t>c</t>
    </r>
    <r>
      <rPr>
        <sz val="10"/>
        <rFont val="Times New Roman"/>
        <family val="1"/>
      </rPr>
      <t xml:space="preserve"> Assumes 14 affected units at 6 plants.</t>
    </r>
  </si>
  <si>
    <r>
      <t>d</t>
    </r>
    <r>
      <rPr>
        <sz val="10"/>
        <rFont val="Times New Roman"/>
        <family val="1"/>
      </rPr>
      <t xml:space="preserve"> Relative accuracy test audits (RATA) occur once per year for each affected facility (1 x 1.78 = 1.78). RATA are performed for one of the four quarterly audits. RAA tests are performed for three of the four quarterly audits. Audits of the diluent monitor (O</t>
    </r>
    <r>
      <rPr>
        <vertAlign val="subscript"/>
        <sz val="10"/>
        <rFont val="Times New Roman"/>
        <family val="1"/>
      </rPr>
      <t>2</t>
    </r>
    <r>
      <rPr>
        <sz val="10"/>
        <rFont val="Times New Roman"/>
        <family val="1"/>
      </rPr>
      <t xml:space="preserve"> or CO</t>
    </r>
    <r>
      <rPr>
        <vertAlign val="subscript"/>
        <sz val="10"/>
        <rFont val="Times New Roman"/>
        <family val="1"/>
      </rPr>
      <t>2</t>
    </r>
    <r>
      <rPr>
        <sz val="10"/>
        <rFont val="Times New Roman"/>
        <family val="1"/>
      </rPr>
      <t>) are not required because tests on SO</t>
    </r>
    <r>
      <rPr>
        <vertAlign val="subscript"/>
        <sz val="10"/>
        <rFont val="Times New Roman"/>
        <family val="1"/>
      </rPr>
      <t>2</t>
    </r>
    <r>
      <rPr>
        <sz val="10"/>
        <rFont val="Times New Roman"/>
        <family val="1"/>
      </rPr>
      <t xml:space="preserve"> and CO monitors will incorporate the use of the diluent monitor.</t>
    </r>
  </si>
  <si>
    <r>
      <t>e</t>
    </r>
    <r>
      <rPr>
        <sz val="10"/>
        <rFont val="Times New Roman"/>
        <family val="1"/>
      </rPr>
      <t xml:space="preserve"> Relative accuracy audits (RAA) occur three times per year for each affected facility (3 x 1.78 = 5.34).</t>
    </r>
  </si>
  <si>
    <r>
      <t>f</t>
    </r>
    <r>
      <rPr>
        <sz val="10"/>
        <rFont val="Times New Roman"/>
        <family val="1"/>
      </rPr>
      <t xml:space="preserve"> Daily calibration and operation data occurs daily [365 x 1.78 = 650 (Rounded)].</t>
    </r>
  </si>
  <si>
    <r>
      <t xml:space="preserve">e </t>
    </r>
    <r>
      <rPr>
        <sz val="10"/>
        <rFont val="Times New Roman"/>
        <family val="1"/>
      </rPr>
      <t>Assumes submission of semiannual excess emission reports will be required for 10 percent of units (1.4); (2 x 1.4= 2.8).</t>
    </r>
  </si>
  <si>
    <r>
      <t>Total (Rounded)</t>
    </r>
    <r>
      <rPr>
        <b/>
        <vertAlign val="superscript"/>
        <sz val="10"/>
        <color theme="1"/>
        <rFont val="Times New Roman"/>
        <family val="1"/>
      </rPr>
      <t>a</t>
    </r>
  </si>
  <si>
    <r>
      <t>a</t>
    </r>
    <r>
      <rPr>
        <sz val="10"/>
        <color rgb="FF000000"/>
        <rFont val="Times New Roman"/>
        <family val="1"/>
      </rPr>
      <t xml:space="preserve"> Totals have been rounded to 3 significant figures. Figures may not add exactly due to rounding.</t>
    </r>
  </si>
  <si>
    <r>
      <t>a</t>
    </r>
    <r>
      <rPr>
        <sz val="10"/>
        <rFont val="Times New Roman"/>
        <family val="1"/>
      </rPr>
      <t xml:space="preserve"> Assumes an average of 9 public respondents and 1.78 affected facilities (i.e., sources or units) per respondent [16 facilities at 9 plants; 16/9 = 1.78].</t>
    </r>
  </si>
  <si>
    <t>CEPCI Index 2009:</t>
  </si>
  <si>
    <t>CEPCI Index 2023:</t>
  </si>
  <si>
    <r>
      <t xml:space="preserve">Load monitors, temperature monitors, and carbon federate monitors (Sections 60.1315 thru 60.1335) </t>
    </r>
    <r>
      <rPr>
        <vertAlign val="superscript"/>
        <sz val="11"/>
        <color theme="1"/>
        <rFont val="Times New Roman"/>
        <family val="1"/>
      </rPr>
      <t>a</t>
    </r>
  </si>
  <si>
    <r>
      <rPr>
        <vertAlign val="superscript"/>
        <sz val="11"/>
        <color theme="1"/>
        <rFont val="Calibri"/>
        <family val="2"/>
        <scheme val="minor"/>
      </rPr>
      <t>a</t>
    </r>
    <r>
      <rPr>
        <sz val="11"/>
        <color theme="1"/>
        <rFont val="Calibri"/>
        <family val="2"/>
        <scheme val="minor"/>
      </rPr>
      <t xml:space="preserve"> Costs have been updated from 2009 dollars to 2023 dollars using the CEPCI CE Index. Totals have been rounded to 3 significant figures. Figures may not add exactly due to rounding.</t>
    </r>
  </si>
  <si>
    <t>Table 1c: Average State/Local Burden and Cost – NSPS for Emission Guidelines and Compliance Times for Small Municipal Waste Combustion Units Constructed on or before August 30, 1999 (40 CFR part 60, Subpart BBBB) (Renewal)</t>
  </si>
  <si>
    <t>Table 2: AverageEPA Burden and Cost – NSPS for Emission Guidelines and Compliance Times for Small Municipal Waste Combustion Units Constructed on or before August 30, 1999 (40 CFR part 60, Subpart BBBB) (Renewal)</t>
  </si>
  <si>
    <r>
      <t>a</t>
    </r>
    <r>
      <rPr>
        <sz val="10"/>
        <color rgb="FF000000"/>
        <rFont val="Times New Roman"/>
        <family val="1"/>
      </rPr>
      <t xml:space="preserve">  This cost is based on the average hourly labor rate as follows: Managerial $76.91 (GS-13, Step 5, $48.07 + 60%); Technical $57.07 (GS-12, Step 1, $35.67 + 60%); and Clerical $30.88 (GS-6, Step 3, $19.30+ 60%). This ICR assumes that Managerial hours are 5 percent of Technical hours, and Clerical hours are 10 percent of Technical hours. These rates are from the Office of Personnel Management (OPM), 2024 General Schedule, which excludes locality, rates of pay. The rates have been increased by 60 percent to account for the benefit packages available to government employees.</t>
    </r>
  </si>
  <si>
    <t>Number of States Implementing State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</si>
</sst>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3" formatCode="_(* #,##0.00_);_(* \(#,##0.00\);_(* &quot;-&quot;??_);_(@_)"/>
    <numFmt numFmtId="164" formatCode="0.0"/>
    <numFmt numFmtId="165" formatCode="#,##0.0"/>
    <numFmt numFmtId="166" formatCode="&quot;$&quot;#,##0.00"/>
    <numFmt numFmtId="167" formatCode="General_)"/>
    <numFmt numFmtId="168" formatCode="&quot;$&quot;#,##0"/>
    <numFmt numFmtId="169" formatCode="_(* #,##0_);_(* \(#,##0\);_(* &quot;-&quot;??_);_(@_)"/>
    <numFmt numFmtId="170" formatCode="#,##0.000"/>
  </numFmts>
  <fonts count="29" x14ac:knownFonts="1">
    <font>
      <sz val="11"/>
      <color theme="1"/>
      <name val="Calibri"/>
      <family val="2"/>
      <scheme val="minor"/>
    </font>
    <font>
      <b/>
      <sz val="12"/>
      <color rgb="FF000000"/>
      <name val="Times New Roman"/>
      <family val="1"/>
    </font>
    <font>
      <sz val="10"/>
      <color theme="1"/>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i/>
      <sz val="10"/>
      <color theme="1"/>
      <name val="Times New Roman"/>
      <family val="1"/>
    </font>
    <font>
      <b/>
      <sz val="10"/>
      <color theme="1"/>
      <name val="Times New Roman"/>
      <family val="1"/>
    </font>
    <font>
      <vertAlign val="superscript"/>
      <sz val="10"/>
      <color theme="1"/>
      <name val="Times New Roman"/>
      <family val="1"/>
    </font>
    <font>
      <sz val="11"/>
      <color theme="1"/>
      <name val="Calibri"/>
      <family val="2"/>
      <scheme val="minor"/>
    </font>
    <font>
      <vertAlign val="superscript"/>
      <sz val="10"/>
      <name val="Times New Roman"/>
      <family val="1"/>
    </font>
    <font>
      <b/>
      <sz val="11"/>
      <color theme="1"/>
      <name val="Times New Roman"/>
      <family val="1"/>
    </font>
    <font>
      <sz val="11"/>
      <color theme="1"/>
      <name val="Times New Roman"/>
      <family val="1"/>
    </font>
    <font>
      <b/>
      <sz val="10"/>
      <name val="Times New Roman"/>
      <family val="1"/>
    </font>
    <font>
      <b/>
      <sz val="11"/>
      <color rgb="FF000000"/>
      <name val="Times New Roman"/>
      <family val="1"/>
    </font>
    <font>
      <sz val="10"/>
      <name val="Times New Roman"/>
      <family val="1"/>
    </font>
    <font>
      <b/>
      <vertAlign val="superscript"/>
      <sz val="10"/>
      <color theme="1"/>
      <name val="Times New Roman"/>
      <family val="1"/>
    </font>
    <font>
      <sz val="8"/>
      <name val="Helv"/>
    </font>
    <font>
      <b/>
      <u/>
      <sz val="10"/>
      <name val="Times New Roman"/>
      <family val="1"/>
    </font>
    <font>
      <sz val="10"/>
      <color indexed="8"/>
      <name val="Times New Roman"/>
      <family val="1"/>
    </font>
    <font>
      <vertAlign val="subscript"/>
      <sz val="10"/>
      <color theme="1"/>
      <name val="Times New Roman"/>
      <family val="1"/>
    </font>
    <font>
      <b/>
      <vertAlign val="superscript"/>
      <sz val="10"/>
      <name val="Times New Roman"/>
      <family val="1"/>
    </font>
    <font>
      <vertAlign val="subscript"/>
      <sz val="10"/>
      <name val="Times New Roman"/>
      <family val="1"/>
    </font>
    <font>
      <sz val="10"/>
      <name val="Arial"/>
      <family val="2"/>
    </font>
    <font>
      <sz val="10"/>
      <name val="Calibri"/>
      <family val="2"/>
      <scheme val="minor"/>
    </font>
    <font>
      <b/>
      <sz val="12"/>
      <color theme="1"/>
      <name val="Calibri"/>
      <family val="2"/>
      <scheme val="minor"/>
    </font>
    <font>
      <sz val="11"/>
      <name val="Times New Roman"/>
      <family val="1"/>
    </font>
    <font>
      <vertAlign val="superscript"/>
      <sz val="11"/>
      <color theme="1"/>
      <name val="Times New Roman"/>
      <family val="1"/>
    </font>
    <font>
      <vertAlign val="superscript"/>
      <sz val="11"/>
      <color theme="1"/>
      <name val="Calibri"/>
      <family val="2"/>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s>
  <cellStyleXfs count="4">
    <xf numFmtId="0" fontId="0" fillId="0" borderId="0"/>
    <xf numFmtId="43" fontId="9" fillId="0" borderId="0" applyFont="0" applyFill="0" applyBorder="0" applyAlignment="0" applyProtection="0"/>
    <xf numFmtId="167" fontId="17" fillId="0" borderId="0"/>
    <xf numFmtId="0" fontId="23" fillId="0" borderId="0"/>
  </cellStyleXfs>
  <cellXfs count="111">
    <xf numFmtId="0" fontId="0" fillId="0" borderId="0" xfId="0"/>
    <xf numFmtId="0" fontId="3" fillId="0" borderId="1" xfId="0" applyFont="1" applyBorder="1" applyAlignment="1">
      <alignment horizontal="center" vertical="center" wrapText="1"/>
    </xf>
    <xf numFmtId="0" fontId="4" fillId="0" borderId="0" xfId="0" applyFont="1"/>
    <xf numFmtId="0" fontId="3"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5" xfId="0" applyBorder="1"/>
    <xf numFmtId="0" fontId="0" fillId="0" borderId="7" xfId="0" applyBorder="1"/>
    <xf numFmtId="8" fontId="0" fillId="0" borderId="6" xfId="0" applyNumberFormat="1" applyBorder="1"/>
    <xf numFmtId="8" fontId="0" fillId="0" borderId="8" xfId="0" applyNumberFormat="1" applyBorder="1"/>
    <xf numFmtId="0" fontId="12" fillId="0" borderId="0" xfId="0" applyFont="1" applyAlignment="1">
      <alignment vertical="center" wrapText="1"/>
    </xf>
    <xf numFmtId="0" fontId="12" fillId="0" borderId="0" xfId="0" applyFont="1"/>
    <xf numFmtId="1" fontId="12" fillId="0" borderId="0" xfId="0" applyNumberFormat="1" applyFont="1"/>
    <xf numFmtId="3" fontId="12" fillId="0" borderId="0" xfId="0" applyNumberFormat="1" applyFont="1"/>
    <xf numFmtId="6" fontId="12" fillId="0" borderId="0" xfId="0" applyNumberFormat="1" applyFont="1"/>
    <xf numFmtId="0" fontId="10"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2" fillId="0" borderId="0" xfId="0" applyFont="1" applyAlignment="1">
      <alignment horizontal="center"/>
    </xf>
    <xf numFmtId="0" fontId="2" fillId="0" borderId="0" xfId="0" applyFont="1"/>
    <xf numFmtId="0" fontId="7" fillId="0" borderId="11" xfId="0" applyFont="1" applyBorder="1" applyAlignment="1">
      <alignment wrapText="1"/>
    </xf>
    <xf numFmtId="0" fontId="7" fillId="0" borderId="11" xfId="0" applyFont="1" applyBorder="1" applyAlignment="1">
      <alignment horizontal="center" wrapText="1"/>
    </xf>
    <xf numFmtId="0" fontId="7" fillId="0" borderId="11" xfId="0" applyFont="1" applyBorder="1" applyAlignment="1">
      <alignment horizontal="center"/>
    </xf>
    <xf numFmtId="0" fontId="2" fillId="0" borderId="1" xfId="0" applyFont="1" applyBorder="1" applyAlignment="1">
      <alignment wrapText="1"/>
    </xf>
    <xf numFmtId="0" fontId="2" fillId="0" borderId="1" xfId="0" applyFont="1" applyBorder="1" applyAlignment="1">
      <alignment horizontal="center"/>
    </xf>
    <xf numFmtId="8" fontId="2" fillId="0" borderId="1" xfId="0" applyNumberFormat="1" applyFont="1" applyBorder="1"/>
    <xf numFmtId="0" fontId="15" fillId="0" borderId="1" xfId="0" applyFont="1" applyBorder="1" applyAlignment="1">
      <alignment horizontal="center"/>
    </xf>
    <xf numFmtId="166" fontId="19" fillId="0" borderId="0" xfId="2" applyNumberFormat="1" applyFont="1" applyAlignment="1">
      <alignment horizontal="right" wrapText="1"/>
    </xf>
    <xf numFmtId="167" fontId="15" fillId="0" borderId="0" xfId="2" applyFont="1" applyAlignment="1">
      <alignment horizontal="center" vertical="center" wrapText="1"/>
    </xf>
    <xf numFmtId="6" fontId="2" fillId="0" borderId="1" xfId="0" applyNumberFormat="1" applyFont="1" applyBorder="1"/>
    <xf numFmtId="4" fontId="2" fillId="0" borderId="1" xfId="0" applyNumberFormat="1" applyFont="1" applyBorder="1" applyAlignment="1">
      <alignment horizontal="center"/>
    </xf>
    <xf numFmtId="165" fontId="2" fillId="0" borderId="1" xfId="0" applyNumberFormat="1" applyFont="1" applyBorder="1" applyAlignment="1">
      <alignment horizontal="center"/>
    </xf>
    <xf numFmtId="3" fontId="2" fillId="0" borderId="1" xfId="0" applyNumberFormat="1" applyFont="1" applyBorder="1" applyAlignment="1">
      <alignment horizontal="center"/>
    </xf>
    <xf numFmtId="0" fontId="6" fillId="0" borderId="1" xfId="0" applyFont="1" applyBorder="1" applyAlignment="1">
      <alignment wrapText="1"/>
    </xf>
    <xf numFmtId="0" fontId="6" fillId="0" borderId="1" xfId="0" applyFont="1" applyBorder="1" applyAlignment="1">
      <alignment horizontal="center"/>
    </xf>
    <xf numFmtId="6" fontId="6" fillId="0" borderId="1" xfId="0" applyNumberFormat="1" applyFont="1" applyBorder="1"/>
    <xf numFmtId="0" fontId="6" fillId="0" borderId="0" xfId="0" applyFont="1"/>
    <xf numFmtId="2" fontId="6" fillId="0" borderId="0" xfId="0" applyNumberFormat="1" applyFont="1"/>
    <xf numFmtId="1" fontId="6" fillId="0" borderId="0" xfId="0" applyNumberFormat="1" applyFont="1"/>
    <xf numFmtId="0" fontId="7" fillId="0" borderId="1" xfId="0" applyFont="1" applyBorder="1" applyAlignment="1">
      <alignment wrapText="1"/>
    </xf>
    <xf numFmtId="0" fontId="7" fillId="0" borderId="1" xfId="0" applyFont="1" applyBorder="1" applyAlignment="1">
      <alignment horizontal="center"/>
    </xf>
    <xf numFmtId="6" fontId="7" fillId="0" borderId="1" xfId="0" applyNumberFormat="1" applyFont="1" applyBorder="1"/>
    <xf numFmtId="0" fontId="7" fillId="0" borderId="0" xfId="0" applyFont="1"/>
    <xf numFmtId="0" fontId="13" fillId="0" borderId="1" xfId="0" applyFont="1" applyBorder="1" applyAlignment="1">
      <alignment vertical="center"/>
    </xf>
    <xf numFmtId="0" fontId="7" fillId="0" borderId="1" xfId="0" applyFont="1" applyBorder="1"/>
    <xf numFmtId="1" fontId="7" fillId="0" borderId="1" xfId="0" applyNumberFormat="1" applyFont="1" applyBorder="1"/>
    <xf numFmtId="1" fontId="7" fillId="0" borderId="0" xfId="0" applyNumberFormat="1" applyFont="1"/>
    <xf numFmtId="0" fontId="7" fillId="0" borderId="10" xfId="0" applyFont="1" applyBorder="1" applyAlignment="1">
      <alignment horizontal="center" vertical="top" wrapText="1"/>
    </xf>
    <xf numFmtId="0" fontId="2" fillId="0" borderId="1" xfId="0" applyFont="1" applyBorder="1" applyAlignment="1">
      <alignment horizontal="left" wrapText="1" indent="1"/>
    </xf>
    <xf numFmtId="0" fontId="2" fillId="0" borderId="1" xfId="0" applyFont="1" applyBorder="1" applyAlignment="1">
      <alignment horizontal="center" wrapText="1"/>
    </xf>
    <xf numFmtId="0" fontId="2" fillId="0" borderId="1" xfId="0" applyFont="1" applyBorder="1" applyAlignment="1">
      <alignment horizontal="right" wrapText="1" indent="1"/>
    </xf>
    <xf numFmtId="166" fontId="2" fillId="0" borderId="1" xfId="0" applyNumberFormat="1" applyFont="1" applyBorder="1"/>
    <xf numFmtId="3" fontId="2" fillId="0" borderId="1" xfId="0" applyNumberFormat="1" applyFont="1" applyBorder="1" applyAlignment="1">
      <alignment horizontal="center" wrapText="1"/>
    </xf>
    <xf numFmtId="168" fontId="2" fillId="0" borderId="1" xfId="0" applyNumberFormat="1" applyFont="1" applyBorder="1"/>
    <xf numFmtId="0" fontId="7" fillId="0" borderId="1" xfId="0" applyFont="1" applyBorder="1" applyAlignment="1">
      <alignment horizontal="left" wrapText="1" indent="1"/>
    </xf>
    <xf numFmtId="168" fontId="7" fillId="0" borderId="1" xfId="0" applyNumberFormat="1" applyFont="1" applyBorder="1"/>
    <xf numFmtId="0" fontId="11" fillId="0" borderId="0" xfId="0" applyFont="1"/>
    <xf numFmtId="166" fontId="9" fillId="0" borderId="6" xfId="0" applyNumberFormat="1" applyFont="1" applyBorder="1" applyAlignment="1">
      <alignment horizontal="left"/>
    </xf>
    <xf numFmtId="166" fontId="9" fillId="0" borderId="8" xfId="0" applyNumberFormat="1" applyFont="1" applyBorder="1" applyAlignment="1">
      <alignment horizontal="left"/>
    </xf>
    <xf numFmtId="164" fontId="2" fillId="0" borderId="1" xfId="0" applyNumberFormat="1" applyFont="1" applyBorder="1" applyAlignment="1">
      <alignment horizontal="center"/>
    </xf>
    <xf numFmtId="0" fontId="25" fillId="0" borderId="0" xfId="0" applyFont="1" applyAlignment="1">
      <alignment vertical="center"/>
    </xf>
    <xf numFmtId="167" fontId="24" fillId="0" borderId="5" xfId="2" applyFont="1" applyBorder="1" applyAlignment="1">
      <alignment horizontal="left" vertical="center" wrapText="1"/>
    </xf>
    <xf numFmtId="8" fontId="9" fillId="0" borderId="6" xfId="0" applyNumberFormat="1" applyFont="1" applyBorder="1" applyAlignment="1">
      <alignment horizontal="left" vertical="center"/>
    </xf>
    <xf numFmtId="167" fontId="24" fillId="0" borderId="7" xfId="2" applyFont="1" applyBorder="1" applyAlignment="1">
      <alignment horizontal="left" vertical="center" wrapText="1"/>
    </xf>
    <xf numFmtId="3" fontId="7" fillId="0" borderId="0" xfId="0" applyNumberFormat="1" applyFont="1"/>
    <xf numFmtId="0" fontId="7" fillId="0" borderId="1" xfId="0" applyFont="1" applyBorder="1" applyAlignment="1">
      <alignment horizontal="center" vertical="center" wrapText="1"/>
    </xf>
    <xf numFmtId="0" fontId="7" fillId="0" borderId="0" xfId="0" applyFont="1" applyAlignment="1">
      <alignment wrapText="1"/>
    </xf>
    <xf numFmtId="0" fontId="2" fillId="0" borderId="1" xfId="0" applyFont="1" applyBorder="1" applyAlignment="1">
      <alignment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168" fontId="2" fillId="0" borderId="1" xfId="0" applyNumberFormat="1" applyFont="1" applyBorder="1" applyAlignment="1">
      <alignment horizontal="center" vertical="center"/>
    </xf>
    <xf numFmtId="6" fontId="2" fillId="0" borderId="1" xfId="0" applyNumberFormat="1" applyFont="1" applyBorder="1" applyAlignment="1">
      <alignment horizontal="center" vertical="center"/>
    </xf>
    <xf numFmtId="1" fontId="2" fillId="0" borderId="1" xfId="0" applyNumberFormat="1" applyFont="1" applyBorder="1" applyAlignment="1">
      <alignment horizontal="center"/>
    </xf>
    <xf numFmtId="1" fontId="2" fillId="0" borderId="1" xfId="0" applyNumberFormat="1" applyFont="1" applyBorder="1" applyAlignment="1">
      <alignment horizontal="center" vertical="center"/>
    </xf>
    <xf numFmtId="3" fontId="7" fillId="0" borderId="1" xfId="0" applyNumberFormat="1" applyFont="1" applyBorder="1" applyAlignment="1">
      <alignment horizontal="center" vertical="center"/>
    </xf>
    <xf numFmtId="168" fontId="7" fillId="0" borderId="1" xfId="0" applyNumberFormat="1" applyFont="1" applyBorder="1" applyAlignment="1">
      <alignment horizontal="center" vertical="center"/>
    </xf>
    <xf numFmtId="1" fontId="7" fillId="0" borderId="1" xfId="0" applyNumberFormat="1" applyFont="1" applyBorder="1" applyAlignment="1">
      <alignment horizontal="center"/>
    </xf>
    <xf numFmtId="169" fontId="2" fillId="0" borderId="0" xfId="1" applyNumberFormat="1" applyFont="1" applyAlignment="1">
      <alignment horizontal="center"/>
    </xf>
    <xf numFmtId="170" fontId="2" fillId="0" borderId="0" xfId="0" applyNumberFormat="1" applyFont="1" applyAlignment="1">
      <alignment horizontal="center"/>
    </xf>
    <xf numFmtId="6" fontId="2" fillId="0" borderId="0" xfId="0" applyNumberFormat="1" applyFont="1"/>
    <xf numFmtId="3" fontId="2" fillId="0" borderId="0" xfId="0" applyNumberFormat="1" applyFont="1"/>
    <xf numFmtId="0" fontId="26" fillId="0" borderId="0" xfId="0" applyFont="1"/>
    <xf numFmtId="0" fontId="12" fillId="0" borderId="1" xfId="0" applyFont="1" applyBorder="1" applyAlignment="1">
      <alignment vertical="center" wrapText="1"/>
    </xf>
    <xf numFmtId="6"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1" fontId="2" fillId="0" borderId="1" xfId="0" applyNumberFormat="1" applyFont="1" applyBorder="1" applyAlignment="1">
      <alignment horizontal="center" vertical="center" wrapText="1"/>
    </xf>
    <xf numFmtId="0" fontId="2" fillId="0" borderId="1" xfId="0" applyFont="1" applyFill="1" applyBorder="1" applyAlignment="1">
      <alignment horizontal="center"/>
    </xf>
    <xf numFmtId="0" fontId="14" fillId="0" borderId="0" xfId="0" applyFont="1" applyAlignment="1">
      <alignment horizontal="center"/>
    </xf>
    <xf numFmtId="0" fontId="5" fillId="0" borderId="0" xfId="0" applyFont="1" applyAlignment="1">
      <alignment horizontal="left" vertical="center" wrapText="1"/>
    </xf>
    <xf numFmtId="167" fontId="13" fillId="0" borderId="13" xfId="2" applyFont="1" applyBorder="1" applyAlignment="1">
      <alignment horizontal="center" vertical="center" wrapText="1"/>
    </xf>
    <xf numFmtId="167" fontId="13" fillId="0" borderId="9" xfId="2" applyFont="1" applyBorder="1" applyAlignment="1">
      <alignment horizontal="center" vertical="center" wrapText="1"/>
    </xf>
    <xf numFmtId="0" fontId="5" fillId="0" borderId="0" xfId="0" applyFont="1" applyAlignment="1">
      <alignment horizontal="left" vertical="top" wrapText="1"/>
    </xf>
    <xf numFmtId="0" fontId="10" fillId="0" borderId="0" xfId="0" applyFont="1" applyAlignment="1">
      <alignment horizontal="left" vertical="center" wrapText="1"/>
    </xf>
    <xf numFmtId="167" fontId="13" fillId="0" borderId="0" xfId="2" applyFont="1" applyAlignment="1">
      <alignment horizontal="left" wrapText="1"/>
    </xf>
    <xf numFmtId="167" fontId="18" fillId="0" borderId="0" xfId="2" applyFont="1" applyAlignment="1">
      <alignment horizontal="left" wrapText="1"/>
    </xf>
    <xf numFmtId="3" fontId="6" fillId="0" borderId="1" xfId="0" applyNumberFormat="1" applyFont="1" applyBorder="1" applyAlignment="1">
      <alignment horizontal="center"/>
    </xf>
    <xf numFmtId="3" fontId="7" fillId="0" borderId="1" xfId="0" applyNumberFormat="1" applyFont="1" applyBorder="1" applyAlignment="1">
      <alignment horizontal="center"/>
    </xf>
    <xf numFmtId="0" fontId="13" fillId="0" borderId="12" xfId="3" applyFont="1" applyBorder="1" applyAlignment="1">
      <alignment horizontal="left" wrapText="1"/>
    </xf>
    <xf numFmtId="3" fontId="7" fillId="0" borderId="1" xfId="0" applyNumberFormat="1" applyFont="1" applyBorder="1" applyAlignment="1">
      <alignment horizontal="center" wrapText="1"/>
    </xf>
    <xf numFmtId="0" fontId="1" fillId="0" borderId="1" xfId="0" applyFont="1" applyBorder="1" applyAlignment="1">
      <alignment horizontal="center" vertical="center" wrapText="1"/>
    </xf>
    <xf numFmtId="0" fontId="0" fillId="0" borderId="0" xfId="0" applyAlignment="1">
      <alignment horizontal="left" wrapText="1"/>
    </xf>
    <xf numFmtId="0" fontId="1" fillId="0" borderId="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5" fillId="0" borderId="2" xfId="0" applyFont="1" applyBorder="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4">
    <cellStyle name="Comma" xfId="1" builtinId="3"/>
    <cellStyle name="Normal" xfId="0" builtinId="0"/>
    <cellStyle name="Normal_ICR Cost Inputs" xfId="3" xr:uid="{1665EB9E-17CE-49BB-A07D-CA9071E76B73}"/>
    <cellStyle name="Normal_SSI Burden Estimate BML 060710" xfId="2" xr:uid="{ACCB78A7-92B0-474A-A2D9-0FE3632AD3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19F6E-1C7C-46AF-9671-1EEC01066C6A}">
  <dimension ref="A1:B7"/>
  <sheetViews>
    <sheetView workbookViewId="0">
      <selection activeCell="E20" sqref="E20"/>
    </sheetView>
  </sheetViews>
  <sheetFormatPr defaultRowHeight="14.5" x14ac:dyDescent="0.35"/>
  <cols>
    <col min="1" max="1" width="27.1796875" bestFit="1" customWidth="1"/>
    <col min="2" max="2" width="13.7265625" bestFit="1" customWidth="1"/>
  </cols>
  <sheetData>
    <row r="1" spans="1:2" x14ac:dyDescent="0.35">
      <c r="A1" s="89" t="s">
        <v>0</v>
      </c>
      <c r="B1" s="89"/>
    </row>
    <row r="2" spans="1:2" x14ac:dyDescent="0.35">
      <c r="A2" s="12" t="s">
        <v>1</v>
      </c>
      <c r="B2" s="14">
        <f>Breakdown!H5</f>
        <v>1788.3563846896109</v>
      </c>
    </row>
    <row r="3" spans="1:2" x14ac:dyDescent="0.35">
      <c r="A3" s="12" t="s">
        <v>2</v>
      </c>
      <c r="B3" s="13">
        <f>Respondents!F18</f>
        <v>14</v>
      </c>
    </row>
    <row r="4" spans="1:2" x14ac:dyDescent="0.35">
      <c r="A4" s="12" t="s">
        <v>3</v>
      </c>
      <c r="B4" s="15">
        <f>Breakdown!E4</f>
        <v>55600</v>
      </c>
    </row>
    <row r="5" spans="1:2" x14ac:dyDescent="0.35">
      <c r="A5" s="12" t="s">
        <v>4</v>
      </c>
      <c r="B5" s="16">
        <f>Breakdown!F4+Breakdown!G4</f>
        <v>5321000</v>
      </c>
    </row>
    <row r="6" spans="1:2" x14ac:dyDescent="0.35">
      <c r="A6" s="12" t="s">
        <v>5</v>
      </c>
      <c r="B6" s="16">
        <f>'Capital O&amp;M'!G4</f>
        <v>411000</v>
      </c>
    </row>
    <row r="7" spans="1:2" x14ac:dyDescent="0.35">
      <c r="A7" s="12" t="s">
        <v>6</v>
      </c>
      <c r="B7" s="13" t="s">
        <v>7</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2C118-961F-410A-AEC4-058EC4C625FF}">
  <dimension ref="A1:I10"/>
  <sheetViews>
    <sheetView workbookViewId="0">
      <selection activeCell="G11" sqref="G11"/>
    </sheetView>
  </sheetViews>
  <sheetFormatPr defaultColWidth="9.26953125" defaultRowHeight="13" x14ac:dyDescent="0.3"/>
  <cols>
    <col min="1" max="1" width="16.81640625" style="21" customWidth="1"/>
    <col min="2" max="2" width="12.26953125" style="20" customWidth="1"/>
    <col min="3" max="3" width="12.54296875" style="20" customWidth="1"/>
    <col min="4" max="4" width="14" style="20" customWidth="1"/>
    <col min="5" max="5" width="15.26953125" style="21" customWidth="1"/>
    <col min="6" max="6" width="14.453125" style="21" customWidth="1"/>
    <col min="7" max="7" width="14" style="21" customWidth="1"/>
    <col min="8" max="8" width="12.54296875" style="20" customWidth="1"/>
    <col min="9" max="16384" width="9.26953125" style="21"/>
  </cols>
  <sheetData>
    <row r="1" spans="1:9" s="68" customFormat="1" ht="51" customHeight="1" x14ac:dyDescent="0.3">
      <c r="A1" s="67" t="s">
        <v>149</v>
      </c>
      <c r="B1" s="67" t="s">
        <v>2</v>
      </c>
      <c r="C1" s="67" t="s">
        <v>150</v>
      </c>
      <c r="D1" s="67" t="s">
        <v>151</v>
      </c>
      <c r="E1" s="67" t="s">
        <v>152</v>
      </c>
      <c r="F1" s="67" t="s">
        <v>153</v>
      </c>
      <c r="G1" s="67" t="s">
        <v>154</v>
      </c>
      <c r="H1" s="67" t="s">
        <v>43</v>
      </c>
    </row>
    <row r="2" spans="1:9" ht="22.5" customHeight="1" x14ac:dyDescent="0.3">
      <c r="A2" s="69" t="s">
        <v>155</v>
      </c>
      <c r="B2" s="70">
        <v>5</v>
      </c>
      <c r="C2" s="71">
        <f>'Industry (Private) Table 1a'!F33</f>
        <v>20004.25</v>
      </c>
      <c r="D2" s="71">
        <f>ROUND('Industry (Private) Table 1a'!F46,0)</f>
        <v>2277</v>
      </c>
      <c r="E2" s="71">
        <f>ROUND(D2+C2,-2)</f>
        <v>22300</v>
      </c>
      <c r="F2" s="72">
        <f>'Industry (Private) Table 1a'!I47</f>
        <v>3050000</v>
      </c>
      <c r="G2" s="73">
        <f>ROUND(B2*'Capital O&amp;M'!E4,-3)</f>
        <v>147000</v>
      </c>
      <c r="H2" s="74">
        <f>ROUND((2.4*B2)+(2*0.1*B2), 0)</f>
        <v>13</v>
      </c>
    </row>
    <row r="3" spans="1:9" ht="39" x14ac:dyDescent="0.3">
      <c r="A3" s="6" t="s">
        <v>156</v>
      </c>
      <c r="B3" s="70">
        <v>9</v>
      </c>
      <c r="C3" s="71">
        <f>'Industry (Public) Table 1b'!F32</f>
        <v>29242.89</v>
      </c>
      <c r="D3" s="71">
        <f>ROUND('Industry (Public) Table 1b'!F45,0)</f>
        <v>4099</v>
      </c>
      <c r="E3" s="71">
        <f>ROUND(C3+D3,-2)</f>
        <v>33300</v>
      </c>
      <c r="F3" s="72">
        <f>'Industry (Public) Table 1b'!I46</f>
        <v>1860000</v>
      </c>
      <c r="G3" s="73">
        <f>ROUND(B3*'Capital O&amp;M'!E4,-3)</f>
        <v>264000</v>
      </c>
      <c r="H3" s="75">
        <f>(1.81*B3)+(2*0.1*B3)</f>
        <v>18.09</v>
      </c>
    </row>
    <row r="4" spans="1:9" ht="15" x14ac:dyDescent="0.3">
      <c r="A4" s="46" t="s">
        <v>178</v>
      </c>
      <c r="B4" s="76">
        <f>SUM(B2:B3)</f>
        <v>14</v>
      </c>
      <c r="C4" s="76">
        <f>ROUND(SUM(C2:C3),-2)</f>
        <v>49200</v>
      </c>
      <c r="D4" s="76">
        <f>ROUND(SUM(D2:D3),-1)</f>
        <v>6380</v>
      </c>
      <c r="E4" s="76">
        <f>ROUND(SUM(E2:E3),-2)</f>
        <v>55600</v>
      </c>
      <c r="F4" s="77">
        <f>ROUND(SUM(F2:F3),-4)</f>
        <v>4910000</v>
      </c>
      <c r="G4" s="77">
        <f>ROUND(SUM(G2:G3),0)</f>
        <v>411000</v>
      </c>
      <c r="H4" s="78">
        <f>SUM(H2:H3)</f>
        <v>31.09</v>
      </c>
    </row>
    <row r="5" spans="1:9" x14ac:dyDescent="0.3">
      <c r="H5" s="79">
        <f>+E4/H4</f>
        <v>1788.3563846896109</v>
      </c>
      <c r="I5" s="21" t="s">
        <v>157</v>
      </c>
    </row>
    <row r="6" spans="1:9" ht="15.5" x14ac:dyDescent="0.3">
      <c r="A6" s="90" t="s">
        <v>179</v>
      </c>
      <c r="B6" s="90"/>
      <c r="C6" s="90"/>
      <c r="D6" s="90"/>
      <c r="E6" s="90"/>
      <c r="F6" s="90"/>
      <c r="G6" s="90"/>
      <c r="H6" s="90"/>
      <c r="I6" s="90"/>
    </row>
    <row r="7" spans="1:9" x14ac:dyDescent="0.3">
      <c r="D7" s="80"/>
      <c r="G7" s="81"/>
    </row>
    <row r="8" spans="1:9" x14ac:dyDescent="0.3">
      <c r="D8" s="80"/>
    </row>
    <row r="10" spans="1:9" x14ac:dyDescent="0.3">
      <c r="E10" s="82"/>
    </row>
  </sheetData>
  <mergeCells count="1">
    <mergeCell ref="A6: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BE99-3805-470B-AEF5-34AFB7A361BF}">
  <dimension ref="A1:M59"/>
  <sheetViews>
    <sheetView workbookViewId="0">
      <selection activeCell="A2" sqref="A2:I59"/>
    </sheetView>
  </sheetViews>
  <sheetFormatPr defaultColWidth="9.26953125" defaultRowHeight="13" x14ac:dyDescent="0.3"/>
  <cols>
    <col min="1" max="1" width="39" style="21" bestFit="1" customWidth="1"/>
    <col min="2" max="2" width="12.7265625" style="21" bestFit="1" customWidth="1"/>
    <col min="3" max="4" width="10" style="21" bestFit="1" customWidth="1"/>
    <col min="5" max="5" width="11.26953125" style="21" bestFit="1" customWidth="1"/>
    <col min="6" max="6" width="9" style="21" bestFit="1" customWidth="1"/>
    <col min="7" max="7" width="11.7265625" style="21" bestFit="1" customWidth="1"/>
    <col min="8" max="8" width="13" style="21" customWidth="1"/>
    <col min="9" max="9" width="17.54296875" style="21" customWidth="1"/>
    <col min="10" max="10" width="3.26953125" style="21" customWidth="1"/>
    <col min="11" max="11" width="11.26953125" style="21" customWidth="1"/>
    <col min="12" max="12" width="14" style="21" bestFit="1" customWidth="1"/>
    <col min="13" max="16384" width="9.26953125" style="21"/>
  </cols>
  <sheetData>
    <row r="1" spans="1:12" ht="15.5" x14ac:dyDescent="0.3">
      <c r="A1" s="62" t="s">
        <v>137</v>
      </c>
    </row>
    <row r="2" spans="1:12" ht="103.9" customHeight="1" thickBot="1" x14ac:dyDescent="0.35">
      <c r="A2" s="18" t="s">
        <v>49</v>
      </c>
      <c r="B2" s="18" t="s">
        <v>50</v>
      </c>
      <c r="C2" s="18" t="s">
        <v>51</v>
      </c>
      <c r="D2" s="18" t="s">
        <v>52</v>
      </c>
      <c r="E2" s="18" t="s">
        <v>53</v>
      </c>
      <c r="F2" s="18" t="s">
        <v>54</v>
      </c>
      <c r="G2" s="18" t="s">
        <v>55</v>
      </c>
      <c r="H2" s="18" t="s">
        <v>56</v>
      </c>
      <c r="I2" s="19" t="s">
        <v>57</v>
      </c>
      <c r="J2" s="20"/>
      <c r="K2" s="95"/>
      <c r="L2" s="96"/>
    </row>
    <row r="3" spans="1:12" x14ac:dyDescent="0.3">
      <c r="A3" s="22"/>
      <c r="B3" s="23"/>
      <c r="C3" s="23"/>
      <c r="D3" s="24"/>
      <c r="E3" s="24"/>
      <c r="F3" s="24"/>
      <c r="G3" s="24"/>
      <c r="H3" s="24"/>
      <c r="I3" s="22"/>
      <c r="K3" s="91" t="s">
        <v>138</v>
      </c>
      <c r="L3" s="92"/>
    </row>
    <row r="4" spans="1:12" ht="14.5" x14ac:dyDescent="0.3">
      <c r="A4" s="25" t="s">
        <v>11</v>
      </c>
      <c r="B4" s="26" t="s">
        <v>12</v>
      </c>
      <c r="C4" s="26"/>
      <c r="D4" s="26"/>
      <c r="E4" s="26"/>
      <c r="F4" s="26"/>
      <c r="G4" s="26"/>
      <c r="H4" s="26"/>
      <c r="I4" s="27"/>
      <c r="K4" s="63" t="s">
        <v>60</v>
      </c>
      <c r="L4" s="64">
        <v>141.75</v>
      </c>
    </row>
    <row r="5" spans="1:12" ht="14.5" x14ac:dyDescent="0.35">
      <c r="A5" s="25" t="s">
        <v>59</v>
      </c>
      <c r="B5" s="26" t="s">
        <v>12</v>
      </c>
      <c r="C5" s="26"/>
      <c r="D5" s="26"/>
      <c r="E5" s="26"/>
      <c r="F5" s="26"/>
      <c r="G5" s="26"/>
      <c r="H5" s="26"/>
      <c r="I5" s="27"/>
      <c r="K5" s="63" t="s">
        <v>58</v>
      </c>
      <c r="L5" s="59">
        <v>172.41</v>
      </c>
    </row>
    <row r="6" spans="1:12" ht="15" thickBot="1" x14ac:dyDescent="0.4">
      <c r="A6" s="25" t="s">
        <v>13</v>
      </c>
      <c r="B6" s="26"/>
      <c r="C6" s="26"/>
      <c r="D6" s="26"/>
      <c r="E6" s="26"/>
      <c r="F6" s="26"/>
      <c r="G6" s="26"/>
      <c r="H6" s="26"/>
      <c r="I6" s="27"/>
      <c r="K6" s="65" t="s">
        <v>61</v>
      </c>
      <c r="L6" s="60">
        <v>71.36</v>
      </c>
    </row>
    <row r="7" spans="1:12" ht="26" x14ac:dyDescent="0.3">
      <c r="A7" s="25" t="s">
        <v>62</v>
      </c>
      <c r="B7" s="26">
        <v>4</v>
      </c>
      <c r="C7" s="26">
        <v>1</v>
      </c>
      <c r="D7" s="26">
        <f t="shared" ref="D7:D32" si="0">B7*C7</f>
        <v>4</v>
      </c>
      <c r="E7" s="28">
        <v>5</v>
      </c>
      <c r="F7" s="26">
        <f t="shared" ref="F7:F32" si="1">D7*E7</f>
        <v>20</v>
      </c>
      <c r="G7" s="26">
        <f t="shared" ref="G7:G32" si="2">F7*0.05</f>
        <v>1</v>
      </c>
      <c r="H7" s="26">
        <f t="shared" ref="H7:H32" si="3">F7*0.1</f>
        <v>2</v>
      </c>
      <c r="I7" s="27">
        <f>$L$4*F7+$L$5*G7+$L$6*H7</f>
        <v>3150.1299999999997</v>
      </c>
    </row>
    <row r="8" spans="1:12" x14ac:dyDescent="0.3">
      <c r="A8" s="25" t="s">
        <v>63</v>
      </c>
      <c r="B8" s="26"/>
      <c r="C8" s="26"/>
      <c r="D8" s="26"/>
      <c r="E8" s="26"/>
      <c r="F8" s="26"/>
      <c r="G8" s="26"/>
      <c r="H8" s="26"/>
      <c r="I8" s="27"/>
      <c r="K8" s="30"/>
      <c r="L8" s="29"/>
    </row>
    <row r="9" spans="1:12" ht="26" x14ac:dyDescent="0.3">
      <c r="A9" s="25" t="s">
        <v>64</v>
      </c>
      <c r="B9" s="26">
        <v>775</v>
      </c>
      <c r="C9" s="26">
        <v>1</v>
      </c>
      <c r="D9" s="26">
        <f t="shared" si="0"/>
        <v>775</v>
      </c>
      <c r="E9" s="26">
        <v>0</v>
      </c>
      <c r="F9" s="26">
        <f t="shared" si="1"/>
        <v>0</v>
      </c>
      <c r="G9" s="26">
        <f t="shared" si="2"/>
        <v>0</v>
      </c>
      <c r="H9" s="26">
        <f t="shared" si="3"/>
        <v>0</v>
      </c>
      <c r="I9" s="31">
        <f t="shared" ref="I9:I12" si="4">$L$4*F9+$L$5*G9+$L$6*H9</f>
        <v>0</v>
      </c>
      <c r="K9" s="30"/>
      <c r="L9" s="29"/>
    </row>
    <row r="10" spans="1:12" ht="30" x14ac:dyDescent="0.4">
      <c r="A10" s="25" t="s">
        <v>65</v>
      </c>
      <c r="B10" s="26"/>
      <c r="C10" s="26"/>
      <c r="D10" s="26"/>
      <c r="E10" s="26"/>
      <c r="F10" s="26"/>
      <c r="G10" s="26"/>
      <c r="H10" s="26"/>
      <c r="I10" s="31">
        <f t="shared" si="4"/>
        <v>0</v>
      </c>
      <c r="K10" s="30"/>
      <c r="L10" s="29"/>
    </row>
    <row r="11" spans="1:12" x14ac:dyDescent="0.3">
      <c r="A11" s="25" t="s">
        <v>66</v>
      </c>
      <c r="B11" s="26">
        <v>225</v>
      </c>
      <c r="C11" s="26">
        <v>1</v>
      </c>
      <c r="D11" s="26">
        <f t="shared" si="0"/>
        <v>225</v>
      </c>
      <c r="E11" s="26">
        <v>0</v>
      </c>
      <c r="F11" s="26">
        <f t="shared" si="1"/>
        <v>0</v>
      </c>
      <c r="G11" s="26">
        <f t="shared" si="2"/>
        <v>0</v>
      </c>
      <c r="H11" s="26">
        <f t="shared" si="3"/>
        <v>0</v>
      </c>
      <c r="I11" s="31">
        <f t="shared" si="4"/>
        <v>0</v>
      </c>
      <c r="K11" s="30"/>
      <c r="L11" s="29"/>
    </row>
    <row r="12" spans="1:12" x14ac:dyDescent="0.3">
      <c r="A12" s="25" t="s">
        <v>67</v>
      </c>
      <c r="B12" s="26">
        <v>450</v>
      </c>
      <c r="C12" s="26">
        <v>1</v>
      </c>
      <c r="D12" s="26">
        <f t="shared" si="0"/>
        <v>450</v>
      </c>
      <c r="E12" s="26">
        <v>0</v>
      </c>
      <c r="F12" s="26">
        <f t="shared" si="1"/>
        <v>0</v>
      </c>
      <c r="G12" s="26">
        <f t="shared" si="2"/>
        <v>0</v>
      </c>
      <c r="H12" s="26">
        <f t="shared" si="3"/>
        <v>0</v>
      </c>
      <c r="I12" s="31">
        <f t="shared" si="4"/>
        <v>0</v>
      </c>
    </row>
    <row r="13" spans="1:12" ht="39" x14ac:dyDescent="0.3">
      <c r="A13" s="25" t="s">
        <v>68</v>
      </c>
      <c r="B13" s="26">
        <v>775</v>
      </c>
      <c r="C13" s="26">
        <v>1</v>
      </c>
      <c r="D13" s="26">
        <f t="shared" si="0"/>
        <v>775</v>
      </c>
      <c r="E13" s="26">
        <v>5</v>
      </c>
      <c r="F13" s="32">
        <f t="shared" si="1"/>
        <v>3875</v>
      </c>
      <c r="G13" s="26">
        <f t="shared" si="2"/>
        <v>193.75</v>
      </c>
      <c r="H13" s="26">
        <f t="shared" si="3"/>
        <v>387.5</v>
      </c>
      <c r="I13" s="27">
        <f>$L$4*F13+$L$5*G13+$L$6*H13</f>
        <v>610337.6875</v>
      </c>
    </row>
    <row r="14" spans="1:12" ht="28" x14ac:dyDescent="0.4">
      <c r="A14" s="25" t="s">
        <v>69</v>
      </c>
      <c r="B14" s="26"/>
      <c r="C14" s="26"/>
      <c r="D14" s="26"/>
      <c r="E14" s="26"/>
      <c r="F14" s="32"/>
      <c r="G14" s="26"/>
      <c r="H14" s="26"/>
      <c r="I14" s="27"/>
    </row>
    <row r="15" spans="1:12" ht="15.5" x14ac:dyDescent="0.3">
      <c r="A15" s="25" t="s">
        <v>70</v>
      </c>
      <c r="B15" s="26">
        <v>350</v>
      </c>
      <c r="C15" s="88">
        <v>2.4</v>
      </c>
      <c r="D15" s="88">
        <f t="shared" si="0"/>
        <v>840</v>
      </c>
      <c r="E15" s="88">
        <v>5</v>
      </c>
      <c r="F15" s="32">
        <f t="shared" si="1"/>
        <v>4200</v>
      </c>
      <c r="G15" s="26">
        <f t="shared" si="2"/>
        <v>210</v>
      </c>
      <c r="H15" s="33">
        <f t="shared" si="3"/>
        <v>420</v>
      </c>
      <c r="I15" s="27">
        <f>$L$4*F15+$L$5*G15+$L$6*H15</f>
        <v>661527.29999999993</v>
      </c>
    </row>
    <row r="16" spans="1:12" ht="15.5" x14ac:dyDescent="0.3">
      <c r="A16" s="25" t="s">
        <v>71</v>
      </c>
      <c r="B16" s="26">
        <v>130</v>
      </c>
      <c r="C16" s="88">
        <f>3*2.4</f>
        <v>7.1999999999999993</v>
      </c>
      <c r="D16" s="88">
        <f t="shared" si="0"/>
        <v>935.99999999999989</v>
      </c>
      <c r="E16" s="88">
        <v>5</v>
      </c>
      <c r="F16" s="32">
        <f t="shared" si="1"/>
        <v>4679.9999999999991</v>
      </c>
      <c r="G16" s="32">
        <f t="shared" si="2"/>
        <v>233.99999999999997</v>
      </c>
      <c r="H16" s="33">
        <f t="shared" si="3"/>
        <v>467.99999999999994</v>
      </c>
      <c r="I16" s="27">
        <f>$L$4*F16+$L$5*G16+$L$6*H16</f>
        <v>737130.41999999981</v>
      </c>
    </row>
    <row r="17" spans="1:9" ht="15.5" x14ac:dyDescent="0.3">
      <c r="A17" s="25" t="s">
        <v>72</v>
      </c>
      <c r="B17" s="26">
        <v>1</v>
      </c>
      <c r="C17" s="26">
        <v>876</v>
      </c>
      <c r="D17" s="26">
        <f t="shared" si="0"/>
        <v>876</v>
      </c>
      <c r="E17" s="26">
        <f>E13</f>
        <v>5</v>
      </c>
      <c r="F17" s="32">
        <f t="shared" si="1"/>
        <v>4380</v>
      </c>
      <c r="G17" s="26">
        <f t="shared" si="2"/>
        <v>219</v>
      </c>
      <c r="H17" s="26">
        <f t="shared" si="3"/>
        <v>438</v>
      </c>
      <c r="I17" s="27">
        <f>$L$4*F17+$L$5*G17+$L$6*H17</f>
        <v>689878.47000000009</v>
      </c>
    </row>
    <row r="18" spans="1:9" x14ac:dyDescent="0.3">
      <c r="A18" s="25" t="s">
        <v>73</v>
      </c>
      <c r="B18" s="26" t="s">
        <v>14</v>
      </c>
      <c r="C18" s="26"/>
      <c r="D18" s="26"/>
      <c r="E18" s="26"/>
      <c r="F18" s="26"/>
      <c r="G18" s="26"/>
      <c r="H18" s="26"/>
      <c r="I18" s="27"/>
    </row>
    <row r="19" spans="1:9" x14ac:dyDescent="0.3">
      <c r="A19" s="25" t="s">
        <v>74</v>
      </c>
      <c r="B19" s="26" t="s">
        <v>75</v>
      </c>
      <c r="C19" s="26"/>
      <c r="D19" s="26"/>
      <c r="E19" s="26"/>
      <c r="F19" s="26"/>
      <c r="G19" s="26"/>
      <c r="H19" s="26"/>
      <c r="I19" s="27"/>
    </row>
    <row r="20" spans="1:9" x14ac:dyDescent="0.3">
      <c r="A20" s="25" t="s">
        <v>76</v>
      </c>
      <c r="B20" s="26"/>
      <c r="C20" s="26"/>
      <c r="D20" s="26"/>
      <c r="E20" s="26"/>
      <c r="F20" s="26"/>
      <c r="G20" s="26"/>
      <c r="H20" s="26"/>
      <c r="I20" s="27"/>
    </row>
    <row r="21" spans="1:9" x14ac:dyDescent="0.3">
      <c r="A21" s="25" t="s">
        <v>77</v>
      </c>
      <c r="B21" s="26"/>
      <c r="C21" s="26"/>
      <c r="D21" s="26"/>
      <c r="E21" s="26"/>
      <c r="F21" s="26"/>
      <c r="G21" s="26"/>
      <c r="H21" s="26"/>
      <c r="I21" s="27"/>
    </row>
    <row r="22" spans="1:9" x14ac:dyDescent="0.3">
      <c r="A22" s="25" t="s">
        <v>78</v>
      </c>
      <c r="B22" s="26">
        <v>40</v>
      </c>
      <c r="C22" s="26">
        <v>1</v>
      </c>
      <c r="D22" s="26">
        <f t="shared" si="0"/>
        <v>40</v>
      </c>
      <c r="E22" s="26">
        <v>0</v>
      </c>
      <c r="F22" s="26">
        <f t="shared" si="1"/>
        <v>0</v>
      </c>
      <c r="G22" s="26">
        <f t="shared" si="2"/>
        <v>0</v>
      </c>
      <c r="H22" s="26">
        <f t="shared" si="3"/>
        <v>0</v>
      </c>
      <c r="I22" s="31">
        <f t="shared" ref="I22:I32" si="5">$L$4*F22+$L$5*G22+$L$6*H22</f>
        <v>0</v>
      </c>
    </row>
    <row r="23" spans="1:9" x14ac:dyDescent="0.3">
      <c r="A23" s="25" t="s">
        <v>79</v>
      </c>
      <c r="B23" s="26">
        <v>4</v>
      </c>
      <c r="C23" s="26">
        <v>1</v>
      </c>
      <c r="D23" s="26">
        <f t="shared" si="0"/>
        <v>4</v>
      </c>
      <c r="E23" s="26">
        <v>0</v>
      </c>
      <c r="F23" s="26">
        <f t="shared" si="1"/>
        <v>0</v>
      </c>
      <c r="G23" s="26">
        <f t="shared" si="2"/>
        <v>0</v>
      </c>
      <c r="H23" s="26">
        <f t="shared" si="3"/>
        <v>0</v>
      </c>
      <c r="I23" s="31">
        <f t="shared" si="5"/>
        <v>0</v>
      </c>
    </row>
    <row r="24" spans="1:9" ht="26" x14ac:dyDescent="0.3">
      <c r="A24" s="25" t="s">
        <v>80</v>
      </c>
      <c r="B24" s="26">
        <v>4</v>
      </c>
      <c r="C24" s="26">
        <v>1</v>
      </c>
      <c r="D24" s="26">
        <f t="shared" si="0"/>
        <v>4</v>
      </c>
      <c r="E24" s="26">
        <v>0</v>
      </c>
      <c r="F24" s="26">
        <f t="shared" si="1"/>
        <v>0</v>
      </c>
      <c r="G24" s="26">
        <f t="shared" si="2"/>
        <v>0</v>
      </c>
      <c r="H24" s="26">
        <f t="shared" si="3"/>
        <v>0</v>
      </c>
      <c r="I24" s="31">
        <f t="shared" si="5"/>
        <v>0</v>
      </c>
    </row>
    <row r="25" spans="1:9" ht="26" x14ac:dyDescent="0.3">
      <c r="A25" s="25" t="s">
        <v>81</v>
      </c>
      <c r="B25" s="26">
        <v>4</v>
      </c>
      <c r="C25" s="26">
        <v>1</v>
      </c>
      <c r="D25" s="26">
        <f t="shared" si="0"/>
        <v>4</v>
      </c>
      <c r="E25" s="26">
        <v>0</v>
      </c>
      <c r="F25" s="26">
        <f t="shared" si="1"/>
        <v>0</v>
      </c>
      <c r="G25" s="26">
        <f t="shared" si="2"/>
        <v>0</v>
      </c>
      <c r="H25" s="26">
        <f t="shared" si="3"/>
        <v>0</v>
      </c>
      <c r="I25" s="31">
        <f t="shared" si="5"/>
        <v>0</v>
      </c>
    </row>
    <row r="26" spans="1:9" x14ac:dyDescent="0.3">
      <c r="A26" s="25" t="s">
        <v>82</v>
      </c>
      <c r="B26" s="26">
        <v>4</v>
      </c>
      <c r="C26" s="26">
        <v>1</v>
      </c>
      <c r="D26" s="26">
        <f t="shared" si="0"/>
        <v>4</v>
      </c>
      <c r="E26" s="26">
        <v>0</v>
      </c>
      <c r="F26" s="26">
        <f t="shared" si="1"/>
        <v>0</v>
      </c>
      <c r="G26" s="26">
        <f t="shared" si="2"/>
        <v>0</v>
      </c>
      <c r="H26" s="26">
        <f t="shared" si="3"/>
        <v>0</v>
      </c>
      <c r="I26" s="31">
        <f t="shared" si="5"/>
        <v>0</v>
      </c>
    </row>
    <row r="27" spans="1:9" x14ac:dyDescent="0.3">
      <c r="A27" s="25" t="s">
        <v>83</v>
      </c>
      <c r="B27" s="26">
        <v>4</v>
      </c>
      <c r="C27" s="26">
        <v>1</v>
      </c>
      <c r="D27" s="26">
        <f t="shared" si="0"/>
        <v>4</v>
      </c>
      <c r="E27" s="26">
        <v>0</v>
      </c>
      <c r="F27" s="26">
        <f t="shared" si="1"/>
        <v>0</v>
      </c>
      <c r="G27" s="26">
        <f t="shared" si="2"/>
        <v>0</v>
      </c>
      <c r="H27" s="26">
        <f t="shared" si="3"/>
        <v>0</v>
      </c>
      <c r="I27" s="31">
        <f t="shared" si="5"/>
        <v>0</v>
      </c>
    </row>
    <row r="28" spans="1:9" x14ac:dyDescent="0.3">
      <c r="A28" s="25" t="s">
        <v>84</v>
      </c>
      <c r="B28" s="26">
        <v>40</v>
      </c>
      <c r="C28" s="26">
        <v>1</v>
      </c>
      <c r="D28" s="26">
        <f t="shared" si="0"/>
        <v>40</v>
      </c>
      <c r="E28" s="26">
        <v>0</v>
      </c>
      <c r="F28" s="26">
        <f t="shared" si="1"/>
        <v>0</v>
      </c>
      <c r="G28" s="26">
        <f t="shared" si="2"/>
        <v>0</v>
      </c>
      <c r="H28" s="26">
        <f t="shared" si="3"/>
        <v>0</v>
      </c>
      <c r="I28" s="31">
        <f t="shared" si="5"/>
        <v>0</v>
      </c>
    </row>
    <row r="29" spans="1:9" x14ac:dyDescent="0.3">
      <c r="A29" s="25" t="s">
        <v>85</v>
      </c>
      <c r="B29" s="26">
        <v>4</v>
      </c>
      <c r="C29" s="26">
        <v>1</v>
      </c>
      <c r="D29" s="26">
        <f t="shared" si="0"/>
        <v>4</v>
      </c>
      <c r="E29" s="26">
        <v>0</v>
      </c>
      <c r="F29" s="26">
        <f t="shared" si="1"/>
        <v>0</v>
      </c>
      <c r="G29" s="26">
        <f t="shared" si="2"/>
        <v>0</v>
      </c>
      <c r="H29" s="26">
        <f t="shared" si="3"/>
        <v>0</v>
      </c>
      <c r="I29" s="31">
        <f t="shared" si="5"/>
        <v>0</v>
      </c>
    </row>
    <row r="30" spans="1:9" x14ac:dyDescent="0.3">
      <c r="A30" s="25" t="s">
        <v>86</v>
      </c>
      <c r="B30" s="26">
        <v>90</v>
      </c>
      <c r="C30" s="26">
        <v>1</v>
      </c>
      <c r="D30" s="26">
        <f t="shared" si="0"/>
        <v>90</v>
      </c>
      <c r="E30" s="26">
        <v>0</v>
      </c>
      <c r="F30" s="26">
        <f t="shared" si="1"/>
        <v>0</v>
      </c>
      <c r="G30" s="26">
        <f t="shared" si="2"/>
        <v>0</v>
      </c>
      <c r="H30" s="26">
        <f t="shared" si="3"/>
        <v>0</v>
      </c>
      <c r="I30" s="31">
        <f t="shared" si="5"/>
        <v>0</v>
      </c>
    </row>
    <row r="31" spans="1:9" x14ac:dyDescent="0.3">
      <c r="A31" s="25" t="s">
        <v>87</v>
      </c>
      <c r="B31" s="26">
        <v>40</v>
      </c>
      <c r="C31" s="26">
        <v>1</v>
      </c>
      <c r="D31" s="26">
        <f t="shared" si="0"/>
        <v>40</v>
      </c>
      <c r="E31" s="26">
        <f>E13</f>
        <v>5</v>
      </c>
      <c r="F31" s="34">
        <f t="shared" si="1"/>
        <v>200</v>
      </c>
      <c r="G31" s="61">
        <f t="shared" si="2"/>
        <v>10</v>
      </c>
      <c r="H31" s="61">
        <f t="shared" si="3"/>
        <v>20</v>
      </c>
      <c r="I31" s="27">
        <f t="shared" si="5"/>
        <v>31501.3</v>
      </c>
    </row>
    <row r="32" spans="1:9" ht="15.5" x14ac:dyDescent="0.3">
      <c r="A32" s="25" t="s">
        <v>88</v>
      </c>
      <c r="B32" s="26">
        <v>40</v>
      </c>
      <c r="C32" s="26">
        <v>2</v>
      </c>
      <c r="D32" s="26">
        <f t="shared" si="0"/>
        <v>80</v>
      </c>
      <c r="E32" s="26">
        <v>0.5</v>
      </c>
      <c r="F32" s="26">
        <f t="shared" si="1"/>
        <v>40</v>
      </c>
      <c r="G32" s="26">
        <f t="shared" si="2"/>
        <v>2</v>
      </c>
      <c r="H32" s="26">
        <f t="shared" si="3"/>
        <v>4</v>
      </c>
      <c r="I32" s="27">
        <f t="shared" si="5"/>
        <v>6300.2599999999993</v>
      </c>
    </row>
    <row r="33" spans="1:13" s="38" customFormat="1" ht="13.5" x14ac:dyDescent="0.35">
      <c r="A33" s="35" t="s">
        <v>89</v>
      </c>
      <c r="B33" s="36"/>
      <c r="C33" s="36"/>
      <c r="D33" s="36"/>
      <c r="E33" s="36"/>
      <c r="F33" s="97">
        <f>SUM(F4:H32)</f>
        <v>20004.25</v>
      </c>
      <c r="G33" s="97"/>
      <c r="H33" s="97"/>
      <c r="I33" s="37">
        <f t="shared" ref="I33" si="6">SUM(I4:I32)</f>
        <v>2739825.5674999994</v>
      </c>
      <c r="K33" s="39"/>
      <c r="L33" s="21"/>
    </row>
    <row r="34" spans="1:13" x14ac:dyDescent="0.3">
      <c r="A34" s="25" t="s">
        <v>90</v>
      </c>
      <c r="B34" s="26"/>
      <c r="C34" s="26"/>
      <c r="D34" s="26"/>
      <c r="E34" s="26"/>
      <c r="F34" s="26"/>
      <c r="G34" s="26"/>
      <c r="H34" s="26"/>
      <c r="I34" s="27"/>
    </row>
    <row r="35" spans="1:13" ht="26" x14ac:dyDescent="0.3">
      <c r="A35" s="25" t="s">
        <v>62</v>
      </c>
      <c r="B35" s="26" t="s">
        <v>91</v>
      </c>
      <c r="C35" s="26"/>
      <c r="D35" s="26"/>
      <c r="E35" s="26"/>
      <c r="F35" s="26"/>
      <c r="G35" s="26"/>
      <c r="H35" s="26"/>
      <c r="I35" s="27"/>
    </row>
    <row r="36" spans="1:13" x14ac:dyDescent="0.3">
      <c r="A36" s="25" t="s">
        <v>92</v>
      </c>
      <c r="B36" s="26" t="s">
        <v>14</v>
      </c>
      <c r="C36" s="26"/>
      <c r="D36" s="26"/>
      <c r="E36" s="26"/>
      <c r="F36" s="26"/>
      <c r="G36" s="26"/>
      <c r="H36" s="26"/>
      <c r="I36" s="27"/>
    </row>
    <row r="37" spans="1:13" x14ac:dyDescent="0.3">
      <c r="A37" s="25" t="s">
        <v>93</v>
      </c>
      <c r="B37" s="26" t="s">
        <v>14</v>
      </c>
      <c r="C37" s="26"/>
      <c r="D37" s="26"/>
      <c r="E37" s="26"/>
      <c r="F37" s="26"/>
      <c r="G37" s="26"/>
      <c r="H37" s="26"/>
      <c r="I37" s="27"/>
    </row>
    <row r="38" spans="1:13" x14ac:dyDescent="0.3">
      <c r="A38" s="25" t="s">
        <v>94</v>
      </c>
      <c r="B38" s="26" t="s">
        <v>12</v>
      </c>
      <c r="C38" s="26"/>
      <c r="D38" s="26"/>
      <c r="E38" s="26"/>
      <c r="F38" s="26"/>
      <c r="G38" s="26"/>
      <c r="H38" s="26"/>
      <c r="I38" s="27"/>
    </row>
    <row r="39" spans="1:13" x14ac:dyDescent="0.3">
      <c r="A39" s="25" t="s">
        <v>95</v>
      </c>
      <c r="B39" s="26"/>
      <c r="C39" s="26"/>
      <c r="D39" s="26"/>
      <c r="E39" s="26"/>
      <c r="F39" s="26"/>
      <c r="G39" s="26"/>
      <c r="H39" s="26"/>
      <c r="I39" s="27"/>
    </row>
    <row r="40" spans="1:13" ht="28.5" x14ac:dyDescent="0.3">
      <c r="A40" s="25" t="s">
        <v>96</v>
      </c>
      <c r="B40" s="26">
        <v>4</v>
      </c>
      <c r="C40" s="26">
        <v>47</v>
      </c>
      <c r="D40" s="26">
        <f t="shared" ref="D40:D43" si="7">B40*C40</f>
        <v>188</v>
      </c>
      <c r="E40" s="26">
        <f>E31</f>
        <v>5</v>
      </c>
      <c r="F40" s="34">
        <f t="shared" ref="F40:F43" si="8">D40*E40</f>
        <v>940</v>
      </c>
      <c r="G40" s="26">
        <f t="shared" ref="G40:G43" si="9">F40*0.05</f>
        <v>47</v>
      </c>
      <c r="H40" s="26">
        <f t="shared" ref="H40:H43" si="10">F40*0.1</f>
        <v>94</v>
      </c>
      <c r="I40" s="27">
        <f>$L$4*F40+$L$5*G40+$L$6*H40</f>
        <v>148056.10999999999</v>
      </c>
    </row>
    <row r="41" spans="1:13" ht="28.5" x14ac:dyDescent="0.3">
      <c r="A41" s="25" t="s">
        <v>97</v>
      </c>
      <c r="B41" s="26">
        <v>4</v>
      </c>
      <c r="C41" s="26">
        <v>47</v>
      </c>
      <c r="D41" s="26">
        <f t="shared" si="7"/>
        <v>188</v>
      </c>
      <c r="E41" s="26">
        <f>E31</f>
        <v>5</v>
      </c>
      <c r="F41" s="34">
        <f t="shared" si="8"/>
        <v>940</v>
      </c>
      <c r="G41" s="26">
        <f t="shared" si="9"/>
        <v>47</v>
      </c>
      <c r="H41" s="26">
        <f t="shared" si="10"/>
        <v>94</v>
      </c>
      <c r="I41" s="27">
        <f>$L$4*F41+$L$5*G41+$L$6*H41</f>
        <v>148056.10999999999</v>
      </c>
    </row>
    <row r="42" spans="1:13" ht="26" x14ac:dyDescent="0.3">
      <c r="A42" s="25" t="s">
        <v>98</v>
      </c>
      <c r="B42" s="26">
        <v>4</v>
      </c>
      <c r="C42" s="26">
        <v>1</v>
      </c>
      <c r="D42" s="26">
        <f t="shared" si="7"/>
        <v>4</v>
      </c>
      <c r="E42" s="26">
        <f>E31</f>
        <v>5</v>
      </c>
      <c r="F42" s="26">
        <f t="shared" si="8"/>
        <v>20</v>
      </c>
      <c r="G42" s="26">
        <f t="shared" si="9"/>
        <v>1</v>
      </c>
      <c r="H42" s="26">
        <f t="shared" si="10"/>
        <v>2</v>
      </c>
      <c r="I42" s="27">
        <f>$L$4*F42+$L$5*G42+$L$6*H42</f>
        <v>3150.1299999999997</v>
      </c>
    </row>
    <row r="43" spans="1:13" ht="26" x14ac:dyDescent="0.3">
      <c r="A43" s="25" t="s">
        <v>99</v>
      </c>
      <c r="B43" s="26">
        <v>4</v>
      </c>
      <c r="C43" s="26">
        <v>4</v>
      </c>
      <c r="D43" s="26">
        <f t="shared" si="7"/>
        <v>16</v>
      </c>
      <c r="E43" s="26">
        <f>E31</f>
        <v>5</v>
      </c>
      <c r="F43" s="26">
        <f t="shared" si="8"/>
        <v>80</v>
      </c>
      <c r="G43" s="26">
        <f t="shared" si="9"/>
        <v>4</v>
      </c>
      <c r="H43" s="26">
        <f t="shared" si="10"/>
        <v>8</v>
      </c>
      <c r="I43" s="27">
        <f>$L$4*F43+$L$5*G43+$L$6*H43</f>
        <v>12600.519999999999</v>
      </c>
    </row>
    <row r="44" spans="1:13" x14ac:dyDescent="0.3">
      <c r="A44" s="25" t="s">
        <v>100</v>
      </c>
      <c r="B44" s="26" t="s">
        <v>12</v>
      </c>
      <c r="C44" s="26"/>
      <c r="D44" s="26"/>
      <c r="E44" s="26"/>
      <c r="F44" s="26"/>
      <c r="G44" s="26"/>
      <c r="H44" s="26"/>
      <c r="I44" s="27"/>
    </row>
    <row r="45" spans="1:13" x14ac:dyDescent="0.3">
      <c r="A45" s="25" t="s">
        <v>101</v>
      </c>
      <c r="B45" s="26" t="s">
        <v>12</v>
      </c>
      <c r="C45" s="26"/>
      <c r="D45" s="26"/>
      <c r="E45" s="26"/>
      <c r="F45" s="26"/>
      <c r="G45" s="26"/>
      <c r="H45" s="26"/>
      <c r="I45" s="27"/>
    </row>
    <row r="46" spans="1:13" s="38" customFormat="1" ht="13.5" x14ac:dyDescent="0.35">
      <c r="A46" s="35" t="s">
        <v>102</v>
      </c>
      <c r="B46" s="36"/>
      <c r="C46" s="36"/>
      <c r="D46" s="36"/>
      <c r="E46" s="36"/>
      <c r="F46" s="97">
        <f>SUM(F34:H45)</f>
        <v>2277</v>
      </c>
      <c r="G46" s="97"/>
      <c r="H46" s="97"/>
      <c r="I46" s="37">
        <f t="shared" ref="I46" si="11">SUM(I34:I45)</f>
        <v>311862.87</v>
      </c>
      <c r="K46" s="40"/>
    </row>
    <row r="47" spans="1:13" s="44" customFormat="1" ht="28" x14ac:dyDescent="0.3">
      <c r="A47" s="41" t="s">
        <v>103</v>
      </c>
      <c r="B47" s="42"/>
      <c r="C47" s="42"/>
      <c r="D47" s="42"/>
      <c r="E47" s="42"/>
      <c r="F47" s="98">
        <f>ROUND(SUM(F46,F33),-2)</f>
        <v>22300</v>
      </c>
      <c r="G47" s="98"/>
      <c r="H47" s="98"/>
      <c r="I47" s="43">
        <f>ROUND(SUM(I46,I33),-4)</f>
        <v>3050000</v>
      </c>
      <c r="M47" s="66"/>
    </row>
    <row r="48" spans="1:13" s="44" customFormat="1" ht="15" x14ac:dyDescent="0.3">
      <c r="A48" s="45" t="s">
        <v>104</v>
      </c>
      <c r="B48" s="46"/>
      <c r="C48" s="46"/>
      <c r="D48" s="46"/>
      <c r="E48" s="46"/>
      <c r="F48" s="47"/>
      <c r="G48" s="46"/>
      <c r="H48" s="46"/>
      <c r="I48" s="43">
        <v>115000</v>
      </c>
      <c r="K48" s="48"/>
    </row>
    <row r="49" spans="1:9" s="44" customFormat="1" ht="15" x14ac:dyDescent="0.3">
      <c r="A49" s="45" t="s">
        <v>105</v>
      </c>
      <c r="B49" s="46"/>
      <c r="C49" s="46"/>
      <c r="D49" s="46"/>
      <c r="E49" s="46"/>
      <c r="F49" s="46"/>
      <c r="G49" s="46"/>
      <c r="H49" s="46"/>
      <c r="I49" s="43">
        <f>ROUND(I48+I47,-4)</f>
        <v>3170000</v>
      </c>
    </row>
    <row r="50" spans="1:9" x14ac:dyDescent="0.3">
      <c r="A50" s="44" t="s">
        <v>15</v>
      </c>
    </row>
    <row r="51" spans="1:9" ht="15.5" x14ac:dyDescent="0.3">
      <c r="A51" s="90" t="s">
        <v>158</v>
      </c>
      <c r="B51" s="90"/>
      <c r="C51" s="90"/>
      <c r="D51" s="90"/>
      <c r="E51" s="90"/>
      <c r="F51" s="90"/>
      <c r="G51" s="90"/>
      <c r="H51" s="90"/>
      <c r="I51" s="90"/>
    </row>
    <row r="52" spans="1:9" ht="19.899999999999999" customHeight="1" x14ac:dyDescent="0.3">
      <c r="A52" s="90" t="s">
        <v>106</v>
      </c>
      <c r="B52" s="90"/>
      <c r="C52" s="90"/>
      <c r="D52" s="90"/>
      <c r="E52" s="90"/>
      <c r="F52" s="90"/>
      <c r="G52" s="90"/>
      <c r="H52" s="90"/>
      <c r="I52" s="90"/>
    </row>
    <row r="53" spans="1:9" ht="56.65" customHeight="1" x14ac:dyDescent="0.3">
      <c r="A53" s="93" t="s">
        <v>169</v>
      </c>
      <c r="B53" s="93"/>
      <c r="C53" s="93"/>
      <c r="D53" s="93"/>
      <c r="E53" s="93"/>
      <c r="F53" s="93"/>
      <c r="G53" s="93"/>
      <c r="H53" s="93"/>
      <c r="I53" s="93"/>
    </row>
    <row r="54" spans="1:9" ht="54" customHeight="1" x14ac:dyDescent="0.3">
      <c r="A54" s="94" t="s">
        <v>159</v>
      </c>
      <c r="B54" s="94"/>
      <c r="C54" s="94"/>
      <c r="D54" s="94"/>
      <c r="E54" s="94"/>
      <c r="F54" s="94"/>
      <c r="G54" s="94"/>
      <c r="H54" s="94"/>
      <c r="I54" s="94"/>
    </row>
    <row r="55" spans="1:9" ht="15.5" x14ac:dyDescent="0.3">
      <c r="A55" s="94" t="s">
        <v>160</v>
      </c>
      <c r="B55" s="94"/>
      <c r="C55" s="94"/>
      <c r="D55" s="94"/>
      <c r="E55" s="94"/>
      <c r="F55" s="94"/>
      <c r="G55" s="94"/>
      <c r="H55" s="94"/>
      <c r="I55" s="94"/>
    </row>
    <row r="56" spans="1:9" ht="15.5" x14ac:dyDescent="0.3">
      <c r="A56" s="94" t="s">
        <v>161</v>
      </c>
      <c r="B56" s="94"/>
      <c r="C56" s="94"/>
      <c r="D56" s="94"/>
      <c r="E56" s="94"/>
      <c r="F56" s="94"/>
      <c r="G56" s="94"/>
      <c r="H56" s="94"/>
      <c r="I56" s="94"/>
    </row>
    <row r="57" spans="1:9" ht="15.5" x14ac:dyDescent="0.3">
      <c r="A57" s="94" t="s">
        <v>162</v>
      </c>
      <c r="B57" s="94"/>
      <c r="C57" s="94"/>
      <c r="D57" s="94"/>
      <c r="E57" s="94"/>
      <c r="F57" s="94"/>
      <c r="G57" s="94"/>
      <c r="H57" s="94"/>
      <c r="I57" s="94"/>
    </row>
    <row r="58" spans="1:9" ht="15.5" x14ac:dyDescent="0.3">
      <c r="A58" s="90" t="s">
        <v>107</v>
      </c>
      <c r="B58" s="90"/>
      <c r="C58" s="90"/>
      <c r="D58" s="90"/>
      <c r="E58" s="90"/>
      <c r="F58" s="90"/>
      <c r="G58" s="90"/>
      <c r="H58" s="90"/>
      <c r="I58" s="90"/>
    </row>
    <row r="59" spans="1:9" ht="15.5" x14ac:dyDescent="0.3">
      <c r="A59" s="90" t="s">
        <v>108</v>
      </c>
      <c r="B59" s="90"/>
      <c r="C59" s="90"/>
      <c r="D59" s="90"/>
      <c r="E59" s="90"/>
      <c r="F59" s="90"/>
      <c r="G59" s="90"/>
      <c r="H59" s="90"/>
      <c r="I59" s="90"/>
    </row>
  </sheetData>
  <mergeCells count="14">
    <mergeCell ref="K2:L2"/>
    <mergeCell ref="F33:H33"/>
    <mergeCell ref="F46:H46"/>
    <mergeCell ref="F47:H47"/>
    <mergeCell ref="A51:I51"/>
    <mergeCell ref="A59:I59"/>
    <mergeCell ref="K3:L3"/>
    <mergeCell ref="A53:I53"/>
    <mergeCell ref="A54:I54"/>
    <mergeCell ref="A55:I55"/>
    <mergeCell ref="A56:I56"/>
    <mergeCell ref="A57:I57"/>
    <mergeCell ref="A58:I58"/>
    <mergeCell ref="A52:I5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0DB96-8221-41BC-B18C-E74D8AC3396B}">
  <dimension ref="A1:L58"/>
  <sheetViews>
    <sheetView workbookViewId="0">
      <selection activeCell="A2" sqref="A2:I58"/>
    </sheetView>
  </sheetViews>
  <sheetFormatPr defaultColWidth="9.26953125" defaultRowHeight="13" x14ac:dyDescent="0.3"/>
  <cols>
    <col min="1" max="1" width="39" style="21" bestFit="1" customWidth="1"/>
    <col min="2" max="2" width="12.7265625" style="21" bestFit="1" customWidth="1"/>
    <col min="3" max="3" width="10" style="21" bestFit="1" customWidth="1"/>
    <col min="4" max="4" width="11.26953125" style="21" customWidth="1"/>
    <col min="5" max="5" width="11.26953125" style="21" bestFit="1" customWidth="1"/>
    <col min="6" max="6" width="9" style="21" bestFit="1" customWidth="1"/>
    <col min="7" max="7" width="11.7265625" style="21" bestFit="1" customWidth="1"/>
    <col min="8" max="8" width="11.453125" style="21" customWidth="1"/>
    <col min="9" max="9" width="17.54296875" style="21" customWidth="1"/>
    <col min="10" max="10" width="3.26953125" style="21" customWidth="1"/>
    <col min="11" max="11" width="10.26953125" style="21" customWidth="1"/>
    <col min="12" max="12" width="9.54296875" style="21" customWidth="1"/>
    <col min="13" max="13" width="10.453125" style="21" bestFit="1" customWidth="1"/>
    <col min="14" max="16384" width="9.26953125" style="21"/>
  </cols>
  <sheetData>
    <row r="1" spans="1:12" ht="15.5" x14ac:dyDescent="0.3">
      <c r="A1" s="62" t="s">
        <v>136</v>
      </c>
    </row>
    <row r="2" spans="1:12" ht="89.5" customHeight="1" thickBot="1" x14ac:dyDescent="0.35">
      <c r="A2" s="18" t="s">
        <v>49</v>
      </c>
      <c r="B2" s="18" t="s">
        <v>50</v>
      </c>
      <c r="C2" s="18" t="s">
        <v>51</v>
      </c>
      <c r="D2" s="18" t="s">
        <v>163</v>
      </c>
      <c r="E2" s="18" t="s">
        <v>53</v>
      </c>
      <c r="F2" s="18" t="s">
        <v>164</v>
      </c>
      <c r="G2" s="18" t="s">
        <v>165</v>
      </c>
      <c r="H2" s="18" t="s">
        <v>166</v>
      </c>
      <c r="I2" s="19" t="s">
        <v>57</v>
      </c>
      <c r="J2" s="20"/>
      <c r="K2" s="99"/>
      <c r="L2" s="99"/>
    </row>
    <row r="3" spans="1:12" ht="13.15" customHeight="1" x14ac:dyDescent="0.3">
      <c r="A3" s="25" t="s">
        <v>11</v>
      </c>
      <c r="B3" s="26" t="s">
        <v>12</v>
      </c>
      <c r="C3" s="26"/>
      <c r="D3" s="26"/>
      <c r="E3" s="26"/>
      <c r="F3" s="26"/>
      <c r="G3" s="26"/>
      <c r="H3" s="26"/>
      <c r="I3" s="27"/>
      <c r="K3" s="91" t="s">
        <v>138</v>
      </c>
      <c r="L3" s="92"/>
    </row>
    <row r="4" spans="1:12" ht="14.5" x14ac:dyDescent="0.35">
      <c r="A4" s="25" t="s">
        <v>59</v>
      </c>
      <c r="B4" s="26" t="s">
        <v>12</v>
      </c>
      <c r="C4" s="26"/>
      <c r="D4" s="26"/>
      <c r="E4" s="26"/>
      <c r="F4" s="26"/>
      <c r="G4" s="26"/>
      <c r="H4" s="26"/>
      <c r="I4" s="27"/>
      <c r="K4" s="8" t="s">
        <v>17</v>
      </c>
      <c r="L4" s="10">
        <v>57.072000000000003</v>
      </c>
    </row>
    <row r="5" spans="1:12" ht="14.5" x14ac:dyDescent="0.35">
      <c r="A5" s="25" t="s">
        <v>13</v>
      </c>
      <c r="B5" s="26"/>
      <c r="C5" s="26"/>
      <c r="D5" s="26"/>
      <c r="E5" s="26"/>
      <c r="F5" s="26"/>
      <c r="G5" s="26"/>
      <c r="H5" s="26"/>
      <c r="I5" s="27"/>
      <c r="K5" s="8" t="s">
        <v>16</v>
      </c>
      <c r="L5" s="10">
        <v>76.912000000000006</v>
      </c>
    </row>
    <row r="6" spans="1:12" ht="27" thickBot="1" x14ac:dyDescent="0.4">
      <c r="A6" s="25" t="s">
        <v>62</v>
      </c>
      <c r="B6" s="26">
        <v>4</v>
      </c>
      <c r="C6" s="26">
        <v>1</v>
      </c>
      <c r="D6" s="26">
        <f t="shared" ref="D6:D31" si="0">B6*C6</f>
        <v>4</v>
      </c>
      <c r="E6" s="28">
        <v>9</v>
      </c>
      <c r="F6" s="26">
        <f t="shared" ref="F6:F31" si="1">D6*E6</f>
        <v>36</v>
      </c>
      <c r="G6" s="26">
        <f t="shared" ref="G6:G31" si="2">F6*0.05</f>
        <v>1.8</v>
      </c>
      <c r="H6" s="26">
        <f t="shared" ref="H6:H31" si="3">F6*0.1</f>
        <v>3.6</v>
      </c>
      <c r="I6" s="27">
        <f>$L$4*F6+$L$5*G6+$L$6*H6</f>
        <v>2304.2016000000003</v>
      </c>
      <c r="K6" s="9" t="s">
        <v>18</v>
      </c>
      <c r="L6" s="11">
        <v>30.880000000000003</v>
      </c>
    </row>
    <row r="7" spans="1:12" x14ac:dyDescent="0.3">
      <c r="A7" s="25" t="s">
        <v>63</v>
      </c>
      <c r="B7" s="26"/>
      <c r="C7" s="26"/>
      <c r="D7" s="26"/>
      <c r="E7" s="26"/>
      <c r="F7" s="26"/>
      <c r="G7" s="26"/>
      <c r="H7" s="26"/>
      <c r="I7" s="27"/>
      <c r="L7" s="29"/>
    </row>
    <row r="8" spans="1:12" ht="26" x14ac:dyDescent="0.3">
      <c r="A8" s="25" t="s">
        <v>64</v>
      </c>
      <c r="B8" s="26">
        <v>775</v>
      </c>
      <c r="C8" s="26">
        <v>1</v>
      </c>
      <c r="D8" s="26">
        <f t="shared" si="0"/>
        <v>775</v>
      </c>
      <c r="E8" s="26">
        <v>0</v>
      </c>
      <c r="F8" s="26">
        <f t="shared" si="1"/>
        <v>0</v>
      </c>
      <c r="G8" s="26">
        <f t="shared" si="2"/>
        <v>0</v>
      </c>
      <c r="H8" s="26">
        <f t="shared" si="3"/>
        <v>0</v>
      </c>
      <c r="I8" s="27">
        <f>$L$4*F8+$L$5*G8+$L$6*H8</f>
        <v>0</v>
      </c>
      <c r="L8" s="29"/>
    </row>
    <row r="9" spans="1:12" ht="26" x14ac:dyDescent="0.3">
      <c r="A9" s="25" t="s">
        <v>109</v>
      </c>
      <c r="B9" s="26"/>
      <c r="C9" s="26"/>
      <c r="D9" s="26"/>
      <c r="E9" s="26"/>
      <c r="F9" s="26"/>
      <c r="G9" s="26"/>
      <c r="H9" s="26"/>
      <c r="I9" s="27">
        <f>$L$4*F9+$L$5*G9+$L$6*H9</f>
        <v>0</v>
      </c>
      <c r="L9" s="29"/>
    </row>
    <row r="10" spans="1:12" x14ac:dyDescent="0.3">
      <c r="A10" s="25" t="s">
        <v>66</v>
      </c>
      <c r="B10" s="26">
        <v>225</v>
      </c>
      <c r="C10" s="26">
        <v>1</v>
      </c>
      <c r="D10" s="26">
        <f t="shared" si="0"/>
        <v>225</v>
      </c>
      <c r="E10" s="26">
        <v>0</v>
      </c>
      <c r="F10" s="26">
        <f t="shared" si="1"/>
        <v>0</v>
      </c>
      <c r="G10" s="26">
        <f t="shared" si="2"/>
        <v>0</v>
      </c>
      <c r="H10" s="26">
        <f t="shared" si="3"/>
        <v>0</v>
      </c>
      <c r="I10" s="27">
        <f>$L$4*F10+$L$5*G10+$L$6*H10</f>
        <v>0</v>
      </c>
      <c r="L10" s="29"/>
    </row>
    <row r="11" spans="1:12" x14ac:dyDescent="0.3">
      <c r="A11" s="25" t="s">
        <v>67</v>
      </c>
      <c r="B11" s="26">
        <v>450</v>
      </c>
      <c r="C11" s="26">
        <v>1</v>
      </c>
      <c r="D11" s="26">
        <f t="shared" si="0"/>
        <v>450</v>
      </c>
      <c r="E11" s="26">
        <v>0</v>
      </c>
      <c r="F11" s="26">
        <f t="shared" si="1"/>
        <v>0</v>
      </c>
      <c r="G11" s="26">
        <f t="shared" si="2"/>
        <v>0</v>
      </c>
      <c r="H11" s="26">
        <f t="shared" si="3"/>
        <v>0</v>
      </c>
      <c r="I11" s="27">
        <f>$L$4*F11+$L$5*G11+$L$6*H11</f>
        <v>0</v>
      </c>
      <c r="L11" s="29"/>
    </row>
    <row r="12" spans="1:12" ht="39" x14ac:dyDescent="0.3">
      <c r="A12" s="25" t="s">
        <v>68</v>
      </c>
      <c r="B12" s="26">
        <v>775</v>
      </c>
      <c r="C12" s="26">
        <v>1</v>
      </c>
      <c r="D12" s="26">
        <f t="shared" si="0"/>
        <v>775</v>
      </c>
      <c r="E12" s="26">
        <v>9</v>
      </c>
      <c r="F12" s="32">
        <f t="shared" si="1"/>
        <v>6975</v>
      </c>
      <c r="G12" s="26">
        <f t="shared" si="2"/>
        <v>348.75</v>
      </c>
      <c r="H12" s="26">
        <f t="shared" si="3"/>
        <v>697.5</v>
      </c>
      <c r="I12" s="27">
        <f>$L$4*F12+$L$5*G12+$L$6*H12</f>
        <v>446439.06</v>
      </c>
    </row>
    <row r="13" spans="1:12" ht="26" x14ac:dyDescent="0.3">
      <c r="A13" s="25" t="s">
        <v>110</v>
      </c>
      <c r="B13" s="26"/>
      <c r="C13" s="28"/>
      <c r="D13" s="26"/>
      <c r="E13" s="26"/>
      <c r="F13" s="32"/>
      <c r="G13" s="26"/>
      <c r="H13" s="26"/>
      <c r="I13" s="27"/>
    </row>
    <row r="14" spans="1:12" ht="15.5" x14ac:dyDescent="0.3">
      <c r="A14" s="25" t="s">
        <v>70</v>
      </c>
      <c r="B14" s="26">
        <v>350</v>
      </c>
      <c r="C14" s="28">
        <v>1.78</v>
      </c>
      <c r="D14" s="26">
        <f t="shared" si="0"/>
        <v>623</v>
      </c>
      <c r="E14" s="26">
        <f>E12</f>
        <v>9</v>
      </c>
      <c r="F14" s="32">
        <f t="shared" si="1"/>
        <v>5607</v>
      </c>
      <c r="G14" s="26">
        <f t="shared" si="2"/>
        <v>280.35000000000002</v>
      </c>
      <c r="H14" s="33">
        <f t="shared" si="3"/>
        <v>560.70000000000005</v>
      </c>
      <c r="I14" s="27">
        <f>$L$4*F14+$L$5*G14+$L$6*H14</f>
        <v>358879.39920000004</v>
      </c>
    </row>
    <row r="15" spans="1:12" ht="15.5" x14ac:dyDescent="0.3">
      <c r="A15" s="25" t="s">
        <v>71</v>
      </c>
      <c r="B15" s="26">
        <v>130</v>
      </c>
      <c r="C15" s="28">
        <v>5.34</v>
      </c>
      <c r="D15" s="26">
        <f t="shared" si="0"/>
        <v>694.19999999999993</v>
      </c>
      <c r="E15" s="26">
        <f>E12</f>
        <v>9</v>
      </c>
      <c r="F15" s="32">
        <f t="shared" si="1"/>
        <v>6247.7999999999993</v>
      </c>
      <c r="G15" s="32">
        <f t="shared" si="2"/>
        <v>312.39</v>
      </c>
      <c r="H15" s="33">
        <f t="shared" si="3"/>
        <v>624.78</v>
      </c>
      <c r="I15" s="27">
        <f>$L$4*F15+$L$5*G15+$L$6*H15</f>
        <v>399894.18767999997</v>
      </c>
    </row>
    <row r="16" spans="1:12" ht="15.5" x14ac:dyDescent="0.3">
      <c r="A16" s="25" t="s">
        <v>72</v>
      </c>
      <c r="B16" s="26">
        <v>1</v>
      </c>
      <c r="C16" s="28">
        <v>650</v>
      </c>
      <c r="D16" s="26">
        <f t="shared" si="0"/>
        <v>650</v>
      </c>
      <c r="E16" s="26">
        <f>E12</f>
        <v>9</v>
      </c>
      <c r="F16" s="32">
        <f t="shared" si="1"/>
        <v>5850</v>
      </c>
      <c r="G16" s="26">
        <f t="shared" si="2"/>
        <v>292.5</v>
      </c>
      <c r="H16" s="26">
        <f t="shared" si="3"/>
        <v>585</v>
      </c>
      <c r="I16" s="27">
        <f>$L$4*F16+$L$5*G16+$L$6*H16</f>
        <v>374432.76</v>
      </c>
    </row>
    <row r="17" spans="1:9" x14ac:dyDescent="0.3">
      <c r="A17" s="25" t="s">
        <v>73</v>
      </c>
      <c r="B17" s="26" t="s">
        <v>14</v>
      </c>
      <c r="C17" s="28"/>
      <c r="D17" s="26"/>
      <c r="E17" s="26"/>
      <c r="F17" s="26"/>
      <c r="G17" s="26"/>
      <c r="H17" s="26"/>
      <c r="I17" s="27"/>
    </row>
    <row r="18" spans="1:9" x14ac:dyDescent="0.3">
      <c r="A18" s="25" t="s">
        <v>74</v>
      </c>
      <c r="B18" s="26" t="s">
        <v>75</v>
      </c>
      <c r="C18" s="26"/>
      <c r="D18" s="26"/>
      <c r="E18" s="26"/>
      <c r="F18" s="26"/>
      <c r="G18" s="26"/>
      <c r="H18" s="26"/>
      <c r="I18" s="27"/>
    </row>
    <row r="19" spans="1:9" x14ac:dyDescent="0.3">
      <c r="A19" s="25" t="s">
        <v>76</v>
      </c>
      <c r="B19" s="26"/>
      <c r="C19" s="26"/>
      <c r="D19" s="26"/>
      <c r="E19" s="26"/>
      <c r="F19" s="26"/>
      <c r="G19" s="26"/>
      <c r="H19" s="26"/>
      <c r="I19" s="27"/>
    </row>
    <row r="20" spans="1:9" x14ac:dyDescent="0.3">
      <c r="A20" s="25" t="s">
        <v>77</v>
      </c>
      <c r="B20" s="26"/>
      <c r="C20" s="26"/>
      <c r="D20" s="26"/>
      <c r="E20" s="26"/>
      <c r="F20" s="26"/>
      <c r="G20" s="26"/>
      <c r="H20" s="26"/>
      <c r="I20" s="27"/>
    </row>
    <row r="21" spans="1:9" x14ac:dyDescent="0.3">
      <c r="A21" s="25" t="s">
        <v>78</v>
      </c>
      <c r="B21" s="26">
        <v>40</v>
      </c>
      <c r="C21" s="26">
        <v>1</v>
      </c>
      <c r="D21" s="26">
        <f t="shared" si="0"/>
        <v>40</v>
      </c>
      <c r="E21" s="26">
        <v>0</v>
      </c>
      <c r="F21" s="26">
        <f t="shared" si="1"/>
        <v>0</v>
      </c>
      <c r="G21" s="26">
        <f t="shared" si="2"/>
        <v>0</v>
      </c>
      <c r="H21" s="26">
        <f t="shared" si="3"/>
        <v>0</v>
      </c>
      <c r="I21" s="27">
        <f t="shared" ref="I21:I31" si="4">$L$4*F21+$L$5*G21+$L$6*H21</f>
        <v>0</v>
      </c>
    </row>
    <row r="22" spans="1:9" x14ac:dyDescent="0.3">
      <c r="A22" s="25" t="s">
        <v>79</v>
      </c>
      <c r="B22" s="26">
        <v>4</v>
      </c>
      <c r="C22" s="26">
        <v>1</v>
      </c>
      <c r="D22" s="26">
        <f t="shared" si="0"/>
        <v>4</v>
      </c>
      <c r="E22" s="26">
        <v>0</v>
      </c>
      <c r="F22" s="26">
        <f t="shared" si="1"/>
        <v>0</v>
      </c>
      <c r="G22" s="26">
        <f t="shared" si="2"/>
        <v>0</v>
      </c>
      <c r="H22" s="26">
        <f t="shared" si="3"/>
        <v>0</v>
      </c>
      <c r="I22" s="27">
        <f t="shared" si="4"/>
        <v>0</v>
      </c>
    </row>
    <row r="23" spans="1:9" ht="26" x14ac:dyDescent="0.3">
      <c r="A23" s="25" t="s">
        <v>80</v>
      </c>
      <c r="B23" s="26">
        <v>4</v>
      </c>
      <c r="C23" s="26">
        <v>1</v>
      </c>
      <c r="D23" s="26">
        <f t="shared" si="0"/>
        <v>4</v>
      </c>
      <c r="E23" s="26">
        <v>0</v>
      </c>
      <c r="F23" s="26">
        <f t="shared" si="1"/>
        <v>0</v>
      </c>
      <c r="G23" s="26">
        <f t="shared" si="2"/>
        <v>0</v>
      </c>
      <c r="H23" s="26">
        <f t="shared" si="3"/>
        <v>0</v>
      </c>
      <c r="I23" s="27">
        <f t="shared" si="4"/>
        <v>0</v>
      </c>
    </row>
    <row r="24" spans="1:9" ht="26" x14ac:dyDescent="0.3">
      <c r="A24" s="25" t="s">
        <v>81</v>
      </c>
      <c r="B24" s="26">
        <v>4</v>
      </c>
      <c r="C24" s="26">
        <v>1</v>
      </c>
      <c r="D24" s="26">
        <f t="shared" si="0"/>
        <v>4</v>
      </c>
      <c r="E24" s="26">
        <v>0</v>
      </c>
      <c r="F24" s="26">
        <f t="shared" si="1"/>
        <v>0</v>
      </c>
      <c r="G24" s="26">
        <f t="shared" si="2"/>
        <v>0</v>
      </c>
      <c r="H24" s="26">
        <f t="shared" si="3"/>
        <v>0</v>
      </c>
      <c r="I24" s="27">
        <f t="shared" si="4"/>
        <v>0</v>
      </c>
    </row>
    <row r="25" spans="1:9" x14ac:dyDescent="0.3">
      <c r="A25" s="25" t="s">
        <v>82</v>
      </c>
      <c r="B25" s="26">
        <v>4</v>
      </c>
      <c r="C25" s="26">
        <v>1</v>
      </c>
      <c r="D25" s="26">
        <f t="shared" si="0"/>
        <v>4</v>
      </c>
      <c r="E25" s="26">
        <v>0</v>
      </c>
      <c r="F25" s="26">
        <f t="shared" si="1"/>
        <v>0</v>
      </c>
      <c r="G25" s="26">
        <f t="shared" si="2"/>
        <v>0</v>
      </c>
      <c r="H25" s="26">
        <f t="shared" si="3"/>
        <v>0</v>
      </c>
      <c r="I25" s="27">
        <f t="shared" si="4"/>
        <v>0</v>
      </c>
    </row>
    <row r="26" spans="1:9" x14ac:dyDescent="0.3">
      <c r="A26" s="25" t="s">
        <v>83</v>
      </c>
      <c r="B26" s="26">
        <v>4</v>
      </c>
      <c r="C26" s="26">
        <v>1</v>
      </c>
      <c r="D26" s="26">
        <f t="shared" si="0"/>
        <v>4</v>
      </c>
      <c r="E26" s="26">
        <v>0</v>
      </c>
      <c r="F26" s="26">
        <f t="shared" si="1"/>
        <v>0</v>
      </c>
      <c r="G26" s="26">
        <f t="shared" si="2"/>
        <v>0</v>
      </c>
      <c r="H26" s="26">
        <f t="shared" si="3"/>
        <v>0</v>
      </c>
      <c r="I26" s="27">
        <f t="shared" si="4"/>
        <v>0</v>
      </c>
    </row>
    <row r="27" spans="1:9" x14ac:dyDescent="0.3">
      <c r="A27" s="25" t="s">
        <v>84</v>
      </c>
      <c r="B27" s="26">
        <v>40</v>
      </c>
      <c r="C27" s="26">
        <v>1</v>
      </c>
      <c r="D27" s="26">
        <f t="shared" si="0"/>
        <v>40</v>
      </c>
      <c r="E27" s="26">
        <v>0</v>
      </c>
      <c r="F27" s="26">
        <f t="shared" si="1"/>
        <v>0</v>
      </c>
      <c r="G27" s="26">
        <f t="shared" si="2"/>
        <v>0</v>
      </c>
      <c r="H27" s="26">
        <f t="shared" si="3"/>
        <v>0</v>
      </c>
      <c r="I27" s="27">
        <f t="shared" si="4"/>
        <v>0</v>
      </c>
    </row>
    <row r="28" spans="1:9" x14ac:dyDescent="0.3">
      <c r="A28" s="25" t="s">
        <v>85</v>
      </c>
      <c r="B28" s="26">
        <v>4</v>
      </c>
      <c r="C28" s="26">
        <v>1</v>
      </c>
      <c r="D28" s="26">
        <f t="shared" si="0"/>
        <v>4</v>
      </c>
      <c r="E28" s="26">
        <v>0</v>
      </c>
      <c r="F28" s="26">
        <f t="shared" si="1"/>
        <v>0</v>
      </c>
      <c r="G28" s="26">
        <f t="shared" si="2"/>
        <v>0</v>
      </c>
      <c r="H28" s="26">
        <f t="shared" si="3"/>
        <v>0</v>
      </c>
      <c r="I28" s="27">
        <f t="shared" si="4"/>
        <v>0</v>
      </c>
    </row>
    <row r="29" spans="1:9" x14ac:dyDescent="0.3">
      <c r="A29" s="25" t="s">
        <v>86</v>
      </c>
      <c r="B29" s="26">
        <v>90</v>
      </c>
      <c r="C29" s="26">
        <v>1</v>
      </c>
      <c r="D29" s="26">
        <f t="shared" si="0"/>
        <v>90</v>
      </c>
      <c r="E29" s="26">
        <v>0</v>
      </c>
      <c r="F29" s="26">
        <f t="shared" si="1"/>
        <v>0</v>
      </c>
      <c r="G29" s="26">
        <f t="shared" si="2"/>
        <v>0</v>
      </c>
      <c r="H29" s="26">
        <f t="shared" si="3"/>
        <v>0</v>
      </c>
      <c r="I29" s="27">
        <f t="shared" si="4"/>
        <v>0</v>
      </c>
    </row>
    <row r="30" spans="1:9" x14ac:dyDescent="0.3">
      <c r="A30" s="25" t="s">
        <v>87</v>
      </c>
      <c r="B30" s="26">
        <v>40</v>
      </c>
      <c r="C30" s="26">
        <v>1.78</v>
      </c>
      <c r="D30" s="26">
        <f t="shared" si="0"/>
        <v>71.2</v>
      </c>
      <c r="E30" s="26">
        <f>E12</f>
        <v>9</v>
      </c>
      <c r="F30" s="34">
        <f t="shared" si="1"/>
        <v>640.80000000000007</v>
      </c>
      <c r="G30" s="26">
        <f t="shared" si="2"/>
        <v>32.040000000000006</v>
      </c>
      <c r="H30" s="26">
        <f t="shared" si="3"/>
        <v>64.080000000000013</v>
      </c>
      <c r="I30" s="27">
        <f t="shared" si="4"/>
        <v>41014.788480000003</v>
      </c>
    </row>
    <row r="31" spans="1:9" ht="15.5" x14ac:dyDescent="0.3">
      <c r="A31" s="25" t="s">
        <v>111</v>
      </c>
      <c r="B31" s="26">
        <v>40</v>
      </c>
      <c r="C31" s="26">
        <v>2</v>
      </c>
      <c r="D31" s="26">
        <f t="shared" si="0"/>
        <v>80</v>
      </c>
      <c r="E31" s="26">
        <f>0.1*E30</f>
        <v>0.9</v>
      </c>
      <c r="F31" s="26">
        <f t="shared" si="1"/>
        <v>72</v>
      </c>
      <c r="G31" s="26">
        <f t="shared" si="2"/>
        <v>3.6</v>
      </c>
      <c r="H31" s="26">
        <f t="shared" si="3"/>
        <v>7.2</v>
      </c>
      <c r="I31" s="27">
        <f t="shared" si="4"/>
        <v>4608.4032000000007</v>
      </c>
    </row>
    <row r="32" spans="1:9" ht="13.5" x14ac:dyDescent="0.35">
      <c r="A32" s="35" t="s">
        <v>89</v>
      </c>
      <c r="B32" s="36"/>
      <c r="C32" s="36"/>
      <c r="D32" s="36"/>
      <c r="E32" s="36"/>
      <c r="F32" s="97">
        <f>SUM(F3:H31)</f>
        <v>29242.89</v>
      </c>
      <c r="G32" s="97"/>
      <c r="H32" s="97"/>
      <c r="I32" s="37">
        <f>SUM(I3:I31)</f>
        <v>1627572.8001600001</v>
      </c>
    </row>
    <row r="33" spans="1:11" s="38" customFormat="1" ht="13.5" x14ac:dyDescent="0.35">
      <c r="A33" s="25" t="s">
        <v>90</v>
      </c>
      <c r="B33" s="26"/>
      <c r="C33" s="26"/>
      <c r="D33" s="26"/>
      <c r="E33" s="26"/>
      <c r="F33" s="26"/>
      <c r="G33" s="26"/>
      <c r="H33" s="26"/>
      <c r="I33" s="27"/>
      <c r="K33" s="40"/>
    </row>
    <row r="34" spans="1:11" ht="26" x14ac:dyDescent="0.3">
      <c r="A34" s="25" t="s">
        <v>62</v>
      </c>
      <c r="B34" s="26" t="s">
        <v>91</v>
      </c>
      <c r="C34" s="26"/>
      <c r="D34" s="26"/>
      <c r="E34" s="26"/>
      <c r="F34" s="26"/>
      <c r="G34" s="26"/>
      <c r="H34" s="26"/>
      <c r="I34" s="27"/>
    </row>
    <row r="35" spans="1:11" x14ac:dyDescent="0.3">
      <c r="A35" s="25" t="s">
        <v>92</v>
      </c>
      <c r="B35" s="26" t="s">
        <v>14</v>
      </c>
      <c r="C35" s="26"/>
      <c r="D35" s="26"/>
      <c r="E35" s="26"/>
      <c r="F35" s="26"/>
      <c r="G35" s="26"/>
      <c r="H35" s="26"/>
      <c r="I35" s="27"/>
    </row>
    <row r="36" spans="1:11" x14ac:dyDescent="0.3">
      <c r="A36" s="25" t="s">
        <v>93</v>
      </c>
      <c r="B36" s="26" t="s">
        <v>14</v>
      </c>
      <c r="C36" s="26"/>
      <c r="D36" s="26"/>
      <c r="E36" s="26"/>
      <c r="F36" s="26"/>
      <c r="G36" s="26"/>
      <c r="H36" s="26"/>
      <c r="I36" s="27"/>
    </row>
    <row r="37" spans="1:11" x14ac:dyDescent="0.3">
      <c r="A37" s="25" t="s">
        <v>94</v>
      </c>
      <c r="B37" s="26" t="s">
        <v>12</v>
      </c>
      <c r="C37" s="26"/>
      <c r="D37" s="26"/>
      <c r="E37" s="26"/>
      <c r="F37" s="26"/>
      <c r="G37" s="26"/>
      <c r="H37" s="26"/>
      <c r="I37" s="27"/>
    </row>
    <row r="38" spans="1:11" x14ac:dyDescent="0.3">
      <c r="A38" s="25" t="s">
        <v>95</v>
      </c>
      <c r="B38" s="26"/>
      <c r="C38" s="26"/>
      <c r="D38" s="26"/>
      <c r="E38" s="26"/>
      <c r="F38" s="26"/>
      <c r="G38" s="26"/>
      <c r="H38" s="26"/>
      <c r="I38" s="27"/>
    </row>
    <row r="39" spans="1:11" ht="28.5" x14ac:dyDescent="0.3">
      <c r="A39" s="25" t="s">
        <v>96</v>
      </c>
      <c r="B39" s="26">
        <v>4</v>
      </c>
      <c r="C39" s="26">
        <v>47</v>
      </c>
      <c r="D39" s="26">
        <f t="shared" ref="D39:D42" si="5">B39*C39</f>
        <v>188</v>
      </c>
      <c r="E39" s="26">
        <f>E30</f>
        <v>9</v>
      </c>
      <c r="F39" s="34">
        <f t="shared" ref="F39:F42" si="6">D39*E39</f>
        <v>1692</v>
      </c>
      <c r="G39" s="26">
        <f t="shared" ref="G39:G42" si="7">F39*0.05</f>
        <v>84.600000000000009</v>
      </c>
      <c r="H39" s="26">
        <f t="shared" ref="H39:H42" si="8">F39*0.1</f>
        <v>169.20000000000002</v>
      </c>
      <c r="I39" s="27">
        <f t="shared" ref="I39:I42" si="9">$L$4*F39+$L$5*G39+$L$6*H39</f>
        <v>108297.47520000002</v>
      </c>
    </row>
    <row r="40" spans="1:11" ht="28.5" x14ac:dyDescent="0.3">
      <c r="A40" s="25" t="s">
        <v>97</v>
      </c>
      <c r="B40" s="26">
        <v>4</v>
      </c>
      <c r="C40" s="26">
        <v>47</v>
      </c>
      <c r="D40" s="26">
        <f t="shared" si="5"/>
        <v>188</v>
      </c>
      <c r="E40" s="26">
        <f>E30</f>
        <v>9</v>
      </c>
      <c r="F40" s="34">
        <f t="shared" si="6"/>
        <v>1692</v>
      </c>
      <c r="G40" s="26">
        <f t="shared" si="7"/>
        <v>84.600000000000009</v>
      </c>
      <c r="H40" s="26">
        <f t="shared" si="8"/>
        <v>169.20000000000002</v>
      </c>
      <c r="I40" s="27">
        <f t="shared" si="9"/>
        <v>108297.47520000002</v>
      </c>
    </row>
    <row r="41" spans="1:11" ht="26" x14ac:dyDescent="0.3">
      <c r="A41" s="25" t="s">
        <v>98</v>
      </c>
      <c r="B41" s="26">
        <v>4</v>
      </c>
      <c r="C41" s="26">
        <v>1</v>
      </c>
      <c r="D41" s="26">
        <f t="shared" si="5"/>
        <v>4</v>
      </c>
      <c r="E41" s="26">
        <f>E30</f>
        <v>9</v>
      </c>
      <c r="F41" s="26">
        <f t="shared" si="6"/>
        <v>36</v>
      </c>
      <c r="G41" s="26">
        <f t="shared" si="7"/>
        <v>1.8</v>
      </c>
      <c r="H41" s="26">
        <f t="shared" si="8"/>
        <v>3.6</v>
      </c>
      <c r="I41" s="27">
        <f t="shared" si="9"/>
        <v>2304.2016000000003</v>
      </c>
    </row>
    <row r="42" spans="1:11" ht="26" x14ac:dyDescent="0.3">
      <c r="A42" s="25" t="s">
        <v>99</v>
      </c>
      <c r="B42" s="26">
        <v>4</v>
      </c>
      <c r="C42" s="26">
        <v>4</v>
      </c>
      <c r="D42" s="26">
        <f t="shared" si="5"/>
        <v>16</v>
      </c>
      <c r="E42" s="26">
        <f>E30</f>
        <v>9</v>
      </c>
      <c r="F42" s="26">
        <f t="shared" si="6"/>
        <v>144</v>
      </c>
      <c r="G42" s="26">
        <f t="shared" si="7"/>
        <v>7.2</v>
      </c>
      <c r="H42" s="26">
        <f t="shared" si="8"/>
        <v>14.4</v>
      </c>
      <c r="I42" s="27">
        <f t="shared" si="9"/>
        <v>9216.8064000000013</v>
      </c>
    </row>
    <row r="43" spans="1:11" x14ac:dyDescent="0.3">
      <c r="A43" s="25" t="s">
        <v>100</v>
      </c>
      <c r="B43" s="26" t="s">
        <v>12</v>
      </c>
      <c r="C43" s="26"/>
      <c r="D43" s="26"/>
      <c r="E43" s="26"/>
      <c r="F43" s="26"/>
      <c r="G43" s="26"/>
      <c r="H43" s="26"/>
      <c r="I43" s="27"/>
    </row>
    <row r="44" spans="1:11" x14ac:dyDescent="0.3">
      <c r="A44" s="25" t="s">
        <v>101</v>
      </c>
      <c r="B44" s="26" t="s">
        <v>12</v>
      </c>
      <c r="C44" s="26"/>
      <c r="D44" s="26"/>
      <c r="E44" s="26"/>
      <c r="F44" s="26"/>
      <c r="G44" s="26"/>
      <c r="H44" s="26"/>
      <c r="I44" s="27"/>
    </row>
    <row r="45" spans="1:11" ht="13.5" x14ac:dyDescent="0.35">
      <c r="A45" s="35" t="s">
        <v>102</v>
      </c>
      <c r="B45" s="36"/>
      <c r="C45" s="36"/>
      <c r="D45" s="36"/>
      <c r="E45" s="36"/>
      <c r="F45" s="97">
        <f>SUM(F33:H44)</f>
        <v>4098.5999999999995</v>
      </c>
      <c r="G45" s="97"/>
      <c r="H45" s="97"/>
      <c r="I45" s="37">
        <f>SUM(I33:I44)</f>
        <v>228115.95840000003</v>
      </c>
    </row>
    <row r="46" spans="1:11" s="38" customFormat="1" ht="26.5" x14ac:dyDescent="0.35">
      <c r="A46" s="41" t="s">
        <v>112</v>
      </c>
      <c r="B46" s="42"/>
      <c r="C46" s="42"/>
      <c r="D46" s="42"/>
      <c r="E46" s="42"/>
      <c r="F46" s="98">
        <f>ROUND(SUM(F45,F32),-2)</f>
        <v>33300</v>
      </c>
      <c r="G46" s="98"/>
      <c r="H46" s="98"/>
      <c r="I46" s="43">
        <f>ROUND(SUM(I45,I32),-4)</f>
        <v>1860000</v>
      </c>
      <c r="K46" s="40"/>
    </row>
    <row r="47" spans="1:11" s="44" customFormat="1" x14ac:dyDescent="0.3">
      <c r="A47" s="45" t="s">
        <v>113</v>
      </c>
      <c r="B47" s="46"/>
      <c r="C47" s="46"/>
      <c r="D47" s="46"/>
      <c r="E47" s="46"/>
      <c r="F47" s="47"/>
      <c r="G47" s="46"/>
      <c r="H47" s="46"/>
      <c r="I47" s="43">
        <v>307000</v>
      </c>
    </row>
    <row r="48" spans="1:11" s="44" customFormat="1" x14ac:dyDescent="0.3">
      <c r="A48" s="45" t="s">
        <v>114</v>
      </c>
      <c r="B48" s="46"/>
      <c r="C48" s="46"/>
      <c r="D48" s="46"/>
      <c r="E48" s="46"/>
      <c r="F48" s="46"/>
      <c r="G48" s="46"/>
      <c r="H48" s="46"/>
      <c r="I48" s="43">
        <f>ROUND(I47+I46,-4)</f>
        <v>2170000</v>
      </c>
      <c r="K48" s="48"/>
    </row>
    <row r="49" spans="1:9" s="44" customFormat="1" x14ac:dyDescent="0.3">
      <c r="A49" s="44" t="s">
        <v>15</v>
      </c>
      <c r="B49" s="21"/>
      <c r="C49" s="21"/>
      <c r="D49" s="21"/>
      <c r="E49" s="21"/>
      <c r="F49" s="21"/>
      <c r="G49" s="21"/>
      <c r="H49" s="21"/>
      <c r="I49" s="21"/>
    </row>
    <row r="50" spans="1:9" ht="15.5" x14ac:dyDescent="0.3">
      <c r="A50" s="94" t="s">
        <v>180</v>
      </c>
      <c r="B50" s="94"/>
      <c r="C50" s="94"/>
      <c r="D50" s="94"/>
      <c r="E50" s="94"/>
      <c r="F50" s="94"/>
      <c r="G50" s="94"/>
      <c r="H50" s="94"/>
      <c r="I50" s="94"/>
    </row>
    <row r="51" spans="1:9" ht="15.5" x14ac:dyDescent="0.3">
      <c r="A51" s="90" t="s">
        <v>106</v>
      </c>
      <c r="B51" s="90"/>
      <c r="C51" s="90"/>
      <c r="D51" s="90"/>
      <c r="E51" s="90"/>
      <c r="F51" s="90"/>
      <c r="G51" s="90"/>
      <c r="H51" s="90"/>
      <c r="I51" s="90"/>
    </row>
    <row r="52" spans="1:9" ht="55.15" customHeight="1" x14ac:dyDescent="0.3">
      <c r="A52" s="93" t="s">
        <v>170</v>
      </c>
      <c r="B52" s="93"/>
      <c r="C52" s="93"/>
      <c r="D52" s="93"/>
      <c r="E52" s="93"/>
      <c r="F52" s="93"/>
      <c r="G52" s="93"/>
      <c r="H52" s="93"/>
      <c r="I52" s="93"/>
    </row>
    <row r="53" spans="1:9" ht="45.65" customHeight="1" x14ac:dyDescent="0.3">
      <c r="A53" s="94" t="s">
        <v>174</v>
      </c>
      <c r="B53" s="94"/>
      <c r="C53" s="94"/>
      <c r="D53" s="94"/>
      <c r="E53" s="94"/>
      <c r="F53" s="94"/>
      <c r="G53" s="94"/>
      <c r="H53" s="94"/>
      <c r="I53" s="94"/>
    </row>
    <row r="54" spans="1:9" ht="19.899999999999999" customHeight="1" x14ac:dyDescent="0.3">
      <c r="A54" s="94" t="s">
        <v>175</v>
      </c>
      <c r="B54" s="94"/>
      <c r="C54" s="94"/>
      <c r="D54" s="94"/>
      <c r="E54" s="94"/>
      <c r="F54" s="94"/>
      <c r="G54" s="94"/>
      <c r="H54" s="94"/>
      <c r="I54" s="94"/>
    </row>
    <row r="55" spans="1:9" ht="15.5" x14ac:dyDescent="0.3">
      <c r="A55" s="94" t="s">
        <v>176</v>
      </c>
      <c r="B55" s="94"/>
      <c r="C55" s="94"/>
      <c r="D55" s="94"/>
      <c r="E55" s="94"/>
      <c r="F55" s="94"/>
      <c r="G55" s="94"/>
      <c r="H55" s="94"/>
      <c r="I55" s="94"/>
    </row>
    <row r="56" spans="1:9" ht="15.5" x14ac:dyDescent="0.3">
      <c r="A56" s="94" t="s">
        <v>115</v>
      </c>
      <c r="B56" s="94"/>
      <c r="C56" s="94"/>
      <c r="D56" s="94"/>
      <c r="E56" s="94"/>
      <c r="F56" s="94"/>
      <c r="G56" s="94"/>
      <c r="H56" s="94"/>
      <c r="I56" s="94"/>
    </row>
    <row r="57" spans="1:9" ht="15.5" x14ac:dyDescent="0.3">
      <c r="A57" s="90" t="s">
        <v>107</v>
      </c>
      <c r="B57" s="90"/>
      <c r="C57" s="90"/>
      <c r="D57" s="90"/>
      <c r="E57" s="90"/>
      <c r="F57" s="90"/>
      <c r="G57" s="90"/>
      <c r="H57" s="90"/>
      <c r="I57" s="90"/>
    </row>
    <row r="58" spans="1:9" ht="15.5" x14ac:dyDescent="0.3">
      <c r="A58" s="90" t="s">
        <v>108</v>
      </c>
      <c r="B58" s="90"/>
      <c r="C58" s="90"/>
      <c r="D58" s="90"/>
      <c r="E58" s="90"/>
      <c r="F58" s="90"/>
      <c r="G58" s="90"/>
      <c r="H58" s="90"/>
      <c r="I58" s="90"/>
    </row>
  </sheetData>
  <mergeCells count="14">
    <mergeCell ref="K2:L2"/>
    <mergeCell ref="F32:H32"/>
    <mergeCell ref="F45:H45"/>
    <mergeCell ref="F46:H46"/>
    <mergeCell ref="A50:I50"/>
    <mergeCell ref="A58:I58"/>
    <mergeCell ref="K3:L3"/>
    <mergeCell ref="A52:I52"/>
    <mergeCell ref="A53:I53"/>
    <mergeCell ref="A54:I54"/>
    <mergeCell ref="A55:I55"/>
    <mergeCell ref="A56:I56"/>
    <mergeCell ref="A57:I57"/>
    <mergeCell ref="A51:I5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433CB-19D7-46FB-B954-8E1EF77973D4}">
  <dimension ref="A1:J24"/>
  <sheetViews>
    <sheetView topLeftCell="A16" zoomScaleNormal="100" workbookViewId="0">
      <selection activeCell="L19" sqref="L19"/>
    </sheetView>
  </sheetViews>
  <sheetFormatPr defaultColWidth="9.26953125" defaultRowHeight="14" x14ac:dyDescent="0.3"/>
  <cols>
    <col min="1" max="1" width="33.7265625" style="13" customWidth="1"/>
    <col min="2" max="3" width="11.7265625" style="13" customWidth="1"/>
    <col min="4" max="4" width="11.54296875" style="13" customWidth="1"/>
    <col min="5" max="5" width="14.54296875" style="13" customWidth="1"/>
    <col min="6" max="6" width="12.1796875" style="13" customWidth="1"/>
    <col min="7" max="7" width="20.26953125" style="13" customWidth="1"/>
    <col min="8" max="8" width="3.7265625" style="13" customWidth="1"/>
    <col min="9" max="9" width="10.81640625" style="13" customWidth="1"/>
    <col min="10" max="10" width="8.81640625" style="13" customWidth="1"/>
    <col min="11" max="16384" width="9.26953125" style="13"/>
  </cols>
  <sheetData>
    <row r="1" spans="1:10" ht="15.5" x14ac:dyDescent="0.3">
      <c r="A1" s="62" t="s">
        <v>185</v>
      </c>
    </row>
    <row r="2" spans="1:10" ht="65.5" thickBot="1" x14ac:dyDescent="0.35">
      <c r="A2" s="18" t="s">
        <v>116</v>
      </c>
      <c r="B2" s="49" t="s">
        <v>117</v>
      </c>
      <c r="C2" s="49" t="s">
        <v>118</v>
      </c>
      <c r="D2" s="49" t="s">
        <v>146</v>
      </c>
      <c r="E2" s="49" t="s">
        <v>147</v>
      </c>
      <c r="F2" s="49" t="s">
        <v>148</v>
      </c>
      <c r="G2" s="49" t="s">
        <v>122</v>
      </c>
      <c r="I2" s="99"/>
      <c r="J2" s="99"/>
    </row>
    <row r="3" spans="1:10" x14ac:dyDescent="0.3">
      <c r="A3" s="50" t="s">
        <v>123</v>
      </c>
      <c r="B3" s="51" t="s">
        <v>12</v>
      </c>
      <c r="C3" s="51"/>
      <c r="D3" s="51"/>
      <c r="E3" s="51"/>
      <c r="F3" s="51"/>
      <c r="G3" s="52"/>
      <c r="I3" s="91" t="s">
        <v>138</v>
      </c>
      <c r="J3" s="92"/>
    </row>
    <row r="4" spans="1:10" ht="16" x14ac:dyDescent="0.35">
      <c r="A4" s="50" t="s">
        <v>124</v>
      </c>
      <c r="B4" s="51"/>
      <c r="C4" s="51"/>
      <c r="D4" s="51"/>
      <c r="E4" s="51"/>
      <c r="F4" s="51"/>
      <c r="G4" s="53"/>
      <c r="I4" s="8" t="s">
        <v>17</v>
      </c>
      <c r="J4" s="10">
        <v>57.072000000000003</v>
      </c>
    </row>
    <row r="5" spans="1:10" ht="26.5" x14ac:dyDescent="0.35">
      <c r="A5" s="50" t="s">
        <v>125</v>
      </c>
      <c r="B5" s="51">
        <v>0</v>
      </c>
      <c r="C5" s="51">
        <v>8</v>
      </c>
      <c r="D5" s="54">
        <f t="shared" ref="D5:D14" si="0">C5*B5</f>
        <v>0</v>
      </c>
      <c r="E5" s="51">
        <f t="shared" ref="E5:E14" si="1">D5*0.05</f>
        <v>0</v>
      </c>
      <c r="F5" s="51">
        <f t="shared" ref="F5:F14" si="2">D5*0.1</f>
        <v>0</v>
      </c>
      <c r="G5" s="55">
        <f>D5*$J$4+E5*$J$5+F5*$J$6</f>
        <v>0</v>
      </c>
      <c r="I5" s="8" t="s">
        <v>16</v>
      </c>
      <c r="J5" s="10">
        <v>76.912000000000006</v>
      </c>
    </row>
    <row r="6" spans="1:10" ht="15" thickBot="1" x14ac:dyDescent="0.4">
      <c r="A6" s="50" t="s">
        <v>126</v>
      </c>
      <c r="B6" s="51">
        <v>0</v>
      </c>
      <c r="C6" s="51">
        <v>2</v>
      </c>
      <c r="D6" s="54">
        <f t="shared" si="0"/>
        <v>0</v>
      </c>
      <c r="E6" s="51">
        <f t="shared" si="1"/>
        <v>0</v>
      </c>
      <c r="F6" s="51">
        <f t="shared" si="2"/>
        <v>0</v>
      </c>
      <c r="G6" s="55">
        <f t="shared" ref="G6:G14" si="3">D6*$J$4+E6*$J$5+F6*$J$6</f>
        <v>0</v>
      </c>
      <c r="I6" s="9" t="s">
        <v>18</v>
      </c>
      <c r="J6" s="11">
        <v>30.880000000000003</v>
      </c>
    </row>
    <row r="7" spans="1:10" x14ac:dyDescent="0.3">
      <c r="A7" s="50" t="s">
        <v>127</v>
      </c>
      <c r="B7" s="51">
        <v>0</v>
      </c>
      <c r="C7" s="51">
        <v>2</v>
      </c>
      <c r="D7" s="54">
        <f t="shared" si="0"/>
        <v>0</v>
      </c>
      <c r="E7" s="51">
        <f t="shared" si="1"/>
        <v>0</v>
      </c>
      <c r="F7" s="51">
        <f t="shared" si="2"/>
        <v>0</v>
      </c>
      <c r="G7" s="55">
        <f t="shared" si="3"/>
        <v>0</v>
      </c>
    </row>
    <row r="8" spans="1:10" ht="26" x14ac:dyDescent="0.3">
      <c r="A8" s="50" t="s">
        <v>128</v>
      </c>
      <c r="B8" s="51">
        <v>0</v>
      </c>
      <c r="C8" s="51">
        <v>8</v>
      </c>
      <c r="D8" s="54">
        <f t="shared" si="0"/>
        <v>0</v>
      </c>
      <c r="E8" s="51">
        <f t="shared" si="1"/>
        <v>0</v>
      </c>
      <c r="F8" s="51">
        <f t="shared" si="2"/>
        <v>0</v>
      </c>
      <c r="G8" s="55">
        <f t="shared" si="3"/>
        <v>0</v>
      </c>
    </row>
    <row r="9" spans="1:10" ht="26" x14ac:dyDescent="0.3">
      <c r="A9" s="50" t="s">
        <v>129</v>
      </c>
      <c r="B9" s="51">
        <v>0</v>
      </c>
      <c r="C9" s="51">
        <v>4</v>
      </c>
      <c r="D9" s="54">
        <f t="shared" si="0"/>
        <v>0</v>
      </c>
      <c r="E9" s="51">
        <f t="shared" si="1"/>
        <v>0</v>
      </c>
      <c r="F9" s="51">
        <f t="shared" si="2"/>
        <v>0</v>
      </c>
      <c r="G9" s="55">
        <f t="shared" si="3"/>
        <v>0</v>
      </c>
    </row>
    <row r="10" spans="1:10" x14ac:dyDescent="0.3">
      <c r="A10" s="50" t="s">
        <v>130</v>
      </c>
      <c r="B10" s="51">
        <v>0</v>
      </c>
      <c r="C10" s="51">
        <v>40</v>
      </c>
      <c r="D10" s="54">
        <f t="shared" si="0"/>
        <v>0</v>
      </c>
      <c r="E10" s="51">
        <f t="shared" si="1"/>
        <v>0</v>
      </c>
      <c r="F10" s="51">
        <f t="shared" si="2"/>
        <v>0</v>
      </c>
      <c r="G10" s="55">
        <f t="shared" si="3"/>
        <v>0</v>
      </c>
    </row>
    <row r="11" spans="1:10" ht="26" x14ac:dyDescent="0.3">
      <c r="A11" s="50" t="s">
        <v>131</v>
      </c>
      <c r="B11" s="51">
        <v>0</v>
      </c>
      <c r="C11" s="51">
        <v>40</v>
      </c>
      <c r="D11" s="54">
        <f t="shared" si="0"/>
        <v>0</v>
      </c>
      <c r="E11" s="51">
        <f t="shared" si="1"/>
        <v>0</v>
      </c>
      <c r="F11" s="51">
        <f t="shared" si="2"/>
        <v>0</v>
      </c>
      <c r="G11" s="55">
        <f t="shared" si="3"/>
        <v>0</v>
      </c>
    </row>
    <row r="12" spans="1:10" ht="15.5" x14ac:dyDescent="0.3">
      <c r="A12" s="50" t="s">
        <v>132</v>
      </c>
      <c r="B12" s="51">
        <v>6</v>
      </c>
      <c r="C12" s="51">
        <v>24</v>
      </c>
      <c r="D12" s="54">
        <f>C12*B12</f>
        <v>144</v>
      </c>
      <c r="E12" s="51">
        <f t="shared" si="1"/>
        <v>7.2</v>
      </c>
      <c r="F12" s="51">
        <f t="shared" si="2"/>
        <v>14.4</v>
      </c>
      <c r="G12" s="55">
        <f>D12*$J$4+E12*$J$5+F12*$J$6</f>
        <v>9216.8064000000013</v>
      </c>
    </row>
    <row r="13" spans="1:10" ht="28.5" x14ac:dyDescent="0.3">
      <c r="A13" s="50" t="s">
        <v>133</v>
      </c>
      <c r="B13" s="51">
        <v>2.8</v>
      </c>
      <c r="C13" s="51">
        <v>16</v>
      </c>
      <c r="D13" s="51">
        <f t="shared" si="0"/>
        <v>44.8</v>
      </c>
      <c r="E13" s="51">
        <f t="shared" si="1"/>
        <v>2.2399999999999998</v>
      </c>
      <c r="F13" s="51">
        <f t="shared" si="2"/>
        <v>4.4799999999999995</v>
      </c>
      <c r="G13" s="55">
        <f t="shared" si="3"/>
        <v>2867.4508800000003</v>
      </c>
    </row>
    <row r="14" spans="1:10" x14ac:dyDescent="0.3">
      <c r="A14" s="50" t="s">
        <v>134</v>
      </c>
      <c r="B14" s="51">
        <v>1</v>
      </c>
      <c r="C14" s="51">
        <v>200</v>
      </c>
      <c r="D14" s="51">
        <f t="shared" si="0"/>
        <v>200</v>
      </c>
      <c r="E14" s="51">
        <f t="shared" si="1"/>
        <v>10</v>
      </c>
      <c r="F14" s="51">
        <f t="shared" si="2"/>
        <v>20</v>
      </c>
      <c r="G14" s="55">
        <f t="shared" si="3"/>
        <v>12801.120000000003</v>
      </c>
    </row>
    <row r="15" spans="1:10" ht="15" x14ac:dyDescent="0.3">
      <c r="A15" s="56" t="s">
        <v>135</v>
      </c>
      <c r="B15" s="41"/>
      <c r="C15" s="41"/>
      <c r="D15" s="100">
        <f>ROUND(SUM(D3:F14),0)</f>
        <v>447</v>
      </c>
      <c r="E15" s="100"/>
      <c r="F15" s="100"/>
      <c r="G15" s="57">
        <f>ROUND(SUM(G3:G14),-2)</f>
        <v>24900</v>
      </c>
    </row>
    <row r="16" spans="1:10" s="58" customFormat="1" x14ac:dyDescent="0.3">
      <c r="A16" s="13"/>
      <c r="B16" s="13"/>
      <c r="C16" s="13"/>
      <c r="D16" s="13"/>
      <c r="E16" s="13"/>
      <c r="F16" s="13"/>
      <c r="G16" s="13"/>
    </row>
    <row r="17" spans="1:9" x14ac:dyDescent="0.3">
      <c r="A17" s="44" t="s">
        <v>15</v>
      </c>
    </row>
    <row r="18" spans="1:9" ht="61.9" customHeight="1" x14ac:dyDescent="0.3">
      <c r="A18" s="93" t="s">
        <v>187</v>
      </c>
      <c r="B18" s="93"/>
      <c r="C18" s="93"/>
      <c r="D18" s="93"/>
      <c r="E18" s="93"/>
      <c r="F18" s="93"/>
      <c r="G18" s="93"/>
    </row>
    <row r="19" spans="1:9" ht="39.65" customHeight="1" x14ac:dyDescent="0.3">
      <c r="A19" s="94" t="s">
        <v>47</v>
      </c>
      <c r="B19" s="94"/>
      <c r="C19" s="94"/>
      <c r="D19" s="94"/>
      <c r="E19" s="94"/>
      <c r="F19" s="94"/>
      <c r="G19" s="94"/>
      <c r="H19" s="17"/>
      <c r="I19" s="17"/>
    </row>
    <row r="20" spans="1:9" ht="15.65" customHeight="1" x14ac:dyDescent="0.3">
      <c r="A20" s="94" t="s">
        <v>173</v>
      </c>
      <c r="B20" s="94"/>
      <c r="C20" s="94"/>
      <c r="D20" s="94"/>
      <c r="E20" s="94"/>
      <c r="F20" s="94"/>
      <c r="G20" s="94"/>
      <c r="H20" s="17"/>
      <c r="I20" s="17"/>
    </row>
    <row r="21" spans="1:9" ht="15.65" customHeight="1" x14ac:dyDescent="0.3">
      <c r="A21" s="94" t="s">
        <v>172</v>
      </c>
      <c r="B21" s="94"/>
      <c r="C21" s="94"/>
      <c r="D21" s="94"/>
      <c r="E21" s="94"/>
      <c r="F21" s="94"/>
      <c r="G21" s="94"/>
      <c r="H21" s="17"/>
      <c r="I21" s="17"/>
    </row>
    <row r="22" spans="1:9" ht="22.9" customHeight="1" x14ac:dyDescent="0.3">
      <c r="A22" s="94" t="s">
        <v>167</v>
      </c>
      <c r="B22" s="94"/>
      <c r="C22" s="94"/>
      <c r="D22" s="94"/>
      <c r="E22" s="94"/>
      <c r="F22" s="94"/>
      <c r="G22" s="94"/>
      <c r="H22" s="17"/>
      <c r="I22" s="17"/>
    </row>
    <row r="23" spans="1:9" ht="15.65" customHeight="1" x14ac:dyDescent="0.3">
      <c r="A23" s="94" t="s">
        <v>48</v>
      </c>
      <c r="B23" s="94"/>
      <c r="C23" s="94"/>
      <c r="D23" s="94"/>
      <c r="E23" s="94"/>
      <c r="F23" s="94"/>
      <c r="G23" s="94"/>
      <c r="H23" s="17"/>
      <c r="I23" s="17"/>
    </row>
    <row r="24" spans="1:9" ht="15.65" customHeight="1" x14ac:dyDescent="0.3">
      <c r="H24" s="17"/>
      <c r="I24" s="17"/>
    </row>
  </sheetData>
  <mergeCells count="9">
    <mergeCell ref="A22:G22"/>
    <mergeCell ref="A23:G23"/>
    <mergeCell ref="I3:J3"/>
    <mergeCell ref="I2:J2"/>
    <mergeCell ref="D15:F15"/>
    <mergeCell ref="A18:G18"/>
    <mergeCell ref="A19:G19"/>
    <mergeCell ref="A20:G20"/>
    <mergeCell ref="A21:G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20978-BDF2-412D-ABAA-0303DE976141}">
  <dimension ref="A1:J25"/>
  <sheetViews>
    <sheetView zoomScale="90" zoomScaleNormal="90" workbookViewId="0">
      <selection activeCell="A2" sqref="A2:G23"/>
    </sheetView>
  </sheetViews>
  <sheetFormatPr defaultColWidth="9.26953125" defaultRowHeight="14" x14ac:dyDescent="0.3"/>
  <cols>
    <col min="1" max="1" width="35.7265625" style="13" customWidth="1"/>
    <col min="2" max="2" width="12.7265625" style="13" bestFit="1" customWidth="1"/>
    <col min="3" max="3" width="9.7265625" style="13" bestFit="1" customWidth="1"/>
    <col min="4" max="4" width="12.7265625" style="13" customWidth="1"/>
    <col min="5" max="5" width="15.1796875" style="13" customWidth="1"/>
    <col min="6" max="6" width="12.26953125" style="13" customWidth="1"/>
    <col min="7" max="7" width="20.26953125" style="13" customWidth="1"/>
    <col min="8" max="8" width="3.7265625" style="13" customWidth="1"/>
    <col min="9" max="9" width="11.453125" style="13" customWidth="1"/>
    <col min="10" max="10" width="12.26953125" style="13" bestFit="1" customWidth="1"/>
    <col min="11" max="16384" width="9.26953125" style="13"/>
  </cols>
  <sheetData>
    <row r="1" spans="1:10" ht="15.5" x14ac:dyDescent="0.3">
      <c r="A1" s="62" t="s">
        <v>186</v>
      </c>
    </row>
    <row r="2" spans="1:10" ht="85.15" customHeight="1" thickBot="1" x14ac:dyDescent="0.35">
      <c r="A2" s="18" t="s">
        <v>116</v>
      </c>
      <c r="B2" s="49" t="s">
        <v>117</v>
      </c>
      <c r="C2" s="49" t="s">
        <v>118</v>
      </c>
      <c r="D2" s="49" t="s">
        <v>119</v>
      </c>
      <c r="E2" s="49" t="s">
        <v>120</v>
      </c>
      <c r="F2" s="49" t="s">
        <v>121</v>
      </c>
      <c r="G2" s="49" t="s">
        <v>122</v>
      </c>
      <c r="I2" s="99"/>
      <c r="J2" s="99"/>
    </row>
    <row r="3" spans="1:10" x14ac:dyDescent="0.3">
      <c r="A3" s="50" t="s">
        <v>123</v>
      </c>
      <c r="B3" s="51" t="s">
        <v>12</v>
      </c>
      <c r="C3" s="51"/>
      <c r="D3" s="51"/>
      <c r="E3" s="51"/>
      <c r="F3" s="51"/>
      <c r="G3" s="52"/>
      <c r="I3" s="91" t="s">
        <v>138</v>
      </c>
      <c r="J3" s="92"/>
    </row>
    <row r="4" spans="1:10" ht="16" x14ac:dyDescent="0.35">
      <c r="A4" s="50" t="s">
        <v>124</v>
      </c>
      <c r="B4" s="51"/>
      <c r="C4" s="51"/>
      <c r="D4" s="51"/>
      <c r="E4" s="51"/>
      <c r="F4" s="51"/>
      <c r="G4" s="53"/>
      <c r="I4" s="8" t="s">
        <v>17</v>
      </c>
      <c r="J4" s="10">
        <v>57.072000000000003</v>
      </c>
    </row>
    <row r="5" spans="1:10" ht="26.5" x14ac:dyDescent="0.35">
      <c r="A5" s="50" t="s">
        <v>125</v>
      </c>
      <c r="B5" s="51">
        <v>0</v>
      </c>
      <c r="C5" s="51">
        <v>8</v>
      </c>
      <c r="D5" s="54">
        <f t="shared" ref="D5:D11" si="0">C5*B5</f>
        <v>0</v>
      </c>
      <c r="E5" s="51">
        <f t="shared" ref="E5:E14" si="1">D5*0.05</f>
        <v>0</v>
      </c>
      <c r="F5" s="51">
        <f t="shared" ref="F5:F14" si="2">D5*0.1</f>
        <v>0</v>
      </c>
      <c r="G5" s="55">
        <f>$J$4*D5+$J$5*E5+$J$6*F5</f>
        <v>0</v>
      </c>
      <c r="I5" s="8" t="s">
        <v>16</v>
      </c>
      <c r="J5" s="10">
        <v>76.912000000000006</v>
      </c>
    </row>
    <row r="6" spans="1:10" ht="15" thickBot="1" x14ac:dyDescent="0.4">
      <c r="A6" s="50" t="s">
        <v>126</v>
      </c>
      <c r="B6" s="51">
        <v>0</v>
      </c>
      <c r="C6" s="51">
        <v>2</v>
      </c>
      <c r="D6" s="54">
        <f t="shared" si="0"/>
        <v>0</v>
      </c>
      <c r="E6" s="51">
        <f t="shared" si="1"/>
        <v>0</v>
      </c>
      <c r="F6" s="51">
        <f t="shared" si="2"/>
        <v>0</v>
      </c>
      <c r="G6" s="55">
        <f t="shared" ref="G6:G14" si="3">$J$4*D6+$J$5*E6+$J$6*F6</f>
        <v>0</v>
      </c>
      <c r="I6" s="9" t="s">
        <v>18</v>
      </c>
      <c r="J6" s="11">
        <v>30.880000000000003</v>
      </c>
    </row>
    <row r="7" spans="1:10" x14ac:dyDescent="0.3">
      <c r="A7" s="50" t="s">
        <v>127</v>
      </c>
      <c r="B7" s="51">
        <v>0</v>
      </c>
      <c r="C7" s="51">
        <v>2</v>
      </c>
      <c r="D7" s="54">
        <f t="shared" si="0"/>
        <v>0</v>
      </c>
      <c r="E7" s="51">
        <f t="shared" si="1"/>
        <v>0</v>
      </c>
      <c r="F7" s="51">
        <f t="shared" si="2"/>
        <v>0</v>
      </c>
      <c r="G7" s="55">
        <f t="shared" si="3"/>
        <v>0</v>
      </c>
    </row>
    <row r="8" spans="1:10" ht="26" x14ac:dyDescent="0.3">
      <c r="A8" s="50" t="s">
        <v>128</v>
      </c>
      <c r="B8" s="51">
        <v>0</v>
      </c>
      <c r="C8" s="51">
        <v>8</v>
      </c>
      <c r="D8" s="54">
        <f t="shared" si="0"/>
        <v>0</v>
      </c>
      <c r="E8" s="51">
        <f t="shared" si="1"/>
        <v>0</v>
      </c>
      <c r="F8" s="51">
        <f t="shared" si="2"/>
        <v>0</v>
      </c>
      <c r="G8" s="55">
        <f t="shared" si="3"/>
        <v>0</v>
      </c>
    </row>
    <row r="9" spans="1:10" ht="26" x14ac:dyDescent="0.3">
      <c r="A9" s="50" t="s">
        <v>129</v>
      </c>
      <c r="B9" s="51">
        <v>0</v>
      </c>
      <c r="C9" s="51">
        <v>4</v>
      </c>
      <c r="D9" s="54">
        <f t="shared" si="0"/>
        <v>0</v>
      </c>
      <c r="E9" s="51">
        <f t="shared" si="1"/>
        <v>0</v>
      </c>
      <c r="F9" s="51">
        <f t="shared" si="2"/>
        <v>0</v>
      </c>
      <c r="G9" s="55">
        <f t="shared" si="3"/>
        <v>0</v>
      </c>
    </row>
    <row r="10" spans="1:10" x14ac:dyDescent="0.3">
      <c r="A10" s="50" t="s">
        <v>130</v>
      </c>
      <c r="B10" s="51">
        <v>0</v>
      </c>
      <c r="C10" s="51">
        <v>40</v>
      </c>
      <c r="D10" s="54">
        <f t="shared" si="0"/>
        <v>0</v>
      </c>
      <c r="E10" s="51">
        <f t="shared" si="1"/>
        <v>0</v>
      </c>
      <c r="F10" s="51">
        <f t="shared" si="2"/>
        <v>0</v>
      </c>
      <c r="G10" s="55">
        <f t="shared" si="3"/>
        <v>0</v>
      </c>
    </row>
    <row r="11" spans="1:10" ht="26" x14ac:dyDescent="0.3">
      <c r="A11" s="50" t="s">
        <v>131</v>
      </c>
      <c r="B11" s="51">
        <v>0</v>
      </c>
      <c r="C11" s="51">
        <v>40</v>
      </c>
      <c r="D11" s="54">
        <f t="shared" si="0"/>
        <v>0</v>
      </c>
      <c r="E11" s="51">
        <f t="shared" si="1"/>
        <v>0</v>
      </c>
      <c r="F11" s="51">
        <f t="shared" si="2"/>
        <v>0</v>
      </c>
      <c r="G11" s="55">
        <f t="shared" si="3"/>
        <v>0</v>
      </c>
    </row>
    <row r="12" spans="1:10" ht="15.5" x14ac:dyDescent="0.3">
      <c r="A12" s="50" t="s">
        <v>132</v>
      </c>
      <c r="B12" s="51">
        <v>8</v>
      </c>
      <c r="C12" s="51">
        <v>32</v>
      </c>
      <c r="D12" s="54">
        <f>C12*B12</f>
        <v>256</v>
      </c>
      <c r="E12" s="51">
        <f t="shared" si="1"/>
        <v>12.8</v>
      </c>
      <c r="F12" s="51">
        <f t="shared" si="2"/>
        <v>25.6</v>
      </c>
      <c r="G12" s="55">
        <f t="shared" si="3"/>
        <v>16385.4336</v>
      </c>
    </row>
    <row r="13" spans="1:10" ht="28.5" x14ac:dyDescent="0.3">
      <c r="A13" s="50" t="s">
        <v>133</v>
      </c>
      <c r="B13" s="51">
        <v>2.8</v>
      </c>
      <c r="C13" s="51">
        <v>16</v>
      </c>
      <c r="D13" s="51">
        <f t="shared" ref="D13:D14" si="4">C13*B13</f>
        <v>44.8</v>
      </c>
      <c r="E13" s="51">
        <f t="shared" si="1"/>
        <v>2.2399999999999998</v>
      </c>
      <c r="F13" s="51">
        <f t="shared" si="2"/>
        <v>4.4799999999999995</v>
      </c>
      <c r="G13" s="55">
        <f t="shared" si="3"/>
        <v>2867.4508800000003</v>
      </c>
    </row>
    <row r="14" spans="1:10" x14ac:dyDescent="0.3">
      <c r="A14" s="50" t="s">
        <v>134</v>
      </c>
      <c r="B14" s="51">
        <v>1</v>
      </c>
      <c r="C14" s="51">
        <v>200</v>
      </c>
      <c r="D14" s="51">
        <f t="shared" si="4"/>
        <v>200</v>
      </c>
      <c r="E14" s="51">
        <f t="shared" si="1"/>
        <v>10</v>
      </c>
      <c r="F14" s="51">
        <f t="shared" si="2"/>
        <v>20</v>
      </c>
      <c r="G14" s="55">
        <f t="shared" si="3"/>
        <v>12801.120000000003</v>
      </c>
    </row>
    <row r="15" spans="1:10" ht="15" x14ac:dyDescent="0.3">
      <c r="A15" s="56" t="s">
        <v>135</v>
      </c>
      <c r="B15" s="41"/>
      <c r="C15" s="41"/>
      <c r="D15" s="100">
        <f>ROUND(SUM(D3:F14),0)</f>
        <v>576</v>
      </c>
      <c r="E15" s="100"/>
      <c r="F15" s="100"/>
      <c r="G15" s="57">
        <f>ROUND(SUM(G3:G14),-2)</f>
        <v>32100</v>
      </c>
    </row>
    <row r="16" spans="1:10" s="58" customFormat="1" x14ac:dyDescent="0.3">
      <c r="A16" s="13"/>
      <c r="B16" s="13"/>
      <c r="C16" s="13"/>
      <c r="D16" s="13"/>
      <c r="E16" s="13"/>
      <c r="F16" s="13"/>
      <c r="G16" s="13"/>
    </row>
    <row r="17" spans="1:9" x14ac:dyDescent="0.3">
      <c r="A17" s="44" t="s">
        <v>15</v>
      </c>
    </row>
    <row r="18" spans="1:9" ht="59.65" customHeight="1" x14ac:dyDescent="0.3">
      <c r="A18" s="93" t="s">
        <v>187</v>
      </c>
      <c r="B18" s="93"/>
      <c r="C18" s="93"/>
      <c r="D18" s="93"/>
      <c r="E18" s="93"/>
      <c r="F18" s="93"/>
      <c r="G18" s="93"/>
    </row>
    <row r="19" spans="1:9" ht="40.15" customHeight="1" x14ac:dyDescent="0.3">
      <c r="A19" s="94" t="s">
        <v>47</v>
      </c>
      <c r="B19" s="94"/>
      <c r="C19" s="94"/>
      <c r="D19" s="94"/>
      <c r="E19" s="94"/>
      <c r="F19" s="94"/>
      <c r="G19" s="94"/>
      <c r="H19" s="17"/>
      <c r="I19" s="17"/>
    </row>
    <row r="20" spans="1:9" ht="15.65" customHeight="1" x14ac:dyDescent="0.3">
      <c r="A20" s="94" t="s">
        <v>168</v>
      </c>
      <c r="B20" s="94"/>
      <c r="C20" s="94"/>
      <c r="D20" s="94"/>
      <c r="E20" s="94"/>
      <c r="F20" s="94"/>
      <c r="G20" s="94"/>
      <c r="H20" s="17"/>
      <c r="I20" s="17"/>
    </row>
    <row r="21" spans="1:9" ht="15.65" customHeight="1" x14ac:dyDescent="0.3">
      <c r="A21" s="94" t="s">
        <v>171</v>
      </c>
      <c r="B21" s="94"/>
      <c r="C21" s="94"/>
      <c r="D21" s="94"/>
      <c r="E21" s="94"/>
      <c r="F21" s="94"/>
      <c r="G21" s="94"/>
      <c r="H21" s="17"/>
      <c r="I21" s="17"/>
    </row>
    <row r="22" spans="1:9" ht="30.75" customHeight="1" x14ac:dyDescent="0.3">
      <c r="A22" s="94" t="s">
        <v>177</v>
      </c>
      <c r="B22" s="94"/>
      <c r="C22" s="94"/>
      <c r="D22" s="94"/>
      <c r="E22" s="94"/>
      <c r="F22" s="94"/>
      <c r="G22" s="94"/>
      <c r="H22" s="17"/>
      <c r="I22" s="17"/>
    </row>
    <row r="23" spans="1:9" ht="15.65" customHeight="1" x14ac:dyDescent="0.3">
      <c r="A23" s="94" t="s">
        <v>48</v>
      </c>
      <c r="B23" s="94"/>
      <c r="C23" s="94"/>
      <c r="D23" s="94"/>
      <c r="E23" s="94"/>
      <c r="F23" s="94"/>
      <c r="G23" s="94"/>
      <c r="H23" s="17"/>
      <c r="I23" s="17"/>
    </row>
    <row r="24" spans="1:9" ht="15.65" customHeight="1" x14ac:dyDescent="0.3">
      <c r="A24" s="83"/>
      <c r="B24" s="83"/>
      <c r="C24" s="83"/>
      <c r="D24" s="83"/>
      <c r="E24" s="83"/>
      <c r="F24" s="83"/>
      <c r="G24" s="83"/>
      <c r="H24" s="17"/>
      <c r="I24" s="17"/>
    </row>
    <row r="25" spans="1:9" x14ac:dyDescent="0.3">
      <c r="H25" s="83"/>
      <c r="I25" s="83"/>
    </row>
  </sheetData>
  <mergeCells count="9">
    <mergeCell ref="A22:G22"/>
    <mergeCell ref="A23:G23"/>
    <mergeCell ref="I3:J3"/>
    <mergeCell ref="I2:J2"/>
    <mergeCell ref="D15:F15"/>
    <mergeCell ref="A18:G18"/>
    <mergeCell ref="A19:G19"/>
    <mergeCell ref="A20:G20"/>
    <mergeCell ref="A21:G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36532-BCF7-4B63-9B85-71772AF6403D}">
  <dimension ref="A1:N6"/>
  <sheetViews>
    <sheetView workbookViewId="0">
      <selection activeCell="C12" sqref="C12"/>
    </sheetView>
  </sheetViews>
  <sheetFormatPr defaultRowHeight="14.5" x14ac:dyDescent="0.35"/>
  <cols>
    <col min="1" max="1" width="25.54296875" customWidth="1"/>
    <col min="2" max="2" width="17.7265625" customWidth="1"/>
    <col min="3" max="3" width="22.453125" customWidth="1"/>
    <col min="4" max="4" width="15.26953125" customWidth="1"/>
    <col min="5" max="5" width="17.453125" customWidth="1"/>
    <col min="6" max="6" width="16.1796875" customWidth="1"/>
    <col min="7" max="7" width="14.26953125" customWidth="1"/>
    <col min="9" max="9" width="14.81640625" bestFit="1" customWidth="1"/>
    <col min="10" max="10" width="16.453125" bestFit="1" customWidth="1"/>
  </cols>
  <sheetData>
    <row r="1" spans="1:14" ht="15" x14ac:dyDescent="0.35">
      <c r="A1" s="101" t="s">
        <v>19</v>
      </c>
      <c r="B1" s="101"/>
      <c r="C1" s="101"/>
      <c r="D1" s="101"/>
      <c r="E1" s="101"/>
      <c r="F1" s="101"/>
      <c r="G1" s="101"/>
      <c r="H1" s="2"/>
      <c r="I1" s="2"/>
      <c r="J1" s="2"/>
      <c r="K1" s="2"/>
      <c r="L1" s="2"/>
      <c r="M1" s="2"/>
      <c r="N1" s="2"/>
    </row>
    <row r="2" spans="1:14" x14ac:dyDescent="0.35">
      <c r="A2" s="5" t="s">
        <v>20</v>
      </c>
      <c r="B2" s="5" t="s">
        <v>21</v>
      </c>
      <c r="C2" s="5" t="s">
        <v>22</v>
      </c>
      <c r="D2" s="5" t="s">
        <v>8</v>
      </c>
      <c r="E2" s="5" t="s">
        <v>23</v>
      </c>
      <c r="F2" s="5" t="s">
        <v>9</v>
      </c>
      <c r="G2" s="5" t="s">
        <v>10</v>
      </c>
      <c r="H2" s="2"/>
      <c r="I2" s="2"/>
      <c r="J2" s="2"/>
      <c r="K2" s="2"/>
      <c r="L2" s="2"/>
      <c r="M2" s="2"/>
      <c r="N2" s="2"/>
    </row>
    <row r="3" spans="1:14" ht="39" x14ac:dyDescent="0.35">
      <c r="A3" s="5" t="s">
        <v>24</v>
      </c>
      <c r="B3" s="5" t="s">
        <v>25</v>
      </c>
      <c r="C3" s="5" t="s">
        <v>26</v>
      </c>
      <c r="D3" s="5" t="s">
        <v>27</v>
      </c>
      <c r="E3" s="5" t="s">
        <v>28</v>
      </c>
      <c r="F3" s="5" t="s">
        <v>29</v>
      </c>
      <c r="G3" s="5" t="s">
        <v>30</v>
      </c>
      <c r="H3" s="2"/>
      <c r="I3" s="2"/>
      <c r="J3" s="2" t="s">
        <v>181</v>
      </c>
      <c r="K3" s="2">
        <v>521.9</v>
      </c>
      <c r="L3" s="2"/>
      <c r="M3" s="2"/>
      <c r="N3" s="2"/>
    </row>
    <row r="4" spans="1:14" ht="58" x14ac:dyDescent="0.35">
      <c r="A4" s="84" t="s">
        <v>183</v>
      </c>
      <c r="B4" s="85">
        <f>200000*(K4/K3)</f>
        <v>305767.38838858018</v>
      </c>
      <c r="C4" s="86">
        <v>0</v>
      </c>
      <c r="D4" s="85">
        <v>0</v>
      </c>
      <c r="E4" s="85">
        <f>19200*(K4/K3)</f>
        <v>29353.669285303698</v>
      </c>
      <c r="F4" s="86">
        <v>14</v>
      </c>
      <c r="G4" s="85">
        <f>(ROUND(E4*F4,-3))</f>
        <v>411000</v>
      </c>
      <c r="H4" s="2"/>
      <c r="I4" s="2"/>
      <c r="J4" s="2" t="s">
        <v>182</v>
      </c>
      <c r="K4" s="2">
        <v>797.9</v>
      </c>
      <c r="L4" s="2"/>
      <c r="M4" s="2"/>
      <c r="N4" s="2"/>
    </row>
    <row r="6" spans="1:14" ht="32.25" customHeight="1" x14ac:dyDescent="0.35">
      <c r="A6" s="102" t="s">
        <v>184</v>
      </c>
      <c r="B6" s="102"/>
      <c r="C6" s="102"/>
      <c r="D6" s="102"/>
      <c r="E6" s="102"/>
      <c r="F6" s="102"/>
      <c r="G6" s="102"/>
    </row>
  </sheetData>
  <mergeCells count="2">
    <mergeCell ref="A1:G1"/>
    <mergeCell ref="A6:G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0310-8D6C-4048-8B32-207AD9D30E3B}">
  <dimension ref="A1:F19"/>
  <sheetViews>
    <sheetView tabSelected="1" workbookViewId="0">
      <selection activeCell="I6" sqref="I6"/>
    </sheetView>
  </sheetViews>
  <sheetFormatPr defaultRowHeight="14.5" x14ac:dyDescent="0.35"/>
  <cols>
    <col min="1" max="1" width="13.81640625" customWidth="1"/>
    <col min="2" max="2" width="18.81640625" customWidth="1"/>
    <col min="3" max="3" width="17.81640625" customWidth="1"/>
    <col min="4" max="4" width="21.7265625" customWidth="1"/>
    <col min="5" max="5" width="31.81640625" customWidth="1"/>
    <col min="6" max="6" width="22.81640625" customWidth="1"/>
  </cols>
  <sheetData>
    <row r="1" spans="1:6" ht="15" x14ac:dyDescent="0.35">
      <c r="A1" s="103" t="s">
        <v>188</v>
      </c>
      <c r="B1" s="104"/>
      <c r="C1" s="104"/>
      <c r="D1" s="104"/>
      <c r="E1" s="104"/>
      <c r="F1" s="105"/>
    </row>
    <row r="2" spans="1:6" ht="32.25" customHeight="1" x14ac:dyDescent="0.35">
      <c r="A2" s="3"/>
      <c r="B2" s="106" t="s">
        <v>31</v>
      </c>
      <c r="C2" s="107"/>
      <c r="D2" s="4" t="s">
        <v>32</v>
      </c>
      <c r="E2" s="4"/>
      <c r="F2" s="4"/>
    </row>
    <row r="3" spans="1:6" ht="15" customHeight="1" x14ac:dyDescent="0.35">
      <c r="A3" s="4"/>
      <c r="B3" s="5" t="s">
        <v>20</v>
      </c>
      <c r="C3" s="5" t="s">
        <v>21</v>
      </c>
      <c r="D3" s="5" t="s">
        <v>22</v>
      </c>
      <c r="E3" s="5" t="s">
        <v>8</v>
      </c>
      <c r="F3" s="5" t="s">
        <v>23</v>
      </c>
    </row>
    <row r="4" spans="1:6" ht="52" x14ac:dyDescent="0.35">
      <c r="A4" s="5" t="s">
        <v>33</v>
      </c>
      <c r="B4" s="4" t="s">
        <v>34</v>
      </c>
      <c r="C4" s="4" t="s">
        <v>35</v>
      </c>
      <c r="D4" s="4" t="s">
        <v>36</v>
      </c>
      <c r="E4" s="4" t="s">
        <v>37</v>
      </c>
      <c r="F4" s="4" t="s">
        <v>38</v>
      </c>
    </row>
    <row r="5" spans="1:6" x14ac:dyDescent="0.35">
      <c r="A5" s="5">
        <v>1</v>
      </c>
      <c r="B5" s="5">
        <v>0</v>
      </c>
      <c r="C5" s="5">
        <v>6</v>
      </c>
      <c r="D5" s="5">
        <v>0</v>
      </c>
      <c r="E5" s="5">
        <v>0</v>
      </c>
      <c r="F5" s="5">
        <f>B5+C5+D5-E5</f>
        <v>6</v>
      </c>
    </row>
    <row r="6" spans="1:6" x14ac:dyDescent="0.35">
      <c r="A6" s="5">
        <v>2</v>
      </c>
      <c r="B6" s="5">
        <v>0</v>
      </c>
      <c r="C6" s="5">
        <v>6</v>
      </c>
      <c r="D6" s="5">
        <v>0</v>
      </c>
      <c r="E6" s="5">
        <v>0</v>
      </c>
      <c r="F6" s="5">
        <f t="shared" ref="F6:F7" si="0">B6+C6+D6-E6</f>
        <v>6</v>
      </c>
    </row>
    <row r="7" spans="1:6" x14ac:dyDescent="0.35">
      <c r="A7" s="5">
        <v>3</v>
      </c>
      <c r="B7" s="5">
        <v>0</v>
      </c>
      <c r="C7" s="5">
        <f>F6</f>
        <v>6</v>
      </c>
      <c r="D7" s="5">
        <v>0</v>
      </c>
      <c r="E7" s="5">
        <v>0</v>
      </c>
      <c r="F7" s="5">
        <f t="shared" si="0"/>
        <v>6</v>
      </c>
    </row>
    <row r="8" spans="1:6" x14ac:dyDescent="0.35">
      <c r="A8" s="4" t="s">
        <v>39</v>
      </c>
      <c r="B8" s="5">
        <f>AVERAGE(B5:B7)</f>
        <v>0</v>
      </c>
      <c r="C8" s="5">
        <f>AVERAGE(C5:C7)</f>
        <v>6</v>
      </c>
      <c r="D8" s="5">
        <f t="shared" ref="D8:E8" si="1">AVERAGE(D5:D7)</f>
        <v>0</v>
      </c>
      <c r="E8" s="5">
        <f t="shared" si="1"/>
        <v>0</v>
      </c>
      <c r="F8" s="5">
        <f>AVERAGE(F5:F7)</f>
        <v>6</v>
      </c>
    </row>
    <row r="9" spans="1:6" ht="15.5" x14ac:dyDescent="0.35">
      <c r="A9" s="108"/>
      <c r="B9" s="108"/>
      <c r="C9" s="108"/>
      <c r="D9" s="108"/>
      <c r="E9" s="108"/>
      <c r="F9" s="108"/>
    </row>
    <row r="11" spans="1:6" ht="15.75" customHeight="1" x14ac:dyDescent="0.35">
      <c r="A11" s="103" t="s">
        <v>2</v>
      </c>
      <c r="B11" s="104"/>
      <c r="C11" s="104"/>
      <c r="D11" s="104"/>
      <c r="E11" s="104"/>
      <c r="F11" s="105"/>
    </row>
    <row r="12" spans="1:6" ht="26" x14ac:dyDescent="0.35">
      <c r="A12" s="3"/>
      <c r="B12" s="106" t="s">
        <v>31</v>
      </c>
      <c r="C12" s="107"/>
      <c r="D12" s="4" t="s">
        <v>32</v>
      </c>
      <c r="E12" s="4"/>
      <c r="F12" s="4"/>
    </row>
    <row r="13" spans="1:6" x14ac:dyDescent="0.35">
      <c r="A13" s="4"/>
      <c r="B13" s="5" t="s">
        <v>20</v>
      </c>
      <c r="C13" s="5" t="s">
        <v>21</v>
      </c>
      <c r="D13" s="5" t="s">
        <v>22</v>
      </c>
      <c r="E13" s="5" t="s">
        <v>8</v>
      </c>
      <c r="F13" s="5" t="s">
        <v>23</v>
      </c>
    </row>
    <row r="14" spans="1:6" ht="52" x14ac:dyDescent="0.35">
      <c r="A14" s="5" t="s">
        <v>33</v>
      </c>
      <c r="B14" s="4" t="s">
        <v>34</v>
      </c>
      <c r="C14" s="4" t="s">
        <v>35</v>
      </c>
      <c r="D14" s="4" t="s">
        <v>36</v>
      </c>
      <c r="E14" s="4" t="s">
        <v>37</v>
      </c>
      <c r="F14" s="4" t="s">
        <v>38</v>
      </c>
    </row>
    <row r="15" spans="1:6" x14ac:dyDescent="0.35">
      <c r="A15" s="5">
        <v>1</v>
      </c>
      <c r="B15" s="5">
        <v>0</v>
      </c>
      <c r="C15" s="5">
        <v>14</v>
      </c>
      <c r="D15" s="5">
        <v>0</v>
      </c>
      <c r="E15" s="5">
        <v>0</v>
      </c>
      <c r="F15" s="5">
        <f>B15+C15+D15-E15</f>
        <v>14</v>
      </c>
    </row>
    <row r="16" spans="1:6" x14ac:dyDescent="0.35">
      <c r="A16" s="5">
        <v>2</v>
      </c>
      <c r="B16" s="5">
        <v>0</v>
      </c>
      <c r="C16" s="5">
        <f>F15</f>
        <v>14</v>
      </c>
      <c r="D16" s="5">
        <v>0</v>
      </c>
      <c r="E16" s="5">
        <v>0</v>
      </c>
      <c r="F16" s="5">
        <f t="shared" ref="F16:F17" si="2">B16+C16+D16-E16</f>
        <v>14</v>
      </c>
    </row>
    <row r="17" spans="1:6" x14ac:dyDescent="0.35">
      <c r="A17" s="5">
        <v>3</v>
      </c>
      <c r="B17" s="5">
        <v>0</v>
      </c>
      <c r="C17" s="5">
        <f>F16</f>
        <v>14</v>
      </c>
      <c r="D17" s="5">
        <v>0</v>
      </c>
      <c r="E17" s="5">
        <v>0</v>
      </c>
      <c r="F17" s="5">
        <f t="shared" si="2"/>
        <v>14</v>
      </c>
    </row>
    <row r="18" spans="1:6" x14ac:dyDescent="0.35">
      <c r="A18" s="4" t="s">
        <v>39</v>
      </c>
      <c r="B18" s="5">
        <f>AVERAGE(B15:B17)</f>
        <v>0</v>
      </c>
      <c r="C18" s="5">
        <f>AVERAGE(C15:C17)</f>
        <v>14</v>
      </c>
      <c r="D18" s="5">
        <f t="shared" ref="D18:E18" si="3">AVERAGE(D15:D17)</f>
        <v>0</v>
      </c>
      <c r="E18" s="5">
        <f t="shared" si="3"/>
        <v>0</v>
      </c>
      <c r="F18" s="5">
        <f>AVERAGE(F15:F17)</f>
        <v>14</v>
      </c>
    </row>
    <row r="19" spans="1:6" ht="15.5" x14ac:dyDescent="0.35">
      <c r="A19" s="108" t="s">
        <v>40</v>
      </c>
      <c r="B19" s="108"/>
      <c r="C19" s="108"/>
      <c r="D19" s="108"/>
      <c r="E19" s="108"/>
      <c r="F19" s="108"/>
    </row>
  </sheetData>
  <mergeCells count="6">
    <mergeCell ref="A11:F11"/>
    <mergeCell ref="B12:C12"/>
    <mergeCell ref="A19:F19"/>
    <mergeCell ref="A1:F1"/>
    <mergeCell ref="B2:C2"/>
    <mergeCell ref="A9:F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122E-AC9C-4B5C-A4E6-C46D67D894D5}">
  <dimension ref="A1:E11"/>
  <sheetViews>
    <sheetView workbookViewId="0">
      <selection activeCell="F17" sqref="F17"/>
    </sheetView>
  </sheetViews>
  <sheetFormatPr defaultColWidth="13.7265625" defaultRowHeight="13" x14ac:dyDescent="0.3"/>
  <cols>
    <col min="1" max="1" width="23.81640625" style="2" customWidth="1"/>
    <col min="2" max="8" width="13.7265625" style="2"/>
    <col min="9" max="9" width="25.7265625" style="2" customWidth="1"/>
    <col min="10" max="11" width="13.7265625" style="2"/>
    <col min="12" max="12" width="15.7265625" style="2" customWidth="1"/>
    <col min="13" max="16384" width="13.7265625" style="2"/>
  </cols>
  <sheetData>
    <row r="1" spans="1:5" ht="15" x14ac:dyDescent="0.3">
      <c r="A1" s="101" t="s">
        <v>41</v>
      </c>
      <c r="B1" s="101"/>
      <c r="C1" s="101"/>
      <c r="D1" s="101"/>
      <c r="E1" s="101"/>
    </row>
    <row r="2" spans="1:5" x14ac:dyDescent="0.3">
      <c r="A2" s="5" t="s">
        <v>20</v>
      </c>
      <c r="B2" s="5" t="s">
        <v>21</v>
      </c>
      <c r="C2" s="5" t="s">
        <v>22</v>
      </c>
      <c r="D2" s="5" t="s">
        <v>8</v>
      </c>
      <c r="E2" s="5" t="s">
        <v>23</v>
      </c>
    </row>
    <row r="3" spans="1:5" ht="78" x14ac:dyDescent="0.3">
      <c r="A3" s="5" t="s">
        <v>42</v>
      </c>
      <c r="B3" s="5" t="s">
        <v>2</v>
      </c>
      <c r="C3" s="5" t="s">
        <v>43</v>
      </c>
      <c r="D3" s="5" t="s">
        <v>44</v>
      </c>
      <c r="E3" s="5" t="s">
        <v>45</v>
      </c>
    </row>
    <row r="4" spans="1:5" x14ac:dyDescent="0.3">
      <c r="A4" s="6" t="s">
        <v>139</v>
      </c>
      <c r="B4" s="7">
        <v>6</v>
      </c>
      <c r="C4" s="7">
        <v>0</v>
      </c>
      <c r="D4" s="7">
        <v>0</v>
      </c>
      <c r="E4" s="7">
        <f>(B4*C4)+D4</f>
        <v>0</v>
      </c>
    </row>
    <row r="5" spans="1:5" x14ac:dyDescent="0.3">
      <c r="A5" s="6" t="s">
        <v>140</v>
      </c>
      <c r="B5" s="7">
        <v>0</v>
      </c>
      <c r="C5" s="7">
        <v>0</v>
      </c>
      <c r="D5" s="7">
        <v>0</v>
      </c>
      <c r="E5" s="7">
        <f t="shared" ref="E5:E10" si="0">(B5*C5)+D5</f>
        <v>0</v>
      </c>
    </row>
    <row r="6" spans="1:5" ht="26.25" customHeight="1" x14ac:dyDescent="0.3">
      <c r="A6" s="6" t="s">
        <v>141</v>
      </c>
      <c r="B6" s="7">
        <v>0</v>
      </c>
      <c r="C6" s="7">
        <v>1</v>
      </c>
      <c r="D6" s="7">
        <v>0</v>
      </c>
      <c r="E6" s="7">
        <f t="shared" si="0"/>
        <v>0</v>
      </c>
    </row>
    <row r="7" spans="1:5" ht="39" x14ac:dyDescent="0.3">
      <c r="A7" s="6" t="s">
        <v>142</v>
      </c>
      <c r="B7" s="7">
        <v>0</v>
      </c>
      <c r="C7" s="7">
        <v>1</v>
      </c>
      <c r="D7" s="7">
        <v>0</v>
      </c>
      <c r="E7" s="7">
        <f t="shared" si="0"/>
        <v>0</v>
      </c>
    </row>
    <row r="8" spans="1:5" x14ac:dyDescent="0.3">
      <c r="A8" s="6" t="s">
        <v>143</v>
      </c>
      <c r="B8" s="7">
        <f>'Industry (Private) Table 1a'!E31</f>
        <v>5</v>
      </c>
      <c r="C8" s="7">
        <v>2.4</v>
      </c>
      <c r="D8" s="7">
        <v>0</v>
      </c>
      <c r="E8" s="87">
        <f>(B8*C8)+D8</f>
        <v>12</v>
      </c>
    </row>
    <row r="9" spans="1:5" x14ac:dyDescent="0.3">
      <c r="A9" s="6" t="s">
        <v>144</v>
      </c>
      <c r="B9" s="7">
        <f>'Industry (Public) Table 1b'!E30</f>
        <v>9</v>
      </c>
      <c r="C9" s="7">
        <v>1.78</v>
      </c>
      <c r="D9" s="7">
        <v>0</v>
      </c>
      <c r="E9" s="7">
        <f t="shared" si="0"/>
        <v>16.02</v>
      </c>
    </row>
    <row r="10" spans="1:5" ht="26" x14ac:dyDescent="0.3">
      <c r="A10" s="6" t="s">
        <v>145</v>
      </c>
      <c r="B10" s="7">
        <f>'Industry (Private) Table 1a'!E32+'Industry (Public) Table 1b'!E31</f>
        <v>1.4</v>
      </c>
      <c r="C10" s="7">
        <v>2</v>
      </c>
      <c r="D10" s="7">
        <v>0</v>
      </c>
      <c r="E10" s="7">
        <f t="shared" si="0"/>
        <v>2.8</v>
      </c>
    </row>
    <row r="11" spans="1:5" ht="15" customHeight="1" x14ac:dyDescent="0.3">
      <c r="A11" s="4"/>
      <c r="B11" s="5"/>
      <c r="C11" s="109" t="s">
        <v>46</v>
      </c>
      <c r="D11" s="110"/>
      <c r="E11" s="1">
        <f>ROUND(SUM(E4:E10),0)</f>
        <v>31</v>
      </c>
    </row>
  </sheetData>
  <mergeCells count="2">
    <mergeCell ref="C11:D11"/>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2025-02-25T17:02:58+00:00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9f62856-1543-49d4-a736-4569d363f533" ContentTypeId="0x0101" PreviousValue="false"/>
</file>

<file path=customXml/item4.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6AD44F-093B-43E7-BBCD-BD58E4C9F56F}">
  <ds:schemaRefs>
    <ds:schemaRef ds:uri="http://purl.org/dc/elements/1.1/"/>
    <ds:schemaRef ds:uri="4d6aed1e-57d3-46e3-9aba-f706adbce63b"/>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1891fcec-84c2-4840-9468-b51a784ab0d1"/>
    <ds:schemaRef ds:uri="http://schemas.microsoft.com/office/2006/metadata/properties"/>
    <ds:schemaRef ds:uri="http://www.w3.org/XML/1998/namespace"/>
    <ds:schemaRef ds:uri="4ffa91fb-a0ff-4ac5-b2db-65c790d184a4"/>
    <ds:schemaRef ds:uri="http://schemas.microsoft.com/sharepoint/v3/fields"/>
    <ds:schemaRef ds:uri="http://schemas.microsoft.com/sharepoint/v3"/>
    <ds:schemaRef ds:uri="http://schemas.microsoft.com/sharepoint.v3"/>
  </ds:schemaRefs>
</ds:datastoreItem>
</file>

<file path=customXml/itemProps2.xml><?xml version="1.0" encoding="utf-8"?>
<ds:datastoreItem xmlns:ds="http://schemas.openxmlformats.org/officeDocument/2006/customXml" ds:itemID="{0A59BA53-CC14-49FE-933F-17346B204A0A}">
  <ds:schemaRefs>
    <ds:schemaRef ds:uri="http://schemas.microsoft.com/sharepoint/v3/contenttype/forms"/>
  </ds:schemaRefs>
</ds:datastoreItem>
</file>

<file path=customXml/itemProps3.xml><?xml version="1.0" encoding="utf-8"?>
<ds:datastoreItem xmlns:ds="http://schemas.openxmlformats.org/officeDocument/2006/customXml" ds:itemID="{0CFE419D-BA99-4376-8C9A-15589256B255}">
  <ds:schemaRefs>
    <ds:schemaRef ds:uri="Microsoft.SharePoint.Taxonomy.ContentTypeSync"/>
  </ds:schemaRefs>
</ds:datastoreItem>
</file>

<file path=customXml/itemProps4.xml><?xml version="1.0" encoding="utf-8"?>
<ds:datastoreItem xmlns:ds="http://schemas.openxmlformats.org/officeDocument/2006/customXml" ds:itemID="{87A24D98-1B39-4BB4-A0C6-402B011B5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02fe02c4-dc41-46ff-9d52-90c0a1b1f611"/>
    <ds:schemaRef ds:uri="96fc5250-dc30-4f01-945b-7e46a880ee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vt:lpstr>
      <vt:lpstr>Breakdown</vt:lpstr>
      <vt:lpstr>Industry (Private) Table 1a</vt:lpstr>
      <vt:lpstr>Industry (Public) Table 1b</vt:lpstr>
      <vt:lpstr>StateLocal Burden Table 1c</vt:lpstr>
      <vt:lpstr>Federal Agency Burden 2</vt:lpstr>
      <vt:lpstr>Capital O&amp;M</vt:lpstr>
      <vt:lpstr>Respondents</vt:lpstr>
      <vt:lpstr>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Layton</dc:creator>
  <cp:keywords/>
  <dc:description/>
  <cp:lastModifiedBy>Scott, Montana</cp:lastModifiedBy>
  <cp:revision/>
  <dcterms:created xsi:type="dcterms:W3CDTF">2017-05-01T19:56:52Z</dcterms:created>
  <dcterms:modified xsi:type="dcterms:W3CDTF">2025-07-14T22:26:26Z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MediaServiceImageTags">
    <vt:lpwstr/>
  </property>
</Properties>
</file>