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epa-my.sharepoint.com/personal/johnson_amaris_epa_gov/Documents/ICR/OCSPP/2070-0187; 2475.04 Labeling Change FIFRA 25b/2475.05/"/>
    </mc:Choice>
  </mc:AlternateContent>
  <xr:revisionPtr revIDLastSave="0" documentId="8_{8C0E4801-BA17-4699-99E7-85D9487E20A1}" xr6:coauthVersionLast="47" xr6:coauthVersionMax="47" xr10:uidLastSave="{00000000-0000-0000-0000-000000000000}"/>
  <bookViews>
    <workbookView xWindow="-28920" yWindow="-765" windowWidth="29040" windowHeight="15720" activeTab="3" xr2:uid="{582D7EF6-D69F-4611-B55A-94AAFF620EB4}"/>
  </bookViews>
  <sheets>
    <sheet name="READ" sheetId="5" r:id="rId1"/>
    <sheet name="table BEAD" sheetId="1" r:id="rId2"/>
    <sheet name="table1" sheetId="4" r:id="rId3"/>
    <sheet name="table3" sheetId="6" r:id="rId4"/>
    <sheet name="table4" sheetId="7" r:id="rId5"/>
    <sheet name="table5" sheetId="8" r:id="rId6"/>
    <sheet name="Chem Manuf" sheetId="2" r:id="rId7"/>
    <sheet name="no of new products" sheetId="3" r:id="rId8"/>
  </sheets>
  <externalReferences>
    <externalReference r:id="rId9"/>
  </externalReferences>
  <definedNames>
    <definedName name="_Hlk86146470" localSheetId="3">table3!$A$1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7" i="8" l="1"/>
  <c r="I6" i="8"/>
  <c r="I5" i="8"/>
  <c r="G9" i="8"/>
  <c r="G8" i="8"/>
  <c r="G7" i="8"/>
  <c r="G6" i="8"/>
  <c r="G5" i="8"/>
  <c r="F8" i="8"/>
  <c r="F4" i="8"/>
  <c r="M10" i="1"/>
  <c r="K10" i="1"/>
  <c r="J10" i="1"/>
  <c r="I10" i="1"/>
  <c r="J11" i="1"/>
  <c r="F8" i="6"/>
  <c r="F7" i="6"/>
  <c r="F6" i="6"/>
  <c r="F5" i="6"/>
  <c r="E8" i="6"/>
  <c r="E7" i="6"/>
  <c r="E6" i="6"/>
  <c r="E5" i="6"/>
  <c r="D3" i="4" l="1"/>
  <c r="O30" i="3"/>
  <c r="B3" i="4"/>
  <c r="H22" i="3"/>
  <c r="H21" i="3"/>
  <c r="H20" i="3"/>
  <c r="J26" i="3"/>
  <c r="I23" i="3"/>
  <c r="F21" i="3"/>
  <c r="I22" i="3"/>
  <c r="I21" i="3"/>
  <c r="I20" i="3"/>
  <c r="H10" i="3"/>
  <c r="H2" i="3"/>
  <c r="I11" i="3"/>
  <c r="I14" i="3" s="1"/>
  <c r="I13" i="3"/>
  <c r="H13" i="3"/>
  <c r="I12" i="3"/>
  <c r="H12" i="3"/>
  <c r="H11" i="3"/>
  <c r="I6" i="3"/>
  <c r="I5" i="3"/>
  <c r="I4" i="3"/>
  <c r="I3" i="3"/>
  <c r="H5" i="3"/>
  <c r="H4" i="3"/>
  <c r="H3" i="3"/>
  <c r="K11" i="1" l="1"/>
  <c r="C3" i="4"/>
  <c r="J27" i="3"/>
  <c r="M9" i="1"/>
  <c r="J15" i="1"/>
  <c r="J21" i="1" s="1"/>
  <c r="J14" i="1"/>
  <c r="J20" i="1" s="1"/>
  <c r="J13" i="1"/>
  <c r="J19" i="1" s="1"/>
  <c r="J12" i="1"/>
  <c r="C5" i="2"/>
  <c r="C6" i="2" s="1"/>
  <c r="C7" i="2" s="1"/>
  <c r="J18" i="1" l="1"/>
  <c r="E3" i="4"/>
  <c r="J28" i="3"/>
  <c r="O31" i="3"/>
  <c r="J16" i="1"/>
  <c r="C9" i="2"/>
  <c r="C10" i="2" s="1"/>
  <c r="D5" i="2"/>
  <c r="D6" i="2" s="1"/>
  <c r="D7" i="2" s="1"/>
  <c r="E5" i="2"/>
  <c r="E6" i="2" s="1"/>
  <c r="E7" i="2" s="1"/>
  <c r="J22" i="1" l="1"/>
  <c r="F3" i="4"/>
  <c r="E9" i="2"/>
  <c r="E10" i="2" s="1"/>
  <c r="D9" i="2"/>
  <c r="D10" i="2" s="1"/>
  <c r="M8" i="1" l="1"/>
  <c r="D22" i="1"/>
  <c r="C12" i="1"/>
  <c r="C15" i="1"/>
  <c r="C14" i="1"/>
  <c r="C13" i="1"/>
  <c r="M7" i="1"/>
  <c r="M6" i="1"/>
  <c r="L9" i="1"/>
  <c r="L8" i="1"/>
  <c r="L7" i="1"/>
  <c r="L6" i="1"/>
  <c r="C16" i="1" l="1"/>
</calcChain>
</file>

<file path=xl/sharedStrings.xml><?xml version="1.0" encoding="utf-8"?>
<sst xmlns="http://schemas.openxmlformats.org/spreadsheetml/2006/main" count="205" uniqueCount="134">
  <si>
    <t>Collection Activities</t>
  </si>
  <si>
    <t>Burden Hours</t>
  </si>
  <si>
    <t>Total</t>
  </si>
  <si>
    <t>Mgmt. $/hr</t>
  </si>
  <si>
    <t>Tech. $/hr</t>
  </si>
  <si>
    <t>Cler. $/hr</t>
  </si>
  <si>
    <t>Hours</t>
  </si>
  <si>
    <t>Costs $</t>
  </si>
  <si>
    <t>Read Instructions</t>
  </si>
  <si>
    <t>Plan activities</t>
  </si>
  <si>
    <t>Gather/create information</t>
  </si>
  <si>
    <t>TOTAL</t>
  </si>
  <si>
    <t>Annual Burden &amp; Costs:</t>
  </si>
  <si>
    <t xml:space="preserve">5.5 hours x 87 responses/year = </t>
  </si>
  <si>
    <t>(a) Management:</t>
  </si>
  <si>
    <t xml:space="preserve">4.0 hours x $124.81 x 87 Responses = </t>
  </si>
  <si>
    <t>(b) Technical:</t>
  </si>
  <si>
    <t xml:space="preserve">1.5 hours x $67.19 x 87 Responses =   </t>
  </si>
  <si>
    <t>(c) Clerical:</t>
  </si>
  <si>
    <t xml:space="preserve">0 hours x $43.74 x 87 Responses =       </t>
  </si>
  <si>
    <t xml:space="preserve">                                                 Total =      </t>
  </si>
  <si>
    <t>Total Burden &amp; Costs:</t>
  </si>
  <si>
    <t>5.5 hours x (87 responses/year x 3 years)</t>
  </si>
  <si>
    <t xml:space="preserve">= </t>
  </si>
  <si>
    <t>1,435.5 hours</t>
  </si>
  <si>
    <t>4.0 hours x $124.81 x (87 responses/year x 3 years)</t>
  </si>
  <si>
    <t>1.5 hours x $67.19 x (87 responses/year x 3 years)</t>
  </si>
  <si>
    <t xml:space="preserve">=   </t>
  </si>
  <si>
    <t xml:space="preserve">0 hours x $43.74 x (87 responses/year x 3 years) </t>
  </si>
  <si>
    <t xml:space="preserve">=       </t>
  </si>
  <si>
    <t xml:space="preserve">                                                </t>
  </si>
  <si>
    <t>OLD</t>
  </si>
  <si>
    <t>hours/year</t>
  </si>
  <si>
    <t xml:space="preserve"> Total      </t>
  </si>
  <si>
    <t>NAICS: 3250A1</t>
  </si>
  <si>
    <t xml:space="preserve"> updated April 3, 2024</t>
  </si>
  <si>
    <t>Chemical Manufacturing (3251, 3252, 3253, and 3259 only)</t>
  </si>
  <si>
    <t>NOTE: NAICS code changed from 325100 to 3250A1 from Sept 2017 update to May 2018 update</t>
  </si>
  <si>
    <t>Labor Category:</t>
  </si>
  <si>
    <t>Formula</t>
  </si>
  <si>
    <t>Managerial</t>
  </si>
  <si>
    <t>Technical</t>
  </si>
  <si>
    <t>Clerical</t>
  </si>
  <si>
    <r>
      <t>Unloaded Hourly Rate</t>
    </r>
    <r>
      <rPr>
        <vertAlign val="superscript"/>
        <sz val="12"/>
        <rFont val="Times New Roman"/>
        <family val="1"/>
      </rPr>
      <t>1</t>
    </r>
  </si>
  <si>
    <t xml:space="preserve"> = W</t>
  </si>
  <si>
    <r>
      <t>Benefits Percentage</t>
    </r>
    <r>
      <rPr>
        <vertAlign val="superscript"/>
        <sz val="12"/>
        <rFont val="Times New Roman"/>
        <family val="1"/>
      </rPr>
      <t>2</t>
    </r>
  </si>
  <si>
    <t>Lb = B/W</t>
  </si>
  <si>
    <t>Benefits per hour</t>
  </si>
  <si>
    <t>B = W*Lb</t>
  </si>
  <si>
    <t>Loaded Hourly Rate</t>
  </si>
  <si>
    <t>Wb = W + B = W(1+Lb)</t>
  </si>
  <si>
    <r>
      <t>Overhead Percentage</t>
    </r>
    <r>
      <rPr>
        <vertAlign val="superscript"/>
        <sz val="12"/>
        <rFont val="Times New Roman"/>
        <family val="1"/>
      </rPr>
      <t>3</t>
    </r>
  </si>
  <si>
    <t>Lo = OH/Wb</t>
  </si>
  <si>
    <t>50%</t>
  </si>
  <si>
    <t>Overhead per hour</t>
  </si>
  <si>
    <t>OH = Wb*Lo</t>
  </si>
  <si>
    <t>Fully Loaded Hourly Rate</t>
  </si>
  <si>
    <t xml:space="preserve">Wf = Wb + OH
 = W + B + OH  </t>
  </si>
  <si>
    <t>1.  Data Source:  BLS</t>
  </si>
  <si>
    <t>https://www.bls.gov/oes/current/naics4_3250A1.htm</t>
  </si>
  <si>
    <t>May 2023 data</t>
  </si>
  <si>
    <t xml:space="preserve">     NAICS 3250A1 - Chemical Manufacturing (3251, 3252, 3253, and 3259 only)</t>
  </si>
  <si>
    <t>Last Modified Date: April 3, 2024</t>
  </si>
  <si>
    <t xml:space="preserve">     Standard Occupational Codes:</t>
  </si>
  <si>
    <t xml:space="preserve">       Management:   </t>
  </si>
  <si>
    <t>11-0000, Management Occupations</t>
  </si>
  <si>
    <t xml:space="preserve">       Technical:   </t>
  </si>
  <si>
    <t>19-0000, Life, Physical, and Social Science Occupations</t>
  </si>
  <si>
    <t xml:space="preserve">       Clerical:    </t>
  </si>
  <si>
    <t>43-0000, Office and Administrative Support Occupations</t>
  </si>
  <si>
    <t>2. Fringe benefits/wage per hour.  The average for non farm, non federal civilian workers.</t>
  </si>
  <si>
    <r>
      <t xml:space="preserve">3. U. S. Environmental Protection Agency, </t>
    </r>
    <r>
      <rPr>
        <i/>
        <sz val="12"/>
        <rFont val="Times New Roman"/>
        <family val="1"/>
      </rPr>
      <t>EPA Air Pollution Control Cost Manual, Sixth Edition</t>
    </r>
    <r>
      <rPr>
        <sz val="12"/>
        <rFont val="Times New Roman"/>
        <family val="1"/>
      </rPr>
      <t>, EPA-452-02-001, January 2002, pg. 2-34.  The loading for indirect costs is within the range of 20-70% of the load labor rate (wage + benefits) suggested in EPA guidance.</t>
    </r>
  </si>
  <si>
    <t>This table is updated with 2023 wages. October 2024.</t>
  </si>
  <si>
    <r>
      <t>Table 1: Estimated Burden/Cost per Label (Minimum Risk Exemption - New Product Labeling; No Registration)</t>
    </r>
    <r>
      <rPr>
        <sz val="12"/>
        <color theme="1"/>
        <rFont val="Calibri"/>
        <family val="2"/>
        <scheme val="minor"/>
      </rPr>
      <t> </t>
    </r>
  </si>
  <si>
    <t>Number of responses per year =</t>
  </si>
  <si>
    <t>hours for 3 years</t>
  </si>
  <si>
    <t xml:space="preserve">5.5 hours x number of responses/year = </t>
  </si>
  <si>
    <t xml:space="preserve">4.0 hours x $145.34 x number of responses/year = </t>
  </si>
  <si>
    <t xml:space="preserve">1.5 hours x $76.35 x number of responses/year =   </t>
  </si>
  <si>
    <t xml:space="preserve">0 hours x $49.61 x number of responses/year =       </t>
  </si>
  <si>
    <t>Total Burden &amp; Costs over 3 Years:</t>
  </si>
  <si>
    <t xml:space="preserve">3-Year Total =      </t>
  </si>
  <si>
    <t xml:space="preserve">                                                                       Annual Total =      </t>
  </si>
  <si>
    <t>Indiana</t>
  </si>
  <si>
    <t>Year</t>
  </si>
  <si>
    <t>Total Companies</t>
  </si>
  <si>
    <t>Total Registrations</t>
  </si>
  <si>
    <t>New Companies</t>
  </si>
  <si>
    <t>New Registrations</t>
  </si>
  <si>
    <t>Denied Registrations</t>
  </si>
  <si>
    <t>no data</t>
  </si>
  <si>
    <t>New Mexico</t>
  </si>
  <si>
    <t>Washington</t>
  </si>
  <si>
    <t>Total Registrations (as of mid-October)</t>
  </si>
  <si>
    <t>New Applications Received per year</t>
  </si>
  <si>
    <t>Registrations</t>
  </si>
  <si>
    <t>72 (Jan-June 2024)</t>
  </si>
  <si>
    <t>No data</t>
  </si>
  <si>
    <t>3-yr avg</t>
  </si>
  <si>
    <t>per year</t>
  </si>
  <si>
    <t>Use this number as national total.</t>
  </si>
  <si>
    <t>Use</t>
  </si>
  <si>
    <t>as total number of companies over 3 years, replacing 49 on p. 8 of the supporting statement.</t>
  </si>
  <si>
    <t>New products (new registrations) entering the market</t>
  </si>
  <si>
    <t>Many new products registered in 3 states are the same products as the companies try to sell them in as many states as possible.</t>
  </si>
  <si>
    <t xml:space="preserve">new products per company over 3 years </t>
  </si>
  <si>
    <t>responses over 3 years</t>
  </si>
  <si>
    <t>as total number of responses (new products) over 3 years, replacing 170 on p. 8 of the supporting statement.</t>
  </si>
  <si>
    <t>Information Collection</t>
  </si>
  <si>
    <t>Number of Respondents</t>
  </si>
  <si>
    <t>Annual Number of Responses</t>
  </si>
  <si>
    <t>Responses per Respondent</t>
  </si>
  <si>
    <t>Annual Time Burden (Hours)</t>
  </si>
  <si>
    <t>Annual Cost Burden (Dollars)</t>
  </si>
  <si>
    <t>Total Respondent</t>
  </si>
  <si>
    <t>X</t>
  </si>
  <si>
    <t>$X</t>
  </si>
  <si>
    <t xml:space="preserve">Total Agency </t>
  </si>
  <si>
    <t>Table 1: Summary Total Burden and Costs</t>
  </si>
  <si>
    <t>No of responses per respondent over 3 years:</t>
  </si>
  <si>
    <t>No of responses per respondent per year:</t>
  </si>
  <si>
    <r>
      <t>Table: Estimated Burden/Cost per Label (Minimum Risk Exemption - New Product Labeling; No Registration)</t>
    </r>
    <r>
      <rPr>
        <sz val="12"/>
        <color theme="1"/>
        <rFont val="Calibri"/>
        <family val="2"/>
        <scheme val="minor"/>
      </rPr>
      <t> </t>
    </r>
  </si>
  <si>
    <t>Table 3: Estimated Burden/Cost per Label (Minimum Risk Exemption - New Product Labeling; No Registration)</t>
  </si>
  <si>
    <t>Managerial $/hr</t>
  </si>
  <si>
    <t>Technical $/hr</t>
  </si>
  <si>
    <t>Clerical $/hr</t>
  </si>
  <si>
    <t>$/hr.</t>
  </si>
  <si>
    <t>Responses/year</t>
  </si>
  <si>
    <t>Hours/year</t>
  </si>
  <si>
    <t>Cost $</t>
  </si>
  <si>
    <t>Table 4: Annual Respondent Burden &amp; Costs</t>
  </si>
  <si>
    <t>Table 5: 3-Year Respondent Burden &amp; Costs</t>
  </si>
  <si>
    <t>Years</t>
  </si>
  <si>
    <t>Attachment B: Table numbers in this workbook correspond to those in the supporting statement.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</si>
</sst>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0.0%"/>
    <numFmt numFmtId="167" formatCode="_(* #,##0.0_);_(* \(#,##0.0\);_(* &quot;-&quot;??_);_(@_)"/>
    <numFmt numFmtId="168" formatCode="_(* #,##0_);_(* \(#,##0\);_(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vertAlign val="superscript"/>
      <sz val="12"/>
      <name val="Times New Roman"/>
      <family val="1"/>
    </font>
    <font>
      <b/>
      <sz val="12"/>
      <color indexed="10"/>
      <name val="Times New Roman"/>
      <family val="1"/>
      <charset val="162"/>
    </font>
    <font>
      <i/>
      <sz val="12"/>
      <name val="Times New Roman"/>
      <family val="1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Aptos"/>
      <family val="2"/>
    </font>
    <font>
      <sz val="11"/>
      <color theme="1"/>
      <name val="Aptos"/>
      <family val="2"/>
    </font>
    <font>
      <strike/>
      <sz val="11"/>
      <color rgb="FF000000"/>
      <name val="Aptos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ptos"/>
      <family val="2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7E6E6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" borderId="11" applyNumberFormat="0" applyFont="0" applyAlignment="0" applyProtection="0"/>
    <xf numFmtId="0" fontId="2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54">
    <xf numFmtId="0" fontId="0" fillId="0" borderId="0" xfId="0"/>
    <xf numFmtId="0" fontId="3" fillId="0" borderId="0" xfId="0" applyFont="1"/>
    <xf numFmtId="0" fontId="4" fillId="3" borderId="11" xfId="4" applyFont="1"/>
    <xf numFmtId="0" fontId="0" fillId="3" borderId="11" xfId="4" applyFont="1"/>
    <xf numFmtId="0" fontId="5" fillId="0" borderId="1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vertical="top" wrapText="1"/>
    </xf>
    <xf numFmtId="0" fontId="5" fillId="0" borderId="16" xfId="0" quotePrefix="1" applyFont="1" applyBorder="1" applyAlignment="1">
      <alignment vertical="top" wrapText="1"/>
    </xf>
    <xf numFmtId="8" fontId="5" fillId="4" borderId="17" xfId="0" applyNumberFormat="1" applyFont="1" applyFill="1" applyBorder="1" applyAlignment="1">
      <alignment horizontal="center" vertical="top" wrapText="1"/>
    </xf>
    <xf numFmtId="8" fontId="5" fillId="4" borderId="18" xfId="0" applyNumberFormat="1" applyFont="1" applyFill="1" applyBorder="1" applyAlignment="1">
      <alignment horizontal="center" vertical="top" wrapText="1"/>
    </xf>
    <xf numFmtId="0" fontId="5" fillId="0" borderId="19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166" fontId="5" fillId="0" borderId="21" xfId="0" applyNumberFormat="1" applyFont="1" applyBorder="1" applyAlignment="1">
      <alignment horizontal="center" vertical="top" wrapText="1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7" fontId="5" fillId="0" borderId="24" xfId="6" applyNumberFormat="1" applyFont="1" applyBorder="1" applyAlignment="1">
      <alignment horizontal="center" vertical="top" wrapText="1"/>
    </xf>
    <xf numFmtId="7" fontId="5" fillId="0" borderId="25" xfId="6" applyNumberFormat="1" applyFont="1" applyBorder="1" applyAlignment="1">
      <alignment horizontal="center" vertical="top" wrapText="1"/>
    </xf>
    <xf numFmtId="0" fontId="5" fillId="0" borderId="26" xfId="0" applyFont="1" applyBorder="1" applyAlignment="1">
      <alignment vertical="top" wrapText="1"/>
    </xf>
    <xf numFmtId="0" fontId="5" fillId="0" borderId="27" xfId="0" applyFont="1" applyBorder="1" applyAlignment="1">
      <alignment vertical="top" wrapText="1"/>
    </xf>
    <xf numFmtId="7" fontId="5" fillId="0" borderId="28" xfId="0" applyNumberFormat="1" applyFont="1" applyBorder="1" applyAlignment="1">
      <alignment horizontal="center" vertical="top" wrapText="1"/>
    </xf>
    <xf numFmtId="7" fontId="5" fillId="0" borderId="29" xfId="0" applyNumberFormat="1" applyFont="1" applyBorder="1" applyAlignment="1">
      <alignment horizontal="center" vertical="top" wrapText="1"/>
    </xf>
    <xf numFmtId="0" fontId="5" fillId="0" borderId="30" xfId="0" applyFont="1" applyBorder="1" applyAlignment="1">
      <alignment vertical="top" wrapText="1"/>
    </xf>
    <xf numFmtId="0" fontId="5" fillId="0" borderId="31" xfId="0" applyFont="1" applyBorder="1" applyAlignment="1">
      <alignment horizontal="center" vertical="top" wrapText="1"/>
    </xf>
    <xf numFmtId="0" fontId="5" fillId="0" borderId="32" xfId="0" applyFont="1" applyBorder="1" applyAlignment="1">
      <alignment horizontal="center" vertical="top" wrapText="1"/>
    </xf>
    <xf numFmtId="0" fontId="5" fillId="0" borderId="33" xfId="0" applyFont="1" applyBorder="1" applyAlignment="1">
      <alignment vertical="top" wrapText="1"/>
    </xf>
    <xf numFmtId="8" fontId="5" fillId="0" borderId="0" xfId="0" applyNumberFormat="1" applyFont="1" applyAlignment="1">
      <alignment horizontal="center" vertical="top" wrapText="1"/>
    </xf>
    <xf numFmtId="0" fontId="5" fillId="0" borderId="0" xfId="0" applyFont="1"/>
    <xf numFmtId="0" fontId="2" fillId="0" borderId="0" xfId="5" applyAlignment="1" applyProtection="1"/>
    <xf numFmtId="0" fontId="7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10" fontId="5" fillId="0" borderId="0" xfId="3" applyNumberFormat="1" applyFont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8" fontId="11" fillId="0" borderId="7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right" vertical="center" wrapText="1"/>
    </xf>
    <xf numFmtId="165" fontId="10" fillId="0" borderId="7" xfId="0" applyNumberFormat="1" applyFont="1" applyBorder="1" applyAlignment="1">
      <alignment horizontal="center" vertical="center" wrapText="1"/>
    </xf>
    <xf numFmtId="1" fontId="10" fillId="0" borderId="7" xfId="0" applyNumberFormat="1" applyFont="1" applyBorder="1" applyAlignment="1">
      <alignment horizontal="center" vertical="center" wrapText="1"/>
    </xf>
    <xf numFmtId="165" fontId="10" fillId="0" borderId="7" xfId="0" applyNumberFormat="1" applyFont="1" applyBorder="1" applyAlignment="1">
      <alignment horizontal="right" vertical="center" wrapText="1"/>
    </xf>
    <xf numFmtId="8" fontId="10" fillId="0" borderId="7" xfId="0" applyNumberFormat="1" applyFont="1" applyBorder="1" applyAlignment="1">
      <alignment horizontal="right" vertical="center" wrapText="1"/>
    </xf>
    <xf numFmtId="0" fontId="9" fillId="0" borderId="8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center" wrapText="1"/>
    </xf>
    <xf numFmtId="8" fontId="10" fillId="0" borderId="0" xfId="0" applyNumberFormat="1" applyFont="1" applyBorder="1" applyAlignment="1">
      <alignment horizontal="right" vertical="center" wrapText="1"/>
    </xf>
    <xf numFmtId="0" fontId="10" fillId="0" borderId="0" xfId="0" applyFont="1" applyAlignment="1">
      <alignment vertical="center"/>
    </xf>
    <xf numFmtId="165" fontId="10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 indent="2"/>
    </xf>
    <xf numFmtId="8" fontId="10" fillId="0" borderId="0" xfId="0" applyNumberFormat="1" applyFont="1" applyAlignment="1">
      <alignment vertical="center"/>
    </xf>
    <xf numFmtId="6" fontId="12" fillId="0" borderId="0" xfId="0" applyNumberFormat="1" applyFont="1" applyAlignment="1">
      <alignment horizontal="right" vertical="center" indent="2"/>
    </xf>
    <xf numFmtId="8" fontId="10" fillId="0" borderId="0" xfId="0" applyNumberFormat="1" applyFont="1" applyAlignment="1">
      <alignment horizontal="left" vertical="center" indent="2"/>
    </xf>
    <xf numFmtId="8" fontId="10" fillId="2" borderId="0" xfId="0" applyNumberFormat="1" applyFont="1" applyFill="1" applyAlignment="1">
      <alignment vertical="center"/>
    </xf>
    <xf numFmtId="164" fontId="10" fillId="0" borderId="0" xfId="0" applyNumberFormat="1" applyFont="1" applyAlignment="1">
      <alignment vertical="center"/>
    </xf>
    <xf numFmtId="6" fontId="12" fillId="0" borderId="0" xfId="0" applyNumberFormat="1" applyFont="1" applyAlignment="1">
      <alignment horizontal="left" vertical="center" indent="2"/>
    </xf>
    <xf numFmtId="0" fontId="10" fillId="0" borderId="0" xfId="0" applyFont="1" applyAlignment="1">
      <alignment horizontal="right" vertical="center" indent="2"/>
    </xf>
    <xf numFmtId="0" fontId="13" fillId="0" borderId="0" xfId="0" applyFont="1"/>
    <xf numFmtId="0" fontId="11" fillId="0" borderId="0" xfId="0" applyFont="1"/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8" fontId="11" fillId="0" borderId="0" xfId="0" applyNumberFormat="1" applyFont="1" applyAlignment="1">
      <alignment horizontal="right"/>
    </xf>
    <xf numFmtId="44" fontId="11" fillId="0" borderId="0" xfId="1" applyFont="1"/>
    <xf numFmtId="8" fontId="11" fillId="0" borderId="0" xfId="0" applyNumberFormat="1" applyFont="1"/>
    <xf numFmtId="0" fontId="11" fillId="0" borderId="0" xfId="0" applyFont="1" applyAlignment="1"/>
    <xf numFmtId="6" fontId="10" fillId="0" borderId="0" xfId="0" applyNumberFormat="1" applyFont="1" applyAlignment="1">
      <alignment vertical="center"/>
    </xf>
    <xf numFmtId="167" fontId="11" fillId="0" borderId="0" xfId="2" applyNumberFormat="1" applyFont="1"/>
    <xf numFmtId="168" fontId="11" fillId="0" borderId="0" xfId="2" applyNumberFormat="1" applyFont="1"/>
    <xf numFmtId="43" fontId="11" fillId="0" borderId="0" xfId="2" applyNumberFormat="1" applyFont="1"/>
    <xf numFmtId="0" fontId="14" fillId="0" borderId="0" xfId="0" applyFont="1"/>
    <xf numFmtId="43" fontId="14" fillId="0" borderId="0" xfId="2" applyFont="1"/>
    <xf numFmtId="43" fontId="14" fillId="0" borderId="0" xfId="0" applyNumberFormat="1" applyFont="1" applyAlignment="1">
      <alignment horizontal="left" vertical="center" indent="2"/>
    </xf>
    <xf numFmtId="4" fontId="10" fillId="0" borderId="0" xfId="0" applyNumberFormat="1" applyFont="1" applyAlignment="1">
      <alignment vertical="center"/>
    </xf>
    <xf numFmtId="165" fontId="14" fillId="0" borderId="0" xfId="0" applyNumberFormat="1" applyFont="1"/>
    <xf numFmtId="0" fontId="10" fillId="5" borderId="15" xfId="0" applyFont="1" applyFill="1" applyBorder="1" applyAlignment="1">
      <alignment vertical="center"/>
    </xf>
    <xf numFmtId="4" fontId="10" fillId="2" borderId="0" xfId="0" applyNumberFormat="1" applyFont="1" applyFill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5" fillId="0" borderId="34" xfId="0" applyFont="1" applyBorder="1" applyAlignment="1">
      <alignment vertical="center" wrapText="1"/>
    </xf>
    <xf numFmtId="0" fontId="15" fillId="0" borderId="8" xfId="0" applyFont="1" applyBorder="1" applyAlignment="1">
      <alignment horizontal="right" vertical="center" wrapText="1"/>
    </xf>
    <xf numFmtId="0" fontId="15" fillId="0" borderId="7" xfId="0" applyFont="1" applyBorder="1" applyAlignment="1">
      <alignment horizontal="right" vertical="center" wrapText="1"/>
    </xf>
    <xf numFmtId="0" fontId="15" fillId="0" borderId="7" xfId="0" applyFont="1" applyBorder="1" applyAlignment="1">
      <alignment vertical="center" wrapText="1"/>
    </xf>
    <xf numFmtId="0" fontId="16" fillId="0" borderId="0" xfId="0" applyFont="1" applyAlignment="1">
      <alignment vertical="center"/>
    </xf>
    <xf numFmtId="0" fontId="15" fillId="2" borderId="34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horizontal="right" vertical="center" wrapText="1"/>
    </xf>
    <xf numFmtId="1" fontId="0" fillId="0" borderId="0" xfId="0" applyNumberFormat="1"/>
    <xf numFmtId="0" fontId="0" fillId="0" borderId="0" xfId="0" applyAlignment="1">
      <alignment horizontal="right"/>
    </xf>
    <xf numFmtId="0" fontId="15" fillId="2" borderId="15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horizontal="right" vertical="center" wrapText="1"/>
    </xf>
    <xf numFmtId="0" fontId="15" fillId="0" borderId="7" xfId="0" applyFont="1" applyFill="1" applyBorder="1" applyAlignment="1">
      <alignment horizontal="right" vertical="center" wrapText="1"/>
    </xf>
    <xf numFmtId="0" fontId="15" fillId="2" borderId="35" xfId="0" applyFont="1" applyFill="1" applyBorder="1" applyAlignment="1">
      <alignment vertical="center" wrapText="1"/>
    </xf>
    <xf numFmtId="0" fontId="17" fillId="2" borderId="7" xfId="0" applyFont="1" applyFill="1" applyBorder="1" applyAlignment="1">
      <alignment vertical="center" wrapText="1"/>
    </xf>
    <xf numFmtId="165" fontId="0" fillId="0" borderId="0" xfId="0" applyNumberFormat="1"/>
    <xf numFmtId="1" fontId="10" fillId="5" borderId="15" xfId="0" applyNumberFormat="1" applyFont="1" applyFill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 applyAlignment="1"/>
    <xf numFmtId="0" fontId="21" fillId="0" borderId="0" xfId="0" applyFont="1" applyAlignment="1">
      <alignment vertical="center"/>
    </xf>
    <xf numFmtId="0" fontId="19" fillId="0" borderId="15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0" fontId="19" fillId="0" borderId="8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22" fillId="0" borderId="0" xfId="0" applyFont="1"/>
    <xf numFmtId="1" fontId="0" fillId="0" borderId="7" xfId="0" applyNumberFormat="1" applyBorder="1" applyAlignment="1">
      <alignment horizontal="center" vertical="center" wrapText="1"/>
    </xf>
    <xf numFmtId="165" fontId="0" fillId="0" borderId="7" xfId="0" applyNumberFormat="1" applyBorder="1" applyAlignment="1">
      <alignment horizontal="center" vertical="center" wrapText="1"/>
    </xf>
    <xf numFmtId="8" fontId="0" fillId="0" borderId="7" xfId="0" applyNumberForma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11" fillId="0" borderId="24" xfId="0" applyFont="1" applyBorder="1" applyAlignment="1">
      <alignment vertical="center" wrapText="1"/>
    </xf>
    <xf numFmtId="8" fontId="11" fillId="0" borderId="24" xfId="0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vertical="center"/>
    </xf>
    <xf numFmtId="165" fontId="10" fillId="0" borderId="24" xfId="0" applyNumberFormat="1" applyFont="1" applyBorder="1" applyAlignment="1">
      <alignment horizontal="center" vertical="center" wrapText="1"/>
    </xf>
    <xf numFmtId="1" fontId="10" fillId="0" borderId="24" xfId="0" applyNumberFormat="1" applyFont="1" applyBorder="1" applyAlignment="1">
      <alignment horizontal="center" vertical="center" wrapText="1"/>
    </xf>
    <xf numFmtId="165" fontId="10" fillId="0" borderId="24" xfId="0" applyNumberFormat="1" applyFont="1" applyBorder="1" applyAlignment="1">
      <alignment horizontal="right" vertical="center" wrapText="1"/>
    </xf>
    <xf numFmtId="8" fontId="10" fillId="0" borderId="24" xfId="0" applyNumberFormat="1" applyFont="1" applyBorder="1" applyAlignment="1">
      <alignment horizontal="right" vertical="center" wrapText="1"/>
    </xf>
    <xf numFmtId="0" fontId="10" fillId="0" borderId="24" xfId="0" applyFont="1" applyBorder="1" applyAlignment="1">
      <alignment horizontal="right" vertical="center" wrapText="1"/>
    </xf>
    <xf numFmtId="0" fontId="9" fillId="0" borderId="24" xfId="0" applyFont="1" applyBorder="1" applyAlignment="1">
      <alignment vertical="center" wrapText="1"/>
    </xf>
    <xf numFmtId="8" fontId="10" fillId="0" borderId="0" xfId="0" applyNumberFormat="1" applyFont="1" applyBorder="1" applyAlignment="1">
      <alignment horizontal="center" vertical="center" wrapText="1"/>
    </xf>
    <xf numFmtId="0" fontId="23" fillId="0" borderId="15" xfId="0" applyFont="1" applyBorder="1" applyAlignment="1">
      <alignment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vertical="center" wrapText="1"/>
    </xf>
    <xf numFmtId="8" fontId="0" fillId="0" borderId="0" xfId="0" applyNumberFormat="1"/>
    <xf numFmtId="8" fontId="23" fillId="0" borderId="7" xfId="0" applyNumberFormat="1" applyFont="1" applyBorder="1" applyAlignment="1">
      <alignment horizontal="center" vertical="center" wrapText="1"/>
    </xf>
    <xf numFmtId="6" fontId="23" fillId="0" borderId="7" xfId="0" applyNumberFormat="1" applyFont="1" applyBorder="1" applyAlignment="1">
      <alignment horizontal="center" vertical="center" wrapText="1"/>
    </xf>
    <xf numFmtId="0" fontId="24" fillId="0" borderId="8" xfId="0" applyFont="1" applyBorder="1" applyAlignment="1">
      <alignment vertical="center" wrapText="1"/>
    </xf>
    <xf numFmtId="0" fontId="25" fillId="0" borderId="0" xfId="0" applyFont="1" applyAlignment="1">
      <alignment vertical="center"/>
    </xf>
    <xf numFmtId="1" fontId="23" fillId="0" borderId="7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4" xfId="0" applyFont="1" applyBorder="1" applyAlignment="1">
      <alignment vertical="center" wrapText="1"/>
    </xf>
    <xf numFmtId="0" fontId="9" fillId="0" borderId="24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23" fillId="0" borderId="8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15" fillId="2" borderId="1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</cellXfs>
  <cellStyles count="7">
    <cellStyle name="Comma" xfId="2" builtinId="3"/>
    <cellStyle name="Currency" xfId="1" builtinId="4"/>
    <cellStyle name="Currency_ICR Wage Rates_Abt_JFedits" xfId="6" xr:uid="{55C13154-5013-4064-A0D2-95AF2AB8A9CA}"/>
    <cellStyle name="Hyperlink" xfId="5" builtinId="8"/>
    <cellStyle name="Normal" xfId="0" builtinId="0"/>
    <cellStyle name="Note" xfId="4" builtinId="1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sepa.sharepoint.com/sites/OCSPP/OPP/BEAD/Collaborate/Shared%20Documents/ICRs/_Wage%20Tables/ICRwageTables%20by%20NAICS-May%202023%20data%20-%20updated%20April%202024.xlsx" TargetMode="External"/><Relationship Id="rId1" Type="http://schemas.openxmlformats.org/officeDocument/2006/relationships/externalLinkPath" Target="https://usepa.sharepoint.com/sites/OCSPP/OPP/BEAD/Collaborate/Shared%20Documents/ICRs/_Wage%20Tables/ICRwageTables%20by%20NAICS-May%202023%20data%20-%20updated%20April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ir"/>
      <sheetName val="Tabs"/>
      <sheetName val="Rules"/>
      <sheetName val="NAICS"/>
      <sheetName val="Template"/>
      <sheetName val="Fringe"/>
      <sheetName val="Ag"/>
      <sheetName val="Ag Spt"/>
      <sheetName val="Contractors"/>
      <sheetName val="Chem Manuf"/>
      <sheetName val="Registrant"/>
      <sheetName val="Food Manuf"/>
      <sheetName val="Wholesale"/>
      <sheetName val="Retail Supply"/>
      <sheetName val="Retail Stores"/>
      <sheetName val="R&amp;D"/>
      <sheetName val="Bldg Services"/>
      <sheetName val="PCO"/>
      <sheetName val="Colleges"/>
      <sheetName val="IR4  Consulting"/>
      <sheetName val="Gov"/>
      <sheetName val="EPA"/>
      <sheetName val="State Gov"/>
      <sheetName val="Local Gov"/>
      <sheetName val="Summary"/>
      <sheetName val="CAplr data"/>
      <sheetName val="database"/>
    </sheetNames>
    <sheetDataSet>
      <sheetData sheetId="0"/>
      <sheetData sheetId="1"/>
      <sheetData sheetId="2"/>
      <sheetData sheetId="3"/>
      <sheetData sheetId="4"/>
      <sheetData sheetId="5">
        <row r="8">
          <cell r="B8">
            <v>0.451581975071908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ls.gov/oes/current/naics4_3250A1.htm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824C7-9230-4A99-851F-620714C10789}">
  <dimension ref="A1"/>
  <sheetViews>
    <sheetView workbookViewId="0"/>
  </sheetViews>
  <sheetFormatPr defaultRowHeight="14.5" x14ac:dyDescent="0.35"/>
  <sheetData>
    <row r="1" spans="1:1" ht="21" x14ac:dyDescent="0.5">
      <c r="A1" s="107" t="s">
        <v>133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0C084-399D-4CBA-A762-8B35FC2D039A}">
  <dimension ref="A1:M22"/>
  <sheetViews>
    <sheetView topLeftCell="H1" workbookViewId="0">
      <selection activeCell="M11" sqref="M11"/>
    </sheetView>
  </sheetViews>
  <sheetFormatPr defaultRowHeight="15.5" x14ac:dyDescent="0.35"/>
  <cols>
    <col min="1" max="1" width="23.81640625" style="62" hidden="1" customWidth="1"/>
    <col min="2" max="2" width="38.54296875" style="62" hidden="1" customWidth="1"/>
    <col min="3" max="3" width="14.1796875" style="62" hidden="1" customWidth="1"/>
    <col min="4" max="5" width="15.26953125" style="62" hidden="1" customWidth="1"/>
    <col min="6" max="7" width="0" style="62" hidden="1" customWidth="1"/>
    <col min="8" max="8" width="23.81640625" style="62" bestFit="1" customWidth="1"/>
    <col min="9" max="9" width="49.6328125" style="62" customWidth="1"/>
    <col min="10" max="12" width="15.26953125" style="62" bestFit="1" customWidth="1"/>
    <col min="13" max="13" width="12.1796875" style="62" bestFit="1" customWidth="1"/>
    <col min="14" max="16384" width="8.7265625" style="62"/>
  </cols>
  <sheetData>
    <row r="1" spans="1:13" x14ac:dyDescent="0.35">
      <c r="A1" s="61" t="s">
        <v>31</v>
      </c>
      <c r="H1" s="61" t="s">
        <v>72</v>
      </c>
    </row>
    <row r="2" spans="1:13" ht="16" thickBot="1" x14ac:dyDescent="0.4">
      <c r="A2" s="35" t="s">
        <v>73</v>
      </c>
      <c r="H2" s="35" t="s">
        <v>121</v>
      </c>
    </row>
    <row r="3" spans="1:13" ht="44" customHeight="1" thickBot="1" x14ac:dyDescent="0.4">
      <c r="A3" s="137" t="s">
        <v>0</v>
      </c>
      <c r="B3" s="139" t="s">
        <v>1</v>
      </c>
      <c r="C3" s="140"/>
      <c r="D3" s="136"/>
      <c r="E3" s="135" t="s">
        <v>2</v>
      </c>
      <c r="F3" s="136"/>
      <c r="H3" s="137" t="s">
        <v>0</v>
      </c>
      <c r="I3" s="139" t="s">
        <v>1</v>
      </c>
      <c r="J3" s="140"/>
      <c r="K3" s="136"/>
      <c r="L3" s="135" t="s">
        <v>2</v>
      </c>
      <c r="M3" s="136"/>
    </row>
    <row r="4" spans="1:13" ht="16" thickBot="1" x14ac:dyDescent="0.4">
      <c r="A4" s="138"/>
      <c r="B4" s="36" t="s">
        <v>3</v>
      </c>
      <c r="C4" s="36" t="s">
        <v>4</v>
      </c>
      <c r="D4" s="36" t="s">
        <v>5</v>
      </c>
      <c r="E4" s="37" t="s">
        <v>6</v>
      </c>
      <c r="F4" s="37" t="s">
        <v>7</v>
      </c>
      <c r="H4" s="138"/>
      <c r="I4" s="36" t="s">
        <v>3</v>
      </c>
      <c r="J4" s="36" t="s">
        <v>4</v>
      </c>
      <c r="K4" s="36" t="s">
        <v>5</v>
      </c>
      <c r="L4" s="37" t="s">
        <v>6</v>
      </c>
      <c r="M4" s="37" t="s">
        <v>7</v>
      </c>
    </row>
    <row r="5" spans="1:13" ht="16" thickBot="1" x14ac:dyDescent="0.4">
      <c r="A5" s="63"/>
      <c r="B5" s="38">
        <v>124.81</v>
      </c>
      <c r="C5" s="38">
        <v>67.19</v>
      </c>
      <c r="D5" s="38">
        <v>43.74</v>
      </c>
      <c r="E5" s="64"/>
      <c r="F5" s="64"/>
      <c r="H5" s="63"/>
      <c r="I5" s="38">
        <v>166.18</v>
      </c>
      <c r="J5" s="38">
        <v>90.32</v>
      </c>
      <c r="K5" s="38">
        <v>61.31</v>
      </c>
      <c r="L5" s="64"/>
      <c r="M5" s="64"/>
    </row>
    <row r="6" spans="1:13" ht="16" thickBot="1" x14ac:dyDescent="0.4">
      <c r="A6" s="39" t="s">
        <v>8</v>
      </c>
      <c r="B6" s="40">
        <v>3.5</v>
      </c>
      <c r="C6" s="40">
        <v>0</v>
      </c>
      <c r="D6" s="40">
        <v>0</v>
      </c>
      <c r="E6" s="41">
        <v>3.5</v>
      </c>
      <c r="F6" s="41">
        <v>436.84</v>
      </c>
      <c r="H6" s="39" t="s">
        <v>8</v>
      </c>
      <c r="I6" s="42">
        <v>3.5</v>
      </c>
      <c r="J6" s="43">
        <v>0</v>
      </c>
      <c r="K6" s="43">
        <v>0</v>
      </c>
      <c r="L6" s="44">
        <f>SUM(I6:K6)</f>
        <v>3.5</v>
      </c>
      <c r="M6" s="45">
        <f>$I$5*I6+$J$5*J6+$K$5*K6</f>
        <v>581.63</v>
      </c>
    </row>
    <row r="7" spans="1:13" ht="16" thickBot="1" x14ac:dyDescent="0.4">
      <c r="A7" s="39" t="s">
        <v>9</v>
      </c>
      <c r="B7" s="40">
        <v>0.5</v>
      </c>
      <c r="C7" s="40">
        <v>0</v>
      </c>
      <c r="D7" s="40">
        <v>0</v>
      </c>
      <c r="E7" s="41">
        <v>0.5</v>
      </c>
      <c r="F7" s="41">
        <v>62.41</v>
      </c>
      <c r="H7" s="39" t="s">
        <v>9</v>
      </c>
      <c r="I7" s="42">
        <v>0.5</v>
      </c>
      <c r="J7" s="40">
        <v>0</v>
      </c>
      <c r="K7" s="40">
        <v>0</v>
      </c>
      <c r="L7" s="44">
        <f t="shared" ref="L7:L9" si="0">SUM(I7:K7)</f>
        <v>0.5</v>
      </c>
      <c r="M7" s="45">
        <f t="shared" ref="M7:M9" si="1">$I$5*I7+$J$5*J7+$K$5*K7</f>
        <v>83.09</v>
      </c>
    </row>
    <row r="8" spans="1:13" ht="16" thickBot="1" x14ac:dyDescent="0.4">
      <c r="A8" s="39" t="s">
        <v>10</v>
      </c>
      <c r="B8" s="40">
        <v>0</v>
      </c>
      <c r="C8" s="40">
        <v>1.5</v>
      </c>
      <c r="D8" s="40">
        <v>0</v>
      </c>
      <c r="E8" s="41">
        <v>1.5</v>
      </c>
      <c r="F8" s="41">
        <v>100.79</v>
      </c>
      <c r="H8" s="39" t="s">
        <v>10</v>
      </c>
      <c r="I8" s="40">
        <v>0</v>
      </c>
      <c r="J8" s="42">
        <v>1.5</v>
      </c>
      <c r="K8" s="40">
        <v>0</v>
      </c>
      <c r="L8" s="41">
        <f t="shared" si="0"/>
        <v>1.5</v>
      </c>
      <c r="M8" s="45">
        <f>$I$5*I8+$J$5*J8+$K$5*K8</f>
        <v>135.47999999999999</v>
      </c>
    </row>
    <row r="9" spans="1:13" ht="16" thickBot="1" x14ac:dyDescent="0.4">
      <c r="A9" s="46" t="s">
        <v>11</v>
      </c>
      <c r="B9" s="40">
        <v>4</v>
      </c>
      <c r="C9" s="40">
        <v>1.5</v>
      </c>
      <c r="D9" s="40">
        <v>0</v>
      </c>
      <c r="E9" s="41">
        <v>5.5</v>
      </c>
      <c r="F9" s="41">
        <v>600.03</v>
      </c>
      <c r="H9" s="46" t="s">
        <v>11</v>
      </c>
      <c r="I9" s="40">
        <v>4</v>
      </c>
      <c r="J9" s="40">
        <v>1.5</v>
      </c>
      <c r="K9" s="40">
        <v>0</v>
      </c>
      <c r="L9" s="41">
        <f t="shared" si="0"/>
        <v>5.5</v>
      </c>
      <c r="M9" s="45">
        <f t="shared" si="1"/>
        <v>800.2</v>
      </c>
    </row>
    <row r="10" spans="1:13" ht="16" thickBot="1" x14ac:dyDescent="0.4">
      <c r="A10" s="47"/>
      <c r="B10" s="48"/>
      <c r="C10" s="48"/>
      <c r="D10" s="48"/>
      <c r="E10" s="49"/>
      <c r="F10" s="49"/>
      <c r="H10" s="47"/>
      <c r="I10" s="122">
        <f>I5*I9*$J$11</f>
        <v>90845.066666666666</v>
      </c>
      <c r="J10" s="122">
        <f t="shared" ref="J10:K10" si="2">J5*J9*$J$11</f>
        <v>18515.599999999999</v>
      </c>
      <c r="K10" s="122">
        <f t="shared" si="2"/>
        <v>0</v>
      </c>
      <c r="L10" s="49"/>
      <c r="M10" s="50">
        <f>SUM(I10:K10)</f>
        <v>109360.66666666666</v>
      </c>
    </row>
    <row r="11" spans="1:13" ht="16" thickBot="1" x14ac:dyDescent="0.4">
      <c r="H11" s="51" t="s">
        <v>12</v>
      </c>
      <c r="I11" s="62" t="s">
        <v>74</v>
      </c>
      <c r="J11" s="96">
        <f>'no of new products'!I23</f>
        <v>136.66666666666666</v>
      </c>
      <c r="K11" s="62">
        <f>J11*I18</f>
        <v>410</v>
      </c>
      <c r="L11" s="71" t="s">
        <v>106</v>
      </c>
    </row>
    <row r="12" spans="1:13" x14ac:dyDescent="0.35">
      <c r="A12" s="51" t="s">
        <v>12</v>
      </c>
      <c r="B12" s="51" t="s">
        <v>13</v>
      </c>
      <c r="C12" s="51">
        <f>E9*87</f>
        <v>478.5</v>
      </c>
      <c r="D12" s="51" t="s">
        <v>32</v>
      </c>
      <c r="I12" s="51" t="s">
        <v>76</v>
      </c>
      <c r="J12" s="52">
        <f>L9*J11</f>
        <v>751.66666666666663</v>
      </c>
      <c r="K12" s="51" t="s">
        <v>32</v>
      </c>
      <c r="L12" s="70"/>
    </row>
    <row r="13" spans="1:13" x14ac:dyDescent="0.35">
      <c r="A13" s="53" t="s">
        <v>14</v>
      </c>
      <c r="B13" s="53" t="s">
        <v>15</v>
      </c>
      <c r="C13" s="65">
        <f>B9*B5*87</f>
        <v>43433.88</v>
      </c>
      <c r="E13" s="66"/>
      <c r="F13" s="67"/>
      <c r="H13" s="53" t="s">
        <v>14</v>
      </c>
      <c r="I13" s="53" t="s">
        <v>77</v>
      </c>
      <c r="J13" s="54">
        <f>I9*I5*J11</f>
        <v>90845.066666666666</v>
      </c>
      <c r="L13" s="72"/>
    </row>
    <row r="14" spans="1:13" x14ac:dyDescent="0.35">
      <c r="A14" s="53" t="s">
        <v>16</v>
      </c>
      <c r="B14" s="53" t="s">
        <v>17</v>
      </c>
      <c r="C14" s="65">
        <f>C9*C5*87</f>
        <v>8768.2950000000001</v>
      </c>
      <c r="E14" s="66"/>
      <c r="H14" s="53" t="s">
        <v>16</v>
      </c>
      <c r="I14" s="53" t="s">
        <v>78</v>
      </c>
      <c r="J14" s="54">
        <f>J9*J5*J11</f>
        <v>18515.599999999999</v>
      </c>
      <c r="L14" s="72"/>
    </row>
    <row r="15" spans="1:13" x14ac:dyDescent="0.35">
      <c r="A15" s="53" t="s">
        <v>18</v>
      </c>
      <c r="B15" s="53" t="s">
        <v>19</v>
      </c>
      <c r="C15" s="55">
        <f>D9*D5</f>
        <v>0</v>
      </c>
      <c r="H15" s="53" t="s">
        <v>18</v>
      </c>
      <c r="I15" s="53" t="s">
        <v>79</v>
      </c>
      <c r="J15" s="69">
        <f>K9*K5*J11</f>
        <v>0</v>
      </c>
      <c r="L15" s="72"/>
    </row>
    <row r="16" spans="1:13" x14ac:dyDescent="0.35">
      <c r="B16" s="53" t="s">
        <v>20</v>
      </c>
      <c r="C16" s="56">
        <f>SUM(C13:C15)</f>
        <v>52202.174999999996</v>
      </c>
      <c r="I16" s="53" t="s">
        <v>82</v>
      </c>
      <c r="J16" s="57">
        <f>SUM(J13:J15)</f>
        <v>109360.66666666666</v>
      </c>
      <c r="L16" s="72"/>
    </row>
    <row r="17" spans="1:12" ht="16" thickBot="1" x14ac:dyDescent="0.4">
      <c r="J17" s="68"/>
    </row>
    <row r="18" spans="1:12" ht="31.5" thickBot="1" x14ac:dyDescent="0.4">
      <c r="A18" s="51" t="s">
        <v>21</v>
      </c>
      <c r="B18" s="51" t="s">
        <v>22</v>
      </c>
      <c r="C18" s="51" t="s">
        <v>23</v>
      </c>
      <c r="D18" s="51" t="s">
        <v>24</v>
      </c>
      <c r="H18" s="80" t="s">
        <v>80</v>
      </c>
      <c r="I18" s="78">
        <v>3</v>
      </c>
      <c r="J18" s="58">
        <f>J12*$I$18</f>
        <v>2255</v>
      </c>
      <c r="K18" s="51" t="s">
        <v>75</v>
      </c>
      <c r="L18" s="77"/>
    </row>
    <row r="19" spans="1:12" x14ac:dyDescent="0.35">
      <c r="A19" s="53" t="s">
        <v>14</v>
      </c>
      <c r="B19" s="53" t="s">
        <v>25</v>
      </c>
      <c r="C19" s="53" t="s">
        <v>23</v>
      </c>
      <c r="D19" s="56">
        <v>130301.64</v>
      </c>
      <c r="H19" s="53" t="s">
        <v>14</v>
      </c>
      <c r="I19" s="53"/>
      <c r="J19" s="76">
        <f>J13*$I$18</f>
        <v>272535.2</v>
      </c>
      <c r="K19" s="56"/>
      <c r="L19" s="74"/>
    </row>
    <row r="20" spans="1:12" x14ac:dyDescent="0.35">
      <c r="A20" s="53" t="s">
        <v>16</v>
      </c>
      <c r="B20" s="53" t="s">
        <v>26</v>
      </c>
      <c r="C20" s="53" t="s">
        <v>27</v>
      </c>
      <c r="D20" s="56">
        <v>26304.89</v>
      </c>
      <c r="H20" s="53" t="s">
        <v>16</v>
      </c>
      <c r="I20" s="53"/>
      <c r="J20" s="76">
        <f>J14*$I$18</f>
        <v>55546.799999999996</v>
      </c>
      <c r="K20" s="56"/>
      <c r="L20" s="74"/>
    </row>
    <row r="21" spans="1:12" x14ac:dyDescent="0.35">
      <c r="A21" s="53" t="s">
        <v>18</v>
      </c>
      <c r="B21" s="53" t="s">
        <v>28</v>
      </c>
      <c r="C21" s="53" t="s">
        <v>29</v>
      </c>
      <c r="D21" s="59">
        <v>0</v>
      </c>
      <c r="H21" s="53" t="s">
        <v>18</v>
      </c>
      <c r="I21" s="53"/>
      <c r="J21" s="76">
        <f>J15*$I$18</f>
        <v>0</v>
      </c>
      <c r="K21" s="59"/>
      <c r="L21" s="73"/>
    </row>
    <row r="22" spans="1:12" x14ac:dyDescent="0.35">
      <c r="B22" s="53" t="s">
        <v>30</v>
      </c>
      <c r="C22" s="60" t="s">
        <v>33</v>
      </c>
      <c r="D22" s="56">
        <f>SUM(D19:D21)</f>
        <v>156606.53</v>
      </c>
      <c r="E22" s="56"/>
      <c r="I22" s="60" t="s">
        <v>81</v>
      </c>
      <c r="J22" s="79">
        <f>J16*$I$18</f>
        <v>328082</v>
      </c>
      <c r="K22" s="67"/>
      <c r="L22" s="75"/>
    </row>
  </sheetData>
  <mergeCells count="6">
    <mergeCell ref="L3:M3"/>
    <mergeCell ref="A3:A4"/>
    <mergeCell ref="B3:D3"/>
    <mergeCell ref="E3:F3"/>
    <mergeCell ref="H3:H4"/>
    <mergeCell ref="I3:K3"/>
  </mergeCells>
  <pageMargins left="0.7" right="0.7" top="0.75" bottom="0.75" header="0.3" footer="0.3"/>
  <pageSetup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354CA-A810-4B26-8AC2-2B3C4F98B298}">
  <dimension ref="A1:F4"/>
  <sheetViews>
    <sheetView workbookViewId="0">
      <selection activeCell="L8" sqref="L8"/>
    </sheetView>
  </sheetViews>
  <sheetFormatPr defaultRowHeight="14.5" x14ac:dyDescent="0.35"/>
  <cols>
    <col min="1" max="1" width="11.6328125" customWidth="1"/>
    <col min="2" max="2" width="12.08984375" customWidth="1"/>
    <col min="3" max="3" width="10.6328125" customWidth="1"/>
    <col min="4" max="5" width="11.36328125" bestFit="1" customWidth="1"/>
    <col min="6" max="6" width="11.26953125" bestFit="1" customWidth="1"/>
  </cols>
  <sheetData>
    <row r="1" spans="1:6" ht="16" thickBot="1" x14ac:dyDescent="0.4">
      <c r="A1" s="99" t="s">
        <v>118</v>
      </c>
    </row>
    <row r="2" spans="1:6" ht="73" thickBot="1" x14ac:dyDescent="0.4">
      <c r="A2" s="102" t="s">
        <v>108</v>
      </c>
      <c r="B2" s="103" t="s">
        <v>109</v>
      </c>
      <c r="C2" s="103" t="s">
        <v>110</v>
      </c>
      <c r="D2" s="103" t="s">
        <v>111</v>
      </c>
      <c r="E2" s="103" t="s">
        <v>112</v>
      </c>
      <c r="F2" s="103" t="s">
        <v>113</v>
      </c>
    </row>
    <row r="3" spans="1:6" ht="29.5" thickBot="1" x14ac:dyDescent="0.4">
      <c r="A3" s="104" t="s">
        <v>114</v>
      </c>
      <c r="B3" s="105">
        <f>'no of new products'!B20</f>
        <v>234</v>
      </c>
      <c r="C3" s="108">
        <f>'table BEAD'!J11</f>
        <v>136.66666666666666</v>
      </c>
      <c r="D3" s="109">
        <f>'no of new products'!O30</f>
        <v>0.58404558404558404</v>
      </c>
      <c r="E3" s="108">
        <f>'table BEAD'!J12</f>
        <v>751.66666666666663</v>
      </c>
      <c r="F3" s="110">
        <f>'table BEAD'!J16</f>
        <v>109360.66666666666</v>
      </c>
    </row>
    <row r="4" spans="1:6" ht="29.5" thickBot="1" x14ac:dyDescent="0.4">
      <c r="A4" s="104" t="s">
        <v>117</v>
      </c>
      <c r="B4" s="106"/>
      <c r="C4" s="106"/>
      <c r="D4" s="106"/>
      <c r="E4" s="105" t="s">
        <v>115</v>
      </c>
      <c r="F4" s="105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9057F-2D57-456A-BECD-54E1424F64C5}">
  <dimension ref="A1:F8"/>
  <sheetViews>
    <sheetView tabSelected="1" workbookViewId="0">
      <selection activeCell="F17" sqref="F17"/>
    </sheetView>
  </sheetViews>
  <sheetFormatPr defaultRowHeight="14.5" x14ac:dyDescent="0.35"/>
  <cols>
    <col min="1" max="1" width="14.90625" customWidth="1"/>
    <col min="2" max="2" width="15.453125" bestFit="1" customWidth="1"/>
    <col min="3" max="3" width="13.7265625" bestFit="1" customWidth="1"/>
    <col min="4" max="4" width="11.7265625" bestFit="1" customWidth="1"/>
  </cols>
  <sheetData>
    <row r="1" spans="1:6" ht="15.5" x14ac:dyDescent="0.35">
      <c r="A1" s="99" t="s">
        <v>122</v>
      </c>
    </row>
    <row r="2" spans="1:6" ht="15.5" x14ac:dyDescent="0.35">
      <c r="A2" s="141" t="s">
        <v>0</v>
      </c>
      <c r="B2" s="142" t="s">
        <v>1</v>
      </c>
      <c r="C2" s="142"/>
      <c r="D2" s="142"/>
      <c r="E2" s="142" t="s">
        <v>2</v>
      </c>
      <c r="F2" s="142"/>
    </row>
    <row r="3" spans="1:6" ht="15.5" x14ac:dyDescent="0.35">
      <c r="A3" s="141"/>
      <c r="B3" s="111" t="s">
        <v>123</v>
      </c>
      <c r="C3" s="111" t="s">
        <v>124</v>
      </c>
      <c r="D3" s="111" t="s">
        <v>125</v>
      </c>
      <c r="E3" s="112" t="s">
        <v>6</v>
      </c>
      <c r="F3" s="112" t="s">
        <v>7</v>
      </c>
    </row>
    <row r="4" spans="1:6" ht="15.5" x14ac:dyDescent="0.35">
      <c r="A4" s="113"/>
      <c r="B4" s="114">
        <v>166.18</v>
      </c>
      <c r="C4" s="114">
        <v>90.32</v>
      </c>
      <c r="D4" s="114">
        <v>61.31</v>
      </c>
      <c r="E4" s="113"/>
      <c r="F4" s="113"/>
    </row>
    <row r="5" spans="1:6" ht="15.5" x14ac:dyDescent="0.35">
      <c r="A5" s="115" t="s">
        <v>8</v>
      </c>
      <c r="B5" s="116">
        <v>3.5</v>
      </c>
      <c r="C5" s="117">
        <v>0</v>
      </c>
      <c r="D5" s="117">
        <v>0</v>
      </c>
      <c r="E5" s="118">
        <f>SUM(B5:D5)</f>
        <v>3.5</v>
      </c>
      <c r="F5" s="119">
        <f>$B$4*B5+$C$4*C5+$D$4*D5</f>
        <v>581.63</v>
      </c>
    </row>
    <row r="6" spans="1:6" ht="15.5" x14ac:dyDescent="0.35">
      <c r="A6" s="115" t="s">
        <v>9</v>
      </c>
      <c r="B6" s="116">
        <v>0.5</v>
      </c>
      <c r="C6" s="112">
        <v>0</v>
      </c>
      <c r="D6" s="112">
        <v>0</v>
      </c>
      <c r="E6" s="118">
        <f t="shared" ref="E6:E8" si="0">SUM(B6:D6)</f>
        <v>0.5</v>
      </c>
      <c r="F6" s="119">
        <f t="shared" ref="F6:F7" si="1">$B$4*B6+$C$4*C6+$D$4*D6</f>
        <v>83.09</v>
      </c>
    </row>
    <row r="7" spans="1:6" ht="15.5" x14ac:dyDescent="0.35">
      <c r="A7" s="115" t="s">
        <v>10</v>
      </c>
      <c r="B7" s="112">
        <v>0</v>
      </c>
      <c r="C7" s="116">
        <v>1.5</v>
      </c>
      <c r="D7" s="112">
        <v>0</v>
      </c>
      <c r="E7" s="120">
        <f t="shared" si="0"/>
        <v>1.5</v>
      </c>
      <c r="F7" s="119">
        <f t="shared" si="1"/>
        <v>135.47999999999999</v>
      </c>
    </row>
    <row r="8" spans="1:6" ht="15.5" x14ac:dyDescent="0.35">
      <c r="A8" s="121" t="s">
        <v>11</v>
      </c>
      <c r="B8" s="112">
        <v>4</v>
      </c>
      <c r="C8" s="112">
        <v>1.5</v>
      </c>
      <c r="D8" s="112">
        <v>0</v>
      </c>
      <c r="E8" s="120">
        <f t="shared" si="0"/>
        <v>5.5</v>
      </c>
      <c r="F8" s="119">
        <f>$B$4*B8+$C$4*C8+$D$4*D8</f>
        <v>800.2</v>
      </c>
    </row>
  </sheetData>
  <mergeCells count="3">
    <mergeCell ref="A2:A3"/>
    <mergeCell ref="B2:D2"/>
    <mergeCell ref="E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49DAD-5A74-45D1-A068-A5B878A01D3E}">
  <dimension ref="A1:F8"/>
  <sheetViews>
    <sheetView workbookViewId="0">
      <selection activeCell="A2" sqref="A2:F8"/>
    </sheetView>
  </sheetViews>
  <sheetFormatPr defaultRowHeight="14.5" x14ac:dyDescent="0.35"/>
  <cols>
    <col min="6" max="6" width="11.26953125" bestFit="1" customWidth="1"/>
  </cols>
  <sheetData>
    <row r="1" spans="1:6" ht="16" thickBot="1" x14ac:dyDescent="0.4">
      <c r="A1" s="133" t="s">
        <v>130</v>
      </c>
    </row>
    <row r="2" spans="1:6" ht="29.5" thickBot="1" x14ac:dyDescent="0.4">
      <c r="A2" s="123"/>
      <c r="B2" s="124" t="s">
        <v>1</v>
      </c>
      <c r="C2" s="124" t="s">
        <v>126</v>
      </c>
      <c r="D2" s="124" t="s">
        <v>127</v>
      </c>
      <c r="E2" s="143" t="s">
        <v>2</v>
      </c>
      <c r="F2" s="144"/>
    </row>
    <row r="3" spans="1:6" ht="29.5" thickBot="1" x14ac:dyDescent="0.4">
      <c r="A3" s="145"/>
      <c r="B3" s="147">
        <v>5.5</v>
      </c>
      <c r="C3" s="147"/>
      <c r="D3" s="147">
        <v>137</v>
      </c>
      <c r="E3" s="127" t="s">
        <v>128</v>
      </c>
      <c r="F3" s="127" t="s">
        <v>129</v>
      </c>
    </row>
    <row r="4" spans="1:6" ht="15" thickBot="1" x14ac:dyDescent="0.4">
      <c r="A4" s="146"/>
      <c r="B4" s="148"/>
      <c r="C4" s="148"/>
      <c r="D4" s="148"/>
      <c r="E4" s="127">
        <v>751.7</v>
      </c>
      <c r="F4" s="127"/>
    </row>
    <row r="5" spans="1:6" ht="29.5" thickBot="1" x14ac:dyDescent="0.4">
      <c r="A5" s="128" t="s">
        <v>40</v>
      </c>
      <c r="B5" s="127">
        <v>4</v>
      </c>
      <c r="C5" s="130">
        <v>166.18</v>
      </c>
      <c r="D5" s="127">
        <v>137</v>
      </c>
      <c r="E5" s="127"/>
      <c r="F5" s="130">
        <v>90845.07</v>
      </c>
    </row>
    <row r="6" spans="1:6" ht="15" thickBot="1" x14ac:dyDescent="0.4">
      <c r="A6" s="128" t="s">
        <v>41</v>
      </c>
      <c r="B6" s="127">
        <v>1.5</v>
      </c>
      <c r="C6" s="130">
        <v>90.32</v>
      </c>
      <c r="D6" s="127">
        <v>137</v>
      </c>
      <c r="E6" s="127"/>
      <c r="F6" s="130">
        <v>18515.599999999999</v>
      </c>
    </row>
    <row r="7" spans="1:6" ht="15" thickBot="1" x14ac:dyDescent="0.4">
      <c r="A7" s="128" t="s">
        <v>42</v>
      </c>
      <c r="B7" s="127">
        <v>0</v>
      </c>
      <c r="C7" s="130">
        <v>61.31</v>
      </c>
      <c r="D7" s="127">
        <v>137</v>
      </c>
      <c r="E7" s="127"/>
      <c r="F7" s="131">
        <v>0</v>
      </c>
    </row>
    <row r="8" spans="1:6" ht="15" thickBot="1" x14ac:dyDescent="0.4">
      <c r="A8" s="132" t="s">
        <v>11</v>
      </c>
      <c r="B8" s="127"/>
      <c r="C8" s="127"/>
      <c r="D8" s="127"/>
      <c r="E8" s="127">
        <v>751.7</v>
      </c>
      <c r="F8" s="130">
        <v>109360.67</v>
      </c>
    </row>
  </sheetData>
  <mergeCells count="5">
    <mergeCell ref="E2:F2"/>
    <mergeCell ref="A3:A4"/>
    <mergeCell ref="B3:B4"/>
    <mergeCell ref="C3:C4"/>
    <mergeCell ref="D3:D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86B44-2729-4F14-8365-F6EFB697699A}">
  <dimension ref="A1:I9"/>
  <sheetViews>
    <sheetView workbookViewId="0">
      <selection activeCell="L11" sqref="L11"/>
    </sheetView>
  </sheetViews>
  <sheetFormatPr defaultRowHeight="14.5" x14ac:dyDescent="0.35"/>
  <cols>
    <col min="4" max="4" width="10" customWidth="1"/>
    <col min="6" max="6" width="10.90625" customWidth="1"/>
    <col min="7" max="7" width="11.26953125" bestFit="1" customWidth="1"/>
    <col min="9" max="9" width="11.453125" bestFit="1" customWidth="1"/>
  </cols>
  <sheetData>
    <row r="1" spans="1:9" ht="16" thickBot="1" x14ac:dyDescent="0.4">
      <c r="A1" s="133" t="s">
        <v>131</v>
      </c>
    </row>
    <row r="2" spans="1:9" ht="29.5" thickBot="1" x14ac:dyDescent="0.4">
      <c r="A2" s="123"/>
      <c r="B2" s="124" t="s">
        <v>1</v>
      </c>
      <c r="C2" s="124" t="s">
        <v>126</v>
      </c>
      <c r="D2" s="124" t="s">
        <v>127</v>
      </c>
      <c r="E2" s="125" t="s">
        <v>132</v>
      </c>
      <c r="F2" s="143" t="s">
        <v>2</v>
      </c>
      <c r="G2" s="144"/>
    </row>
    <row r="3" spans="1:9" ht="22" customHeight="1" thickBot="1" x14ac:dyDescent="0.4">
      <c r="A3" s="145"/>
      <c r="B3" s="147">
        <v>5.5</v>
      </c>
      <c r="C3" s="147"/>
      <c r="D3" s="147">
        <v>137</v>
      </c>
      <c r="E3" s="126"/>
      <c r="F3" s="127" t="s">
        <v>128</v>
      </c>
      <c r="G3" s="127" t="s">
        <v>129</v>
      </c>
    </row>
    <row r="4" spans="1:9" ht="15" thickBot="1" x14ac:dyDescent="0.4">
      <c r="A4" s="146"/>
      <c r="B4" s="148"/>
      <c r="C4" s="148"/>
      <c r="D4" s="148"/>
      <c r="E4" s="127">
        <v>3</v>
      </c>
      <c r="F4" s="134">
        <f>751.7*3</f>
        <v>2255.1000000000004</v>
      </c>
      <c r="G4" s="127"/>
    </row>
    <row r="5" spans="1:9" ht="29.5" thickBot="1" x14ac:dyDescent="0.4">
      <c r="A5" s="128" t="s">
        <v>40</v>
      </c>
      <c r="B5" s="127">
        <v>4</v>
      </c>
      <c r="C5" s="130">
        <v>166.18</v>
      </c>
      <c r="D5" s="127">
        <v>137</v>
      </c>
      <c r="E5" s="127">
        <v>3</v>
      </c>
      <c r="F5" s="127"/>
      <c r="G5" s="130">
        <f>90845.07*E5</f>
        <v>272535.21000000002</v>
      </c>
      <c r="I5" s="129">
        <f>B5*C5*D5*E5</f>
        <v>273199.92</v>
      </c>
    </row>
    <row r="6" spans="1:9" ht="15" thickBot="1" x14ac:dyDescent="0.4">
      <c r="A6" s="128" t="s">
        <v>41</v>
      </c>
      <c r="B6" s="127">
        <v>1.5</v>
      </c>
      <c r="C6" s="130">
        <v>90.32</v>
      </c>
      <c r="D6" s="127">
        <v>137</v>
      </c>
      <c r="E6" s="127">
        <v>3</v>
      </c>
      <c r="F6" s="127"/>
      <c r="G6" s="130">
        <f>18515.6*E6</f>
        <v>55546.799999999996</v>
      </c>
      <c r="I6" s="129">
        <f t="shared" ref="I6:I7" si="0">B6*C6*D6*E6</f>
        <v>55682.28</v>
      </c>
    </row>
    <row r="7" spans="1:9" ht="15" thickBot="1" x14ac:dyDescent="0.4">
      <c r="A7" s="128" t="s">
        <v>42</v>
      </c>
      <c r="B7" s="127">
        <v>0</v>
      </c>
      <c r="C7" s="130">
        <v>61.31</v>
      </c>
      <c r="D7" s="127">
        <v>137</v>
      </c>
      <c r="E7" s="127">
        <v>3</v>
      </c>
      <c r="F7" s="127"/>
      <c r="G7" s="131">
        <f>0*E7</f>
        <v>0</v>
      </c>
      <c r="I7" s="129">
        <f t="shared" si="0"/>
        <v>0</v>
      </c>
    </row>
    <row r="8" spans="1:9" ht="15" thickBot="1" x14ac:dyDescent="0.4">
      <c r="A8" s="132" t="s">
        <v>11</v>
      </c>
      <c r="B8" s="127"/>
      <c r="C8" s="127"/>
      <c r="D8" s="127"/>
      <c r="E8" s="127"/>
      <c r="F8" s="134">
        <f>F4</f>
        <v>2255.1000000000004</v>
      </c>
      <c r="G8" s="130">
        <f>SUM(G5:G7)</f>
        <v>328082.01</v>
      </c>
    </row>
    <row r="9" spans="1:9" ht="15" thickBot="1" x14ac:dyDescent="0.4">
      <c r="G9" s="130">
        <f>109360.67*3</f>
        <v>328082.01</v>
      </c>
    </row>
  </sheetData>
  <mergeCells count="5">
    <mergeCell ref="F2:G2"/>
    <mergeCell ref="A3:A4"/>
    <mergeCell ref="B3:B4"/>
    <mergeCell ref="C3:C4"/>
    <mergeCell ref="D3:D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27EAC-5C38-4712-94C4-F8ADC4C1CE85}">
  <dimension ref="A1:H23"/>
  <sheetViews>
    <sheetView workbookViewId="0">
      <selection activeCell="C10" sqref="C10"/>
    </sheetView>
  </sheetViews>
  <sheetFormatPr defaultColWidth="8.7265625" defaultRowHeight="14.5" x14ac:dyDescent="0.35"/>
  <cols>
    <col min="1" max="1" width="25.26953125" customWidth="1"/>
    <col min="2" max="5" width="17" customWidth="1"/>
  </cols>
  <sheetData>
    <row r="1" spans="1:8" ht="18" x14ac:dyDescent="0.4">
      <c r="A1" s="1" t="s">
        <v>34</v>
      </c>
      <c r="B1" s="2" t="s">
        <v>35</v>
      </c>
      <c r="C1" s="3"/>
    </row>
    <row r="2" spans="1:8" ht="18.5" thickBot="1" x14ac:dyDescent="0.45">
      <c r="A2" s="1" t="s">
        <v>36</v>
      </c>
      <c r="H2" t="s">
        <v>37</v>
      </c>
    </row>
    <row r="3" spans="1:8" ht="16" thickBot="1" x14ac:dyDescent="0.4">
      <c r="A3" s="4" t="s">
        <v>38</v>
      </c>
      <c r="B3" s="5" t="s">
        <v>39</v>
      </c>
      <c r="C3" s="6" t="s">
        <v>40</v>
      </c>
      <c r="D3" s="6" t="s">
        <v>41</v>
      </c>
      <c r="E3" s="7" t="s">
        <v>42</v>
      </c>
    </row>
    <row r="4" spans="1:8" ht="19" thickBot="1" x14ac:dyDescent="0.4">
      <c r="A4" s="8" t="s">
        <v>43</v>
      </c>
      <c r="B4" s="9" t="s">
        <v>44</v>
      </c>
      <c r="C4" s="10">
        <v>76.319999999999993</v>
      </c>
      <c r="D4" s="10">
        <v>41.48</v>
      </c>
      <c r="E4" s="11">
        <v>28.16</v>
      </c>
    </row>
    <row r="5" spans="1:8" ht="18.5" x14ac:dyDescent="0.35">
      <c r="A5" s="12" t="s">
        <v>45</v>
      </c>
      <c r="B5" s="13" t="s">
        <v>46</v>
      </c>
      <c r="C5" s="14">
        <f>[1]Fringe!B8</f>
        <v>0.451581975071908</v>
      </c>
      <c r="D5" s="14">
        <f>C5</f>
        <v>0.451581975071908</v>
      </c>
      <c r="E5" s="14">
        <f>C5</f>
        <v>0.451581975071908</v>
      </c>
    </row>
    <row r="6" spans="1:8" ht="15.5" x14ac:dyDescent="0.35">
      <c r="A6" s="15" t="s">
        <v>47</v>
      </c>
      <c r="B6" s="16" t="s">
        <v>48</v>
      </c>
      <c r="C6" s="17">
        <f>+C4*C5</f>
        <v>34.464736337488013</v>
      </c>
      <c r="D6" s="17">
        <f>+D4*D5</f>
        <v>18.731620325982743</v>
      </c>
      <c r="E6" s="18">
        <f>+E4*E5</f>
        <v>12.71654841802493</v>
      </c>
    </row>
    <row r="7" spans="1:8" ht="31.5" thickBot="1" x14ac:dyDescent="0.4">
      <c r="A7" s="19" t="s">
        <v>49</v>
      </c>
      <c r="B7" s="20" t="s">
        <v>50</v>
      </c>
      <c r="C7" s="21">
        <f>+C4+C6</f>
        <v>110.784736337488</v>
      </c>
      <c r="D7" s="21">
        <f>+D4+D6</f>
        <v>60.211620325982736</v>
      </c>
      <c r="E7" s="22">
        <f>+E4+E6</f>
        <v>40.876548418024932</v>
      </c>
    </row>
    <row r="8" spans="1:8" ht="18.5" x14ac:dyDescent="0.35">
      <c r="A8" s="12" t="s">
        <v>51</v>
      </c>
      <c r="B8" s="23" t="s">
        <v>52</v>
      </c>
      <c r="C8" s="24" t="s">
        <v>53</v>
      </c>
      <c r="D8" s="24" t="s">
        <v>53</v>
      </c>
      <c r="E8" s="25" t="s">
        <v>53</v>
      </c>
    </row>
    <row r="9" spans="1:8" ht="15.5" x14ac:dyDescent="0.35">
      <c r="A9" s="15" t="s">
        <v>54</v>
      </c>
      <c r="B9" s="16" t="s">
        <v>55</v>
      </c>
      <c r="C9" s="17">
        <f>+C7*C8</f>
        <v>55.392368168743999</v>
      </c>
      <c r="D9" s="17">
        <f>+D7*D8</f>
        <v>30.105810162991368</v>
      </c>
      <c r="E9" s="18">
        <f>+E7*E8</f>
        <v>20.438274209012466</v>
      </c>
    </row>
    <row r="10" spans="1:8" ht="31.5" thickBot="1" x14ac:dyDescent="0.4">
      <c r="A10" s="19" t="s">
        <v>56</v>
      </c>
      <c r="B10" s="26" t="s">
        <v>57</v>
      </c>
      <c r="C10" s="21">
        <f>+C7+C9</f>
        <v>166.17710450623201</v>
      </c>
      <c r="D10" s="21">
        <f>+D7+D9</f>
        <v>90.317430488974111</v>
      </c>
      <c r="E10" s="22">
        <f>+E7+E9</f>
        <v>61.314822627037401</v>
      </c>
    </row>
    <row r="11" spans="1:8" ht="15.5" x14ac:dyDescent="0.35">
      <c r="C11" s="27"/>
      <c r="D11" s="27"/>
      <c r="E11" s="27"/>
    </row>
    <row r="12" spans="1:8" ht="15.5" x14ac:dyDescent="0.35">
      <c r="A12" s="28" t="s">
        <v>58</v>
      </c>
      <c r="B12" s="29" t="s">
        <v>59</v>
      </c>
      <c r="E12" s="30" t="s">
        <v>60</v>
      </c>
    </row>
    <row r="13" spans="1:8" ht="15.5" x14ac:dyDescent="0.35">
      <c r="A13" s="28" t="s">
        <v>61</v>
      </c>
      <c r="B13" s="29"/>
      <c r="E13" s="31" t="s">
        <v>62</v>
      </c>
    </row>
    <row r="14" spans="1:8" ht="15.5" x14ac:dyDescent="0.35">
      <c r="A14" s="28" t="s">
        <v>63</v>
      </c>
      <c r="B14" s="29"/>
      <c r="E14" s="32"/>
    </row>
    <row r="15" spans="1:8" ht="15.5" x14ac:dyDescent="0.35">
      <c r="A15" s="28" t="s">
        <v>64</v>
      </c>
      <c r="B15" s="28" t="s">
        <v>65</v>
      </c>
      <c r="C15" s="28"/>
    </row>
    <row r="16" spans="1:8" ht="15.5" x14ac:dyDescent="0.35">
      <c r="A16" s="28" t="s">
        <v>66</v>
      </c>
      <c r="B16" s="28" t="s">
        <v>67</v>
      </c>
      <c r="C16" s="28"/>
    </row>
    <row r="17" spans="1:6" ht="15.5" x14ac:dyDescent="0.35">
      <c r="A17" s="28" t="s">
        <v>68</v>
      </c>
      <c r="B17" s="28" t="s">
        <v>69</v>
      </c>
      <c r="C17" s="28"/>
    </row>
    <row r="18" spans="1:6" ht="15.5" x14ac:dyDescent="0.35">
      <c r="A18" s="28" t="s">
        <v>70</v>
      </c>
    </row>
    <row r="19" spans="1:6" ht="15.5" x14ac:dyDescent="0.35">
      <c r="A19" s="149" t="s">
        <v>71</v>
      </c>
      <c r="B19" s="149"/>
      <c r="C19" s="149"/>
      <c r="D19" s="149"/>
      <c r="E19" s="149"/>
      <c r="F19" s="33"/>
    </row>
    <row r="20" spans="1:6" ht="15.5" x14ac:dyDescent="0.35">
      <c r="C20" s="34"/>
      <c r="D20" s="34"/>
      <c r="E20" s="34"/>
    </row>
    <row r="21" spans="1:6" ht="15.5" x14ac:dyDescent="0.35">
      <c r="C21" s="27"/>
      <c r="D21" s="27"/>
      <c r="E21" s="27"/>
    </row>
    <row r="22" spans="1:6" ht="15.5" x14ac:dyDescent="0.35">
      <c r="C22" s="34"/>
      <c r="D22" s="34"/>
      <c r="E22" s="34"/>
    </row>
    <row r="23" spans="1:6" ht="15.5" x14ac:dyDescent="0.35">
      <c r="C23" s="27"/>
      <c r="D23" s="27"/>
      <c r="E23" s="27"/>
    </row>
  </sheetData>
  <mergeCells count="1">
    <mergeCell ref="A19:E19"/>
  </mergeCells>
  <hyperlinks>
    <hyperlink ref="B12" r:id="rId1" xr:uid="{DE201A78-4BE9-46C6-93DA-9F0E9E5CA77E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C4909-F385-40CF-933B-4A9BFDBDE9B4}">
  <dimension ref="A1:O31"/>
  <sheetViews>
    <sheetView topLeftCell="A17" workbookViewId="0">
      <selection activeCell="J31" sqref="J31"/>
    </sheetView>
  </sheetViews>
  <sheetFormatPr defaultRowHeight="14.5" x14ac:dyDescent="0.35"/>
  <cols>
    <col min="1" max="2" width="6.453125" customWidth="1"/>
    <col min="3" max="3" width="8.1796875" customWidth="1"/>
    <col min="4" max="4" width="6.81640625" customWidth="1"/>
    <col min="5" max="5" width="8.6328125" customWidth="1"/>
    <col min="6" max="6" width="8.90625" customWidth="1"/>
    <col min="7" max="7" width="2.6328125" customWidth="1"/>
    <col min="8" max="8" width="11.7265625" customWidth="1"/>
    <col min="9" max="9" width="6.1796875" customWidth="1"/>
    <col min="10" max="10" width="7.90625" customWidth="1"/>
  </cols>
  <sheetData>
    <row r="1" spans="1:15" ht="15" thickBot="1" x14ac:dyDescent="0.4">
      <c r="A1" s="98" t="s">
        <v>83</v>
      </c>
    </row>
    <row r="2" spans="1:15" ht="44" thickBot="1" x14ac:dyDescent="0.4">
      <c r="A2" s="90" t="s">
        <v>84</v>
      </c>
      <c r="B2" s="81" t="s">
        <v>85</v>
      </c>
      <c r="C2" s="81" t="s">
        <v>86</v>
      </c>
      <c r="D2" s="81" t="s">
        <v>87</v>
      </c>
      <c r="E2" s="86" t="s">
        <v>88</v>
      </c>
      <c r="F2" s="81" t="s">
        <v>89</v>
      </c>
      <c r="H2" s="98" t="str">
        <f>A1</f>
        <v>Indiana</v>
      </c>
      <c r="I2" s="99" t="s">
        <v>103</v>
      </c>
    </row>
    <row r="3" spans="1:15" ht="15" thickBot="1" x14ac:dyDescent="0.4">
      <c r="A3" s="91">
        <v>2024</v>
      </c>
      <c r="B3" s="83">
        <v>157</v>
      </c>
      <c r="C3" s="83">
        <v>638</v>
      </c>
      <c r="D3" s="83">
        <v>17</v>
      </c>
      <c r="E3" s="87">
        <v>91</v>
      </c>
      <c r="F3" s="83">
        <v>64</v>
      </c>
      <c r="H3">
        <f>A3</f>
        <v>2024</v>
      </c>
      <c r="I3">
        <f>E3</f>
        <v>91</v>
      </c>
    </row>
    <row r="4" spans="1:15" ht="15" thickBot="1" x14ac:dyDescent="0.4">
      <c r="A4" s="91">
        <v>2023</v>
      </c>
      <c r="B4" s="83">
        <v>144</v>
      </c>
      <c r="C4" s="83">
        <v>595</v>
      </c>
      <c r="D4" s="83">
        <v>17</v>
      </c>
      <c r="E4" s="87">
        <v>67</v>
      </c>
      <c r="F4" s="83">
        <v>34</v>
      </c>
      <c r="H4">
        <f t="shared" ref="H4:H5" si="0">A4</f>
        <v>2023</v>
      </c>
      <c r="I4">
        <f t="shared" ref="I4:I5" si="1">E4</f>
        <v>67</v>
      </c>
    </row>
    <row r="5" spans="1:15" ht="15" thickBot="1" x14ac:dyDescent="0.4">
      <c r="A5" s="91">
        <v>2022</v>
      </c>
      <c r="B5" s="83">
        <v>132</v>
      </c>
      <c r="C5" s="83">
        <v>576</v>
      </c>
      <c r="D5" s="83">
        <v>16</v>
      </c>
      <c r="E5" s="87">
        <v>177</v>
      </c>
      <c r="F5" s="83">
        <v>58</v>
      </c>
      <c r="H5">
        <f t="shared" si="0"/>
        <v>2022</v>
      </c>
      <c r="I5">
        <f t="shared" si="1"/>
        <v>177</v>
      </c>
    </row>
    <row r="6" spans="1:15" ht="15" thickBot="1" x14ac:dyDescent="0.4">
      <c r="A6" s="82">
        <v>2021</v>
      </c>
      <c r="B6" s="83">
        <v>118</v>
      </c>
      <c r="C6" s="83">
        <v>418</v>
      </c>
      <c r="D6" s="83">
        <v>6</v>
      </c>
      <c r="E6" s="92">
        <v>26</v>
      </c>
      <c r="F6" s="84" t="s">
        <v>90</v>
      </c>
      <c r="H6" s="89" t="s">
        <v>98</v>
      </c>
      <c r="I6" s="88">
        <f>AVERAGE(I3:I5)</f>
        <v>111.66666666666667</v>
      </c>
      <c r="J6" t="s">
        <v>99</v>
      </c>
    </row>
    <row r="7" spans="1:15" ht="15" thickBot="1" x14ac:dyDescent="0.4">
      <c r="A7" s="82">
        <v>2020</v>
      </c>
      <c r="B7" s="83">
        <v>117</v>
      </c>
      <c r="C7" s="83">
        <v>428</v>
      </c>
      <c r="D7" s="83">
        <v>13</v>
      </c>
      <c r="E7" s="92">
        <v>74</v>
      </c>
      <c r="F7" s="84" t="s">
        <v>90</v>
      </c>
    </row>
    <row r="9" spans="1:15" ht="15" thickBot="1" x14ac:dyDescent="0.4">
      <c r="A9" s="101" t="s">
        <v>91</v>
      </c>
      <c r="O9" s="88"/>
    </row>
    <row r="10" spans="1:15" ht="44" thickBot="1" x14ac:dyDescent="0.4">
      <c r="A10" s="90" t="s">
        <v>84</v>
      </c>
      <c r="B10" s="81" t="s">
        <v>85</v>
      </c>
      <c r="C10" s="81" t="s">
        <v>86</v>
      </c>
      <c r="D10" s="81" t="s">
        <v>87</v>
      </c>
      <c r="E10" s="86" t="s">
        <v>88</v>
      </c>
      <c r="F10" s="81" t="s">
        <v>89</v>
      </c>
      <c r="H10" s="98" t="str">
        <f>A9</f>
        <v>New Mexico</v>
      </c>
      <c r="I10" s="99" t="s">
        <v>103</v>
      </c>
    </row>
    <row r="11" spans="1:15" ht="15" thickBot="1" x14ac:dyDescent="0.4">
      <c r="A11" s="91">
        <v>2024</v>
      </c>
      <c r="B11" s="83">
        <v>136</v>
      </c>
      <c r="C11" s="83">
        <v>426</v>
      </c>
      <c r="D11" s="83">
        <v>15</v>
      </c>
      <c r="E11" s="87">
        <v>168</v>
      </c>
      <c r="F11" s="83">
        <v>40</v>
      </c>
      <c r="H11">
        <f>A11</f>
        <v>2024</v>
      </c>
      <c r="I11">
        <f>E11</f>
        <v>168</v>
      </c>
    </row>
    <row r="12" spans="1:15" ht="15" thickBot="1" x14ac:dyDescent="0.4">
      <c r="A12" s="91">
        <v>2023</v>
      </c>
      <c r="B12" s="83">
        <v>101</v>
      </c>
      <c r="C12" s="83">
        <v>328</v>
      </c>
      <c r="D12" s="83">
        <v>5</v>
      </c>
      <c r="E12" s="87">
        <v>78</v>
      </c>
      <c r="F12" s="83">
        <v>103</v>
      </c>
      <c r="H12">
        <f t="shared" ref="H12:H13" si="2">A12</f>
        <v>2023</v>
      </c>
      <c r="I12">
        <f t="shared" ref="I12:I13" si="3">E12</f>
        <v>78</v>
      </c>
    </row>
    <row r="13" spans="1:15" ht="15" thickBot="1" x14ac:dyDescent="0.4">
      <c r="A13" s="91">
        <v>2022</v>
      </c>
      <c r="B13" s="83">
        <v>85</v>
      </c>
      <c r="C13" s="83">
        <v>269</v>
      </c>
      <c r="D13" s="83">
        <v>8</v>
      </c>
      <c r="E13" s="87">
        <v>110</v>
      </c>
      <c r="F13" s="83">
        <v>113</v>
      </c>
      <c r="H13">
        <f t="shared" si="2"/>
        <v>2022</v>
      </c>
      <c r="I13">
        <f t="shared" si="3"/>
        <v>110</v>
      </c>
    </row>
    <row r="14" spans="1:15" ht="15" thickBot="1" x14ac:dyDescent="0.4">
      <c r="A14" s="82">
        <v>2021</v>
      </c>
      <c r="B14" s="83">
        <v>74</v>
      </c>
      <c r="C14" s="83">
        <v>182</v>
      </c>
      <c r="D14" s="83">
        <v>4</v>
      </c>
      <c r="E14" s="83">
        <v>66</v>
      </c>
      <c r="F14" s="83">
        <v>94</v>
      </c>
      <c r="H14" s="89" t="s">
        <v>98</v>
      </c>
      <c r="I14" s="88">
        <f>AVERAGE(I11:I13)</f>
        <v>118.66666666666667</v>
      </c>
      <c r="J14" t="s">
        <v>99</v>
      </c>
    </row>
    <row r="15" spans="1:15" ht="15" thickBot="1" x14ac:dyDescent="0.4">
      <c r="A15" s="82">
        <v>2020</v>
      </c>
      <c r="B15" s="83">
        <v>47</v>
      </c>
      <c r="C15" s="83">
        <v>116</v>
      </c>
      <c r="D15" s="83">
        <v>3</v>
      </c>
      <c r="E15" s="83">
        <v>57</v>
      </c>
      <c r="F15" s="83">
        <v>88</v>
      </c>
    </row>
    <row r="16" spans="1:15" x14ac:dyDescent="0.35">
      <c r="A16" s="85"/>
    </row>
    <row r="17" spans="1:15" ht="15" thickBot="1" x14ac:dyDescent="0.4">
      <c r="A17" s="101" t="s">
        <v>92</v>
      </c>
    </row>
    <row r="18" spans="1:15" ht="87" x14ac:dyDescent="0.35">
      <c r="A18" s="150" t="s">
        <v>84</v>
      </c>
      <c r="B18" s="152" t="s">
        <v>85</v>
      </c>
      <c r="C18" s="152" t="s">
        <v>93</v>
      </c>
      <c r="D18" s="152" t="s">
        <v>87</v>
      </c>
      <c r="E18" s="93" t="s">
        <v>94</v>
      </c>
      <c r="F18" s="152" t="s">
        <v>89</v>
      </c>
    </row>
    <row r="19" spans="1:15" ht="29.5" thickBot="1" x14ac:dyDescent="0.4">
      <c r="A19" s="151"/>
      <c r="B19" s="153"/>
      <c r="C19" s="153"/>
      <c r="D19" s="153"/>
      <c r="E19" s="94" t="s">
        <v>95</v>
      </c>
      <c r="F19" s="153"/>
      <c r="H19" s="100" t="s">
        <v>92</v>
      </c>
      <c r="I19" s="99" t="s">
        <v>103</v>
      </c>
    </row>
    <row r="20" spans="1:15" ht="47.5" customHeight="1" thickBot="1" x14ac:dyDescent="0.4">
      <c r="A20" s="91">
        <v>2024</v>
      </c>
      <c r="B20" s="83">
        <v>234</v>
      </c>
      <c r="C20" s="83">
        <v>930</v>
      </c>
      <c r="D20" s="83"/>
      <c r="E20" s="87" t="s">
        <v>96</v>
      </c>
      <c r="F20" s="83"/>
      <c r="H20">
        <f>A20</f>
        <v>2024</v>
      </c>
      <c r="I20">
        <f>72*2</f>
        <v>144</v>
      </c>
    </row>
    <row r="21" spans="1:15" ht="15" thickBot="1" x14ac:dyDescent="0.4">
      <c r="A21" s="91">
        <v>2023</v>
      </c>
      <c r="B21" s="83"/>
      <c r="C21" s="83">
        <v>945</v>
      </c>
      <c r="D21" s="83"/>
      <c r="E21" s="87">
        <v>145</v>
      </c>
      <c r="F21" s="83">
        <f>C21-E21</f>
        <v>800</v>
      </c>
      <c r="H21">
        <f t="shared" ref="H21:H22" si="4">A21</f>
        <v>2023</v>
      </c>
      <c r="I21">
        <f>E21</f>
        <v>145</v>
      </c>
    </row>
    <row r="22" spans="1:15" ht="15" thickBot="1" x14ac:dyDescent="0.4">
      <c r="A22" s="91">
        <v>2022</v>
      </c>
      <c r="B22" s="83"/>
      <c r="C22" s="83">
        <v>942</v>
      </c>
      <c r="D22" s="83"/>
      <c r="E22" s="87">
        <v>121</v>
      </c>
      <c r="F22" s="83"/>
      <c r="H22">
        <f t="shared" si="4"/>
        <v>2022</v>
      </c>
      <c r="I22">
        <f>E22</f>
        <v>121</v>
      </c>
    </row>
    <row r="23" spans="1:15" ht="15" thickBot="1" x14ac:dyDescent="0.4">
      <c r="A23" s="82">
        <v>2021</v>
      </c>
      <c r="B23" s="83"/>
      <c r="C23" s="83">
        <v>866</v>
      </c>
      <c r="D23" s="83"/>
      <c r="E23" s="83">
        <v>61</v>
      </c>
      <c r="F23" s="84"/>
      <c r="H23" s="89" t="s">
        <v>98</v>
      </c>
      <c r="I23" s="88">
        <f>AVERAGE(I20:I22)</f>
        <v>136.66666666666666</v>
      </c>
      <c r="J23" t="s">
        <v>99</v>
      </c>
      <c r="K23" s="97" t="s">
        <v>100</v>
      </c>
      <c r="M23" s="88"/>
    </row>
    <row r="24" spans="1:15" ht="15" thickBot="1" x14ac:dyDescent="0.4">
      <c r="A24" s="82">
        <v>2020</v>
      </c>
      <c r="B24" s="83"/>
      <c r="C24" s="83" t="s">
        <v>97</v>
      </c>
      <c r="D24" s="83"/>
      <c r="E24" s="83" t="s">
        <v>97</v>
      </c>
      <c r="F24" s="84"/>
      <c r="I24" s="97" t="s">
        <v>104</v>
      </c>
    </row>
    <row r="26" spans="1:15" x14ac:dyDescent="0.35">
      <c r="I26" s="89" t="s">
        <v>101</v>
      </c>
      <c r="J26">
        <f>B20</f>
        <v>234</v>
      </c>
      <c r="K26" t="s">
        <v>102</v>
      </c>
    </row>
    <row r="27" spans="1:15" x14ac:dyDescent="0.35">
      <c r="I27" s="89" t="s">
        <v>101</v>
      </c>
      <c r="J27">
        <f>'table BEAD'!K11</f>
        <v>410</v>
      </c>
      <c r="K27" t="s">
        <v>107</v>
      </c>
    </row>
    <row r="28" spans="1:15" x14ac:dyDescent="0.35">
      <c r="J28" s="95">
        <f>J27/J26</f>
        <v>1.7521367521367521</v>
      </c>
      <c r="K28" t="s">
        <v>105</v>
      </c>
    </row>
    <row r="30" spans="1:15" x14ac:dyDescent="0.35">
      <c r="J30" t="s">
        <v>120</v>
      </c>
      <c r="O30" s="95">
        <f>I23/J26</f>
        <v>0.58404558404558404</v>
      </c>
    </row>
    <row r="31" spans="1:15" x14ac:dyDescent="0.35">
      <c r="J31" t="s">
        <v>119</v>
      </c>
      <c r="O31" s="95">
        <f>J27/J26</f>
        <v>1.7521367521367521</v>
      </c>
    </row>
  </sheetData>
  <mergeCells count="5">
    <mergeCell ref="A18:A19"/>
    <mergeCell ref="B18:B19"/>
    <mergeCell ref="C18:C19"/>
    <mergeCell ref="D18:D19"/>
    <mergeCell ref="F18:F19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29f62856-1543-49d4-a736-4569d363f533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F945D3E4F86649B7BD7D579B37A57A" ma:contentTypeVersion="15" ma:contentTypeDescription="Create a new document." ma:contentTypeScope="" ma:versionID="597f6683057eaf9ea377282e3c185664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.v3" xmlns:ns3="4ffa91fb-a0ff-4ac5-b2db-65c790d184a4" xmlns:ns4="118f882f-1e32-4cf2-ad69-9de43d57f4c6" xmlns:ns5="a5d1ca4e-0a3f-4119-b619-e20b93ebd1aa" targetNamespace="http://schemas.microsoft.com/office/2006/metadata/properties" ma:root="true" ma:fieldsID="b86fc16b4e95b49b989437c4d9976cfa" ns1:_="" ns2:_="" ns3:_="" ns4:_="" ns5:_="">
    <xsd:import namespace="http://schemas.microsoft.com/sharepoint/v3"/>
    <xsd:import namespace="http://schemas.microsoft.com/sharepoint.v3"/>
    <xsd:import namespace="4ffa91fb-a0ff-4ac5-b2db-65c790d184a4"/>
    <xsd:import namespace="118f882f-1e32-4cf2-ad69-9de43d57f4c6"/>
    <xsd:import namespace="a5d1ca4e-0a3f-4119-b619-e20b93ebd1aa"/>
    <xsd:element name="properties">
      <xsd:complexType>
        <xsd:sequence>
          <xsd:element name="documentManagement">
            <xsd:complexType>
              <xsd:all>
                <xsd:element ref="ns2:CategoryDescription" minOccurs="0"/>
                <xsd:element ref="ns3:TaxCatchAllLabel" minOccurs="0"/>
                <xsd:element ref="ns3:TaxCatchAll" minOccurs="0"/>
                <xsd:element ref="ns4:FRN_x0020_List_x0020_Item_x0020_ID"/>
                <xsd:element ref="ns5:SharedWithUsers" minOccurs="0"/>
                <xsd:element ref="ns5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1:_ip_UnifiedCompliancePolicyProperties" minOccurs="0"/>
                <xsd:element ref="ns1:_ip_UnifiedCompliancePolicyUIAction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2" nillable="true" ma:displayName="Description" ma:description="Enter a brief description.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a91fb-a0ff-4ac5-b2db-65c790d184a4" elementFormDefault="qualified">
    <xsd:import namespace="http://schemas.microsoft.com/office/2006/documentManagement/types"/>
    <xsd:import namespace="http://schemas.microsoft.com/office/infopath/2007/PartnerControls"/>
    <xsd:element name="TaxCatchAllLabel" ma:index="6" nillable="true" ma:displayName="Taxonomy Catch All Column1" ma:hidden="true" ma:list="{12331871-f22f-4f1e-b241-7c04b4cb386a}" ma:internalName="TaxCatchAllLabel" ma:readOnly="true" ma:showField="CatchAllDataLabel" ma:web="a5d1ca4e-0a3f-4119-b619-e20b93ebd1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7" nillable="true" ma:displayName="Taxonomy Catch All Column" ma:hidden="true" ma:list="{12331871-f22f-4f1e-b241-7c04b4cb386a}" ma:internalName="TaxCatchAll" ma:showField="CatchAllData" ma:web="a5d1ca4e-0a3f-4119-b619-e20b93ebd1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f882f-1e32-4cf2-ad69-9de43d57f4c6" elementFormDefault="qualified">
    <xsd:import namespace="http://schemas.microsoft.com/office/2006/documentManagement/types"/>
    <xsd:import namespace="http://schemas.microsoft.com/office/infopath/2007/PartnerControls"/>
    <xsd:element name="FRN_x0020_List_x0020_Item_x0020_ID" ma:index="11" ma:displayName="FRN List Item ID" ma:indexed="true" ma:internalName="FRN_x0020_List_x0020_Item_x0020_ID">
      <xsd:simpleType>
        <xsd:restriction base="dms:Text">
          <xsd:maxLength value="255"/>
        </xsd:restriction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d1ca4e-0a3f-4119-b619-e20b93ebd1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CategoryDescription xmlns="http://schemas.microsoft.com/sharepoint.v3" xsi:nil="true"/>
    <TaxCatchAll xmlns="4ffa91fb-a0ff-4ac5-b2db-65c790d184a4" xsi:nil="true"/>
    <FRN_x0020_List_x0020_Item_x0020_ID xmlns="118f882f-1e32-4cf2-ad69-9de43d57f4c6">5177</FRN_x0020_List_x0020_Item_x0020_ID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EBC08B-B410-4E13-9D4A-1A5477DB6244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BEEBF4D9-8F1A-470B-ABF4-7904D7E816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.v3"/>
    <ds:schemaRef ds:uri="4ffa91fb-a0ff-4ac5-b2db-65c790d184a4"/>
    <ds:schemaRef ds:uri="118f882f-1e32-4cf2-ad69-9de43d57f4c6"/>
    <ds:schemaRef ds:uri="a5d1ca4e-0a3f-4119-b619-e20b93ebd1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538FCA-2655-4060-A28F-59643485F780}">
  <ds:schemaRefs>
    <ds:schemaRef ds:uri="http://schemas.microsoft.com/office/2006/metadata/properties"/>
    <ds:schemaRef ds:uri="http://schemas.microsoft.com/sharepoint.v3"/>
    <ds:schemaRef ds:uri="http://schemas.microsoft.com/sharepoint/v3"/>
    <ds:schemaRef ds:uri="http://www.w3.org/XML/1998/namespace"/>
    <ds:schemaRef ds:uri="http://purl.org/dc/terms/"/>
    <ds:schemaRef ds:uri="a5d1ca4e-0a3f-4119-b619-e20b93ebd1aa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118f882f-1e32-4cf2-ad69-9de43d57f4c6"/>
    <ds:schemaRef ds:uri="4ffa91fb-a0ff-4ac5-b2db-65c790d184a4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E3773D29-63B1-48AB-818E-418CB901A3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READ</vt:lpstr>
      <vt:lpstr>table BEAD</vt:lpstr>
      <vt:lpstr>table1</vt:lpstr>
      <vt:lpstr>table3</vt:lpstr>
      <vt:lpstr>table4</vt:lpstr>
      <vt:lpstr>table5</vt:lpstr>
      <vt:lpstr>Chem Manuf</vt:lpstr>
      <vt:lpstr>no of new products</vt:lpstr>
      <vt:lpstr>table3!_Hlk86146470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Andrew Lee</dc:creator>
  <cp:lastModifiedBy>Johnson, Amaris</cp:lastModifiedBy>
  <cp:lastPrinted>2021-05-18T19:12:21Z</cp:lastPrinted>
  <dcterms:created xsi:type="dcterms:W3CDTF">2021-05-18T18:30:29Z</dcterms:created>
  <dcterms:modified xsi:type="dcterms:W3CDTF">2025-06-04T22:26:28Z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0x010100E8F945D3E4F86649B7BD7D579B37A57A</vt:lpwstr>
  </property>
</Properties>
</file>