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O\RRFIDG\FRDOCS\RMA Documents\ACTIVE PACKAGES\0563-0053 - MULTIPLE MERIL CROP INSURANCE - MPCI\2026 Renewal\"/>
    </mc:Choice>
  </mc:AlternateContent>
  <xr:revisionPtr revIDLastSave="0" documentId="8_{700EC4D0-3D1E-4C84-80FF-7FFE4C6D9081}" xr6:coauthVersionLast="47" xr6:coauthVersionMax="47" xr10:uidLastSave="{00000000-0000-0000-0000-000000000000}"/>
  <bookViews>
    <workbookView xWindow="-23148" yWindow="-108" windowWidth="23256" windowHeight="12456" tabRatio="554" xr2:uid="{00000000-000D-0000-FFFF-FFFF00000000}"/>
  </bookViews>
  <sheets>
    <sheet name="Burden Grid" sheetId="1" r:id="rId1"/>
    <sheet name="Numbers for Burden Grid" sheetId="2" r:id="rId2"/>
    <sheet name="Wages" sheetId="3" r:id="rId3"/>
  </sheets>
  <externalReferences>
    <externalReference r:id="rId4"/>
    <externalReference r:id="rId5"/>
  </externalReferences>
  <definedNames>
    <definedName name="_xlnm.Print_Titles" localSheetId="0">'Burden Grid'!$1:$19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1" l="1"/>
  <c r="Q78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C3" i="3"/>
  <c r="C4" i="3"/>
  <c r="C5" i="3"/>
  <c r="C6" i="3"/>
  <c r="C7" i="3"/>
  <c r="C8" i="3"/>
  <c r="C9" i="3"/>
  <c r="C11" i="3"/>
  <c r="C12" i="3"/>
  <c r="C13" i="3"/>
  <c r="C14" i="3"/>
  <c r="C15" i="3"/>
  <c r="C16" i="3"/>
  <c r="C17" i="3"/>
  <c r="C18" i="3"/>
  <c r="C2" i="3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 l="1"/>
  <c r="T24" i="1"/>
  <c r="T23" i="1"/>
  <c r="T22" i="1"/>
  <c r="R19" i="1" l="1"/>
  <c r="S19" i="1"/>
  <c r="T19" i="1"/>
  <c r="B19" i="2" l="1"/>
  <c r="H75" i="1"/>
  <c r="B10" i="2"/>
  <c r="B11" i="2"/>
  <c r="B12" i="2"/>
  <c r="B13" i="2"/>
  <c r="B14" i="2"/>
  <c r="B15" i="2"/>
  <c r="B16" i="2"/>
  <c r="B5" i="2"/>
  <c r="B7" i="2"/>
  <c r="B3" i="2"/>
  <c r="B1" i="2"/>
  <c r="B8" i="2"/>
  <c r="B6" i="2"/>
  <c r="B4" i="2"/>
  <c r="H52" i="1" l="1"/>
  <c r="H53" i="1" s="1"/>
  <c r="J30" i="1"/>
  <c r="J34" i="1"/>
  <c r="L34" i="1" s="1"/>
  <c r="J39" i="1"/>
  <c r="J41" i="1"/>
  <c r="J57" i="1"/>
  <c r="L57" i="1" s="1"/>
  <c r="J60" i="1"/>
  <c r="J63" i="1"/>
  <c r="J64" i="1"/>
  <c r="J65" i="1"/>
  <c r="J69" i="1"/>
  <c r="J72" i="1"/>
  <c r="J20" i="1"/>
  <c r="O56" i="1"/>
  <c r="O57" i="1"/>
  <c r="O55" i="1"/>
  <c r="O58" i="1"/>
  <c r="O59" i="1"/>
  <c r="H59" i="1"/>
  <c r="J59" i="1" s="1"/>
  <c r="Q69" i="1"/>
  <c r="O48" i="1"/>
  <c r="O49" i="1"/>
  <c r="O50" i="1"/>
  <c r="O51" i="1"/>
  <c r="H49" i="1"/>
  <c r="H36" i="1"/>
  <c r="H37" i="1"/>
  <c r="J37" i="1" s="1"/>
  <c r="O33" i="1"/>
  <c r="O34" i="1"/>
  <c r="O35" i="1"/>
  <c r="O36" i="1"/>
  <c r="O37" i="1"/>
  <c r="O38" i="1"/>
  <c r="H47" i="1"/>
  <c r="J47" i="1" s="1"/>
  <c r="B18" i="3"/>
  <c r="B17" i="3"/>
  <c r="B16" i="3"/>
  <c r="B15" i="3"/>
  <c r="B14" i="3"/>
  <c r="B13" i="3"/>
  <c r="B12" i="3"/>
  <c r="B11" i="3"/>
  <c r="Q34" i="1" l="1"/>
  <c r="J52" i="1"/>
  <c r="H58" i="1"/>
  <c r="J58" i="1" s="1"/>
  <c r="L58" i="1" s="1"/>
  <c r="Q58" i="1" s="1"/>
  <c r="H33" i="1"/>
  <c r="J33" i="1" s="1"/>
  <c r="L33" i="1" s="1"/>
  <c r="Q33" i="1" s="1"/>
  <c r="H51" i="1"/>
  <c r="J51" i="1" s="1"/>
  <c r="L51" i="1" s="1"/>
  <c r="Q51" i="1" s="1"/>
  <c r="J49" i="1"/>
  <c r="L49" i="1" s="1"/>
  <c r="J36" i="1"/>
  <c r="L36" i="1" s="1"/>
  <c r="Q36" i="1" s="1"/>
  <c r="L37" i="1"/>
  <c r="Q37" i="1" s="1"/>
  <c r="L59" i="1"/>
  <c r="Q57" i="1"/>
  <c r="H38" i="1"/>
  <c r="H50" i="1"/>
  <c r="H55" i="1"/>
  <c r="H48" i="1"/>
  <c r="H56" i="1"/>
  <c r="H35" i="1"/>
  <c r="H71" i="1"/>
  <c r="J71" i="1" s="1"/>
  <c r="H70" i="1"/>
  <c r="J70" i="1" s="1"/>
  <c r="Q49" i="1" l="1"/>
  <c r="Q59" i="1"/>
  <c r="J56" i="1"/>
  <c r="L56" i="1" s="1"/>
  <c r="Q56" i="1" s="1"/>
  <c r="J50" i="1"/>
  <c r="L50" i="1" s="1"/>
  <c r="Q50" i="1" s="1"/>
  <c r="J38" i="1"/>
  <c r="L38" i="1" s="1"/>
  <c r="Q38" i="1" s="1"/>
  <c r="J48" i="1"/>
  <c r="L48" i="1" s="1"/>
  <c r="Q48" i="1" s="1"/>
  <c r="J35" i="1"/>
  <c r="L35" i="1" s="1"/>
  <c r="Q35" i="1" s="1"/>
  <c r="J55" i="1"/>
  <c r="L55" i="1" s="1"/>
  <c r="Q55" i="1" s="1"/>
  <c r="H46" i="1"/>
  <c r="J46" i="1" s="1"/>
  <c r="O53" i="1"/>
  <c r="O52" i="1"/>
  <c r="L52" i="1"/>
  <c r="Q52" i="1" s="1"/>
  <c r="H54" i="1"/>
  <c r="O54" i="1"/>
  <c r="L60" i="1"/>
  <c r="Q60" i="1" s="1"/>
  <c r="O60" i="1"/>
  <c r="J53" i="1" l="1"/>
  <c r="L53" i="1" s="1"/>
  <c r="Q53" i="1" s="1"/>
  <c r="H40" i="1"/>
  <c r="J40" i="1" s="1"/>
  <c r="O70" i="1"/>
  <c r="O71" i="1"/>
  <c r="H31" i="1"/>
  <c r="H24" i="1"/>
  <c r="H25" i="1"/>
  <c r="K23" i="1" l="1"/>
  <c r="H21" i="1" l="1"/>
  <c r="J21" i="1" s="1"/>
  <c r="I32" i="1" l="1"/>
  <c r="I54" i="1" l="1"/>
  <c r="I67" i="1"/>
  <c r="H22" i="1"/>
  <c r="J22" i="1" s="1"/>
  <c r="O68" i="1"/>
  <c r="H68" i="1"/>
  <c r="O47" i="1"/>
  <c r="L47" i="1"/>
  <c r="Q47" i="1" s="1"/>
  <c r="O46" i="1"/>
  <c r="L46" i="1"/>
  <c r="Q46" i="1" s="1"/>
  <c r="O39" i="1"/>
  <c r="L39" i="1"/>
  <c r="Q39" i="1" s="1"/>
  <c r="O40" i="1"/>
  <c r="L40" i="1"/>
  <c r="Q40" i="1" s="1"/>
  <c r="J54" i="1" l="1"/>
  <c r="L54" i="1" s="1"/>
  <c r="Q54" i="1" s="1"/>
  <c r="H76" i="1"/>
  <c r="J76" i="1" s="1"/>
  <c r="H73" i="1"/>
  <c r="J73" i="1" s="1"/>
  <c r="H66" i="1" l="1"/>
  <c r="J66" i="1" s="1"/>
  <c r="H27" i="1"/>
  <c r="H26" i="1"/>
  <c r="J26" i="1" s="1"/>
  <c r="I74" i="1" l="1"/>
  <c r="I31" i="1"/>
  <c r="J31" i="1" s="1"/>
  <c r="H74" i="1"/>
  <c r="J74" i="1" s="1"/>
  <c r="O74" i="1"/>
  <c r="O75" i="1"/>
  <c r="L74" i="1" l="1"/>
  <c r="Q74" i="1" s="1"/>
  <c r="H62" i="1" l="1"/>
  <c r="J62" i="1" s="1"/>
  <c r="O20" i="1"/>
  <c r="L20" i="1"/>
  <c r="I42" i="1" l="1"/>
  <c r="H67" i="1"/>
  <c r="J67" i="1" s="1"/>
  <c r="H42" i="1"/>
  <c r="J42" i="1" s="1"/>
  <c r="H43" i="1"/>
  <c r="H32" i="1"/>
  <c r="J32" i="1" s="1"/>
  <c r="I24" i="1"/>
  <c r="J24" i="1" s="1"/>
  <c r="H29" i="1"/>
  <c r="J29" i="1" s="1"/>
  <c r="H28" i="1"/>
  <c r="J28" i="1" s="1"/>
  <c r="I27" i="1" l="1"/>
  <c r="J27" i="1" s="1"/>
  <c r="O72" i="1" l="1"/>
  <c r="L72" i="1"/>
  <c r="Q72" i="1" s="1"/>
  <c r="H23" i="1"/>
  <c r="I25" i="1"/>
  <c r="J25" i="1" s="1"/>
  <c r="L76" i="1" l="1"/>
  <c r="K22" i="1" l="1"/>
  <c r="I23" i="1" l="1"/>
  <c r="H61" i="1" l="1"/>
  <c r="J61" i="1" s="1"/>
  <c r="O67" i="1" l="1"/>
  <c r="L67" i="1" l="1"/>
  <c r="Q67" i="1" s="1"/>
  <c r="H45" i="1"/>
  <c r="J45" i="1" s="1"/>
  <c r="H44" i="1"/>
  <c r="J44" i="1" s="1"/>
  <c r="O28" i="1" l="1"/>
  <c r="O29" i="1"/>
  <c r="O30" i="1"/>
  <c r="O31" i="1"/>
  <c r="O32" i="1"/>
  <c r="O41" i="1"/>
  <c r="O42" i="1"/>
  <c r="O43" i="1"/>
  <c r="O44" i="1"/>
  <c r="O45" i="1"/>
  <c r="O61" i="1"/>
  <c r="O62" i="1"/>
  <c r="O63" i="1"/>
  <c r="O64" i="1"/>
  <c r="O65" i="1"/>
  <c r="O66" i="1"/>
  <c r="O73" i="1"/>
  <c r="O76" i="1"/>
  <c r="L28" i="1"/>
  <c r="Q28" i="1" s="1"/>
  <c r="L29" i="1"/>
  <c r="Q29" i="1" s="1"/>
  <c r="L65" i="1"/>
  <c r="Q65" i="1" s="1"/>
  <c r="L61" i="1"/>
  <c r="Q61" i="1" s="1"/>
  <c r="L45" i="1" l="1"/>
  <c r="Q45" i="1" s="1"/>
  <c r="L44" i="1"/>
  <c r="Q44" i="1" s="1"/>
  <c r="I43" i="1" l="1"/>
  <c r="J43" i="1" s="1"/>
  <c r="O27" i="1"/>
  <c r="L27" i="1"/>
  <c r="Q27" i="1" s="1"/>
  <c r="L42" i="1" l="1"/>
  <c r="Q42" i="1" s="1"/>
  <c r="L21" i="1"/>
  <c r="L41" i="1"/>
  <c r="Q41" i="1" s="1"/>
  <c r="O24" i="1"/>
  <c r="O25" i="1"/>
  <c r="O26" i="1"/>
  <c r="O21" i="1"/>
  <c r="O22" i="1"/>
  <c r="O23" i="1"/>
  <c r="L73" i="1"/>
  <c r="Q73" i="1" s="1"/>
  <c r="L64" i="1"/>
  <c r="Q64" i="1" s="1"/>
  <c r="L63" i="1"/>
  <c r="Q63" i="1" s="1"/>
  <c r="L62" i="1"/>
  <c r="Q62" i="1" s="1"/>
  <c r="L32" i="1"/>
  <c r="Q32" i="1" s="1"/>
  <c r="L26" i="1"/>
  <c r="Q26" i="1" s="1"/>
  <c r="L25" i="1"/>
  <c r="Q25" i="1" s="1"/>
  <c r="L24" i="1"/>
  <c r="Q24" i="1" s="1"/>
  <c r="J23" i="1"/>
  <c r="L22" i="1" l="1"/>
  <c r="I68" i="1"/>
  <c r="J68" i="1" s="1"/>
  <c r="L70" i="1"/>
  <c r="Q70" i="1" s="1"/>
  <c r="L66" i="1"/>
  <c r="Q66" i="1" s="1"/>
  <c r="L43" i="1"/>
  <c r="Q43" i="1" s="1"/>
  <c r="L31" i="1"/>
  <c r="Q31" i="1" s="1"/>
  <c r="L30" i="1"/>
  <c r="Q30" i="1" s="1"/>
  <c r="L23" i="1"/>
  <c r="Q23" i="1" s="1"/>
  <c r="Q21" i="1"/>
  <c r="J75" i="1" l="1"/>
  <c r="J77" i="1" s="1"/>
  <c r="B21" i="2" s="1"/>
  <c r="B20" i="2" s="1"/>
  <c r="Q22" i="1"/>
  <c r="Q76" i="1"/>
  <c r="L71" i="1"/>
  <c r="L75" i="1" l="1"/>
  <c r="Q75" i="1" s="1"/>
  <c r="L68" i="1"/>
  <c r="Q71" i="1"/>
  <c r="L77" i="1" l="1"/>
  <c r="B22" i="2" s="1"/>
  <c r="B18" i="2" s="1"/>
  <c r="Q68" i="1"/>
  <c r="Q77" i="1" s="1"/>
</calcChain>
</file>

<file path=xl/sharedStrings.xml><?xml version="1.0" encoding="utf-8"?>
<sst xmlns="http://schemas.openxmlformats.org/spreadsheetml/2006/main" count="236" uniqueCount="119">
  <si>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</si>
  <si>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</si>
  <si>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OMB NO. 0563-0053</t>
  </si>
  <si>
    <t>Multiple Peril Crop Insurance</t>
  </si>
  <si>
    <t>IDENTIFICATION OF REPORTING OR RECORDKEEPING REQUIREMENT</t>
  </si>
  <si>
    <t>ANNUAL BURDEN</t>
  </si>
  <si>
    <t>RESPONDENT (B)</t>
  </si>
  <si>
    <t>DESCRIPTION: (DATA ELEMENT)  (C)</t>
  </si>
  <si>
    <t>FORMS NO(S) (IF "NONE" SO STATE) (D)</t>
  </si>
  <si>
    <t>REPORTS</t>
  </si>
  <si>
    <t>RECORDS</t>
  </si>
  <si>
    <t>POLICIES/ COMPANY (E)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</si>
  <si>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</si>
  <si>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</si>
  <si>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</si>
  <si>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</si>
  <si>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</si>
  <si>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</si>
  <si>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</si>
  <si>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</si>
  <si>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TOTAL COST</t>
  </si>
  <si>
    <t>Insurance Sales Agent/Office Clerk</t>
  </si>
  <si>
    <t>C05-  CIMS Request Record*</t>
  </si>
  <si>
    <t>NONE</t>
  </si>
  <si>
    <t>IT Staff</t>
  </si>
  <si>
    <t>P09- Fund Designation Record (per company)*</t>
  </si>
  <si>
    <t xml:space="preserve">Farmer </t>
  </si>
  <si>
    <t>P10- Policy Record (Company Application)</t>
  </si>
  <si>
    <t>P10- Policy Record</t>
  </si>
  <si>
    <t>P11- Acreage Record (Company Acreage Report)</t>
  </si>
  <si>
    <t>P11- Acreage Record</t>
  </si>
  <si>
    <t>P12- Payment Record</t>
  </si>
  <si>
    <t>Accountant</t>
  </si>
  <si>
    <t>P13- Inventory Value Record</t>
  </si>
  <si>
    <t>P14- Insurance In Force Record*</t>
  </si>
  <si>
    <t>P15- Yield History Record</t>
  </si>
  <si>
    <t>Farmer</t>
  </si>
  <si>
    <t>P16 - LGM Premium</t>
  </si>
  <si>
    <t>P17 - LRP Premium</t>
  </si>
  <si>
    <t>P18 - DRP Premium</t>
  </si>
  <si>
    <t>P19- WFRP Farm Reports</t>
  </si>
  <si>
    <t>P20- Loss Total Record *</t>
  </si>
  <si>
    <t>P21- Loss Line Record (Company Claim for Indemnity)</t>
  </si>
  <si>
    <t>Insurance Sales Agent/Office Clerk/Claims Adjuster</t>
  </si>
  <si>
    <t>P21- Production Loss Detail Record</t>
  </si>
  <si>
    <t>P22- Inventory Loss Record</t>
  </si>
  <si>
    <t>P23- WFRP Indemnity Record</t>
  </si>
  <si>
    <t>P24 - LGM Indemnity Record</t>
  </si>
  <si>
    <t>P25 - LRP Indemnity Record</t>
  </si>
  <si>
    <t>P26- Production Record</t>
  </si>
  <si>
    <t>P26-Production Record</t>
  </si>
  <si>
    <t>P27- Land Record</t>
  </si>
  <si>
    <t>P28 - DRP Indemnity</t>
  </si>
  <si>
    <t>P29 - DRP Coverage Inquiry*</t>
  </si>
  <si>
    <t>P35 - Personal Projected Price</t>
  </si>
  <si>
    <t>P48- Record Type Delete Record*</t>
  </si>
  <si>
    <t>P49- Policy Delete Record</t>
  </si>
  <si>
    <t>Insurance Sales Agent/Claims Adjuster</t>
  </si>
  <si>
    <t>P51- Conflict of Interest Record</t>
  </si>
  <si>
    <t>P54- Agency/Company Employee Data Record*</t>
  </si>
  <si>
    <t>P55- Agent Data Record*</t>
  </si>
  <si>
    <t>P56- Loss Adjuster Data Record*</t>
  </si>
  <si>
    <t>Insurance Underwriter</t>
  </si>
  <si>
    <t>P57- Quality Control Reporting Record</t>
  </si>
  <si>
    <t>P58- Notice of Loss Reporting Record</t>
  </si>
  <si>
    <t>P70 - Book of Business Record*</t>
  </si>
  <si>
    <t>P75- Producer Certification Record</t>
  </si>
  <si>
    <t>Insurance Sales Agent/Insurance Underwriter/Farmer/Agricultural Inspector</t>
  </si>
  <si>
    <t xml:space="preserve">Additional information provided as needed </t>
  </si>
  <si>
    <t>Insurance Sales Agent/Insurance Underwriter/Farmer</t>
  </si>
  <si>
    <t>Reading insurance documents</t>
  </si>
  <si>
    <t>Record retention</t>
  </si>
  <si>
    <t>Insurance Sales Agent/Claims Adjuster/Farmer</t>
  </si>
  <si>
    <t xml:space="preserve">Travel time </t>
  </si>
  <si>
    <t>Additional burden hours for crop insurance companies to transmit data elements to RMA</t>
  </si>
  <si>
    <t>TOTAL - COLUMNS "G" AND "J" = OMB 831, 13 b; COLUMNS "I" AND "L" = OMB 831, 13c</t>
  </si>
  <si>
    <t>* This is accounted for on line_ "IT Staff" as part of the IT transmittal of data records.</t>
  </si>
  <si>
    <t>Policies Earning Premium</t>
  </si>
  <si>
    <t>Companies</t>
  </si>
  <si>
    <t>Nursery Policies Earning Premium</t>
  </si>
  <si>
    <t>Active Crop Insurance Agents</t>
  </si>
  <si>
    <t>Active Loss Adjusters</t>
  </si>
  <si>
    <t>Unique Producers</t>
  </si>
  <si>
    <t>Producers with Spring and Fall</t>
  </si>
  <si>
    <t>New Producers</t>
  </si>
  <si>
    <t>PASS Processing Summary Input Records</t>
  </si>
  <si>
    <t>Beginning Farmer or Rancher</t>
  </si>
  <si>
    <t>Whole Farm Revenue Protection Policies Earning Premium</t>
  </si>
  <si>
    <t>DRP Policies Earning Premium</t>
  </si>
  <si>
    <t>LRP Policies Earning Premium</t>
  </si>
  <si>
    <t>LGM Policies Earning Premium</t>
  </si>
  <si>
    <t>PRH Policies Earning Premium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</si>
  <si>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</si>
  <si>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Respondents: </t>
  </si>
  <si>
    <t>Estimated Annual Number of Responses Per Respondent:</t>
  </si>
  <si>
    <t xml:space="preserve">Estimated Annual Number of Responses: </t>
  </si>
  <si>
    <t>Estimated Total Annual Burden on Respondents:</t>
  </si>
  <si>
    <t>45-2011 Agricultural Inspectors</t>
  </si>
  <si>
    <t>41-3021 Insurance Sales Agent</t>
  </si>
  <si>
    <t>13-1031 Claims Adjusters, Examiners, and Investigators</t>
  </si>
  <si>
    <t>13-2053 Insurance Underwriter</t>
  </si>
  <si>
    <t>11-9013 Farmers, Ranchers, and Other Agricultural Managers</t>
  </si>
  <si>
    <t xml:space="preserve">43-9061 Office Clerk-General </t>
  </si>
  <si>
    <t>13-2011 Accountants and Auditors</t>
  </si>
  <si>
    <t>15-1252 Software Developers</t>
  </si>
  <si>
    <t>Ins. Sales Agent/Farmer and Rancher</t>
  </si>
  <si>
    <t>Ins. Sales Agent/Ins. Underwriter/Farmer</t>
  </si>
  <si>
    <t>Ins. Sales Agent/Office Clerk</t>
  </si>
  <si>
    <t>Ins. Sales Agent/Ins. Underwriter/Office Clerk</t>
  </si>
  <si>
    <t>Ins. Sales Agent/Office Clerk/Claims Adjusters</t>
  </si>
  <si>
    <t>Ins. Sales Agent/Ins. Underwriter/Farmer/Ag. Insp.</t>
  </si>
  <si>
    <t>Ins. Sales Agent/Claims Adjuster</t>
  </si>
  <si>
    <t>Ins. Sales Agent/Claims Adjuster/Farmer</t>
  </si>
  <si>
    <t>MP, MP-HPO, STAX-RP, STAX-RPHPE, WFRP Policies Earning Premium</t>
  </si>
  <si>
    <t>May 2024 National Occupational Employment and Wage Estimates (bls.gov)</t>
  </si>
  <si>
    <t>Occupation Code and Title</t>
  </si>
  <si>
    <t>Hourly Mean Wage</t>
  </si>
  <si>
    <t>DATE PREPARED -   8-28-2025</t>
  </si>
  <si>
    <t>Fringe Benefits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</si>
</sst>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0.0"/>
    <numFmt numFmtId="167" formatCode="&quot;$&quot;#,##0"/>
    <numFmt numFmtId="168" formatCode="#,##0.0000"/>
    <numFmt numFmtId="169" formatCode="&quot;$&quot;#,##0.0000_);\(&quot;$&quot;#,##0.0000\)"/>
    <numFmt numFmtId="170" formatCode="&quot;$&quot;#,##0.0000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32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12" fillId="0" borderId="0" xfId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3" fontId="0" fillId="0" borderId="0" xfId="0" applyNumberFormat="1"/>
    <xf numFmtId="2" fontId="0" fillId="0" borderId="0" xfId="0" applyNumberFormat="1"/>
    <xf numFmtId="166" fontId="0" fillId="0" borderId="0" xfId="0" applyNumberFormat="1"/>
    <xf numFmtId="0" fontId="15" fillId="0" borderId="0" xfId="0" applyFont="1" applyAlignment="1">
      <alignment vertical="center"/>
    </xf>
    <xf numFmtId="8" fontId="15" fillId="0" borderId="0" xfId="0" applyNumberFormat="1" applyFont="1" applyAlignment="1">
      <alignment vertical="center"/>
    </xf>
    <xf numFmtId="0" fontId="0" fillId="0" borderId="10" xfId="0" applyBorder="1"/>
    <xf numFmtId="49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167" fontId="0" fillId="0" borderId="0" xfId="0" applyNumberFormat="1"/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>
      <alignment wrapText="1"/>
    </xf>
    <xf numFmtId="3" fontId="13" fillId="0" borderId="0" xfId="0" applyNumberFormat="1" applyFont="1" applyAlignment="1" applyProtection="1">
      <alignment wrapText="1"/>
      <protection locked="0"/>
    </xf>
    <xf numFmtId="1" fontId="0" fillId="0" borderId="0" xfId="0" applyNumberFormat="1"/>
    <xf numFmtId="0" fontId="15" fillId="0" borderId="0" xfId="0" applyFont="1" applyAlignment="1">
      <alignment vertical="center" wrapText="1"/>
    </xf>
    <xf numFmtId="164" fontId="3" fillId="0" borderId="12" xfId="0" applyNumberFormat="1" applyFont="1" applyBorder="1" applyAlignment="1" applyProtection="1">
      <alignment wrapText="1"/>
      <protection locked="0"/>
    </xf>
    <xf numFmtId="164" fontId="3" fillId="2" borderId="12" xfId="0" applyNumberFormat="1" applyFont="1" applyFill="1" applyBorder="1" applyAlignment="1" applyProtection="1">
      <alignment wrapText="1"/>
      <protection locked="0"/>
    </xf>
    <xf numFmtId="164" fontId="7" fillId="0" borderId="12" xfId="0" applyNumberFormat="1" applyFont="1" applyBorder="1" applyAlignment="1">
      <alignment wrapText="1"/>
    </xf>
    <xf numFmtId="164" fontId="3" fillId="0" borderId="12" xfId="0" applyNumberFormat="1" applyFont="1" applyBorder="1" applyAlignment="1">
      <alignment wrapText="1"/>
    </xf>
    <xf numFmtId="164" fontId="3" fillId="2" borderId="12" xfId="0" applyNumberFormat="1" applyFont="1" applyFill="1" applyBorder="1" applyAlignment="1">
      <alignment wrapText="1"/>
    </xf>
    <xf numFmtId="169" fontId="3" fillId="0" borderId="12" xfId="2" applyNumberFormat="1" applyFont="1" applyBorder="1" applyAlignment="1">
      <alignment wrapText="1"/>
    </xf>
    <xf numFmtId="169" fontId="3" fillId="2" borderId="12" xfId="2" applyNumberFormat="1" applyFont="1" applyFill="1" applyBorder="1" applyAlignment="1">
      <alignment wrapText="1"/>
    </xf>
    <xf numFmtId="169" fontId="3" fillId="2" borderId="13" xfId="2" applyNumberFormat="1" applyFont="1" applyFill="1" applyBorder="1" applyAlignment="1">
      <alignment wrapText="1"/>
    </xf>
    <xf numFmtId="169" fontId="7" fillId="0" borderId="12" xfId="2" applyNumberFormat="1" applyFont="1" applyBorder="1" applyAlignment="1">
      <alignment wrapText="1"/>
    </xf>
    <xf numFmtId="168" fontId="7" fillId="0" borderId="12" xfId="0" applyNumberFormat="1" applyFont="1" applyBorder="1" applyAlignment="1">
      <alignment wrapText="1"/>
    </xf>
    <xf numFmtId="170" fontId="3" fillId="0" borderId="12" xfId="0" applyNumberFormat="1" applyFont="1" applyBorder="1" applyAlignment="1">
      <alignment wrapText="1"/>
    </xf>
    <xf numFmtId="170" fontId="3" fillId="2" borderId="12" xfId="0" applyNumberFormat="1" applyFont="1" applyFill="1" applyBorder="1" applyAlignment="1">
      <alignment wrapText="1"/>
    </xf>
    <xf numFmtId="49" fontId="9" fillId="0" borderId="0" xfId="0" applyNumberFormat="1" applyFont="1" applyAlignment="1" applyProtection="1">
      <alignment vertical="center" wrapText="1"/>
      <protection locked="0"/>
    </xf>
    <xf numFmtId="164" fontId="7" fillId="0" borderId="12" xfId="0" applyNumberFormat="1" applyFont="1" applyBorder="1" applyAlignment="1" applyProtection="1">
      <alignment wrapText="1"/>
      <protection locked="0"/>
    </xf>
    <xf numFmtId="168" fontId="3" fillId="0" borderId="12" xfId="0" applyNumberFormat="1" applyFont="1" applyBorder="1" applyAlignment="1" applyProtection="1">
      <alignment wrapText="1"/>
      <protection locked="0"/>
    </xf>
    <xf numFmtId="168" fontId="3" fillId="2" borderId="12" xfId="0" applyNumberFormat="1" applyFont="1" applyFill="1" applyBorder="1" applyAlignment="1" applyProtection="1">
      <alignment wrapText="1"/>
      <protection locked="0"/>
    </xf>
    <xf numFmtId="168" fontId="7" fillId="0" borderId="12" xfId="0" applyNumberFormat="1" applyFont="1" applyBorder="1" applyAlignment="1" applyProtection="1">
      <alignment wrapText="1"/>
      <protection locked="0"/>
    </xf>
    <xf numFmtId="8" fontId="15" fillId="0" borderId="0" xfId="0" applyNumberFormat="1" applyFont="1" applyAlignment="1">
      <alignment vertical="center" wrapText="1"/>
    </xf>
    <xf numFmtId="169" fontId="0" fillId="0" borderId="0" xfId="0" applyNumberFormat="1"/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13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ah.kliethermes\AppData\Local\Microsoft\Windows\INetCache\Content.Outlook\REE5QFKL\Sample%20burden%20revision%20based%20on%20rulemaking%20with%20program%20changes%20and%20adjustment%20columns%206-2018.xlsx" TargetMode="External"/><Relationship Id="rId1" Type="http://schemas.openxmlformats.org/officeDocument/2006/relationships/externalLinkPath" Target="file:///C:\Users\sarah.kliethermes\AppData\Local\Microsoft\Windows\INetCache\Content.Outlook\REE5QFKL\Sample%20burden%20revision%20based%20on%20rulemaking%20with%20program%20changes%20and%20adjustment%20columns%206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.sharepoint.com/sites/FPAC-RMA-PASD-PAD/Shared%20Documents/PAB%20Paperwork%20Packages/Big%20Package%200563-0053/2022%200563-0053/Burden%20Grid%202022%200563-0053%206-28-22.xlsx" TargetMode="External"/><Relationship Id="rId1" Type="http://schemas.openxmlformats.org/officeDocument/2006/relationships/externalLinkPath" Target="https://usdagcc.sharepoint.com/sites/FPAC-RMA-PASD-PAD/Shared%20Documents/PAB%20Paperwork%20Packages/Big%20Package%200563-0053/2022%200563-0053/Burden%20Grid%202022%200563-0053%206-28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burden inventory"/>
      <sheetName val="revised activity to modify bur"/>
      <sheetName val="Sheet3"/>
    </sheetNames>
    <sheetDataSet>
      <sheetData sheetId="0">
        <row r="2">
          <cell r="H2" t="str">
            <v>Previous Submission Total Hours</v>
          </cell>
          <cell r="I2" t="str">
            <v>Difference Due to Program Changes</v>
          </cell>
          <cell r="J2" t="str">
            <v>Difference Due to Adjustments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den Grid"/>
      <sheetName val="Numbers for Burden Grid"/>
      <sheetName val="Wages"/>
    </sheetNames>
    <sheetDataSet>
      <sheetData sheetId="0">
        <row r="77">
          <cell r="Q77">
            <v>261454294.38726816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5"/>
  <sheetViews>
    <sheetView tabSelected="1" zoomScaleNormal="100" workbookViewId="0">
      <pane xSplit="1" topLeftCell="B1" activePane="topRight" state="frozen"/>
      <selection pane="topRight" activeCell="T22" sqref="T22"/>
    </sheetView>
  </sheetViews>
  <sheetFormatPr defaultRowHeight="14.5" x14ac:dyDescent="0.35"/>
  <cols>
    <col min="1" max="1" width="17.7265625" customWidth="1"/>
    <col min="2" max="2" width="16.453125" customWidth="1"/>
    <col min="7" max="7" width="19" customWidth="1"/>
    <col min="8" max="8" width="15.1796875" customWidth="1"/>
    <col min="9" max="9" width="15" customWidth="1"/>
    <col min="10" max="10" width="16.453125" customWidth="1"/>
    <col min="11" max="11" width="15.453125" customWidth="1"/>
    <col min="12" max="12" width="19.26953125" customWidth="1"/>
    <col min="13" max="13" width="14.1796875" customWidth="1"/>
    <col min="14" max="14" width="11.453125" customWidth="1"/>
    <col min="15" max="15" width="9.81640625" customWidth="1"/>
    <col min="16" max="16" width="13" customWidth="1"/>
    <col min="17" max="17" width="18.54296875" bestFit="1" customWidth="1"/>
    <col min="18" max="18" width="24.1796875" customWidth="1"/>
    <col min="19" max="19" width="25.54296875" customWidth="1"/>
    <col min="20" max="20" width="29" bestFit="1" customWidth="1"/>
  </cols>
  <sheetData>
    <row r="1" spans="1:17" x14ac:dyDescent="0.35">
      <c r="A1" s="84" t="s">
        <v>0</v>
      </c>
      <c r="B1" s="85"/>
      <c r="C1" s="86"/>
      <c r="D1" s="86"/>
      <c r="E1" s="86"/>
      <c r="F1" s="86"/>
      <c r="G1" s="86"/>
      <c r="H1" s="86"/>
      <c r="I1" s="87"/>
      <c r="J1" s="94" t="s">
        <v>1</v>
      </c>
      <c r="K1" s="95"/>
      <c r="L1" s="95"/>
      <c r="M1" s="95"/>
      <c r="N1" s="96"/>
      <c r="O1" s="106" t="s">
        <v>2</v>
      </c>
      <c r="P1" s="107"/>
      <c r="Q1" s="15"/>
    </row>
    <row r="2" spans="1:17" x14ac:dyDescent="0.35">
      <c r="A2" s="88"/>
      <c r="B2" s="89"/>
      <c r="C2" s="89"/>
      <c r="D2" s="89"/>
      <c r="E2" s="89"/>
      <c r="F2" s="89"/>
      <c r="G2" s="89"/>
      <c r="H2" s="89"/>
      <c r="I2" s="90"/>
      <c r="J2" s="97"/>
      <c r="K2" s="98"/>
      <c r="L2" s="98"/>
      <c r="M2" s="98"/>
      <c r="N2" s="99"/>
      <c r="O2" s="108"/>
      <c r="P2" s="109"/>
      <c r="Q2" s="15"/>
    </row>
    <row r="3" spans="1:17" x14ac:dyDescent="0.35">
      <c r="A3" s="88"/>
      <c r="B3" s="89"/>
      <c r="C3" s="89"/>
      <c r="D3" s="89"/>
      <c r="E3" s="89"/>
      <c r="F3" s="89"/>
      <c r="G3" s="89"/>
      <c r="H3" s="89"/>
      <c r="I3" s="90"/>
      <c r="J3" s="112" t="s">
        <v>3</v>
      </c>
      <c r="K3" s="113"/>
      <c r="L3" s="113"/>
      <c r="M3" s="113"/>
      <c r="N3" s="114"/>
      <c r="O3" s="108"/>
      <c r="P3" s="109"/>
      <c r="Q3" s="15"/>
    </row>
    <row r="4" spans="1:17" x14ac:dyDescent="0.35">
      <c r="A4" s="88"/>
      <c r="B4" s="89"/>
      <c r="C4" s="89"/>
      <c r="D4" s="89"/>
      <c r="E4" s="89"/>
      <c r="F4" s="89"/>
      <c r="G4" s="89"/>
      <c r="H4" s="89"/>
      <c r="I4" s="90"/>
      <c r="J4" s="115"/>
      <c r="K4" s="113"/>
      <c r="L4" s="113"/>
      <c r="M4" s="113"/>
      <c r="N4" s="114"/>
      <c r="O4" s="108"/>
      <c r="P4" s="109"/>
      <c r="Q4" s="15"/>
    </row>
    <row r="5" spans="1:17" x14ac:dyDescent="0.35">
      <c r="A5" s="88"/>
      <c r="B5" s="89"/>
      <c r="C5" s="89"/>
      <c r="D5" s="89"/>
      <c r="E5" s="89"/>
      <c r="F5" s="89"/>
      <c r="G5" s="89"/>
      <c r="H5" s="89"/>
      <c r="I5" s="90"/>
      <c r="J5" s="115"/>
      <c r="K5" s="113"/>
      <c r="L5" s="113"/>
      <c r="M5" s="113"/>
      <c r="N5" s="114"/>
      <c r="O5" s="110"/>
      <c r="P5" s="111"/>
      <c r="Q5" s="15"/>
    </row>
    <row r="6" spans="1:17" ht="33.75" customHeight="1" x14ac:dyDescent="0.35">
      <c r="A6" s="88"/>
      <c r="B6" s="89"/>
      <c r="C6" s="89"/>
      <c r="D6" s="89"/>
      <c r="E6" s="89"/>
      <c r="F6" s="89"/>
      <c r="G6" s="89"/>
      <c r="H6" s="89"/>
      <c r="I6" s="90"/>
      <c r="J6" s="115"/>
      <c r="K6" s="113"/>
      <c r="L6" s="113"/>
      <c r="M6" s="113"/>
      <c r="N6" s="114"/>
      <c r="O6" s="106" t="s">
        <v>117</v>
      </c>
      <c r="P6" s="107"/>
      <c r="Q6" s="15"/>
    </row>
    <row r="7" spans="1:17" hidden="1" x14ac:dyDescent="0.35">
      <c r="A7" s="88"/>
      <c r="B7" s="89"/>
      <c r="C7" s="89"/>
      <c r="D7" s="89"/>
      <c r="E7" s="89"/>
      <c r="F7" s="89"/>
      <c r="G7" s="89"/>
      <c r="H7" s="89"/>
      <c r="I7" s="90"/>
      <c r="J7" s="115"/>
      <c r="K7" s="113"/>
      <c r="L7" s="113"/>
      <c r="M7" s="113"/>
      <c r="N7" s="114"/>
      <c r="O7" s="108"/>
      <c r="P7" s="109"/>
      <c r="Q7" s="2"/>
    </row>
    <row r="8" spans="1:17" ht="2.25" hidden="1" customHeight="1" x14ac:dyDescent="0.35">
      <c r="A8" s="88"/>
      <c r="B8" s="89"/>
      <c r="C8" s="89"/>
      <c r="D8" s="89"/>
      <c r="E8" s="89"/>
      <c r="F8" s="89"/>
      <c r="G8" s="89"/>
      <c r="H8" s="89"/>
      <c r="I8" s="90"/>
      <c r="J8" s="115"/>
      <c r="K8" s="113"/>
      <c r="L8" s="113"/>
      <c r="M8" s="113"/>
      <c r="N8" s="114"/>
      <c r="O8" s="108"/>
      <c r="P8" s="109"/>
      <c r="Q8" s="2"/>
    </row>
    <row r="9" spans="1:17" hidden="1" x14ac:dyDescent="0.35">
      <c r="A9" s="91"/>
      <c r="B9" s="92"/>
      <c r="C9" s="92"/>
      <c r="D9" s="92"/>
      <c r="E9" s="92"/>
      <c r="F9" s="92"/>
      <c r="G9" s="92"/>
      <c r="H9" s="92"/>
      <c r="I9" s="93"/>
      <c r="J9" s="116"/>
      <c r="K9" s="117"/>
      <c r="L9" s="117"/>
      <c r="M9" s="117"/>
      <c r="N9" s="118"/>
      <c r="O9" s="110"/>
      <c r="P9" s="111"/>
      <c r="Q9" s="2"/>
    </row>
    <row r="10" spans="1:17" ht="15" hidden="1" customHeight="1" x14ac:dyDescent="0.35">
      <c r="A10" s="100" t="s">
        <v>4</v>
      </c>
      <c r="B10" s="101"/>
      <c r="C10" s="101"/>
      <c r="D10" s="101"/>
      <c r="E10" s="101"/>
      <c r="F10" s="101"/>
      <c r="G10" s="101"/>
      <c r="H10" s="102"/>
      <c r="I10" s="120" t="s">
        <v>5</v>
      </c>
      <c r="J10" s="121"/>
      <c r="K10" s="121"/>
      <c r="L10" s="121"/>
      <c r="M10" s="121"/>
      <c r="N10" s="121"/>
      <c r="O10" s="121"/>
      <c r="P10" s="122"/>
      <c r="Q10" s="1"/>
    </row>
    <row r="11" spans="1:17" hidden="1" x14ac:dyDescent="0.35">
      <c r="A11" s="103"/>
      <c r="B11" s="104"/>
      <c r="C11" s="104"/>
      <c r="D11" s="104"/>
      <c r="E11" s="104"/>
      <c r="F11" s="104"/>
      <c r="G11" s="104"/>
      <c r="H11" s="105"/>
      <c r="I11" s="123"/>
      <c r="J11" s="124"/>
      <c r="K11" s="124"/>
      <c r="L11" s="124"/>
      <c r="M11" s="124"/>
      <c r="N11" s="124"/>
      <c r="O11" s="124"/>
      <c r="P11" s="125"/>
      <c r="Q11" s="1"/>
    </row>
    <row r="12" spans="1:17" ht="15" hidden="1" customHeight="1" x14ac:dyDescent="0.35">
      <c r="A12" s="55" t="s">
        <v>6</v>
      </c>
      <c r="B12" s="55" t="s">
        <v>7</v>
      </c>
      <c r="C12" s="56"/>
      <c r="D12" s="56"/>
      <c r="E12" s="56"/>
      <c r="F12" s="57"/>
      <c r="G12" s="52" t="s">
        <v>8</v>
      </c>
      <c r="H12" s="64" t="s">
        <v>9</v>
      </c>
      <c r="I12" s="65"/>
      <c r="J12" s="65"/>
      <c r="K12" s="65"/>
      <c r="L12" s="66"/>
      <c r="M12" s="70" t="s">
        <v>10</v>
      </c>
      <c r="N12" s="71"/>
      <c r="O12" s="72"/>
      <c r="P12" s="3"/>
      <c r="Q12" s="4"/>
    </row>
    <row r="13" spans="1:17" ht="15" hidden="1" customHeight="1" x14ac:dyDescent="0.35">
      <c r="A13" s="58"/>
      <c r="B13" s="58"/>
      <c r="C13" s="59"/>
      <c r="D13" s="59"/>
      <c r="E13" s="59"/>
      <c r="F13" s="60"/>
      <c r="G13" s="53"/>
      <c r="H13" s="67"/>
      <c r="I13" s="68"/>
      <c r="J13" s="68"/>
      <c r="K13" s="68"/>
      <c r="L13" s="69"/>
      <c r="M13" s="73"/>
      <c r="N13" s="74"/>
      <c r="O13" s="75"/>
      <c r="P13" s="3"/>
      <c r="Q13" s="4"/>
    </row>
    <row r="14" spans="1:17" ht="15" hidden="1" customHeight="1" x14ac:dyDescent="0.35">
      <c r="A14" s="58"/>
      <c r="B14" s="58"/>
      <c r="C14" s="59"/>
      <c r="D14" s="59"/>
      <c r="E14" s="59"/>
      <c r="F14" s="60"/>
      <c r="G14" s="53"/>
      <c r="H14" s="52" t="s">
        <v>11</v>
      </c>
      <c r="I14" s="52" t="s">
        <v>12</v>
      </c>
      <c r="J14" s="52" t="s">
        <v>13</v>
      </c>
      <c r="K14" s="52" t="s">
        <v>14</v>
      </c>
      <c r="L14" s="52" t="s">
        <v>15</v>
      </c>
      <c r="M14" s="52" t="s">
        <v>16</v>
      </c>
      <c r="N14" s="52" t="s">
        <v>17</v>
      </c>
      <c r="O14" s="76" t="s">
        <v>18</v>
      </c>
      <c r="P14" s="52" t="s">
        <v>19</v>
      </c>
      <c r="Q14" s="52" t="s">
        <v>20</v>
      </c>
    </row>
    <row r="15" spans="1:17" ht="15" hidden="1" customHeight="1" x14ac:dyDescent="0.35">
      <c r="A15" s="58"/>
      <c r="B15" s="58"/>
      <c r="C15" s="59"/>
      <c r="D15" s="59"/>
      <c r="E15" s="59"/>
      <c r="F15" s="60"/>
      <c r="G15" s="53"/>
      <c r="H15" s="53"/>
      <c r="I15" s="53"/>
      <c r="J15" s="53"/>
      <c r="K15" s="53"/>
      <c r="L15" s="53"/>
      <c r="M15" s="53"/>
      <c r="N15" s="53"/>
      <c r="O15" s="77"/>
      <c r="P15" s="53"/>
      <c r="Q15" s="53"/>
    </row>
    <row r="16" spans="1:17" ht="15" hidden="1" customHeight="1" x14ac:dyDescent="0.35">
      <c r="A16" s="58"/>
      <c r="B16" s="58"/>
      <c r="C16" s="59"/>
      <c r="D16" s="59"/>
      <c r="E16" s="59"/>
      <c r="F16" s="60"/>
      <c r="G16" s="53"/>
      <c r="H16" s="53"/>
      <c r="I16" s="53"/>
      <c r="J16" s="53"/>
      <c r="K16" s="53"/>
      <c r="L16" s="53"/>
      <c r="M16" s="53"/>
      <c r="N16" s="53"/>
      <c r="O16" s="77"/>
      <c r="P16" s="53"/>
      <c r="Q16" s="53"/>
    </row>
    <row r="17" spans="1:82" ht="22.5" customHeight="1" x14ac:dyDescent="0.35">
      <c r="A17" s="58"/>
      <c r="B17" s="58"/>
      <c r="C17" s="59"/>
      <c r="D17" s="59"/>
      <c r="E17" s="59"/>
      <c r="F17" s="60"/>
      <c r="G17" s="53"/>
      <c r="H17" s="53"/>
      <c r="I17" s="53"/>
      <c r="J17" s="53"/>
      <c r="K17" s="53"/>
      <c r="L17" s="53"/>
      <c r="M17" s="53"/>
      <c r="N17" s="53"/>
      <c r="O17" s="77"/>
      <c r="P17" s="53"/>
      <c r="Q17" s="53"/>
    </row>
    <row r="18" spans="1:82" ht="31.5" customHeight="1" x14ac:dyDescent="0.35">
      <c r="A18" s="58"/>
      <c r="B18" s="58"/>
      <c r="C18" s="59"/>
      <c r="D18" s="59"/>
      <c r="E18" s="59"/>
      <c r="F18" s="60"/>
      <c r="G18" s="53"/>
      <c r="H18" s="53"/>
      <c r="I18" s="53"/>
      <c r="J18" s="53"/>
      <c r="K18" s="53"/>
      <c r="L18" s="53"/>
      <c r="M18" s="53"/>
      <c r="N18" s="53"/>
      <c r="O18" s="77"/>
      <c r="P18" s="53"/>
      <c r="Q18" s="53"/>
    </row>
    <row r="19" spans="1:82" ht="67.5" customHeight="1" x14ac:dyDescent="0.35">
      <c r="A19" s="61"/>
      <c r="B19" s="61"/>
      <c r="C19" s="62"/>
      <c r="D19" s="62"/>
      <c r="E19" s="62"/>
      <c r="F19" s="63"/>
      <c r="G19" s="54"/>
      <c r="H19" s="54"/>
      <c r="I19" s="54"/>
      <c r="J19" s="54"/>
      <c r="K19" s="54"/>
      <c r="L19" s="54"/>
      <c r="M19" s="54"/>
      <c r="N19" s="54"/>
      <c r="O19" s="78"/>
      <c r="P19" s="54"/>
      <c r="Q19" s="54"/>
      <c r="R19" s="43" t="str">
        <f>'[1]current burden inventory'!H2</f>
        <v>Previous Submission Total Hours</v>
      </c>
      <c r="S19" s="43" t="str">
        <f>'[1]current burden inventory'!I2</f>
        <v>Difference Due to Program Changes</v>
      </c>
      <c r="T19" s="43" t="str">
        <f>'[1]current burden inventory'!J2</f>
        <v>Difference Due to Adjustments</v>
      </c>
    </row>
    <row r="20" spans="1:82" ht="25" x14ac:dyDescent="0.35">
      <c r="A20" s="19" t="s">
        <v>21</v>
      </c>
      <c r="B20" s="49" t="s">
        <v>22</v>
      </c>
      <c r="C20" s="51"/>
      <c r="D20" s="51"/>
      <c r="E20" s="51"/>
      <c r="F20" s="51"/>
      <c r="G20" s="19" t="s">
        <v>23</v>
      </c>
      <c r="H20" s="30">
        <v>0</v>
      </c>
      <c r="I20" s="30">
        <v>0</v>
      </c>
      <c r="J20" s="33">
        <f t="shared" ref="J20:J76" si="0">SUM(H20*I20)</f>
        <v>0</v>
      </c>
      <c r="K20" s="30">
        <v>0</v>
      </c>
      <c r="L20" s="33">
        <f t="shared" ref="L20:L38" si="1">SUM(J20*K20)</f>
        <v>0</v>
      </c>
      <c r="M20" s="30">
        <v>0</v>
      </c>
      <c r="N20" s="30">
        <v>0</v>
      </c>
      <c r="O20" s="30">
        <f t="shared" ref="O20:O27" si="2">SUM(M20*N20)</f>
        <v>0</v>
      </c>
      <c r="P20" s="40">
        <f>Wages!C13</f>
        <v>39.987749999999998</v>
      </c>
      <c r="Q20" s="33"/>
      <c r="R20" s="44">
        <v>0</v>
      </c>
      <c r="S20" s="44">
        <v>0</v>
      </c>
      <c r="T20" s="44">
        <v>0</v>
      </c>
    </row>
    <row r="21" spans="1:82" x14ac:dyDescent="0.35">
      <c r="A21" s="19" t="s">
        <v>24</v>
      </c>
      <c r="B21" s="79" t="s">
        <v>25</v>
      </c>
      <c r="C21" s="80"/>
      <c r="D21" s="80"/>
      <c r="E21" s="80"/>
      <c r="F21" s="80"/>
      <c r="G21" s="19" t="s">
        <v>23</v>
      </c>
      <c r="H21" s="30">
        <f>'Numbers for Burden Grid'!B2</f>
        <v>12</v>
      </c>
      <c r="I21" s="30">
        <v>0</v>
      </c>
      <c r="J21" s="33">
        <f t="shared" si="0"/>
        <v>0</v>
      </c>
      <c r="K21" s="30">
        <v>0</v>
      </c>
      <c r="L21" s="33">
        <f t="shared" si="1"/>
        <v>0</v>
      </c>
      <c r="M21" s="30">
        <v>0</v>
      </c>
      <c r="N21" s="30">
        <v>0</v>
      </c>
      <c r="O21" s="30">
        <f t="shared" si="2"/>
        <v>0</v>
      </c>
      <c r="P21" s="40">
        <f>Wages!C9</f>
        <v>91.045000000000002</v>
      </c>
      <c r="Q21" s="35">
        <f t="shared" ref="Q21:Q38" si="3">L21*P21</f>
        <v>0</v>
      </c>
      <c r="R21" s="44">
        <v>0</v>
      </c>
      <c r="S21" s="44">
        <v>0</v>
      </c>
      <c r="T21" s="44">
        <v>0</v>
      </c>
    </row>
    <row r="22" spans="1:82" s="17" customFormat="1" x14ac:dyDescent="0.35">
      <c r="A22" s="16" t="s">
        <v>26</v>
      </c>
      <c r="B22" s="50" t="s">
        <v>27</v>
      </c>
      <c r="C22" s="50"/>
      <c r="D22" s="50"/>
      <c r="E22" s="50"/>
      <c r="F22" s="50"/>
      <c r="G22" s="16" t="s">
        <v>23</v>
      </c>
      <c r="H22" s="31">
        <f>'Numbers for Burden Grid'!B8+('Numbers for Burden Grid'!B1*0.1)</f>
        <v>156767.83333333334</v>
      </c>
      <c r="I22" s="31">
        <v>1</v>
      </c>
      <c r="J22" s="34">
        <f t="shared" si="0"/>
        <v>156767.83333333334</v>
      </c>
      <c r="K22" s="31">
        <f>((25336*1)+(94278*0.15))/(25336+94278)</f>
        <v>0.3300424699449897</v>
      </c>
      <c r="L22" s="34">
        <f t="shared" si="1"/>
        <v>51740.042921257824</v>
      </c>
      <c r="M22" s="31">
        <v>0</v>
      </c>
      <c r="N22" s="31">
        <v>0</v>
      </c>
      <c r="O22" s="31">
        <f>SUM(M22*N22)</f>
        <v>0</v>
      </c>
      <c r="P22" s="41">
        <f>Wages!C6</f>
        <v>61.2425</v>
      </c>
      <c r="Q22" s="36">
        <f t="shared" si="3"/>
        <v>3168689.5786051322</v>
      </c>
      <c r="R22" s="45">
        <v>47632.279333244151</v>
      </c>
      <c r="S22" s="45">
        <v>0</v>
      </c>
      <c r="T22" s="45">
        <f t="shared" ref="T22:T53" si="4">L22-R22</f>
        <v>4107.7635880136731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1:82" ht="25" x14ac:dyDescent="0.35">
      <c r="A23" s="19" t="s">
        <v>21</v>
      </c>
      <c r="B23" s="49" t="s">
        <v>28</v>
      </c>
      <c r="C23" s="49"/>
      <c r="D23" s="49"/>
      <c r="E23" s="49"/>
      <c r="F23" s="49"/>
      <c r="G23" s="19" t="s">
        <v>23</v>
      </c>
      <c r="H23" s="30">
        <f>'Numbers for Burden Grid'!B4</f>
        <v>13512.666666666666</v>
      </c>
      <c r="I23" s="30">
        <f>H22/'Numbers for Burden Grid'!B4</f>
        <v>11.601546696926341</v>
      </c>
      <c r="J23" s="33">
        <f t="shared" si="0"/>
        <v>156767.83333333334</v>
      </c>
      <c r="K23" s="30">
        <f>((25336*1)+(94278*0.15))/(25336+94278)</f>
        <v>0.3300424699449897</v>
      </c>
      <c r="L23" s="33">
        <f t="shared" si="1"/>
        <v>51740.042921257824</v>
      </c>
      <c r="M23" s="30">
        <v>0</v>
      </c>
      <c r="N23" s="30">
        <v>0</v>
      </c>
      <c r="O23" s="30">
        <f t="shared" si="2"/>
        <v>0</v>
      </c>
      <c r="P23" s="40">
        <f>Wages!C13</f>
        <v>39.987749999999998</v>
      </c>
      <c r="Q23" s="35">
        <f t="shared" si="3"/>
        <v>2068967.9013245276</v>
      </c>
      <c r="R23" s="44">
        <v>47632.279333244151</v>
      </c>
      <c r="S23" s="44">
        <v>0</v>
      </c>
      <c r="T23" s="44">
        <f t="shared" si="4"/>
        <v>4107.7635880136731</v>
      </c>
    </row>
    <row r="24" spans="1:82" s="17" customFormat="1" x14ac:dyDescent="0.35">
      <c r="A24" s="16" t="s">
        <v>26</v>
      </c>
      <c r="B24" s="50" t="s">
        <v>29</v>
      </c>
      <c r="C24" s="50"/>
      <c r="D24" s="50"/>
      <c r="E24" s="50"/>
      <c r="F24" s="50"/>
      <c r="G24" s="16" t="s">
        <v>23</v>
      </c>
      <c r="H24" s="31">
        <f>'Numbers for Burden Grid'!B6</f>
        <v>512986.66666666669</v>
      </c>
      <c r="I24" s="31">
        <f>'Numbers for Burden Grid'!B1/'Numbers for Burden Grid'!B6</f>
        <v>2.3974534750740761</v>
      </c>
      <c r="J24" s="34">
        <f t="shared" si="0"/>
        <v>1229861.6666666667</v>
      </c>
      <c r="K24" s="31">
        <v>0.75</v>
      </c>
      <c r="L24" s="34">
        <f t="shared" si="1"/>
        <v>922396.25</v>
      </c>
      <c r="M24" s="31">
        <v>0</v>
      </c>
      <c r="N24" s="31">
        <v>0</v>
      </c>
      <c r="O24" s="31">
        <f t="shared" si="2"/>
        <v>0</v>
      </c>
      <c r="P24" s="41">
        <f>Wages!C6</f>
        <v>61.2425</v>
      </c>
      <c r="Q24" s="36">
        <f t="shared" si="3"/>
        <v>56489852.340625003</v>
      </c>
      <c r="R24" s="45">
        <v>849975</v>
      </c>
      <c r="S24" s="45">
        <v>0</v>
      </c>
      <c r="T24" s="45">
        <f t="shared" si="4"/>
        <v>72421.25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82" ht="25" x14ac:dyDescent="0.35">
      <c r="A25" s="19" t="s">
        <v>21</v>
      </c>
      <c r="B25" s="49" t="s">
        <v>30</v>
      </c>
      <c r="C25" s="49"/>
      <c r="D25" s="49"/>
      <c r="E25" s="49"/>
      <c r="F25" s="49"/>
      <c r="G25" s="19" t="s">
        <v>23</v>
      </c>
      <c r="H25" s="30">
        <f>'Numbers for Burden Grid'!B4</f>
        <v>13512.666666666666</v>
      </c>
      <c r="I25" s="30">
        <f>'Numbers for Burden Grid'!B1/'Numbers for Burden Grid'!B4</f>
        <v>91.015466969263414</v>
      </c>
      <c r="J25" s="33">
        <f t="shared" si="0"/>
        <v>1229861.6666666667</v>
      </c>
      <c r="K25" s="33">
        <v>0.5</v>
      </c>
      <c r="L25" s="33">
        <f t="shared" si="1"/>
        <v>614930.83333333337</v>
      </c>
      <c r="M25" s="30">
        <v>0</v>
      </c>
      <c r="N25" s="30">
        <v>0</v>
      </c>
      <c r="O25" s="30">
        <f t="shared" si="2"/>
        <v>0</v>
      </c>
      <c r="P25" s="40">
        <f>Wages!C13</f>
        <v>39.987749999999998</v>
      </c>
      <c r="Q25" s="35">
        <f t="shared" si="3"/>
        <v>24589700.430624999</v>
      </c>
      <c r="R25" s="44">
        <v>566650</v>
      </c>
      <c r="S25" s="44">
        <v>0</v>
      </c>
      <c r="T25" s="44">
        <f t="shared" si="4"/>
        <v>48280.833333333372</v>
      </c>
    </row>
    <row r="26" spans="1:82" s="17" customFormat="1" x14ac:dyDescent="0.35">
      <c r="A26" s="16" t="s">
        <v>26</v>
      </c>
      <c r="B26" s="50" t="s">
        <v>31</v>
      </c>
      <c r="C26" s="50"/>
      <c r="D26" s="50"/>
      <c r="E26" s="50"/>
      <c r="F26" s="50"/>
      <c r="G26" s="16" t="s">
        <v>23</v>
      </c>
      <c r="H26" s="31">
        <f>'Numbers for Burden Grid'!B6+'Numbers for Burden Grid'!B7</f>
        <v>778491.66666666674</v>
      </c>
      <c r="I26" s="31">
        <v>1</v>
      </c>
      <c r="J26" s="34">
        <f t="shared" si="0"/>
        <v>778491.66666666674</v>
      </c>
      <c r="K26" s="34">
        <v>0.1</v>
      </c>
      <c r="L26" s="34">
        <f t="shared" si="1"/>
        <v>77849.166666666672</v>
      </c>
      <c r="M26" s="31">
        <v>0</v>
      </c>
      <c r="N26" s="31">
        <v>0</v>
      </c>
      <c r="O26" s="31">
        <f t="shared" si="2"/>
        <v>0</v>
      </c>
      <c r="P26" s="41">
        <f>Wages!C6</f>
        <v>61.2425</v>
      </c>
      <c r="Q26" s="36">
        <f t="shared" si="3"/>
        <v>4767677.5895833336</v>
      </c>
      <c r="R26" s="45">
        <v>77247.133333333302</v>
      </c>
      <c r="S26" s="45">
        <v>0</v>
      </c>
      <c r="T26" s="45">
        <f t="shared" si="4"/>
        <v>602.03333333336923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82" x14ac:dyDescent="0.35">
      <c r="A27" s="19" t="s">
        <v>32</v>
      </c>
      <c r="B27" s="49" t="s">
        <v>31</v>
      </c>
      <c r="C27" s="49"/>
      <c r="D27" s="49"/>
      <c r="E27" s="49"/>
      <c r="F27" s="49"/>
      <c r="G27" s="19" t="s">
        <v>23</v>
      </c>
      <c r="H27" s="30">
        <f>'Numbers for Burden Grid'!B2</f>
        <v>12</v>
      </c>
      <c r="I27" s="30">
        <f>H26/H27</f>
        <v>64874.305555555562</v>
      </c>
      <c r="J27" s="33">
        <f t="shared" si="0"/>
        <v>778491.66666666674</v>
      </c>
      <c r="K27" s="33">
        <v>0.1</v>
      </c>
      <c r="L27" s="33">
        <f t="shared" si="1"/>
        <v>77849.166666666672</v>
      </c>
      <c r="M27" s="30">
        <v>0</v>
      </c>
      <c r="N27" s="30">
        <v>0</v>
      </c>
      <c r="O27" s="30">
        <f t="shared" si="2"/>
        <v>0</v>
      </c>
      <c r="P27" s="40">
        <f>Wages!C8</f>
        <v>58.897600000000004</v>
      </c>
      <c r="Q27" s="35">
        <f t="shared" si="3"/>
        <v>4585129.0786666675</v>
      </c>
      <c r="R27" s="44">
        <v>77247.133333333331</v>
      </c>
      <c r="S27" s="44">
        <v>0</v>
      </c>
      <c r="T27" s="44">
        <f t="shared" si="4"/>
        <v>602.03333333334012</v>
      </c>
    </row>
    <row r="28" spans="1:82" s="17" customFormat="1" x14ac:dyDescent="0.35">
      <c r="A28" s="16" t="s">
        <v>26</v>
      </c>
      <c r="B28" s="50" t="s">
        <v>33</v>
      </c>
      <c r="C28" s="50"/>
      <c r="D28" s="50"/>
      <c r="E28" s="50"/>
      <c r="F28" s="50"/>
      <c r="G28" s="16" t="s">
        <v>23</v>
      </c>
      <c r="H28" s="31">
        <f>'Numbers for Burden Grid'!B3</f>
        <v>1149.6666666666667</v>
      </c>
      <c r="I28" s="31">
        <v>1</v>
      </c>
      <c r="J28" s="34">
        <f t="shared" si="0"/>
        <v>1149.6666666666667</v>
      </c>
      <c r="K28" s="34">
        <v>8</v>
      </c>
      <c r="L28" s="34">
        <f t="shared" si="1"/>
        <v>9197.3333333333339</v>
      </c>
      <c r="M28" s="31">
        <v>0</v>
      </c>
      <c r="N28" s="31">
        <v>0</v>
      </c>
      <c r="O28" s="31">
        <f>SUM(M28*N28)</f>
        <v>0</v>
      </c>
      <c r="P28" s="41">
        <f>Wages!C6</f>
        <v>61.2425</v>
      </c>
      <c r="Q28" s="36">
        <f t="shared" si="3"/>
        <v>563267.68666666665</v>
      </c>
      <c r="R28" s="45">
        <v>7978.666666666667</v>
      </c>
      <c r="S28" s="45">
        <v>0</v>
      </c>
      <c r="T28" s="45">
        <f t="shared" si="4"/>
        <v>1218.666666666667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82" ht="25" x14ac:dyDescent="0.35">
      <c r="A29" s="19" t="s">
        <v>21</v>
      </c>
      <c r="B29" s="49" t="s">
        <v>33</v>
      </c>
      <c r="C29" s="49"/>
      <c r="D29" s="49"/>
      <c r="E29" s="49"/>
      <c r="F29" s="49"/>
      <c r="G29" s="19" t="s">
        <v>23</v>
      </c>
      <c r="H29" s="30">
        <f>'Numbers for Burden Grid'!B3</f>
        <v>1149.6666666666667</v>
      </c>
      <c r="I29" s="30">
        <v>1</v>
      </c>
      <c r="J29" s="33">
        <f t="shared" si="0"/>
        <v>1149.6666666666667</v>
      </c>
      <c r="K29" s="33">
        <v>0.5</v>
      </c>
      <c r="L29" s="33">
        <f t="shared" si="1"/>
        <v>574.83333333333337</v>
      </c>
      <c r="M29" s="30">
        <v>0</v>
      </c>
      <c r="N29" s="30">
        <v>0</v>
      </c>
      <c r="O29" s="30">
        <f>SUM(M29*N29)</f>
        <v>0</v>
      </c>
      <c r="P29" s="40">
        <f>Wages!C13</f>
        <v>39.987749999999998</v>
      </c>
      <c r="Q29" s="35">
        <f t="shared" si="3"/>
        <v>22986.291625000002</v>
      </c>
      <c r="R29" s="44">
        <v>498.66666666666669</v>
      </c>
      <c r="S29" s="44">
        <v>0</v>
      </c>
      <c r="T29" s="44">
        <f t="shared" si="4"/>
        <v>76.166666666666686</v>
      </c>
    </row>
    <row r="30" spans="1:82" x14ac:dyDescent="0.35">
      <c r="A30" s="19" t="s">
        <v>24</v>
      </c>
      <c r="B30" s="49" t="s">
        <v>34</v>
      </c>
      <c r="C30" s="49"/>
      <c r="D30" s="49"/>
      <c r="E30" s="49"/>
      <c r="F30" s="49"/>
      <c r="G30" s="19" t="s">
        <v>23</v>
      </c>
      <c r="H30" s="30">
        <v>0</v>
      </c>
      <c r="I30" s="30">
        <v>0</v>
      </c>
      <c r="J30" s="33">
        <f t="shared" si="0"/>
        <v>0</v>
      </c>
      <c r="K30" s="33">
        <v>0</v>
      </c>
      <c r="L30" s="33">
        <f t="shared" si="1"/>
        <v>0</v>
      </c>
      <c r="M30" s="30">
        <v>0</v>
      </c>
      <c r="N30" s="30">
        <v>0</v>
      </c>
      <c r="O30" s="30">
        <f>SUM(M30*N30)</f>
        <v>0</v>
      </c>
      <c r="P30" s="40">
        <f>Wages!C9</f>
        <v>91.045000000000002</v>
      </c>
      <c r="Q30" s="35">
        <f t="shared" si="3"/>
        <v>0</v>
      </c>
      <c r="R30" s="44">
        <v>0</v>
      </c>
      <c r="S30" s="44">
        <v>0</v>
      </c>
      <c r="T30" s="44">
        <f t="shared" si="4"/>
        <v>0</v>
      </c>
    </row>
    <row r="31" spans="1:82" s="17" customFormat="1" x14ac:dyDescent="0.35">
      <c r="A31" s="16" t="s">
        <v>26</v>
      </c>
      <c r="B31" s="50" t="s">
        <v>35</v>
      </c>
      <c r="C31" s="50"/>
      <c r="D31" s="50"/>
      <c r="E31" s="50"/>
      <c r="F31" s="50"/>
      <c r="G31" s="16" t="s">
        <v>23</v>
      </c>
      <c r="H31" s="31">
        <f>'Numbers for Burden Grid'!B6</f>
        <v>512986.66666666669</v>
      </c>
      <c r="I31" s="31">
        <f>'Numbers for Burden Grid'!B1/'Numbers for Burden Grid'!B6</f>
        <v>2.3974534750740761</v>
      </c>
      <c r="J31" s="34">
        <f t="shared" si="0"/>
        <v>1229861.6666666667</v>
      </c>
      <c r="K31" s="34">
        <v>1</v>
      </c>
      <c r="L31" s="34">
        <f t="shared" si="1"/>
        <v>1229861.6666666667</v>
      </c>
      <c r="M31" s="31">
        <v>0</v>
      </c>
      <c r="N31" s="31">
        <v>0</v>
      </c>
      <c r="O31" s="31">
        <f>SUM(M31*N31)</f>
        <v>0</v>
      </c>
      <c r="P31" s="41">
        <f>Wages!C6</f>
        <v>61.2425</v>
      </c>
      <c r="Q31" s="36">
        <f t="shared" si="3"/>
        <v>75319803.120833337</v>
      </c>
      <c r="R31" s="45">
        <v>1133300</v>
      </c>
      <c r="S31" s="45">
        <v>0</v>
      </c>
      <c r="T31" s="45">
        <f t="shared" si="4"/>
        <v>96561.666666666744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1:82" ht="25" x14ac:dyDescent="0.35">
      <c r="A32" s="19" t="s">
        <v>21</v>
      </c>
      <c r="B32" s="49" t="s">
        <v>35</v>
      </c>
      <c r="C32" s="49"/>
      <c r="D32" s="49"/>
      <c r="E32" s="49"/>
      <c r="F32" s="49"/>
      <c r="G32" s="19" t="s">
        <v>23</v>
      </c>
      <c r="H32" s="30">
        <f>'Numbers for Burden Grid'!B4</f>
        <v>13512.666666666666</v>
      </c>
      <c r="I32" s="30">
        <f>'Numbers for Burden Grid'!B1/'Numbers for Burden Grid'!B4</f>
        <v>91.015466969263414</v>
      </c>
      <c r="J32" s="33">
        <f t="shared" si="0"/>
        <v>1229861.6666666667</v>
      </c>
      <c r="K32" s="33">
        <v>1.5</v>
      </c>
      <c r="L32" s="33">
        <f t="shared" si="1"/>
        <v>1844792.5</v>
      </c>
      <c r="M32" s="30">
        <v>0</v>
      </c>
      <c r="N32" s="30">
        <v>0</v>
      </c>
      <c r="O32" s="30">
        <f>SUM(M32*N32)</f>
        <v>0</v>
      </c>
      <c r="P32" s="40">
        <f>Wages!C13</f>
        <v>39.987749999999998</v>
      </c>
      <c r="Q32" s="35">
        <f t="shared" si="3"/>
        <v>73769101.29187499</v>
      </c>
      <c r="R32" s="44">
        <v>1699950</v>
      </c>
      <c r="S32" s="44">
        <v>0</v>
      </c>
      <c r="T32" s="44">
        <f t="shared" si="4"/>
        <v>144842.5</v>
      </c>
    </row>
    <row r="33" spans="1:82" s="17" customFormat="1" x14ac:dyDescent="0.35">
      <c r="A33" s="16" t="s">
        <v>36</v>
      </c>
      <c r="B33" s="50" t="s">
        <v>37</v>
      </c>
      <c r="C33" s="50"/>
      <c r="D33" s="50"/>
      <c r="E33" s="50"/>
      <c r="F33" s="50"/>
      <c r="G33" s="16" t="s">
        <v>23</v>
      </c>
      <c r="H33" s="31">
        <f>'Numbers for Burden Grid'!B14</f>
        <v>366.66666666666669</v>
      </c>
      <c r="I33" s="31">
        <v>1</v>
      </c>
      <c r="J33" s="34">
        <f t="shared" si="0"/>
        <v>366.66666666666669</v>
      </c>
      <c r="K33" s="34">
        <v>0.5</v>
      </c>
      <c r="L33" s="34">
        <f t="shared" si="1"/>
        <v>183.33333333333334</v>
      </c>
      <c r="M33" s="31">
        <v>0</v>
      </c>
      <c r="N33" s="31">
        <v>0</v>
      </c>
      <c r="O33" s="31">
        <f t="shared" ref="O33:O38" si="5">SUM(M33*N33)</f>
        <v>0</v>
      </c>
      <c r="P33" s="41">
        <f>Wages!C6</f>
        <v>61.2425</v>
      </c>
      <c r="Q33" s="37">
        <f t="shared" si="3"/>
        <v>11227.791666666668</v>
      </c>
      <c r="R33" s="45">
        <v>129.83333333333334</v>
      </c>
      <c r="S33" s="45">
        <v>0</v>
      </c>
      <c r="T33" s="45">
        <f t="shared" si="4"/>
        <v>53.5</v>
      </c>
      <c r="U33" s="42"/>
      <c r="V33" s="42"/>
      <c r="W33" s="42"/>
      <c r="X33" s="20"/>
      <c r="Y33" s="21"/>
      <c r="Z33" s="22"/>
      <c r="AA33" s="23"/>
      <c r="AB33" s="24"/>
      <c r="AC33" s="23"/>
      <c r="AD33" s="25"/>
      <c r="AE33" s="25"/>
      <c r="AF33" s="25"/>
      <c r="AG33" s="26"/>
      <c r="AH33" s="26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1:82" ht="25" x14ac:dyDescent="0.35">
      <c r="A34" s="19" t="s">
        <v>21</v>
      </c>
      <c r="B34" s="49" t="s">
        <v>37</v>
      </c>
      <c r="C34" s="49"/>
      <c r="D34" s="49"/>
      <c r="E34" s="49"/>
      <c r="F34" s="49"/>
      <c r="G34" s="19" t="s">
        <v>23</v>
      </c>
      <c r="H34" s="30">
        <v>288</v>
      </c>
      <c r="I34" s="30">
        <v>1</v>
      </c>
      <c r="J34" s="33">
        <f t="shared" si="0"/>
        <v>288</v>
      </c>
      <c r="K34" s="33">
        <v>0.33</v>
      </c>
      <c r="L34" s="33">
        <f t="shared" si="1"/>
        <v>95.04</v>
      </c>
      <c r="M34" s="30">
        <v>0</v>
      </c>
      <c r="N34" s="30">
        <v>0</v>
      </c>
      <c r="O34" s="30">
        <f t="shared" si="5"/>
        <v>0</v>
      </c>
      <c r="P34" s="40">
        <f>Wages!C13</f>
        <v>39.987749999999998</v>
      </c>
      <c r="Q34" s="35">
        <f t="shared" si="3"/>
        <v>3800.4357600000003</v>
      </c>
      <c r="R34" s="44">
        <v>95.04</v>
      </c>
      <c r="S34" s="44">
        <v>0</v>
      </c>
      <c r="T34" s="44">
        <f t="shared" si="4"/>
        <v>0</v>
      </c>
    </row>
    <row r="35" spans="1:82" s="17" customFormat="1" x14ac:dyDescent="0.35">
      <c r="A35" s="16" t="s">
        <v>36</v>
      </c>
      <c r="B35" s="50" t="s">
        <v>38</v>
      </c>
      <c r="C35" s="50"/>
      <c r="D35" s="50"/>
      <c r="E35" s="50"/>
      <c r="F35" s="50"/>
      <c r="G35" s="16" t="s">
        <v>23</v>
      </c>
      <c r="H35" s="31">
        <f>'Numbers for Burden Grid'!B13</f>
        <v>13012.666666666666</v>
      </c>
      <c r="I35" s="31">
        <v>1</v>
      </c>
      <c r="J35" s="34">
        <f t="shared" si="0"/>
        <v>13012.666666666666</v>
      </c>
      <c r="K35" s="34">
        <v>0.5</v>
      </c>
      <c r="L35" s="34">
        <f t="shared" si="1"/>
        <v>6506.333333333333</v>
      </c>
      <c r="M35" s="31">
        <v>0</v>
      </c>
      <c r="N35" s="31">
        <v>0</v>
      </c>
      <c r="O35" s="31">
        <f t="shared" si="5"/>
        <v>0</v>
      </c>
      <c r="P35" s="41">
        <f>Wages!C6</f>
        <v>61.2425</v>
      </c>
      <c r="Q35" s="36">
        <f t="shared" si="3"/>
        <v>398464.11916666664</v>
      </c>
      <c r="R35" s="45">
        <v>838.5</v>
      </c>
      <c r="S35" s="45">
        <v>0</v>
      </c>
      <c r="T35" s="45">
        <f t="shared" si="4"/>
        <v>5667.833333333333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1:82" ht="25" x14ac:dyDescent="0.35">
      <c r="A36" s="19" t="s">
        <v>21</v>
      </c>
      <c r="B36" s="49" t="s">
        <v>38</v>
      </c>
      <c r="C36" s="49"/>
      <c r="D36" s="49"/>
      <c r="E36" s="49"/>
      <c r="F36" s="49"/>
      <c r="G36" s="19" t="s">
        <v>23</v>
      </c>
      <c r="H36" s="30">
        <f>'Numbers for Burden Grid'!B13</f>
        <v>13012.666666666666</v>
      </c>
      <c r="I36" s="30">
        <v>1</v>
      </c>
      <c r="J36" s="33">
        <f t="shared" si="0"/>
        <v>13012.666666666666</v>
      </c>
      <c r="K36" s="33">
        <v>0.33</v>
      </c>
      <c r="L36" s="33">
        <f t="shared" si="1"/>
        <v>4294.18</v>
      </c>
      <c r="M36" s="30">
        <v>0</v>
      </c>
      <c r="N36" s="30">
        <v>0</v>
      </c>
      <c r="O36" s="30">
        <f t="shared" si="5"/>
        <v>0</v>
      </c>
      <c r="P36" s="40">
        <f>Wages!C13</f>
        <v>39.987749999999998</v>
      </c>
      <c r="Q36" s="35">
        <f t="shared" si="3"/>
        <v>171714.596295</v>
      </c>
      <c r="R36" s="44">
        <v>553.41000000000008</v>
      </c>
      <c r="S36" s="44">
        <v>0</v>
      </c>
      <c r="T36" s="44">
        <f t="shared" si="4"/>
        <v>3740.7700000000004</v>
      </c>
    </row>
    <row r="37" spans="1:82" s="17" customFormat="1" x14ac:dyDescent="0.35">
      <c r="A37" s="16" t="s">
        <v>36</v>
      </c>
      <c r="B37" s="50" t="s">
        <v>39</v>
      </c>
      <c r="C37" s="50"/>
      <c r="D37" s="50"/>
      <c r="E37" s="50"/>
      <c r="F37" s="50"/>
      <c r="G37" s="16" t="s">
        <v>23</v>
      </c>
      <c r="H37" s="31">
        <f>'Numbers for Burden Grid'!B12</f>
        <v>2420</v>
      </c>
      <c r="I37" s="31">
        <v>1</v>
      </c>
      <c r="J37" s="34">
        <f t="shared" si="0"/>
        <v>2420</v>
      </c>
      <c r="K37" s="34">
        <v>0.5</v>
      </c>
      <c r="L37" s="34">
        <f t="shared" si="1"/>
        <v>1210</v>
      </c>
      <c r="M37" s="31">
        <v>0</v>
      </c>
      <c r="N37" s="31">
        <v>0</v>
      </c>
      <c r="O37" s="31">
        <f t="shared" si="5"/>
        <v>0</v>
      </c>
      <c r="P37" s="41">
        <f>Wages!C6</f>
        <v>61.2425</v>
      </c>
      <c r="Q37" s="36">
        <f t="shared" si="3"/>
        <v>74103.425000000003</v>
      </c>
      <c r="R37" s="45">
        <v>1424.1666666666667</v>
      </c>
      <c r="S37" s="45">
        <v>0</v>
      </c>
      <c r="T37" s="45">
        <f t="shared" si="4"/>
        <v>-214.16666666666674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1:82" ht="25" x14ac:dyDescent="0.35">
      <c r="A38" s="19" t="s">
        <v>21</v>
      </c>
      <c r="B38" s="49" t="s">
        <v>39</v>
      </c>
      <c r="C38" s="49"/>
      <c r="D38" s="49"/>
      <c r="E38" s="49"/>
      <c r="F38" s="49"/>
      <c r="G38" s="19" t="s">
        <v>23</v>
      </c>
      <c r="H38" s="30">
        <f>'Numbers for Burden Grid'!B12</f>
        <v>2420</v>
      </c>
      <c r="I38" s="30">
        <v>1</v>
      </c>
      <c r="J38" s="33">
        <f t="shared" si="0"/>
        <v>2420</v>
      </c>
      <c r="K38" s="33">
        <v>0.33</v>
      </c>
      <c r="L38" s="33">
        <f t="shared" si="1"/>
        <v>798.6</v>
      </c>
      <c r="M38" s="30">
        <v>0</v>
      </c>
      <c r="N38" s="30">
        <v>0</v>
      </c>
      <c r="O38" s="30">
        <f t="shared" si="5"/>
        <v>0</v>
      </c>
      <c r="P38" s="40">
        <f>Wages!C13</f>
        <v>39.987749999999998</v>
      </c>
      <c r="Q38" s="35">
        <f t="shared" si="3"/>
        <v>31934.21715</v>
      </c>
      <c r="R38" s="44">
        <v>939.95</v>
      </c>
      <c r="S38" s="44">
        <v>0</v>
      </c>
      <c r="T38" s="44">
        <f t="shared" si="4"/>
        <v>-141.35000000000002</v>
      </c>
    </row>
    <row r="39" spans="1:82" x14ac:dyDescent="0.35">
      <c r="A39" s="16" t="s">
        <v>26</v>
      </c>
      <c r="B39" s="50" t="s">
        <v>40</v>
      </c>
      <c r="C39" s="50"/>
      <c r="D39" s="50"/>
      <c r="E39" s="50"/>
      <c r="F39" s="50"/>
      <c r="G39" s="16" t="s">
        <v>23</v>
      </c>
      <c r="H39" s="31">
        <v>976</v>
      </c>
      <c r="I39" s="31">
        <v>1</v>
      </c>
      <c r="J39" s="34">
        <f t="shared" si="0"/>
        <v>976</v>
      </c>
      <c r="K39" s="34">
        <v>0.25</v>
      </c>
      <c r="L39" s="34">
        <f t="shared" ref="L39:L47" si="6">SUM(J39*K39)</f>
        <v>244</v>
      </c>
      <c r="M39" s="31">
        <v>0</v>
      </c>
      <c r="N39" s="31">
        <v>0</v>
      </c>
      <c r="O39" s="31">
        <f t="shared" ref="O39:O47" si="7">SUM(M39*N39)</f>
        <v>0</v>
      </c>
      <c r="P39" s="41">
        <f>Wages!C6</f>
        <v>61.2425</v>
      </c>
      <c r="Q39" s="36">
        <f t="shared" ref="Q39:Q51" si="8">L39*P39</f>
        <v>14943.17</v>
      </c>
      <c r="R39" s="45">
        <v>244</v>
      </c>
      <c r="S39" s="45">
        <v>0</v>
      </c>
      <c r="T39" s="45">
        <f t="shared" si="4"/>
        <v>0</v>
      </c>
    </row>
    <row r="40" spans="1:82" ht="25" x14ac:dyDescent="0.35">
      <c r="A40" s="19" t="s">
        <v>21</v>
      </c>
      <c r="B40" s="49" t="s">
        <v>40</v>
      </c>
      <c r="C40" s="51"/>
      <c r="D40" s="51"/>
      <c r="E40" s="51"/>
      <c r="F40" s="51"/>
      <c r="G40" s="19" t="s">
        <v>23</v>
      </c>
      <c r="H40" s="30">
        <f>'Numbers for Burden Grid'!B11</f>
        <v>1936.3333333333333</v>
      </c>
      <c r="I40" s="30">
        <v>1</v>
      </c>
      <c r="J40" s="33">
        <f t="shared" si="0"/>
        <v>1936.3333333333333</v>
      </c>
      <c r="K40" s="30">
        <v>0.25</v>
      </c>
      <c r="L40" s="33">
        <f t="shared" si="6"/>
        <v>484.08333333333331</v>
      </c>
      <c r="M40" s="30">
        <v>0</v>
      </c>
      <c r="N40" s="30">
        <v>0</v>
      </c>
      <c r="O40" s="30">
        <f t="shared" si="7"/>
        <v>0</v>
      </c>
      <c r="P40" s="40">
        <f>Wages!C13</f>
        <v>39.987749999999998</v>
      </c>
      <c r="Q40" s="35">
        <f t="shared" si="8"/>
        <v>19357.403312499999</v>
      </c>
      <c r="R40" s="44">
        <v>508.5</v>
      </c>
      <c r="S40" s="44">
        <v>0</v>
      </c>
      <c r="T40" s="44">
        <f t="shared" si="4"/>
        <v>-24.416666666666686</v>
      </c>
    </row>
    <row r="41" spans="1:82" x14ac:dyDescent="0.35">
      <c r="A41" s="19" t="s">
        <v>24</v>
      </c>
      <c r="B41" s="49" t="s">
        <v>41</v>
      </c>
      <c r="C41" s="49"/>
      <c r="D41" s="49"/>
      <c r="E41" s="49"/>
      <c r="F41" s="49"/>
      <c r="G41" s="19" t="s">
        <v>23</v>
      </c>
      <c r="H41" s="30">
        <v>0</v>
      </c>
      <c r="I41" s="30">
        <v>0</v>
      </c>
      <c r="J41" s="33">
        <f t="shared" si="0"/>
        <v>0</v>
      </c>
      <c r="K41" s="33">
        <v>0</v>
      </c>
      <c r="L41" s="33">
        <f t="shared" si="6"/>
        <v>0</v>
      </c>
      <c r="M41" s="30">
        <v>0</v>
      </c>
      <c r="N41" s="30">
        <v>0</v>
      </c>
      <c r="O41" s="30">
        <f t="shared" si="7"/>
        <v>0</v>
      </c>
      <c r="P41" s="40">
        <f>Wages!C9</f>
        <v>91.045000000000002</v>
      </c>
      <c r="Q41" s="35">
        <f t="shared" si="8"/>
        <v>0</v>
      </c>
      <c r="R41" s="44">
        <v>0</v>
      </c>
      <c r="S41" s="44">
        <v>0</v>
      </c>
      <c r="T41" s="44">
        <f t="shared" si="4"/>
        <v>0</v>
      </c>
    </row>
    <row r="42" spans="1:82" s="17" customFormat="1" x14ac:dyDescent="0.35">
      <c r="A42" s="16" t="s">
        <v>26</v>
      </c>
      <c r="B42" s="50" t="s">
        <v>42</v>
      </c>
      <c r="C42" s="50"/>
      <c r="D42" s="50"/>
      <c r="E42" s="50"/>
      <c r="F42" s="50"/>
      <c r="G42" s="16" t="s">
        <v>23</v>
      </c>
      <c r="H42" s="31">
        <f>ROUND(0.3*'Numbers for Burden Grid'!B6, 0)</f>
        <v>153896</v>
      </c>
      <c r="I42" s="31">
        <f>'Numbers for Burden Grid'!B1/'Numbers for Burden Grid'!B6</f>
        <v>2.3974534750740761</v>
      </c>
      <c r="J42" s="34">
        <f t="shared" si="0"/>
        <v>368958.5</v>
      </c>
      <c r="K42" s="34">
        <v>2.5</v>
      </c>
      <c r="L42" s="34">
        <f t="shared" si="6"/>
        <v>922396.25</v>
      </c>
      <c r="M42" s="31">
        <v>0</v>
      </c>
      <c r="N42" s="31">
        <v>0</v>
      </c>
      <c r="O42" s="31">
        <f t="shared" si="7"/>
        <v>0</v>
      </c>
      <c r="P42" s="41">
        <f>Wages!C6</f>
        <v>61.2425</v>
      </c>
      <c r="Q42" s="36">
        <f t="shared" si="8"/>
        <v>56489852.340625003</v>
      </c>
      <c r="R42" s="45">
        <v>849972.79891029908</v>
      </c>
      <c r="S42" s="45">
        <v>0</v>
      </c>
      <c r="T42" s="45">
        <f t="shared" si="4"/>
        <v>72423.451089700917</v>
      </c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</row>
    <row r="43" spans="1:82" ht="50" x14ac:dyDescent="0.35">
      <c r="A43" s="19" t="s">
        <v>43</v>
      </c>
      <c r="B43" s="49" t="s">
        <v>44</v>
      </c>
      <c r="C43" s="49"/>
      <c r="D43" s="49"/>
      <c r="E43" s="49"/>
      <c r="F43" s="49"/>
      <c r="G43" s="19" t="s">
        <v>23</v>
      </c>
      <c r="H43" s="30">
        <f>'Numbers for Burden Grid'!B4+'Numbers for Burden Grid'!B5</f>
        <v>18610</v>
      </c>
      <c r="I43" s="30">
        <f>J42/H43</f>
        <v>19.825819451907577</v>
      </c>
      <c r="J43" s="33">
        <f t="shared" si="0"/>
        <v>368958.5</v>
      </c>
      <c r="K43" s="33">
        <v>2.5</v>
      </c>
      <c r="L43" s="33">
        <f t="shared" si="6"/>
        <v>922396.25</v>
      </c>
      <c r="M43" s="30">
        <v>0</v>
      </c>
      <c r="N43" s="30">
        <v>0</v>
      </c>
      <c r="O43" s="30">
        <f t="shared" si="7"/>
        <v>0</v>
      </c>
      <c r="P43" s="40">
        <f>Wages!C15</f>
        <v>43.195066666666662</v>
      </c>
      <c r="Q43" s="35">
        <f t="shared" si="8"/>
        <v>39842967.511833332</v>
      </c>
      <c r="R43" s="44">
        <v>849972.79891029908</v>
      </c>
      <c r="S43" s="44">
        <v>0</v>
      </c>
      <c r="T43" s="44">
        <f t="shared" si="4"/>
        <v>72423.451089700917</v>
      </c>
    </row>
    <row r="44" spans="1:82" s="17" customFormat="1" x14ac:dyDescent="0.35">
      <c r="A44" s="16" t="s">
        <v>26</v>
      </c>
      <c r="B44" s="50" t="s">
        <v>45</v>
      </c>
      <c r="C44" s="50"/>
      <c r="D44" s="50"/>
      <c r="E44" s="50"/>
      <c r="F44" s="50"/>
      <c r="G44" s="16" t="s">
        <v>23</v>
      </c>
      <c r="H44" s="31">
        <f>ROUND(0.0463*'Numbers for Burden Grid'!B3, 0)</f>
        <v>53</v>
      </c>
      <c r="I44" s="31">
        <v>1</v>
      </c>
      <c r="J44" s="34">
        <f t="shared" si="0"/>
        <v>53</v>
      </c>
      <c r="K44" s="34">
        <v>2.5</v>
      </c>
      <c r="L44" s="34">
        <f t="shared" si="6"/>
        <v>132.5</v>
      </c>
      <c r="M44" s="31">
        <v>0</v>
      </c>
      <c r="N44" s="31">
        <v>0</v>
      </c>
      <c r="O44" s="31">
        <f t="shared" si="7"/>
        <v>0</v>
      </c>
      <c r="P44" s="41">
        <f>Wages!C6</f>
        <v>61.2425</v>
      </c>
      <c r="Q44" s="36">
        <f t="shared" si="8"/>
        <v>8114.6312500000004</v>
      </c>
      <c r="R44" s="45">
        <v>115</v>
      </c>
      <c r="S44" s="45">
        <v>0</v>
      </c>
      <c r="T44" s="45">
        <f t="shared" si="4"/>
        <v>17.5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</row>
    <row r="45" spans="1:82" ht="50" x14ac:dyDescent="0.35">
      <c r="A45" s="19" t="s">
        <v>43</v>
      </c>
      <c r="B45" s="49" t="s">
        <v>45</v>
      </c>
      <c r="C45" s="49"/>
      <c r="D45" s="49"/>
      <c r="E45" s="49"/>
      <c r="F45" s="49"/>
      <c r="G45" s="19" t="s">
        <v>23</v>
      </c>
      <c r="H45" s="30">
        <f>ROUND(0.0463*'Numbers for Burden Grid'!B3, 0)</f>
        <v>53</v>
      </c>
      <c r="I45" s="30">
        <v>1</v>
      </c>
      <c r="J45" s="33">
        <f t="shared" si="0"/>
        <v>53</v>
      </c>
      <c r="K45" s="33">
        <v>2.5</v>
      </c>
      <c r="L45" s="33">
        <f t="shared" si="6"/>
        <v>132.5</v>
      </c>
      <c r="M45" s="30">
        <v>0</v>
      </c>
      <c r="N45" s="30">
        <v>0</v>
      </c>
      <c r="O45" s="30">
        <f t="shared" si="7"/>
        <v>0</v>
      </c>
      <c r="P45" s="40">
        <f>Wages!C15</f>
        <v>43.195066666666662</v>
      </c>
      <c r="Q45" s="35">
        <f t="shared" si="8"/>
        <v>5723.346333333333</v>
      </c>
      <c r="R45" s="44">
        <v>115</v>
      </c>
      <c r="S45" s="44">
        <v>0</v>
      </c>
      <c r="T45" s="44">
        <f t="shared" si="4"/>
        <v>17.5</v>
      </c>
    </row>
    <row r="46" spans="1:82" s="17" customFormat="1" x14ac:dyDescent="0.35">
      <c r="A46" s="16" t="s">
        <v>26</v>
      </c>
      <c r="B46" s="50" t="s">
        <v>46</v>
      </c>
      <c r="C46" s="50"/>
      <c r="D46" s="50"/>
      <c r="E46" s="50"/>
      <c r="F46" s="50"/>
      <c r="G46" s="16" t="s">
        <v>23</v>
      </c>
      <c r="H46" s="31">
        <f>ROUND(0.06*'Numbers for Burden Grid'!B11, 0)</f>
        <v>116</v>
      </c>
      <c r="I46" s="31">
        <v>1</v>
      </c>
      <c r="J46" s="34">
        <f t="shared" si="0"/>
        <v>116</v>
      </c>
      <c r="K46" s="34">
        <v>0.1</v>
      </c>
      <c r="L46" s="34">
        <f t="shared" si="6"/>
        <v>11.600000000000001</v>
      </c>
      <c r="M46" s="31">
        <v>0</v>
      </c>
      <c r="N46" s="31">
        <v>0</v>
      </c>
      <c r="O46" s="31">
        <f t="shared" si="7"/>
        <v>0</v>
      </c>
      <c r="P46" s="41">
        <f>Wages!C6</f>
        <v>61.2425</v>
      </c>
      <c r="Q46" s="36">
        <f t="shared" si="8"/>
        <v>710.41300000000012</v>
      </c>
      <c r="R46" s="45">
        <v>12.200000000000001</v>
      </c>
      <c r="S46" s="45">
        <v>0</v>
      </c>
      <c r="T46" s="45">
        <f t="shared" si="4"/>
        <v>-0.59999999999999964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</row>
    <row r="47" spans="1:82" ht="72" customHeight="1" x14ac:dyDescent="0.35">
      <c r="A47" s="19" t="s">
        <v>43</v>
      </c>
      <c r="B47" s="49" t="s">
        <v>46</v>
      </c>
      <c r="C47" s="49"/>
      <c r="D47" s="49"/>
      <c r="E47" s="49"/>
      <c r="F47" s="49"/>
      <c r="G47" s="19" t="s">
        <v>23</v>
      </c>
      <c r="H47" s="30">
        <f>ROUND(0.06*'Numbers for Burden Grid'!B11, 0)</f>
        <v>116</v>
      </c>
      <c r="I47" s="30">
        <v>1</v>
      </c>
      <c r="J47" s="33">
        <f t="shared" si="0"/>
        <v>116</v>
      </c>
      <c r="K47" s="33">
        <v>0.1</v>
      </c>
      <c r="L47" s="33">
        <f t="shared" si="6"/>
        <v>11.600000000000001</v>
      </c>
      <c r="M47" s="30">
        <v>0</v>
      </c>
      <c r="N47" s="30">
        <v>0</v>
      </c>
      <c r="O47" s="30">
        <f t="shared" si="7"/>
        <v>0</v>
      </c>
      <c r="P47" s="40">
        <f>Wages!C15</f>
        <v>43.195066666666662</v>
      </c>
      <c r="Q47" s="35">
        <f t="shared" si="8"/>
        <v>501.06277333333333</v>
      </c>
      <c r="R47" s="44">
        <v>12.200000000000001</v>
      </c>
      <c r="S47" s="44">
        <v>0</v>
      </c>
      <c r="T47" s="44">
        <f t="shared" si="4"/>
        <v>-0.59999999999999964</v>
      </c>
    </row>
    <row r="48" spans="1:82" s="17" customFormat="1" x14ac:dyDescent="0.35">
      <c r="A48" s="16" t="s">
        <v>26</v>
      </c>
      <c r="B48" s="129" t="s">
        <v>47</v>
      </c>
      <c r="C48" s="130"/>
      <c r="D48" s="130"/>
      <c r="E48" s="130"/>
      <c r="F48" s="131"/>
      <c r="G48" s="16" t="s">
        <v>23</v>
      </c>
      <c r="H48" s="31">
        <f>ROUND(0.46*'Numbers for Burden Grid'!B14, 0)</f>
        <v>169</v>
      </c>
      <c r="I48" s="31">
        <v>1</v>
      </c>
      <c r="J48" s="34">
        <f t="shared" si="0"/>
        <v>169</v>
      </c>
      <c r="K48" s="34">
        <v>0.1</v>
      </c>
      <c r="L48" s="34">
        <f t="shared" ref="L48:L63" si="9">SUM(J48*K48)</f>
        <v>16.900000000000002</v>
      </c>
      <c r="M48" s="31">
        <v>0</v>
      </c>
      <c r="N48" s="31">
        <v>0</v>
      </c>
      <c r="O48" s="31">
        <f t="shared" ref="O48:O59" si="10">SUM(M48*N48)</f>
        <v>0</v>
      </c>
      <c r="P48" s="41">
        <f>Wages!C16</f>
        <v>51.207900000000009</v>
      </c>
      <c r="Q48" s="36">
        <f t="shared" si="8"/>
        <v>865.41351000000031</v>
      </c>
      <c r="R48" s="45">
        <v>11.9</v>
      </c>
      <c r="S48" s="45">
        <v>0</v>
      </c>
      <c r="T48" s="45">
        <f t="shared" si="4"/>
        <v>5.0000000000000018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</row>
    <row r="49" spans="1:82" ht="50" x14ac:dyDescent="0.35">
      <c r="A49" s="19" t="s">
        <v>43</v>
      </c>
      <c r="B49" s="81" t="s">
        <v>47</v>
      </c>
      <c r="C49" s="82"/>
      <c r="D49" s="82"/>
      <c r="E49" s="82"/>
      <c r="F49" s="83"/>
      <c r="G49" s="19" t="s">
        <v>23</v>
      </c>
      <c r="H49" s="30">
        <f>ROUND(0.46*'Numbers for Burden Grid'!B14, 0)</f>
        <v>169</v>
      </c>
      <c r="I49" s="30">
        <v>1</v>
      </c>
      <c r="J49" s="33">
        <f t="shared" si="0"/>
        <v>169</v>
      </c>
      <c r="K49" s="33">
        <v>0.1</v>
      </c>
      <c r="L49" s="33">
        <f t="shared" si="9"/>
        <v>16.900000000000002</v>
      </c>
      <c r="M49" s="30">
        <v>0</v>
      </c>
      <c r="N49" s="30">
        <v>0</v>
      </c>
      <c r="O49" s="30">
        <f t="shared" si="10"/>
        <v>0</v>
      </c>
      <c r="P49" s="40">
        <f>Wages!C17</f>
        <v>50.474300000000007</v>
      </c>
      <c r="Q49" s="35">
        <f t="shared" si="8"/>
        <v>853.01567000000023</v>
      </c>
      <c r="R49" s="44">
        <v>11.9</v>
      </c>
      <c r="S49" s="44">
        <v>0</v>
      </c>
      <c r="T49" s="44">
        <f t="shared" si="4"/>
        <v>5.0000000000000018</v>
      </c>
    </row>
    <row r="50" spans="1:82" s="17" customFormat="1" x14ac:dyDescent="0.35">
      <c r="A50" s="16" t="s">
        <v>26</v>
      </c>
      <c r="B50" s="129" t="s">
        <v>48</v>
      </c>
      <c r="C50" s="130"/>
      <c r="D50" s="130"/>
      <c r="E50" s="130"/>
      <c r="F50" s="131"/>
      <c r="G50" s="16" t="s">
        <v>23</v>
      </c>
      <c r="H50" s="31">
        <f>ROUND(0.6*'Numbers for Burden Grid'!B13, 0)</f>
        <v>7808</v>
      </c>
      <c r="I50" s="31">
        <v>1</v>
      </c>
      <c r="J50" s="34">
        <f t="shared" si="0"/>
        <v>7808</v>
      </c>
      <c r="K50" s="34">
        <v>0.1</v>
      </c>
      <c r="L50" s="34">
        <f t="shared" si="9"/>
        <v>780.80000000000007</v>
      </c>
      <c r="M50" s="31">
        <v>0</v>
      </c>
      <c r="N50" s="31">
        <v>0</v>
      </c>
      <c r="O50" s="31">
        <f t="shared" si="10"/>
        <v>0</v>
      </c>
      <c r="P50" s="41">
        <f>Wages!C18</f>
        <v>54.063700000000004</v>
      </c>
      <c r="Q50" s="36">
        <f t="shared" si="8"/>
        <v>42212.936960000006</v>
      </c>
      <c r="R50" s="45">
        <v>100.60000000000001</v>
      </c>
      <c r="S50" s="45">
        <v>0</v>
      </c>
      <c r="T50" s="45">
        <f t="shared" si="4"/>
        <v>680.2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</row>
    <row r="51" spans="1:82" ht="50" x14ac:dyDescent="0.35">
      <c r="A51" s="19" t="s">
        <v>43</v>
      </c>
      <c r="B51" s="81" t="s">
        <v>48</v>
      </c>
      <c r="C51" s="82"/>
      <c r="D51" s="82"/>
      <c r="E51" s="82"/>
      <c r="F51" s="83"/>
      <c r="G51" s="19" t="s">
        <v>23</v>
      </c>
      <c r="H51" s="30">
        <f>ROUND(0.6*'Numbers for Burden Grid'!B13, 0)</f>
        <v>7808</v>
      </c>
      <c r="I51" s="30">
        <v>1</v>
      </c>
      <c r="J51" s="33">
        <f t="shared" si="0"/>
        <v>7808</v>
      </c>
      <c r="K51" s="33">
        <v>0.1</v>
      </c>
      <c r="L51" s="33">
        <f t="shared" si="9"/>
        <v>780.80000000000007</v>
      </c>
      <c r="M51" s="30">
        <v>0</v>
      </c>
      <c r="N51" s="30">
        <v>0</v>
      </c>
      <c r="O51" s="30">
        <f t="shared" si="10"/>
        <v>0</v>
      </c>
      <c r="P51" s="40">
        <f>Wages!C17</f>
        <v>50.474300000000007</v>
      </c>
      <c r="Q51" s="35">
        <f t="shared" si="8"/>
        <v>39410.333440000009</v>
      </c>
      <c r="R51" s="44">
        <v>100.60000000000001</v>
      </c>
      <c r="S51" s="44">
        <v>0</v>
      </c>
      <c r="T51" s="44">
        <f t="shared" si="4"/>
        <v>680.2</v>
      </c>
    </row>
    <row r="52" spans="1:82" s="17" customFormat="1" ht="15" customHeight="1" x14ac:dyDescent="0.35">
      <c r="A52" s="16" t="s">
        <v>26</v>
      </c>
      <c r="B52" s="129" t="s">
        <v>49</v>
      </c>
      <c r="C52" s="130"/>
      <c r="D52" s="130"/>
      <c r="E52" s="130"/>
      <c r="F52" s="131"/>
      <c r="G52" s="16" t="s">
        <v>23</v>
      </c>
      <c r="H52" s="31">
        <f>'Numbers for Burden Grid'!B16</f>
        <v>28717.666666666668</v>
      </c>
      <c r="I52" s="31">
        <v>1</v>
      </c>
      <c r="J52" s="34">
        <f t="shared" si="0"/>
        <v>28717.666666666668</v>
      </c>
      <c r="K52" s="34">
        <v>0.5</v>
      </c>
      <c r="L52" s="34">
        <f t="shared" si="9"/>
        <v>14358.833333333334</v>
      </c>
      <c r="M52" s="31">
        <v>0</v>
      </c>
      <c r="N52" s="31">
        <v>0</v>
      </c>
      <c r="O52" s="31">
        <f t="shared" si="10"/>
        <v>0</v>
      </c>
      <c r="P52" s="41">
        <f>Wages!C6</f>
        <v>61.2425</v>
      </c>
      <c r="Q52" s="36">
        <f t="shared" ref="Q52:Q59" si="11">L52*P52</f>
        <v>879370.85041666671</v>
      </c>
      <c r="R52" s="45">
        <v>5032.333333333333</v>
      </c>
      <c r="S52" s="45">
        <v>0</v>
      </c>
      <c r="T52" s="45">
        <f t="shared" si="4"/>
        <v>9326.5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</row>
    <row r="53" spans="1:82" ht="25" x14ac:dyDescent="0.35">
      <c r="A53" s="19" t="s">
        <v>21</v>
      </c>
      <c r="B53" s="81" t="s">
        <v>50</v>
      </c>
      <c r="C53" s="82"/>
      <c r="D53" s="82"/>
      <c r="E53" s="82"/>
      <c r="F53" s="83"/>
      <c r="G53" s="19" t="s">
        <v>23</v>
      </c>
      <c r="H53" s="30">
        <f>0.06*H52</f>
        <v>1723.06</v>
      </c>
      <c r="I53" s="30">
        <v>1</v>
      </c>
      <c r="J53" s="33">
        <f t="shared" si="0"/>
        <v>1723.06</v>
      </c>
      <c r="K53" s="30">
        <v>0.5</v>
      </c>
      <c r="L53" s="33">
        <f t="shared" si="9"/>
        <v>861.53</v>
      </c>
      <c r="M53" s="30">
        <v>0</v>
      </c>
      <c r="N53" s="30">
        <v>0</v>
      </c>
      <c r="O53" s="30">
        <f t="shared" si="10"/>
        <v>0</v>
      </c>
      <c r="P53" s="40">
        <f>Wages!C13</f>
        <v>39.987749999999998</v>
      </c>
      <c r="Q53" s="35">
        <f t="shared" si="11"/>
        <v>34450.646257499997</v>
      </c>
      <c r="R53" s="44">
        <v>301.94</v>
      </c>
      <c r="S53" s="44">
        <v>0</v>
      </c>
      <c r="T53" s="44">
        <f t="shared" si="4"/>
        <v>559.58999999999992</v>
      </c>
    </row>
    <row r="54" spans="1:82" ht="25" x14ac:dyDescent="0.35">
      <c r="A54" s="19" t="s">
        <v>21</v>
      </c>
      <c r="B54" s="81" t="s">
        <v>51</v>
      </c>
      <c r="C54" s="82"/>
      <c r="D54" s="82"/>
      <c r="E54" s="82"/>
      <c r="F54" s="83"/>
      <c r="G54" s="19" t="s">
        <v>23</v>
      </c>
      <c r="H54" s="30">
        <f>'Numbers for Burden Grid'!B4</f>
        <v>13512.666666666666</v>
      </c>
      <c r="I54" s="30">
        <f>('Numbers for Burden Grid'!B1*0.5*0.85)/'Numbers for Burden Grid'!B4</f>
        <v>38.681573461936949</v>
      </c>
      <c r="J54" s="33">
        <f t="shared" si="0"/>
        <v>522691.20833333331</v>
      </c>
      <c r="K54" s="33">
        <v>1</v>
      </c>
      <c r="L54" s="33">
        <f t="shared" si="9"/>
        <v>522691.20833333331</v>
      </c>
      <c r="M54" s="30">
        <v>0</v>
      </c>
      <c r="N54" s="30">
        <v>0</v>
      </c>
      <c r="O54" s="30">
        <f t="shared" si="10"/>
        <v>0</v>
      </c>
      <c r="P54" s="40">
        <f>Wages!C13</f>
        <v>39.987749999999998</v>
      </c>
      <c r="Q54" s="35">
        <f t="shared" si="11"/>
        <v>20901245.366031248</v>
      </c>
      <c r="R54" s="44">
        <v>481652.50000000006</v>
      </c>
      <c r="S54" s="44">
        <v>0</v>
      </c>
      <c r="T54" s="44">
        <f t="shared" ref="T54:T77" si="12">L54-R54</f>
        <v>41038.708333333256</v>
      </c>
    </row>
    <row r="55" spans="1:82" s="17" customFormat="1" x14ac:dyDescent="0.35">
      <c r="A55" s="16" t="s">
        <v>26</v>
      </c>
      <c r="B55" s="129" t="s">
        <v>52</v>
      </c>
      <c r="C55" s="130"/>
      <c r="D55" s="130"/>
      <c r="E55" s="130"/>
      <c r="F55" s="131"/>
      <c r="G55" s="16" t="s">
        <v>23</v>
      </c>
      <c r="H55" s="31">
        <f>ROUND(0.53*'Numbers for Burden Grid'!B12, 0)</f>
        <v>1283</v>
      </c>
      <c r="I55" s="31">
        <v>1</v>
      </c>
      <c r="J55" s="34">
        <f t="shared" si="0"/>
        <v>1283</v>
      </c>
      <c r="K55" s="34">
        <v>0.1</v>
      </c>
      <c r="L55" s="34">
        <f t="shared" si="9"/>
        <v>128.30000000000001</v>
      </c>
      <c r="M55" s="31">
        <v>0</v>
      </c>
      <c r="N55" s="31">
        <v>0</v>
      </c>
      <c r="O55" s="31">
        <f t="shared" si="10"/>
        <v>0</v>
      </c>
      <c r="P55" s="41">
        <f>Wages!C6</f>
        <v>61.2425</v>
      </c>
      <c r="Q55" s="36">
        <f t="shared" si="11"/>
        <v>7857.4127500000004</v>
      </c>
      <c r="R55" s="45">
        <v>151</v>
      </c>
      <c r="S55" s="45">
        <v>0</v>
      </c>
      <c r="T55" s="45">
        <f t="shared" si="12"/>
        <v>-22.699999999999989</v>
      </c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</row>
    <row r="56" spans="1:82" ht="50" x14ac:dyDescent="0.35">
      <c r="A56" s="19" t="s">
        <v>43</v>
      </c>
      <c r="B56" s="81" t="s">
        <v>52</v>
      </c>
      <c r="C56" s="82"/>
      <c r="D56" s="82"/>
      <c r="E56" s="82"/>
      <c r="F56" s="83"/>
      <c r="G56" s="19" t="s">
        <v>23</v>
      </c>
      <c r="H56" s="30">
        <f>ROUND(0.53*'Numbers for Burden Grid'!B12, 0)</f>
        <v>1283</v>
      </c>
      <c r="I56" s="30">
        <v>1</v>
      </c>
      <c r="J56" s="33">
        <f t="shared" si="0"/>
        <v>1283</v>
      </c>
      <c r="K56" s="33">
        <v>0.1</v>
      </c>
      <c r="L56" s="33">
        <f t="shared" si="9"/>
        <v>128.30000000000001</v>
      </c>
      <c r="M56" s="30">
        <v>0</v>
      </c>
      <c r="N56" s="30">
        <v>0</v>
      </c>
      <c r="O56" s="30">
        <f t="shared" si="10"/>
        <v>0</v>
      </c>
      <c r="P56" s="40">
        <f>Wages!C13</f>
        <v>39.987749999999998</v>
      </c>
      <c r="Q56" s="35">
        <f t="shared" si="11"/>
        <v>5130.4283249999999</v>
      </c>
      <c r="R56" s="44">
        <v>151</v>
      </c>
      <c r="S56" s="44">
        <v>0</v>
      </c>
      <c r="T56" s="44">
        <f t="shared" si="12"/>
        <v>-22.699999999999989</v>
      </c>
    </row>
    <row r="57" spans="1:82" x14ac:dyDescent="0.35">
      <c r="A57" s="19" t="s">
        <v>24</v>
      </c>
      <c r="B57" s="81" t="s">
        <v>53</v>
      </c>
      <c r="C57" s="82"/>
      <c r="D57" s="82"/>
      <c r="E57" s="82"/>
      <c r="F57" s="83"/>
      <c r="G57" s="19" t="s">
        <v>23</v>
      </c>
      <c r="H57" s="30">
        <v>0</v>
      </c>
      <c r="I57" s="30">
        <v>1</v>
      </c>
      <c r="J57" s="33">
        <f t="shared" si="0"/>
        <v>0</v>
      </c>
      <c r="K57" s="33">
        <v>0</v>
      </c>
      <c r="L57" s="33">
        <f t="shared" si="9"/>
        <v>0</v>
      </c>
      <c r="M57" s="30">
        <v>0</v>
      </c>
      <c r="N57" s="30">
        <v>0</v>
      </c>
      <c r="O57" s="30">
        <f t="shared" si="10"/>
        <v>0</v>
      </c>
      <c r="P57" s="40">
        <f>Wages!C9</f>
        <v>91.045000000000002</v>
      </c>
      <c r="Q57" s="35">
        <f t="shared" si="11"/>
        <v>0</v>
      </c>
      <c r="R57" s="44">
        <v>0</v>
      </c>
      <c r="S57" s="44">
        <v>0</v>
      </c>
      <c r="T57" s="44">
        <f t="shared" si="12"/>
        <v>0</v>
      </c>
    </row>
    <row r="58" spans="1:82" s="17" customFormat="1" x14ac:dyDescent="0.35">
      <c r="A58" s="16" t="s">
        <v>36</v>
      </c>
      <c r="B58" s="129" t="s">
        <v>54</v>
      </c>
      <c r="C58" s="130"/>
      <c r="D58" s="130"/>
      <c r="E58" s="130"/>
      <c r="F58" s="131"/>
      <c r="G58" s="16" t="s">
        <v>23</v>
      </c>
      <c r="H58" s="31">
        <f>'Numbers for Burden Grid'!B15</f>
        <v>72.666666666666671</v>
      </c>
      <c r="I58" s="31">
        <v>1</v>
      </c>
      <c r="J58" s="34">
        <f t="shared" si="0"/>
        <v>72.666666666666671</v>
      </c>
      <c r="K58" s="34">
        <v>0.25</v>
      </c>
      <c r="L58" s="34">
        <f t="shared" si="9"/>
        <v>18.166666666666668</v>
      </c>
      <c r="M58" s="31">
        <v>0</v>
      </c>
      <c r="N58" s="31">
        <v>0</v>
      </c>
      <c r="O58" s="31">
        <f t="shared" si="10"/>
        <v>0</v>
      </c>
      <c r="P58" s="41">
        <f>Wages!C6</f>
        <v>61.2425</v>
      </c>
      <c r="Q58" s="36">
        <f t="shared" si="11"/>
        <v>1112.5720833333335</v>
      </c>
      <c r="R58" s="45">
        <v>3.0833333333333335</v>
      </c>
      <c r="S58" s="45">
        <v>0</v>
      </c>
      <c r="T58" s="45">
        <f t="shared" si="12"/>
        <v>15.083333333333334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</row>
    <row r="59" spans="1:82" ht="54.75" customHeight="1" x14ac:dyDescent="0.35">
      <c r="A59" s="19" t="s">
        <v>43</v>
      </c>
      <c r="B59" s="81" t="s">
        <v>54</v>
      </c>
      <c r="C59" s="82"/>
      <c r="D59" s="82"/>
      <c r="E59" s="82"/>
      <c r="F59" s="83"/>
      <c r="G59" s="19" t="s">
        <v>23</v>
      </c>
      <c r="H59" s="30">
        <f>'Numbers for Burden Grid'!B15</f>
        <v>72.666666666666671</v>
      </c>
      <c r="I59" s="30">
        <v>1</v>
      </c>
      <c r="J59" s="33">
        <f t="shared" si="0"/>
        <v>72.666666666666671</v>
      </c>
      <c r="K59" s="33">
        <v>1</v>
      </c>
      <c r="L59" s="33">
        <f t="shared" si="9"/>
        <v>72.666666666666671</v>
      </c>
      <c r="M59" s="30">
        <v>0</v>
      </c>
      <c r="N59" s="30">
        <v>0</v>
      </c>
      <c r="O59" s="30">
        <f t="shared" si="10"/>
        <v>0</v>
      </c>
      <c r="P59" s="40">
        <f>Wages!C13</f>
        <v>39.987749999999998</v>
      </c>
      <c r="Q59" s="35">
        <f t="shared" si="11"/>
        <v>2905.7764999999999</v>
      </c>
      <c r="R59" s="44">
        <v>12.333333333333334</v>
      </c>
      <c r="S59" s="44">
        <v>0</v>
      </c>
      <c r="T59" s="44">
        <f t="shared" si="12"/>
        <v>60.333333333333336</v>
      </c>
    </row>
    <row r="60" spans="1:82" x14ac:dyDescent="0.35">
      <c r="A60" s="19" t="s">
        <v>24</v>
      </c>
      <c r="B60" s="81" t="s">
        <v>55</v>
      </c>
      <c r="C60" s="82"/>
      <c r="D60" s="82"/>
      <c r="E60" s="82"/>
      <c r="F60" s="83"/>
      <c r="G60" s="19" t="s">
        <v>23</v>
      </c>
      <c r="H60" s="30">
        <v>0</v>
      </c>
      <c r="I60" s="30">
        <v>0</v>
      </c>
      <c r="J60" s="33">
        <f t="shared" si="0"/>
        <v>0</v>
      </c>
      <c r="K60" s="33">
        <v>0</v>
      </c>
      <c r="L60" s="33">
        <f t="shared" si="9"/>
        <v>0</v>
      </c>
      <c r="M60" s="30">
        <v>0</v>
      </c>
      <c r="N60" s="30">
        <v>0</v>
      </c>
      <c r="O60" s="30">
        <f t="shared" ref="O60:O68" si="13">SUM(M60*N60)</f>
        <v>0</v>
      </c>
      <c r="P60" s="40">
        <f>Wages!C9</f>
        <v>91.045000000000002</v>
      </c>
      <c r="Q60" s="35">
        <f t="shared" ref="Q60:Q69" si="14">L60*P60</f>
        <v>0</v>
      </c>
      <c r="R60" s="44">
        <v>0</v>
      </c>
      <c r="S60" s="44">
        <v>0</v>
      </c>
      <c r="T60" s="44">
        <f t="shared" si="12"/>
        <v>0</v>
      </c>
    </row>
    <row r="61" spans="1:82" ht="25" x14ac:dyDescent="0.35">
      <c r="A61" s="19" t="s">
        <v>21</v>
      </c>
      <c r="B61" s="49" t="s">
        <v>56</v>
      </c>
      <c r="C61" s="49"/>
      <c r="D61" s="49"/>
      <c r="E61" s="49"/>
      <c r="F61" s="49"/>
      <c r="G61" s="19" t="s">
        <v>23</v>
      </c>
      <c r="H61" s="30">
        <f>ROUND(0.1*'Numbers for Burden Grid'!B1, 0)</f>
        <v>122986</v>
      </c>
      <c r="I61" s="30">
        <v>1</v>
      </c>
      <c r="J61" s="33">
        <f t="shared" si="0"/>
        <v>122986</v>
      </c>
      <c r="K61" s="33">
        <v>0.1</v>
      </c>
      <c r="L61" s="33">
        <f t="shared" si="9"/>
        <v>12298.6</v>
      </c>
      <c r="M61" s="30">
        <v>0</v>
      </c>
      <c r="N61" s="30">
        <v>0</v>
      </c>
      <c r="O61" s="30">
        <f t="shared" si="13"/>
        <v>0</v>
      </c>
      <c r="P61" s="40">
        <f>Wages!C13</f>
        <v>39.987749999999998</v>
      </c>
      <c r="Q61" s="35">
        <f t="shared" si="14"/>
        <v>491793.34214999998</v>
      </c>
      <c r="R61" s="44">
        <v>11333</v>
      </c>
      <c r="S61" s="44">
        <v>0</v>
      </c>
      <c r="T61" s="44">
        <f t="shared" si="12"/>
        <v>965.60000000000036</v>
      </c>
    </row>
    <row r="62" spans="1:82" ht="37.5" x14ac:dyDescent="0.35">
      <c r="A62" s="19" t="s">
        <v>57</v>
      </c>
      <c r="B62" s="49" t="s">
        <v>58</v>
      </c>
      <c r="C62" s="49"/>
      <c r="D62" s="49"/>
      <c r="E62" s="49"/>
      <c r="F62" s="49"/>
      <c r="G62" s="19" t="s">
        <v>23</v>
      </c>
      <c r="H62" s="30">
        <f>'Numbers for Burden Grid'!B4+'Numbers for Burden Grid'!B5</f>
        <v>18610</v>
      </c>
      <c r="I62" s="30">
        <v>1</v>
      </c>
      <c r="J62" s="33">
        <f t="shared" si="0"/>
        <v>18610</v>
      </c>
      <c r="K62" s="33">
        <v>0.1</v>
      </c>
      <c r="L62" s="33">
        <f t="shared" si="9"/>
        <v>1861</v>
      </c>
      <c r="M62" s="30">
        <v>0</v>
      </c>
      <c r="N62" s="30">
        <v>0</v>
      </c>
      <c r="O62" s="30">
        <f t="shared" si="13"/>
        <v>0</v>
      </c>
      <c r="P62" s="40">
        <f>Wages!C17</f>
        <v>50.474300000000007</v>
      </c>
      <c r="Q62" s="35">
        <f t="shared" si="14"/>
        <v>93932.672300000006</v>
      </c>
      <c r="R62" s="44">
        <v>1949.3000000000002</v>
      </c>
      <c r="S62" s="44">
        <v>0</v>
      </c>
      <c r="T62" s="44">
        <f t="shared" si="12"/>
        <v>-88.300000000000182</v>
      </c>
    </row>
    <row r="63" spans="1:82" x14ac:dyDescent="0.35">
      <c r="A63" s="19" t="s">
        <v>24</v>
      </c>
      <c r="B63" s="49" t="s">
        <v>59</v>
      </c>
      <c r="C63" s="49"/>
      <c r="D63" s="49"/>
      <c r="E63" s="49"/>
      <c r="F63" s="49"/>
      <c r="G63" s="19" t="s">
        <v>23</v>
      </c>
      <c r="H63" s="30">
        <v>0</v>
      </c>
      <c r="I63" s="30">
        <v>0</v>
      </c>
      <c r="J63" s="33">
        <f t="shared" si="0"/>
        <v>0</v>
      </c>
      <c r="K63" s="33">
        <v>0</v>
      </c>
      <c r="L63" s="33">
        <f t="shared" si="9"/>
        <v>0</v>
      </c>
      <c r="M63" s="30">
        <v>0</v>
      </c>
      <c r="N63" s="30">
        <v>0</v>
      </c>
      <c r="O63" s="30">
        <f t="shared" si="13"/>
        <v>0</v>
      </c>
      <c r="P63" s="40">
        <f>Wages!C9</f>
        <v>91.045000000000002</v>
      </c>
      <c r="Q63" s="35">
        <f t="shared" si="14"/>
        <v>0</v>
      </c>
      <c r="R63" s="44">
        <v>0</v>
      </c>
      <c r="S63" s="44">
        <v>0</v>
      </c>
      <c r="T63" s="44">
        <f t="shared" si="12"/>
        <v>0</v>
      </c>
    </row>
    <row r="64" spans="1:82" x14ac:dyDescent="0.35">
      <c r="A64" s="19" t="s">
        <v>24</v>
      </c>
      <c r="B64" s="49" t="s">
        <v>60</v>
      </c>
      <c r="C64" s="49"/>
      <c r="D64" s="49"/>
      <c r="E64" s="49"/>
      <c r="F64" s="49"/>
      <c r="G64" s="19" t="s">
        <v>23</v>
      </c>
      <c r="H64" s="30">
        <v>0</v>
      </c>
      <c r="I64" s="30">
        <v>0</v>
      </c>
      <c r="J64" s="33">
        <f t="shared" si="0"/>
        <v>0</v>
      </c>
      <c r="K64" s="30">
        <v>0</v>
      </c>
      <c r="L64" s="33">
        <f t="shared" ref="L64:L76" si="15">SUM(J64*K64)</f>
        <v>0</v>
      </c>
      <c r="M64" s="30">
        <v>0</v>
      </c>
      <c r="N64" s="30">
        <v>0</v>
      </c>
      <c r="O64" s="30">
        <f t="shared" si="13"/>
        <v>0</v>
      </c>
      <c r="P64" s="40">
        <f>Wages!C9</f>
        <v>91.045000000000002</v>
      </c>
      <c r="Q64" s="35">
        <f t="shared" si="14"/>
        <v>0</v>
      </c>
      <c r="R64" s="44">
        <v>0</v>
      </c>
      <c r="S64" s="44">
        <v>0</v>
      </c>
      <c r="T64" s="44">
        <f t="shared" si="12"/>
        <v>0</v>
      </c>
    </row>
    <row r="65" spans="1:82" x14ac:dyDescent="0.35">
      <c r="A65" s="19" t="s">
        <v>24</v>
      </c>
      <c r="B65" s="49" t="s">
        <v>61</v>
      </c>
      <c r="C65" s="49"/>
      <c r="D65" s="49"/>
      <c r="E65" s="49"/>
      <c r="F65" s="49"/>
      <c r="G65" s="19" t="s">
        <v>23</v>
      </c>
      <c r="H65" s="30">
        <v>0</v>
      </c>
      <c r="I65" s="30">
        <v>0</v>
      </c>
      <c r="J65" s="33">
        <f t="shared" si="0"/>
        <v>0</v>
      </c>
      <c r="K65" s="30">
        <v>0</v>
      </c>
      <c r="L65" s="33">
        <f t="shared" si="15"/>
        <v>0</v>
      </c>
      <c r="M65" s="30">
        <v>0</v>
      </c>
      <c r="N65" s="30">
        <v>0</v>
      </c>
      <c r="O65" s="30">
        <f t="shared" si="13"/>
        <v>0</v>
      </c>
      <c r="P65" s="40">
        <f>Wages!C9</f>
        <v>91.045000000000002</v>
      </c>
      <c r="Q65" s="35">
        <f t="shared" si="14"/>
        <v>0</v>
      </c>
      <c r="R65" s="44">
        <v>0</v>
      </c>
      <c r="S65" s="44">
        <v>0</v>
      </c>
      <c r="T65" s="44">
        <f t="shared" si="12"/>
        <v>0</v>
      </c>
    </row>
    <row r="66" spans="1:82" ht="30.75" customHeight="1" x14ac:dyDescent="0.35">
      <c r="A66" s="19" t="s">
        <v>62</v>
      </c>
      <c r="B66" s="49" t="s">
        <v>63</v>
      </c>
      <c r="C66" s="49"/>
      <c r="D66" s="49"/>
      <c r="E66" s="49"/>
      <c r="F66" s="49"/>
      <c r="G66" s="19" t="s">
        <v>23</v>
      </c>
      <c r="H66" s="30">
        <f>'Numbers for Burden Grid'!B2</f>
        <v>12</v>
      </c>
      <c r="I66" s="30">
        <v>1</v>
      </c>
      <c r="J66" s="33">
        <f t="shared" si="0"/>
        <v>12</v>
      </c>
      <c r="K66" s="33">
        <v>24</v>
      </c>
      <c r="L66" s="33">
        <f t="shared" si="15"/>
        <v>288</v>
      </c>
      <c r="M66" s="30">
        <v>0</v>
      </c>
      <c r="N66" s="30">
        <v>0</v>
      </c>
      <c r="O66" s="30">
        <f t="shared" si="13"/>
        <v>0</v>
      </c>
      <c r="P66" s="40">
        <f>Wages!C5</f>
        <v>57.207700000000003</v>
      </c>
      <c r="Q66" s="35">
        <f t="shared" si="14"/>
        <v>16475.817600000002</v>
      </c>
      <c r="R66" s="44">
        <v>312</v>
      </c>
      <c r="S66" s="44">
        <v>0</v>
      </c>
      <c r="T66" s="44">
        <f t="shared" si="12"/>
        <v>-24</v>
      </c>
    </row>
    <row r="67" spans="1:82" s="17" customFormat="1" x14ac:dyDescent="0.35">
      <c r="A67" s="16" t="s">
        <v>26</v>
      </c>
      <c r="B67" s="129" t="s">
        <v>64</v>
      </c>
      <c r="C67" s="130"/>
      <c r="D67" s="130"/>
      <c r="E67" s="130"/>
      <c r="F67" s="131"/>
      <c r="G67" s="16" t="s">
        <v>23</v>
      </c>
      <c r="H67" s="31">
        <f>ROUND(0.3*'Numbers for Burden Grid'!B6, 0)</f>
        <v>153896</v>
      </c>
      <c r="I67" s="31">
        <f>'Numbers for Burden Grid'!B1/'Numbers for Burden Grid'!B6</f>
        <v>2.3974534750740761</v>
      </c>
      <c r="J67" s="34">
        <f t="shared" si="0"/>
        <v>368958.5</v>
      </c>
      <c r="K67" s="31">
        <v>0.1</v>
      </c>
      <c r="L67" s="34">
        <f>SUM(J67*K67)</f>
        <v>36895.85</v>
      </c>
      <c r="M67" s="31">
        <v>0</v>
      </c>
      <c r="N67" s="31">
        <v>0</v>
      </c>
      <c r="O67" s="31">
        <f t="shared" si="13"/>
        <v>0</v>
      </c>
      <c r="P67" s="41">
        <f>Wages!C6</f>
        <v>61.2425</v>
      </c>
      <c r="Q67" s="36">
        <f t="shared" si="14"/>
        <v>2259594.0936249997</v>
      </c>
      <c r="R67" s="45">
        <v>33998.911956411961</v>
      </c>
      <c r="S67" s="45">
        <v>0</v>
      </c>
      <c r="T67" s="45">
        <f t="shared" si="12"/>
        <v>2896.9380435880375</v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</row>
    <row r="68" spans="1:82" ht="25" x14ac:dyDescent="0.35">
      <c r="A68" s="19" t="s">
        <v>21</v>
      </c>
      <c r="B68" s="81" t="s">
        <v>64</v>
      </c>
      <c r="C68" s="82"/>
      <c r="D68" s="82"/>
      <c r="E68" s="82"/>
      <c r="F68" s="83"/>
      <c r="G68" s="19" t="s">
        <v>23</v>
      </c>
      <c r="H68" s="30">
        <f>'Numbers for Burden Grid'!B3</f>
        <v>1149.6666666666667</v>
      </c>
      <c r="I68" s="30">
        <f>J66/H68</f>
        <v>1.0437808060307335E-2</v>
      </c>
      <c r="J68" s="33">
        <f t="shared" si="0"/>
        <v>12</v>
      </c>
      <c r="K68" s="30">
        <v>0.15</v>
      </c>
      <c r="L68" s="33">
        <f>SUM(J68*K68)</f>
        <v>1.7999999999999998</v>
      </c>
      <c r="M68" s="30">
        <v>0</v>
      </c>
      <c r="N68" s="30">
        <v>0</v>
      </c>
      <c r="O68" s="30">
        <f t="shared" si="13"/>
        <v>0</v>
      </c>
      <c r="P68" s="40">
        <f>Wages!C13</f>
        <v>39.987749999999998</v>
      </c>
      <c r="Q68" s="35">
        <f t="shared" si="14"/>
        <v>71.977949999999993</v>
      </c>
      <c r="R68" s="44">
        <v>1.95</v>
      </c>
      <c r="S68" s="44">
        <v>0</v>
      </c>
      <c r="T68" s="44">
        <f t="shared" si="12"/>
        <v>-0.15000000000000013</v>
      </c>
    </row>
    <row r="69" spans="1:82" x14ac:dyDescent="0.35">
      <c r="A69" s="19" t="s">
        <v>24</v>
      </c>
      <c r="B69" s="49" t="s">
        <v>65</v>
      </c>
      <c r="C69" s="49"/>
      <c r="D69" s="49"/>
      <c r="E69" s="49"/>
      <c r="F69" s="49"/>
      <c r="G69" s="19" t="s">
        <v>23</v>
      </c>
      <c r="H69" s="30">
        <v>0</v>
      </c>
      <c r="I69" s="30">
        <v>0</v>
      </c>
      <c r="J69" s="33">
        <f t="shared" si="0"/>
        <v>0</v>
      </c>
      <c r="K69" s="30">
        <v>0</v>
      </c>
      <c r="L69" s="33">
        <v>0</v>
      </c>
      <c r="M69" s="30">
        <v>0</v>
      </c>
      <c r="N69" s="30">
        <v>0</v>
      </c>
      <c r="O69" s="30">
        <v>0</v>
      </c>
      <c r="P69" s="40">
        <f>Wages!C9</f>
        <v>91.045000000000002</v>
      </c>
      <c r="Q69" s="35">
        <f t="shared" si="14"/>
        <v>0</v>
      </c>
      <c r="R69" s="44">
        <v>0</v>
      </c>
      <c r="S69" s="44">
        <v>0</v>
      </c>
      <c r="T69" s="44">
        <f t="shared" si="12"/>
        <v>0</v>
      </c>
    </row>
    <row r="70" spans="1:82" s="17" customFormat="1" x14ac:dyDescent="0.35">
      <c r="A70" s="16" t="s">
        <v>36</v>
      </c>
      <c r="B70" s="129" t="s">
        <v>66</v>
      </c>
      <c r="C70" s="130"/>
      <c r="D70" s="130"/>
      <c r="E70" s="130"/>
      <c r="F70" s="131"/>
      <c r="G70" s="16" t="s">
        <v>23</v>
      </c>
      <c r="H70" s="31">
        <f>'Numbers for Burden Grid'!B10</f>
        <v>19040.333333333332</v>
      </c>
      <c r="I70" s="31">
        <v>1</v>
      </c>
      <c r="J70" s="34">
        <f t="shared" si="0"/>
        <v>19040.333333333332</v>
      </c>
      <c r="K70" s="31">
        <v>0.3</v>
      </c>
      <c r="L70" s="34">
        <f>SUM(J70*K70)</f>
        <v>5712.0999999999995</v>
      </c>
      <c r="M70" s="31">
        <v>0</v>
      </c>
      <c r="N70" s="31">
        <v>0</v>
      </c>
      <c r="O70" s="31">
        <f t="shared" ref="O70:O76" si="16">SUM(M70*N70)</f>
        <v>0</v>
      </c>
      <c r="P70" s="41">
        <f>Wages!C6</f>
        <v>61.2425</v>
      </c>
      <c r="Q70" s="36">
        <f>L70*P70</f>
        <v>349823.28424999997</v>
      </c>
      <c r="R70" s="45">
        <v>5006.6000000000004</v>
      </c>
      <c r="S70" s="45">
        <v>0</v>
      </c>
      <c r="T70" s="45">
        <f t="shared" si="12"/>
        <v>705.49999999999909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</row>
    <row r="71" spans="1:82" ht="25" x14ac:dyDescent="0.35">
      <c r="A71" s="19" t="s">
        <v>21</v>
      </c>
      <c r="B71" s="81" t="s">
        <v>66</v>
      </c>
      <c r="C71" s="82"/>
      <c r="D71" s="82"/>
      <c r="E71" s="82"/>
      <c r="F71" s="83"/>
      <c r="G71" s="19" t="s">
        <v>23</v>
      </c>
      <c r="H71" s="30">
        <f>'Numbers for Burden Grid'!B10</f>
        <v>19040.333333333332</v>
      </c>
      <c r="I71" s="30">
        <v>1</v>
      </c>
      <c r="J71" s="33">
        <f t="shared" si="0"/>
        <v>19040.333333333332</v>
      </c>
      <c r="K71" s="30">
        <v>0.3</v>
      </c>
      <c r="L71" s="33">
        <f t="shared" si="15"/>
        <v>5712.0999999999995</v>
      </c>
      <c r="M71" s="30">
        <v>0</v>
      </c>
      <c r="N71" s="30">
        <v>0</v>
      </c>
      <c r="O71" s="30">
        <f t="shared" si="16"/>
        <v>0</v>
      </c>
      <c r="P71" s="40">
        <f>Wages!C13</f>
        <v>39.987749999999998</v>
      </c>
      <c r="Q71" s="35">
        <f>L71*P71</f>
        <v>228414.02677499998</v>
      </c>
      <c r="R71" s="44">
        <v>5006.6000000000004</v>
      </c>
      <c r="S71" s="44">
        <v>0</v>
      </c>
      <c r="T71" s="44">
        <f t="shared" si="12"/>
        <v>705.49999999999909</v>
      </c>
    </row>
    <row r="72" spans="1:82" s="17" customFormat="1" ht="62.5" x14ac:dyDescent="0.35">
      <c r="A72" s="16" t="s">
        <v>67</v>
      </c>
      <c r="B72" s="50" t="s">
        <v>68</v>
      </c>
      <c r="C72" s="119"/>
      <c r="D72" s="119"/>
      <c r="E72" s="119"/>
      <c r="F72" s="119"/>
      <c r="G72" s="16" t="s">
        <v>23</v>
      </c>
      <c r="H72" s="31">
        <v>25000</v>
      </c>
      <c r="I72" s="31">
        <v>1</v>
      </c>
      <c r="J72" s="34">
        <f t="shared" si="0"/>
        <v>25000</v>
      </c>
      <c r="K72" s="31">
        <v>0.33</v>
      </c>
      <c r="L72" s="34">
        <f t="shared" si="15"/>
        <v>8250</v>
      </c>
      <c r="M72" s="31">
        <v>0</v>
      </c>
      <c r="N72" s="31">
        <v>0</v>
      </c>
      <c r="O72" s="31">
        <f t="shared" si="16"/>
        <v>0</v>
      </c>
      <c r="P72" s="41">
        <f>Wages!C16</f>
        <v>51.207900000000009</v>
      </c>
      <c r="Q72" s="36">
        <f t="shared" ref="Q72:Q76" si="17">L72*P72</f>
        <v>422465.1750000001</v>
      </c>
      <c r="R72" s="45">
        <v>8250</v>
      </c>
      <c r="S72" s="45">
        <v>0</v>
      </c>
      <c r="T72" s="45">
        <f t="shared" si="12"/>
        <v>0</v>
      </c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</row>
    <row r="73" spans="1:82" s="17" customFormat="1" ht="37.5" x14ac:dyDescent="0.35">
      <c r="A73" s="16" t="s">
        <v>69</v>
      </c>
      <c r="B73" s="50" t="s">
        <v>70</v>
      </c>
      <c r="C73" s="119"/>
      <c r="D73" s="119"/>
      <c r="E73" s="119"/>
      <c r="F73" s="119"/>
      <c r="G73" s="16" t="s">
        <v>23</v>
      </c>
      <c r="H73" s="31">
        <f>'Numbers for Burden Grid'!B6+26000</f>
        <v>538986.66666666674</v>
      </c>
      <c r="I73" s="31">
        <v>1</v>
      </c>
      <c r="J73" s="34">
        <f t="shared" si="0"/>
        <v>538986.66666666674</v>
      </c>
      <c r="K73" s="31">
        <v>0.5</v>
      </c>
      <c r="L73" s="34">
        <f t="shared" si="15"/>
        <v>269493.33333333337</v>
      </c>
      <c r="M73" s="31">
        <v>0</v>
      </c>
      <c r="N73" s="31">
        <v>0</v>
      </c>
      <c r="O73" s="31">
        <f t="shared" si="16"/>
        <v>0</v>
      </c>
      <c r="P73" s="41">
        <f>Wages!C12</f>
        <v>56.596366666666675</v>
      </c>
      <c r="Q73" s="36">
        <f t="shared" si="17"/>
        <v>15252343.507555559</v>
      </c>
      <c r="R73" s="45">
        <v>270440.66666666663</v>
      </c>
      <c r="S73" s="45">
        <v>0</v>
      </c>
      <c r="T73" s="45">
        <f t="shared" si="12"/>
        <v>-947.33333333325572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</row>
    <row r="74" spans="1:82" s="17" customFormat="1" x14ac:dyDescent="0.35">
      <c r="A74" s="16" t="s">
        <v>36</v>
      </c>
      <c r="B74" s="50" t="s">
        <v>71</v>
      </c>
      <c r="C74" s="119"/>
      <c r="D74" s="119"/>
      <c r="E74" s="119"/>
      <c r="F74" s="119"/>
      <c r="G74" s="16" t="s">
        <v>23</v>
      </c>
      <c r="H74" s="31">
        <f>'Numbers for Burden Grid'!B6</f>
        <v>512986.66666666669</v>
      </c>
      <c r="I74" s="31">
        <f>'Numbers for Burden Grid'!B1/'Numbers for Burden Grid'!B6</f>
        <v>2.3974534750740761</v>
      </c>
      <c r="J74" s="34">
        <f t="shared" si="0"/>
        <v>1229861.6666666667</v>
      </c>
      <c r="K74" s="31">
        <v>0.15</v>
      </c>
      <c r="L74" s="34">
        <f t="shared" si="15"/>
        <v>184479.25</v>
      </c>
      <c r="M74" s="31">
        <v>0</v>
      </c>
      <c r="N74" s="31">
        <v>0</v>
      </c>
      <c r="O74" s="31">
        <f t="shared" si="16"/>
        <v>0</v>
      </c>
      <c r="P74" s="41">
        <f>Wages!C6</f>
        <v>61.2425</v>
      </c>
      <c r="Q74" s="36">
        <f t="shared" si="17"/>
        <v>11297970.468125001</v>
      </c>
      <c r="R74" s="45">
        <v>169995</v>
      </c>
      <c r="S74" s="45">
        <v>0</v>
      </c>
      <c r="T74" s="45">
        <f t="shared" si="12"/>
        <v>14484.25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</row>
    <row r="75" spans="1:82" s="17" customFormat="1" ht="37.5" x14ac:dyDescent="0.35">
      <c r="A75" s="16" t="s">
        <v>72</v>
      </c>
      <c r="B75" s="50" t="s">
        <v>73</v>
      </c>
      <c r="C75" s="119"/>
      <c r="D75" s="119"/>
      <c r="E75" s="119"/>
      <c r="F75" s="119"/>
      <c r="G75" s="16" t="s">
        <v>23</v>
      </c>
      <c r="H75" s="31">
        <f>'Numbers for Burden Grid'!B6+J43</f>
        <v>881945.16666666674</v>
      </c>
      <c r="I75" s="31">
        <v>1</v>
      </c>
      <c r="J75" s="34">
        <f t="shared" si="0"/>
        <v>881945.16666666674</v>
      </c>
      <c r="K75" s="31">
        <v>1</v>
      </c>
      <c r="L75" s="34">
        <f t="shared" si="15"/>
        <v>881945.16666666674</v>
      </c>
      <c r="M75" s="31">
        <v>0</v>
      </c>
      <c r="N75" s="31">
        <v>0</v>
      </c>
      <c r="O75" s="31">
        <f t="shared" si="16"/>
        <v>0</v>
      </c>
      <c r="P75" s="41">
        <f>Wages!C18</f>
        <v>54.063700000000004</v>
      </c>
      <c r="Q75" s="36">
        <f t="shared" si="17"/>
        <v>47681218.907116674</v>
      </c>
      <c r="R75" s="45">
        <v>854870.45289745298</v>
      </c>
      <c r="S75" s="45">
        <v>0</v>
      </c>
      <c r="T75" s="45">
        <f t="shared" si="12"/>
        <v>27074.713769213762</v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</row>
    <row r="76" spans="1:82" ht="37.75" customHeight="1" x14ac:dyDescent="0.35">
      <c r="A76" s="19" t="s">
        <v>24</v>
      </c>
      <c r="B76" s="49" t="s">
        <v>74</v>
      </c>
      <c r="C76" s="128"/>
      <c r="D76" s="128"/>
      <c r="E76" s="128"/>
      <c r="F76" s="128"/>
      <c r="G76" s="19" t="s">
        <v>23</v>
      </c>
      <c r="H76" s="30">
        <f>'Numbers for Burden Grid'!B9/2500000</f>
        <v>220.01924439999999</v>
      </c>
      <c r="I76" s="30">
        <v>1</v>
      </c>
      <c r="J76" s="33">
        <f t="shared" si="0"/>
        <v>220.01924439999999</v>
      </c>
      <c r="K76" s="30">
        <v>2.5</v>
      </c>
      <c r="L76" s="33">
        <f t="shared" si="15"/>
        <v>550.04811099999995</v>
      </c>
      <c r="M76" s="30">
        <v>0</v>
      </c>
      <c r="N76" s="30">
        <v>0</v>
      </c>
      <c r="O76" s="30">
        <f t="shared" si="16"/>
        <v>0</v>
      </c>
      <c r="P76" s="40">
        <f>Wages!C9</f>
        <v>91.045000000000002</v>
      </c>
      <c r="Q76" s="35">
        <f t="shared" si="17"/>
        <v>50079.130265994994</v>
      </c>
      <c r="R76" s="44">
        <v>6168.0192350000007</v>
      </c>
      <c r="S76" s="44">
        <v>0</v>
      </c>
      <c r="T76" s="44">
        <f t="shared" si="12"/>
        <v>-5617.9711240000006</v>
      </c>
    </row>
    <row r="77" spans="1:82" ht="15.5" x14ac:dyDescent="0.35">
      <c r="A77" s="126" t="s">
        <v>75</v>
      </c>
      <c r="B77" s="126"/>
      <c r="C77" s="127"/>
      <c r="D77" s="127"/>
      <c r="E77" s="127"/>
      <c r="F77" s="127"/>
      <c r="G77" s="127"/>
      <c r="H77" s="33"/>
      <c r="I77" s="32"/>
      <c r="J77" s="39">
        <f>SUM(J20:J76)</f>
        <v>11361422.287577737</v>
      </c>
      <c r="K77" s="33"/>
      <c r="L77" s="39">
        <f>SUM(L20:L76)</f>
        <v>8687169.7589535117</v>
      </c>
      <c r="M77" s="32"/>
      <c r="N77" s="32"/>
      <c r="O77" s="32"/>
      <c r="P77" s="32"/>
      <c r="Q77" s="38">
        <f>SUM(Q20:Q76)</f>
        <v>442478186.92925245</v>
      </c>
      <c r="R77" s="46">
        <v>8067906.2472426174</v>
      </c>
      <c r="S77" s="46">
        <v>0</v>
      </c>
      <c r="T77" s="46">
        <f t="shared" si="12"/>
        <v>619263.51171089429</v>
      </c>
    </row>
    <row r="78" spans="1:82" x14ac:dyDescent="0.35">
      <c r="B78" t="s">
        <v>76</v>
      </c>
      <c r="Q78" s="48">
        <f>Q77-'[2]Burden Grid'!$Q$77</f>
        <v>181023892.54198429</v>
      </c>
    </row>
    <row r="80" spans="1:82" x14ac:dyDescent="0.35">
      <c r="A80" s="6"/>
      <c r="Q80">
        <f>442478186-337769608</f>
        <v>104708578</v>
      </c>
    </row>
    <row r="81" spans="10:17" x14ac:dyDescent="0.35">
      <c r="J81" s="10"/>
      <c r="L81" s="10"/>
      <c r="Q81" s="18"/>
    </row>
    <row r="82" spans="10:17" x14ac:dyDescent="0.35">
      <c r="J82" s="10"/>
    </row>
    <row r="83" spans="10:17" x14ac:dyDescent="0.35">
      <c r="J83" s="10"/>
    </row>
    <row r="85" spans="10:17" x14ac:dyDescent="0.35">
      <c r="J85" s="10"/>
    </row>
  </sheetData>
  <mergeCells count="80">
    <mergeCell ref="B59:F59"/>
    <mergeCell ref="B55:F55"/>
    <mergeCell ref="B58:F58"/>
    <mergeCell ref="B56:F56"/>
    <mergeCell ref="B67:F67"/>
    <mergeCell ref="B60:F60"/>
    <mergeCell ref="B57:F57"/>
    <mergeCell ref="B63:F63"/>
    <mergeCell ref="B64:F64"/>
    <mergeCell ref="B66:F66"/>
    <mergeCell ref="A77:G77"/>
    <mergeCell ref="B73:F73"/>
    <mergeCell ref="B76:F76"/>
    <mergeCell ref="B75:F75"/>
    <mergeCell ref="B34:F34"/>
    <mergeCell ref="B35:F35"/>
    <mergeCell ref="B36:F36"/>
    <mergeCell ref="B51:F51"/>
    <mergeCell ref="B50:F50"/>
    <mergeCell ref="B48:F48"/>
    <mergeCell ref="B49:F49"/>
    <mergeCell ref="B72:F72"/>
    <mergeCell ref="B71:F71"/>
    <mergeCell ref="B70:F70"/>
    <mergeCell ref="B53:F53"/>
    <mergeCell ref="B52:F52"/>
    <mergeCell ref="O1:P5"/>
    <mergeCell ref="J3:N9"/>
    <mergeCell ref="O6:P9"/>
    <mergeCell ref="B74:F74"/>
    <mergeCell ref="I10:P11"/>
    <mergeCell ref="L14:L19"/>
    <mergeCell ref="M14:M19"/>
    <mergeCell ref="B54:F54"/>
    <mergeCell ref="B25:F25"/>
    <mergeCell ref="B26:F26"/>
    <mergeCell ref="B29:F29"/>
    <mergeCell ref="B30:F30"/>
    <mergeCell ref="B31:F31"/>
    <mergeCell ref="B32:F32"/>
    <mergeCell ref="B41:F41"/>
    <mergeCell ref="B43:F43"/>
    <mergeCell ref="A1:I9"/>
    <mergeCell ref="J1:N2"/>
    <mergeCell ref="B20:F20"/>
    <mergeCell ref="G12:G19"/>
    <mergeCell ref="A10:H11"/>
    <mergeCell ref="A12:A19"/>
    <mergeCell ref="B69:F69"/>
    <mergeCell ref="B62:F62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  <mergeCell ref="B21:F21"/>
    <mergeCell ref="B68:F68"/>
    <mergeCell ref="B46:F46"/>
    <mergeCell ref="B47:F47"/>
    <mergeCell ref="B61:F61"/>
    <mergeCell ref="B65:F65"/>
    <mergeCell ref="B22:F22"/>
    <mergeCell ref="B45:F45"/>
    <mergeCell ref="B28:F28"/>
    <mergeCell ref="B42:F42"/>
    <mergeCell ref="B44:F44"/>
    <mergeCell ref="B40:F40"/>
    <mergeCell ref="B39:F39"/>
    <mergeCell ref="B23:F23"/>
    <mergeCell ref="B37:F37"/>
    <mergeCell ref="B33:F33"/>
    <mergeCell ref="B24:F24"/>
    <mergeCell ref="B27:F27"/>
    <mergeCell ref="B38:F38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E13" sqref="E13"/>
    </sheetView>
  </sheetViews>
  <sheetFormatPr defaultColWidth="9.1796875" defaultRowHeight="14.5" x14ac:dyDescent="0.35"/>
  <cols>
    <col min="1" max="1" width="54" bestFit="1" customWidth="1"/>
    <col min="2" max="2" width="13.54296875" customWidth="1"/>
  </cols>
  <sheetData>
    <row r="1" spans="1:4" x14ac:dyDescent="0.35">
      <c r="A1" s="8" t="s">
        <v>77</v>
      </c>
      <c r="B1" s="27">
        <f>(1203858+1246819+1238908)/3</f>
        <v>1229861.6666666667</v>
      </c>
    </row>
    <row r="2" spans="1:4" x14ac:dyDescent="0.35">
      <c r="A2" s="8" t="s">
        <v>78</v>
      </c>
      <c r="B2" s="10">
        <v>12</v>
      </c>
    </row>
    <row r="3" spans="1:4" x14ac:dyDescent="0.35">
      <c r="A3" s="8" t="s">
        <v>79</v>
      </c>
      <c r="B3" s="10">
        <f>(1105+1087+1257)/3</f>
        <v>1149.6666666666667</v>
      </c>
    </row>
    <row r="4" spans="1:4" x14ac:dyDescent="0.35">
      <c r="A4" s="8" t="s">
        <v>80</v>
      </c>
      <c r="B4" s="10">
        <f>(13290+13415+13833)/3</f>
        <v>13512.666666666666</v>
      </c>
      <c r="D4" s="10"/>
    </row>
    <row r="5" spans="1:4" x14ac:dyDescent="0.35">
      <c r="A5" s="8" t="s">
        <v>81</v>
      </c>
      <c r="B5" s="10">
        <f>(5049+5052+5191)/3</f>
        <v>5097.333333333333</v>
      </c>
    </row>
    <row r="6" spans="1:4" x14ac:dyDescent="0.35">
      <c r="A6" s="8" t="s">
        <v>82</v>
      </c>
      <c r="B6" s="10">
        <f>(514781+514061+510118)/3</f>
        <v>512986.66666666669</v>
      </c>
      <c r="D6" s="10"/>
    </row>
    <row r="7" spans="1:4" x14ac:dyDescent="0.35">
      <c r="A7" s="4" t="s">
        <v>83</v>
      </c>
      <c r="B7" s="10">
        <f>(266069+265882+264564)/3</f>
        <v>265505</v>
      </c>
      <c r="C7" s="5"/>
    </row>
    <row r="8" spans="1:4" x14ac:dyDescent="0.35">
      <c r="A8" t="s">
        <v>84</v>
      </c>
      <c r="B8" s="10">
        <f>(33031+35857+32457)/3</f>
        <v>33781.666666666664</v>
      </c>
    </row>
    <row r="9" spans="1:4" x14ac:dyDescent="0.35">
      <c r="A9" t="s">
        <v>85</v>
      </c>
      <c r="B9" s="10">
        <v>550048111</v>
      </c>
    </row>
    <row r="10" spans="1:4" x14ac:dyDescent="0.35">
      <c r="A10" s="7" t="s">
        <v>86</v>
      </c>
      <c r="B10" s="10">
        <f>(18116+19016+19989)/3</f>
        <v>19040.333333333332</v>
      </c>
    </row>
    <row r="11" spans="1:4" ht="16.5" customHeight="1" x14ac:dyDescent="0.35">
      <c r="A11" s="7" t="s">
        <v>87</v>
      </c>
      <c r="B11" s="10">
        <f>(1796+2075+1938)/3</f>
        <v>1936.3333333333333</v>
      </c>
    </row>
    <row r="12" spans="1:4" x14ac:dyDescent="0.35">
      <c r="A12" t="s">
        <v>88</v>
      </c>
      <c r="B12" s="28">
        <f>(3059+2030+2171)/3</f>
        <v>2420</v>
      </c>
    </row>
    <row r="13" spans="1:4" x14ac:dyDescent="0.35">
      <c r="A13" t="s">
        <v>89</v>
      </c>
      <c r="B13" s="28">
        <f>(7050+13990+17998)/3</f>
        <v>13012.666666666666</v>
      </c>
    </row>
    <row r="14" spans="1:4" x14ac:dyDescent="0.35">
      <c r="A14" t="s">
        <v>90</v>
      </c>
      <c r="B14" s="28">
        <f>(62+259+168+187+262+162)/3</f>
        <v>366.66666666666669</v>
      </c>
    </row>
    <row r="15" spans="1:4" x14ac:dyDescent="0.35">
      <c r="A15" t="s">
        <v>91</v>
      </c>
      <c r="B15" s="28">
        <f>(19+10+30+17+2+56+32+4+48)/3</f>
        <v>72.666666666666671</v>
      </c>
    </row>
    <row r="16" spans="1:4" x14ac:dyDescent="0.35">
      <c r="A16" t="s">
        <v>113</v>
      </c>
      <c r="B16" s="28">
        <f>((1227+526+528)/3)+((8424+9152+8846)/3)+((18426+15447+17654)/3)+((62+27+25)/3)+B11</f>
        <v>28717.666666666668</v>
      </c>
    </row>
    <row r="17" spans="1:2" x14ac:dyDescent="0.35">
      <c r="B17" s="10"/>
    </row>
    <row r="18" spans="1:2" ht="43.5" x14ac:dyDescent="0.35">
      <c r="A18" s="9" t="s">
        <v>92</v>
      </c>
      <c r="B18" s="11">
        <f>B22/B21</f>
        <v>0.76461991633317083</v>
      </c>
    </row>
    <row r="19" spans="1:2" x14ac:dyDescent="0.35">
      <c r="A19" s="9" t="s">
        <v>93</v>
      </c>
      <c r="B19" s="10">
        <f>B4+B5+B6</f>
        <v>531596.66666666674</v>
      </c>
    </row>
    <row r="20" spans="1:2" x14ac:dyDescent="0.35">
      <c r="A20" s="9" t="s">
        <v>94</v>
      </c>
      <c r="B20" s="12">
        <f>B21/B19</f>
        <v>21.372260211522022</v>
      </c>
    </row>
    <row r="21" spans="1:2" x14ac:dyDescent="0.35">
      <c r="A21" s="9" t="s">
        <v>95</v>
      </c>
      <c r="B21" s="10">
        <f>'Burden Grid'!J77</f>
        <v>11361422.287577737</v>
      </c>
    </row>
    <row r="22" spans="1:2" x14ac:dyDescent="0.35">
      <c r="A22" s="9" t="s">
        <v>96</v>
      </c>
      <c r="B22" s="10">
        <f>'Burden Grid'!L77</f>
        <v>8687169.7589535117</v>
      </c>
    </row>
  </sheetData>
  <pageMargins left="0.7" right="0.7" top="0.75" bottom="0.75" header="0.3" footer="0.3"/>
  <pageSetup orientation="portrait" r:id="rId1"/>
  <ignoredErrors>
    <ignoredError sqref="B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>
      <selection activeCell="C13" sqref="C13"/>
    </sheetView>
  </sheetViews>
  <sheetFormatPr defaultRowHeight="14.5" x14ac:dyDescent="0.35"/>
  <cols>
    <col min="1" max="1" width="56.54296875" bestFit="1" customWidth="1"/>
    <col min="2" max="2" width="15.7265625" customWidth="1"/>
  </cols>
  <sheetData>
    <row r="1" spans="1:3" s="4" customFormat="1" ht="46.5" x14ac:dyDescent="0.35">
      <c r="A1" s="29" t="s">
        <v>115</v>
      </c>
      <c r="B1" s="29" t="s">
        <v>116</v>
      </c>
      <c r="C1" s="29" t="s">
        <v>118</v>
      </c>
    </row>
    <row r="2" spans="1:3" ht="15.5" x14ac:dyDescent="0.35">
      <c r="A2" s="13" t="s">
        <v>97</v>
      </c>
      <c r="B2" s="14">
        <v>26.75</v>
      </c>
      <c r="C2" s="47">
        <f>B2*1.31</f>
        <v>35.042500000000004</v>
      </c>
    </row>
    <row r="3" spans="1:3" ht="15.5" x14ac:dyDescent="0.35">
      <c r="A3" s="13" t="s">
        <v>98</v>
      </c>
      <c r="B3" s="14">
        <v>39.19</v>
      </c>
      <c r="C3" s="47">
        <f t="shared" ref="C3:C18" si="0">B3*1.31</f>
        <v>51.338900000000002</v>
      </c>
    </row>
    <row r="4" spans="1:3" ht="15.5" x14ac:dyDescent="0.35">
      <c r="A4" s="13" t="s">
        <v>99</v>
      </c>
      <c r="B4" s="14">
        <v>37.869999999999997</v>
      </c>
      <c r="C4" s="47">
        <f t="shared" si="0"/>
        <v>49.609699999999997</v>
      </c>
    </row>
    <row r="5" spans="1:3" ht="15.5" x14ac:dyDescent="0.35">
      <c r="A5" s="13" t="s">
        <v>100</v>
      </c>
      <c r="B5" s="14">
        <v>43.67</v>
      </c>
      <c r="C5" s="47">
        <f t="shared" si="0"/>
        <v>57.207700000000003</v>
      </c>
    </row>
    <row r="6" spans="1:3" ht="15.5" x14ac:dyDescent="0.35">
      <c r="A6" s="13" t="s">
        <v>101</v>
      </c>
      <c r="B6" s="14">
        <v>46.75</v>
      </c>
      <c r="C6" s="47">
        <f t="shared" si="0"/>
        <v>61.2425</v>
      </c>
    </row>
    <row r="7" spans="1:3" ht="15.5" x14ac:dyDescent="0.35">
      <c r="A7" s="13" t="s">
        <v>102</v>
      </c>
      <c r="B7" s="14">
        <v>21.86</v>
      </c>
      <c r="C7" s="47">
        <f t="shared" si="0"/>
        <v>28.636600000000001</v>
      </c>
    </row>
    <row r="8" spans="1:3" ht="15.5" x14ac:dyDescent="0.35">
      <c r="A8" s="13" t="s">
        <v>103</v>
      </c>
      <c r="B8" s="14">
        <v>44.96</v>
      </c>
      <c r="C8" s="47">
        <f t="shared" si="0"/>
        <v>58.897600000000004</v>
      </c>
    </row>
    <row r="9" spans="1:3" ht="15.5" x14ac:dyDescent="0.35">
      <c r="A9" s="13" t="s">
        <v>104</v>
      </c>
      <c r="B9" s="14">
        <v>69.5</v>
      </c>
      <c r="C9" s="47">
        <f t="shared" si="0"/>
        <v>91.045000000000002</v>
      </c>
    </row>
    <row r="10" spans="1:3" ht="15.5" x14ac:dyDescent="0.35">
      <c r="A10" s="13"/>
      <c r="C10" s="47"/>
    </row>
    <row r="11" spans="1:3" ht="15.5" x14ac:dyDescent="0.35">
      <c r="A11" s="13" t="s">
        <v>105</v>
      </c>
      <c r="B11" s="14">
        <f>(B3+B6)/2</f>
        <v>42.97</v>
      </c>
      <c r="C11" s="47">
        <f t="shared" si="0"/>
        <v>56.290700000000001</v>
      </c>
    </row>
    <row r="12" spans="1:3" ht="15.5" x14ac:dyDescent="0.35">
      <c r="A12" s="13" t="s">
        <v>106</v>
      </c>
      <c r="B12" s="14">
        <f>(B3+B5+B6)/3</f>
        <v>43.20333333333334</v>
      </c>
      <c r="C12" s="47">
        <f t="shared" si="0"/>
        <v>56.596366666666675</v>
      </c>
    </row>
    <row r="13" spans="1:3" ht="15.5" x14ac:dyDescent="0.35">
      <c r="A13" s="13" t="s">
        <v>107</v>
      </c>
      <c r="B13" s="14">
        <f>(B3+B7)/2</f>
        <v>30.524999999999999</v>
      </c>
      <c r="C13" s="47">
        <f t="shared" si="0"/>
        <v>39.987749999999998</v>
      </c>
    </row>
    <row r="14" spans="1:3" ht="15.5" x14ac:dyDescent="0.35">
      <c r="A14" s="13" t="s">
        <v>108</v>
      </c>
      <c r="B14" s="14">
        <f>(B3+B5+B7)/3</f>
        <v>34.906666666666666</v>
      </c>
      <c r="C14" s="47">
        <f t="shared" si="0"/>
        <v>45.727733333333333</v>
      </c>
    </row>
    <row r="15" spans="1:3" ht="15.5" x14ac:dyDescent="0.35">
      <c r="A15" s="13" t="s">
        <v>109</v>
      </c>
      <c r="B15" s="14">
        <f>(B3+B7+B4)/3</f>
        <v>32.973333333333329</v>
      </c>
      <c r="C15" s="47">
        <f t="shared" si="0"/>
        <v>43.195066666666662</v>
      </c>
    </row>
    <row r="16" spans="1:3" ht="15.5" x14ac:dyDescent="0.35">
      <c r="A16" s="13" t="s">
        <v>110</v>
      </c>
      <c r="B16" s="14">
        <f>(B3+B5+B6+B2)/4</f>
        <v>39.090000000000003</v>
      </c>
      <c r="C16" s="47">
        <f t="shared" si="0"/>
        <v>51.207900000000009</v>
      </c>
    </row>
    <row r="17" spans="1:3" ht="15.5" x14ac:dyDescent="0.35">
      <c r="A17" s="13" t="s">
        <v>111</v>
      </c>
      <c r="B17" s="14">
        <f>(B3+B4)/2</f>
        <v>38.53</v>
      </c>
      <c r="C17" s="47">
        <f t="shared" si="0"/>
        <v>50.474300000000007</v>
      </c>
    </row>
    <row r="18" spans="1:3" ht="15.5" x14ac:dyDescent="0.35">
      <c r="A18" s="13" t="s">
        <v>112</v>
      </c>
      <c r="B18" s="14">
        <f>(B3+B4+B6)/3</f>
        <v>41.27</v>
      </c>
      <c r="C18" s="47">
        <f t="shared" si="0"/>
        <v>54.063700000000004</v>
      </c>
    </row>
    <row r="20" spans="1:3" x14ac:dyDescent="0.35">
      <c r="A20" s="6" t="s">
        <v>114</v>
      </c>
    </row>
  </sheetData>
  <hyperlinks>
    <hyperlink ref="A20" r:id="rId1" display="https://www.bls.gov/oes/current/oes_nat.htm" xr:uid="{C4259710-0768-4AA7-84C8-415AD78E15E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AD0BA64CDB64099B7E08FD0EE1B67" ma:contentTypeVersion="0" ma:contentTypeDescription="Create a new document." ma:contentTypeScope="" ma:versionID="a21f65d5f26d7b70165f361b96985c2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5f3c9b82ee137ba3b238d9d28245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99BC83-F347-46C0-8AC9-74AFCA5D9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32FF3B-FD32-4BC5-9379-A535CD3C1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6EEA85-ACEA-4BF6-A4B1-24C2C828A4F8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Grid</vt:lpstr>
      <vt:lpstr>Numbers for Burden Grid</vt:lpstr>
      <vt:lpstr>Wages</vt:lpstr>
      <vt:lpstr>'Burden Grid'!Print_Titles</vt:lpstr>
    </vt:vector>
  </TitlesOfParts>
  <Manager/>
  <Company>Risk Management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sarah.shaw</dc:creator>
  <cp:keywords/>
  <dc:description/>
  <cp:lastModifiedBy>Yarbro, Talina - FPAC-FBC, ID</cp:lastModifiedBy>
  <cp:revision/>
  <dcterms:created xsi:type="dcterms:W3CDTF">2011-01-12T13:53:13Z</dcterms:created>
  <dcterms:modified xsi:type="dcterms:W3CDTF">2025-12-16T18:24:55Z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0x01010019FAD0BA64CDB64099B7E08FD0EE1B67</vt:lpwstr>
  </property>
  <property fmtid="{D5CDD505-2E9C-101B-9397-08002B2CF9AE}" pid="3" name="MediaServiceImageTags">
    <vt:lpwstr/>
  </property>
</Properties>
</file>