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05 7 CFR Part 215 Special Milk Program for Children 2025 Renewal/ROCIS/"/>
    </mc:Choice>
  </mc:AlternateContent>
  <xr:revisionPtr revIDLastSave="5" documentId="8_{E6A3B4E6-88E9-4F54-B855-D689C5BD5991}" xr6:coauthVersionLast="47" xr6:coauthVersionMax="47" xr10:uidLastSave="{64EEC6BA-4431-4DED-98DF-05A2AB0D0D0E}"/>
  <bookViews>
    <workbookView xWindow="0" yWindow="0" windowWidth="19200" windowHeight="10080" xr2:uid="{4085E0DB-47EF-45C6-BBFC-AF459AA0D46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22" i="1"/>
  <c r="N8" i="1"/>
  <c r="N9" i="1" s="1"/>
  <c r="E23" i="1"/>
  <c r="D23" i="1"/>
  <c r="C23" i="1"/>
  <c r="G22" i="1"/>
  <c r="H22" i="1"/>
  <c r="C22" i="1"/>
  <c r="L22" i="1"/>
  <c r="K22" i="1"/>
  <c r="J22" i="1"/>
  <c r="D22" i="1"/>
  <c r="E22" i="1"/>
  <c r="C18" i="1" l="1"/>
  <c r="D12" i="1"/>
  <c r="L14" i="1" l="1"/>
  <c r="C9" i="1"/>
  <c r="Q6" i="1"/>
  <c r="Q8" i="1" l="1"/>
  <c r="G21" i="1"/>
  <c r="E21" i="1"/>
  <c r="N19" i="1"/>
  <c r="I21" i="1"/>
  <c r="J21" i="1" s="1"/>
  <c r="K21" i="1" s="1"/>
  <c r="C21" i="1"/>
  <c r="L9" i="1"/>
  <c r="L23" i="1" s="1"/>
  <c r="E8" i="1"/>
  <c r="C19" i="1"/>
  <c r="I8" i="1" l="1"/>
  <c r="J8" i="1" s="1"/>
  <c r="K8" i="1" s="1"/>
  <c r="E19" i="1" l="1"/>
  <c r="G19" i="1" s="1"/>
  <c r="I19" i="1" l="1"/>
  <c r="J19" i="1" s="1"/>
  <c r="K19" i="1" s="1"/>
  <c r="E13" i="1"/>
  <c r="G13" i="1" s="1"/>
  <c r="E14" i="1"/>
  <c r="G14" i="1" s="1"/>
  <c r="N14" i="1" s="1"/>
  <c r="E15" i="1"/>
  <c r="G15" i="1" s="1"/>
  <c r="E16" i="1"/>
  <c r="G16" i="1" s="1"/>
  <c r="N16" i="1" s="1"/>
  <c r="E12" i="1"/>
  <c r="G12" i="1" s="1"/>
  <c r="N12" i="1" l="1"/>
  <c r="I12" i="1"/>
  <c r="I15" i="1"/>
  <c r="J15" i="1" s="1"/>
  <c r="K15" i="1" s="1"/>
  <c r="I13" i="1"/>
  <c r="J13" i="1" s="1"/>
  <c r="K13" i="1" s="1"/>
  <c r="N13" i="1"/>
  <c r="I16" i="1"/>
  <c r="J16" i="1" s="1"/>
  <c r="K16" i="1" s="1"/>
  <c r="I14" i="1"/>
  <c r="J14" i="1" s="1"/>
  <c r="K14" i="1" s="1"/>
  <c r="E6" i="1"/>
  <c r="E9" i="1" s="1"/>
  <c r="D9" i="1" s="1"/>
  <c r="J12" i="1" l="1"/>
  <c r="K12" i="1" s="1"/>
  <c r="G6" i="1"/>
  <c r="N6" i="1" l="1"/>
  <c r="G9" i="1"/>
  <c r="G23" i="1" s="1"/>
  <c r="F23" i="1" s="1"/>
  <c r="E18" i="1"/>
  <c r="I6" i="1"/>
  <c r="E4" i="1"/>
  <c r="G18" i="1" l="1"/>
  <c r="F22" i="1" s="1"/>
  <c r="G4" i="1"/>
  <c r="J6" i="1"/>
  <c r="N18" i="1" l="1"/>
  <c r="I18" i="1"/>
  <c r="I22" i="1" s="1"/>
  <c r="N4" i="1"/>
  <c r="N23" i="1" s="1"/>
  <c r="I4" i="1"/>
  <c r="I9" i="1" s="1"/>
  <c r="H9" i="1" s="1"/>
  <c r="K6" i="1"/>
  <c r="J18" i="1" l="1"/>
  <c r="K18" i="1" s="1"/>
  <c r="J4" i="1"/>
  <c r="J9" i="1" s="1"/>
  <c r="I23" i="1" l="1"/>
  <c r="K4" i="1"/>
  <c r="K9" i="1" s="1"/>
  <c r="J23" i="1" l="1"/>
  <c r="K23" i="1" s="1"/>
  <c r="K25" i="1" s="1"/>
  <c r="H23" i="1"/>
</calcChain>
</file>

<file path=xl/sharedStrings.xml><?xml version="1.0" encoding="utf-8"?>
<sst xmlns="http://schemas.openxmlformats.org/spreadsheetml/2006/main" count="48" uniqueCount="45">
  <si>
    <t>Regulation</t>
  </si>
  <si>
    <t>Burden Activity</t>
  </si>
  <si>
    <t>Estimated Number of Respondents/recordkeepers</t>
  </si>
  <si>
    <t>Estimated Responses per Respondent</t>
  </si>
  <si>
    <t>Estimated Total Annual Responses</t>
  </si>
  <si>
    <t>Estimated Hours per Response</t>
  </si>
  <si>
    <t>Estimated Total Annual Hours</t>
  </si>
  <si>
    <t>Hourly Cost to Respondent</t>
  </si>
  <si>
    <r>
      <rPr>
        <b/>
        <sz val="10"/>
        <color rgb="FFFF0000"/>
        <rFont val="Aptos Narrow"/>
        <family val="2"/>
        <scheme val="minor"/>
      </rPr>
      <t xml:space="preserve">Estimated </t>
    </r>
    <r>
      <rPr>
        <b/>
        <sz val="10"/>
        <color theme="1"/>
        <rFont val="Aptos Narrow"/>
        <family val="2"/>
        <scheme val="minor"/>
      </rPr>
      <t>Cost to Respondent</t>
    </r>
  </si>
  <si>
    <t xml:space="preserve">Fringe Benefits (X 0.33) </t>
  </si>
  <si>
    <t>With Fully Loaded Wages</t>
  </si>
  <si>
    <t>Difference Due to Program Changes</t>
  </si>
  <si>
    <t>Difference Due to Adjustment</t>
  </si>
  <si>
    <t>Reporting</t>
  </si>
  <si>
    <t>State Agency</t>
  </si>
  <si>
    <t>215.5(a)</t>
  </si>
  <si>
    <t>School Food Authority/Non-Profit Child Care Institution (local site)</t>
  </si>
  <si>
    <t>215.7(c)</t>
  </si>
  <si>
    <t>Totals</t>
  </si>
  <si>
    <t>Recordkeeping</t>
  </si>
  <si>
    <t>SA maintains applications submitted by, and agreements executed with, SFAs and sponsors.</t>
  </si>
  <si>
    <t>215.11(b)</t>
  </si>
  <si>
    <t>SA maintains documentation of compliance reviews, site visits and Program assistance.</t>
  </si>
  <si>
    <t>215.11(c)(1)</t>
  </si>
  <si>
    <t>215.13(a)</t>
  </si>
  <si>
    <t>Recordkeeping Total</t>
  </si>
  <si>
    <t>Grand Total</t>
  </si>
  <si>
    <t>educational instruction and library occupation</t>
  </si>
  <si>
    <t>Eligibility interviewers, government programs</t>
  </si>
  <si>
    <t>Previously Approved under 0584-0005</t>
  </si>
  <si>
    <t>SA requests funds to pay SMP claims.</t>
  </si>
  <si>
    <t>SA maintains all records of action taken on disallowed claim.</t>
  </si>
  <si>
    <t>A-133 audit, audit plan, and management evaluations including records of the receipt and expenditure of funds under the program.</t>
  </si>
  <si>
    <t>Non-Profit Child Care Institution Level (local site)</t>
  </si>
  <si>
    <t>School Food Authority</t>
  </si>
  <si>
    <t>Attachment F Excel Burden Chart for OMB Contol Number 0584-0005 7 CFR Part 215 Special Milk Program for Children</t>
  </si>
  <si>
    <t>BLS Education 2024</t>
  </si>
  <si>
    <t>https://data.bls.gov/oesprofile/</t>
  </si>
  <si>
    <t>215.14(a)</t>
  </si>
  <si>
    <t>SA maintains Program records as necessary to support the reimbursement payments made to CCIs or SFAs under §215.8 and §215.10 and reports submitted to FNS under §215.11(c)(2).</t>
  </si>
  <si>
    <t>SFA submits an application to SA to operate the SMP and enters into a written agreement with the SA or FNSRO</t>
  </si>
  <si>
    <t>SFA compliance concerning the procurement of all goods and services with nonprofit school food service account funds</t>
  </si>
  <si>
    <t>CCI maintains written agreement with SA or FNSRO including claim for reimbursement</t>
  </si>
  <si>
    <t>SFA maintains written agreement with SA or FNSRO including claim for reimbursement</t>
  </si>
  <si>
    <t>CCI submits an application to SA to operate the SMP and enters into a written agreement with the SA or FNSRO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</si>
</sst>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5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readingOrder="1"/>
    </xf>
    <xf numFmtId="0" fontId="0" fillId="0" borderId="1" xfId="0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44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9" fillId="0" borderId="0" xfId="12" applyAlignment="1">
      <alignment wrapText="1"/>
    </xf>
    <xf numFmtId="4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" fontId="0" fillId="4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2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3">
    <cellStyle name="Comma" xfId="1" builtinId="3"/>
    <cellStyle name="Comma 2" xfId="7" xr:uid="{8CD20025-CA01-49AD-8BFD-EA6076E34981}"/>
    <cellStyle name="Comma 2 2" xfId="10" xr:uid="{28817040-6B31-4B92-86BA-B8FB294B267D}"/>
    <cellStyle name="Comma 3" xfId="6" xr:uid="{87ADDA9D-7F7D-45CE-822B-4CBF1991FF50}"/>
    <cellStyle name="Comma 3 2" xfId="9" xr:uid="{C7D76E6D-C717-4E86-AAB1-368D96924C21}"/>
    <cellStyle name="Currency" xfId="2" builtinId="4"/>
    <cellStyle name="Hyperlink" xfId="12" builtinId="8"/>
    <cellStyle name="Neutral 2" xfId="5" xr:uid="{327F710F-F420-42D0-A6A4-EE7181A4EC59}"/>
    <cellStyle name="Normal" xfId="0" builtinId="0"/>
    <cellStyle name="Normal 2" xfId="4" xr:uid="{CD5773AB-EF49-4007-B25A-9903952A5A85}"/>
    <cellStyle name="Normal 3" xfId="8" xr:uid="{5856A5F7-3AD1-40EC-827A-78A2D3C54419}"/>
    <cellStyle name="Normal 3 2" xfId="11" xr:uid="{66D2FBB8-4DC8-4B1F-B220-2DA3BF46FD1B}"/>
    <cellStyle name="Normal 4" xfId="3" xr:uid="{F517B5B9-9319-43C8-9FE1-E1C590407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bls.gov/oesprofi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3829-1448-4250-95B3-17D4F29AF007}">
  <dimension ref="A1:Q26"/>
  <sheetViews>
    <sheetView tabSelected="1" zoomScale="90" zoomScaleNormal="90" workbookViewId="0">
      <pane ySplit="1" topLeftCell="A2" activePane="bottomLeft" state="frozen"/>
      <selection pane="bottomLeft" activeCell="N21" sqref="N21"/>
    </sheetView>
  </sheetViews>
  <sheetFormatPr defaultColWidth="8.81640625" defaultRowHeight="14.5" x14ac:dyDescent="0.35"/>
  <cols>
    <col min="1" max="1" width="11.1796875" style="1" bestFit="1" customWidth="1"/>
    <col min="2" max="2" width="26.26953125" style="1" bestFit="1" customWidth="1"/>
    <col min="3" max="3" width="13" style="1" customWidth="1"/>
    <col min="4" max="4" width="12.7265625" style="1" bestFit="1" customWidth="1"/>
    <col min="5" max="5" width="10.7265625" style="1" bestFit="1" customWidth="1"/>
    <col min="6" max="6" width="11.54296875" style="1" bestFit="1" customWidth="1"/>
    <col min="7" max="7" width="10.81640625" style="1" customWidth="1"/>
    <col min="8" max="8" width="12.26953125" style="1" customWidth="1"/>
    <col min="9" max="9" width="13.1796875" style="1" customWidth="1"/>
    <col min="10" max="10" width="12" style="1" customWidth="1"/>
    <col min="11" max="11" width="13.1796875" style="1" customWidth="1"/>
    <col min="12" max="12" width="11.54296875" style="1" bestFit="1" customWidth="1"/>
    <col min="13" max="13" width="13.26953125" style="1" customWidth="1"/>
    <col min="14" max="14" width="11.1796875" style="1" customWidth="1"/>
    <col min="15" max="16" width="8.81640625" style="1"/>
    <col min="17" max="17" width="41.26953125" style="1" customWidth="1"/>
    <col min="18" max="16384" width="8.81640625" style="1"/>
  </cols>
  <sheetData>
    <row r="1" spans="1:17" ht="58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7" t="s">
        <v>29</v>
      </c>
      <c r="M1" s="8" t="s">
        <v>11</v>
      </c>
      <c r="N1" s="8" t="s">
        <v>12</v>
      </c>
      <c r="Q1" s="1" t="s">
        <v>35</v>
      </c>
    </row>
    <row r="2" spans="1:17" x14ac:dyDescent="0.35">
      <c r="A2" s="30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7" x14ac:dyDescent="0.35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7" ht="29" x14ac:dyDescent="0.35">
      <c r="A4" s="2" t="s">
        <v>15</v>
      </c>
      <c r="B4" s="2" t="s">
        <v>30</v>
      </c>
      <c r="C4" s="11">
        <v>43</v>
      </c>
      <c r="D4" s="11">
        <v>24</v>
      </c>
      <c r="E4" s="11">
        <f>D4*C4</f>
        <v>1032</v>
      </c>
      <c r="F4" s="11">
        <v>0.25</v>
      </c>
      <c r="G4" s="11">
        <f>F4*E4</f>
        <v>258</v>
      </c>
      <c r="H4" s="12">
        <v>25.95</v>
      </c>
      <c r="I4" s="12">
        <f>G4*H4</f>
        <v>6695.0999999999995</v>
      </c>
      <c r="J4" s="13">
        <f>I4*0.33</f>
        <v>2209.3829999999998</v>
      </c>
      <c r="K4" s="13">
        <f>J4+I4</f>
        <v>8904.4830000000002</v>
      </c>
      <c r="L4" s="11">
        <v>324</v>
      </c>
      <c r="M4" s="11"/>
      <c r="N4" s="11">
        <f>G4-L4</f>
        <v>-66</v>
      </c>
    </row>
    <row r="5" spans="1:17" x14ac:dyDescent="0.35">
      <c r="A5" s="35" t="s">
        <v>16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7" ht="60.75" customHeight="1" x14ac:dyDescent="0.35">
      <c r="A6" s="2" t="s">
        <v>17</v>
      </c>
      <c r="B6" s="2" t="s">
        <v>40</v>
      </c>
      <c r="C6" s="11">
        <v>1183</v>
      </c>
      <c r="D6" s="11">
        <v>1</v>
      </c>
      <c r="E6" s="11">
        <f>D6*C6</f>
        <v>1183</v>
      </c>
      <c r="F6" s="11">
        <v>0.25</v>
      </c>
      <c r="G6" s="11">
        <f>F6*E6</f>
        <v>295.75</v>
      </c>
      <c r="H6" s="12">
        <v>26.78</v>
      </c>
      <c r="I6" s="12">
        <f>H6*G6</f>
        <v>7920.1850000000004</v>
      </c>
      <c r="J6" s="13">
        <f>I6*0.33</f>
        <v>2613.6610500000002</v>
      </c>
      <c r="K6" s="13">
        <f>J6+I6</f>
        <v>10533.84605</v>
      </c>
      <c r="L6" s="11">
        <v>788.75</v>
      </c>
      <c r="M6" s="11"/>
      <c r="N6" s="11">
        <f>G6-L6</f>
        <v>-493</v>
      </c>
      <c r="Q6" s="1">
        <f>1138+321</f>
        <v>1459</v>
      </c>
    </row>
    <row r="7" spans="1:17" x14ac:dyDescent="0.35">
      <c r="A7" s="39" t="s">
        <v>33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1:17" ht="58" x14ac:dyDescent="0.35">
      <c r="A8" s="2" t="s">
        <v>17</v>
      </c>
      <c r="B8" s="2" t="s">
        <v>44</v>
      </c>
      <c r="C8" s="11">
        <v>321</v>
      </c>
      <c r="D8" s="11">
        <v>1</v>
      </c>
      <c r="E8" s="11">
        <f>D8*C8</f>
        <v>321</v>
      </c>
      <c r="F8" s="11">
        <v>0.25</v>
      </c>
      <c r="G8" s="25">
        <v>80</v>
      </c>
      <c r="H8" s="26">
        <v>26.78</v>
      </c>
      <c r="I8" s="26">
        <f>H8*G8</f>
        <v>2142.4</v>
      </c>
      <c r="J8" s="27">
        <f>I8*0.33</f>
        <v>706.99200000000008</v>
      </c>
      <c r="K8" s="27">
        <f>J8+I8</f>
        <v>2849.3920000000003</v>
      </c>
      <c r="L8" s="25">
        <v>72</v>
      </c>
      <c r="M8" s="25"/>
      <c r="N8" s="25">
        <f>G8-L8</f>
        <v>8</v>
      </c>
      <c r="Q8" s="1">
        <f>C23-Q6</f>
        <v>88</v>
      </c>
    </row>
    <row r="9" spans="1:17" x14ac:dyDescent="0.35">
      <c r="A9" s="36" t="s">
        <v>18</v>
      </c>
      <c r="B9" s="36"/>
      <c r="C9" s="14">
        <f>SUM(C4+C6+C8)</f>
        <v>1547</v>
      </c>
      <c r="D9" s="15">
        <f>E9/C9</f>
        <v>1.6393018745959922</v>
      </c>
      <c r="E9" s="14">
        <f>SUM(E4+E6+E8)</f>
        <v>2536</v>
      </c>
      <c r="F9" s="14">
        <v>0.25</v>
      </c>
      <c r="G9" s="14">
        <f>SUM(G4+G6+G8)</f>
        <v>633.75</v>
      </c>
      <c r="H9" s="28">
        <f>I9/G9</f>
        <v>26.442106508875742</v>
      </c>
      <c r="I9" s="28">
        <f>SUM(I4+I6+I8)</f>
        <v>16757.685000000001</v>
      </c>
      <c r="J9" s="16">
        <f>SUM(J4+J6+J8)</f>
        <v>5530.0360500000006</v>
      </c>
      <c r="K9" s="16">
        <f>SUM(K4+K6+K8)</f>
        <v>22287.72105</v>
      </c>
      <c r="L9" s="14">
        <f>SUM(L4+L6+L8)</f>
        <v>1184.75</v>
      </c>
      <c r="M9" s="14"/>
      <c r="N9" s="15">
        <f>N4+N6+N8</f>
        <v>-551</v>
      </c>
    </row>
    <row r="10" spans="1:17" x14ac:dyDescent="0.35">
      <c r="A10" s="38" t="s">
        <v>19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7" x14ac:dyDescent="0.35">
      <c r="A11" s="35" t="s">
        <v>14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7" ht="58" x14ac:dyDescent="0.35">
      <c r="A12" s="3">
        <v>215.7</v>
      </c>
      <c r="B12" s="9" t="s">
        <v>20</v>
      </c>
      <c r="C12" s="11">
        <v>43</v>
      </c>
      <c r="D12" s="17">
        <f>(C6+C8)/C12</f>
        <v>34.97674418604651</v>
      </c>
      <c r="E12" s="11">
        <f>C12*D12</f>
        <v>1504</v>
      </c>
      <c r="F12" s="11">
        <v>8.3500000000000005E-2</v>
      </c>
      <c r="G12" s="17">
        <f>F12*E12</f>
        <v>125.584</v>
      </c>
      <c r="H12" s="12">
        <v>25.95</v>
      </c>
      <c r="I12" s="12">
        <f>H12*G12</f>
        <v>3258.9047999999998</v>
      </c>
      <c r="J12" s="13">
        <f>0.33*I12</f>
        <v>1075.438584</v>
      </c>
      <c r="K12" s="13">
        <f>J12+I12</f>
        <v>4334.3433839999998</v>
      </c>
      <c r="L12" s="11">
        <v>344.52</v>
      </c>
      <c r="M12" s="11"/>
      <c r="N12" s="24">
        <f>G12-L12</f>
        <v>-218.93599999999998</v>
      </c>
    </row>
    <row r="13" spans="1:17" ht="43.5" x14ac:dyDescent="0.35">
      <c r="A13" s="3" t="s">
        <v>21</v>
      </c>
      <c r="B13" s="10" t="s">
        <v>22</v>
      </c>
      <c r="C13" s="11">
        <v>43</v>
      </c>
      <c r="D13" s="11">
        <v>5</v>
      </c>
      <c r="E13" s="11">
        <f t="shared" ref="E13:E16" si="0">C13*D13</f>
        <v>215</v>
      </c>
      <c r="F13" s="11">
        <v>0.16700000000000001</v>
      </c>
      <c r="G13" s="17">
        <f t="shared" ref="G13:G16" si="1">F13*E13</f>
        <v>35.905000000000001</v>
      </c>
      <c r="H13" s="12">
        <v>25.95</v>
      </c>
      <c r="I13" s="12">
        <f t="shared" ref="I13:I16" si="2">H13*G13</f>
        <v>931.73474999999996</v>
      </c>
      <c r="J13" s="13">
        <f t="shared" ref="J13:J16" si="3">0.33*I13</f>
        <v>307.47246749999999</v>
      </c>
      <c r="K13" s="13">
        <f t="shared" ref="K13:K16" si="4">J13+I13</f>
        <v>1239.2072174999998</v>
      </c>
      <c r="L13" s="11">
        <v>54</v>
      </c>
      <c r="M13" s="11"/>
      <c r="N13" s="17">
        <f t="shared" ref="N13:N14" si="5">G13-L13</f>
        <v>-18.094999999999999</v>
      </c>
    </row>
    <row r="14" spans="1:17" ht="113.15" customHeight="1" x14ac:dyDescent="0.35">
      <c r="A14" s="3" t="s">
        <v>23</v>
      </c>
      <c r="B14" s="2" t="s">
        <v>39</v>
      </c>
      <c r="C14" s="11">
        <v>43</v>
      </c>
      <c r="D14" s="11">
        <v>790</v>
      </c>
      <c r="E14" s="11">
        <f t="shared" si="0"/>
        <v>33970</v>
      </c>
      <c r="F14" s="11">
        <v>8.3500000000000005E-2</v>
      </c>
      <c r="G14" s="17">
        <f t="shared" si="1"/>
        <v>2836.4950000000003</v>
      </c>
      <c r="H14" s="12">
        <v>25.95</v>
      </c>
      <c r="I14" s="12">
        <f t="shared" si="2"/>
        <v>73607.04525000001</v>
      </c>
      <c r="J14" s="13">
        <f t="shared" si="3"/>
        <v>24290.324932500003</v>
      </c>
      <c r="K14" s="13">
        <f t="shared" si="4"/>
        <v>97897.370182500017</v>
      </c>
      <c r="L14" s="11">
        <f>4136+130</f>
        <v>4266</v>
      </c>
      <c r="M14" s="11"/>
      <c r="N14" s="17">
        <f t="shared" si="5"/>
        <v>-1429.5049999999997</v>
      </c>
    </row>
    <row r="15" spans="1:17" ht="43.5" x14ac:dyDescent="0.35">
      <c r="A15" s="3">
        <v>215.12</v>
      </c>
      <c r="B15" s="2" t="s">
        <v>31</v>
      </c>
      <c r="C15" s="11">
        <v>43</v>
      </c>
      <c r="D15" s="11">
        <v>2</v>
      </c>
      <c r="E15" s="11">
        <f t="shared" si="0"/>
        <v>86</v>
      </c>
      <c r="F15" s="11">
        <v>0.33400000000000002</v>
      </c>
      <c r="G15" s="17">
        <f t="shared" si="1"/>
        <v>28.724</v>
      </c>
      <c r="H15" s="12">
        <v>25.95</v>
      </c>
      <c r="I15" s="12">
        <f t="shared" si="2"/>
        <v>745.38779999999997</v>
      </c>
      <c r="J15" s="13">
        <f t="shared" si="3"/>
        <v>245.97797399999999</v>
      </c>
      <c r="K15" s="13">
        <f t="shared" si="4"/>
        <v>991.36577399999999</v>
      </c>
      <c r="L15" s="11">
        <v>35.64</v>
      </c>
      <c r="M15" s="11"/>
      <c r="N15" s="17">
        <f>G15-L15</f>
        <v>-6.9160000000000004</v>
      </c>
    </row>
    <row r="16" spans="1:17" ht="72.5" x14ac:dyDescent="0.35">
      <c r="A16" s="3" t="s">
        <v>24</v>
      </c>
      <c r="B16" s="2" t="s">
        <v>32</v>
      </c>
      <c r="C16" s="11">
        <v>43</v>
      </c>
      <c r="D16" s="11">
        <v>1</v>
      </c>
      <c r="E16" s="11">
        <f t="shared" si="0"/>
        <v>43</v>
      </c>
      <c r="F16" s="11">
        <v>0.25</v>
      </c>
      <c r="G16" s="11">
        <f t="shared" si="1"/>
        <v>10.75</v>
      </c>
      <c r="H16" s="12">
        <v>25.95</v>
      </c>
      <c r="I16" s="12">
        <f t="shared" si="2"/>
        <v>278.96249999999998</v>
      </c>
      <c r="J16" s="13">
        <f t="shared" si="3"/>
        <v>92.057625000000002</v>
      </c>
      <c r="K16" s="13">
        <f t="shared" si="4"/>
        <v>371.02012500000001</v>
      </c>
      <c r="L16" s="11">
        <v>14.04</v>
      </c>
      <c r="M16" s="11"/>
      <c r="N16" s="17">
        <f>G16-L16</f>
        <v>-3.2899999999999991</v>
      </c>
      <c r="Q16" s="21"/>
    </row>
    <row r="17" spans="1:14" x14ac:dyDescent="0.35">
      <c r="A17" s="35" t="s">
        <v>34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58" x14ac:dyDescent="0.35">
      <c r="A18" s="3">
        <v>215.7</v>
      </c>
      <c r="B18" s="2" t="s">
        <v>43</v>
      </c>
      <c r="C18" s="11">
        <f>C6</f>
        <v>1183</v>
      </c>
      <c r="D18" s="11">
        <v>10</v>
      </c>
      <c r="E18" s="11">
        <f>D18*C18</f>
        <v>11830</v>
      </c>
      <c r="F18" s="11">
        <v>8.3500000000000005E-2</v>
      </c>
      <c r="G18" s="11">
        <f>F18*E18</f>
        <v>987.80500000000006</v>
      </c>
      <c r="H18" s="12">
        <v>26.78</v>
      </c>
      <c r="I18" s="12">
        <f>H18*G18</f>
        <v>26453.417900000004</v>
      </c>
      <c r="J18" s="13">
        <f>I18*0.33</f>
        <v>8729.6279070000019</v>
      </c>
      <c r="K18" s="13">
        <f>J18+I18</f>
        <v>35183.045807000002</v>
      </c>
      <c r="L18" s="11">
        <v>6310</v>
      </c>
      <c r="M18" s="11"/>
      <c r="N18" s="11">
        <f>G18-L18</f>
        <v>-5322.1949999999997</v>
      </c>
    </row>
    <row r="19" spans="1:14" ht="72.5" x14ac:dyDescent="0.35">
      <c r="A19" s="3" t="s">
        <v>38</v>
      </c>
      <c r="B19" s="2" t="s">
        <v>41</v>
      </c>
      <c r="C19" s="11">
        <f>(610+541)</f>
        <v>1151</v>
      </c>
      <c r="D19" s="11">
        <v>1</v>
      </c>
      <c r="E19" s="11">
        <f>D19*C19</f>
        <v>1151</v>
      </c>
      <c r="F19" s="11">
        <v>0.16700000000000001</v>
      </c>
      <c r="G19" s="17">
        <f>F19*E19</f>
        <v>192.21700000000001</v>
      </c>
      <c r="H19" s="12">
        <v>26.78</v>
      </c>
      <c r="I19" s="12">
        <f>H19*G19</f>
        <v>5147.5712600000006</v>
      </c>
      <c r="J19" s="13">
        <f>I19*0.33</f>
        <v>1698.6985158000002</v>
      </c>
      <c r="K19" s="13">
        <f>J19+I19</f>
        <v>6846.2697758000013</v>
      </c>
      <c r="L19" s="11">
        <v>535.79999999999995</v>
      </c>
      <c r="M19" s="11"/>
      <c r="N19" s="17">
        <f>G19-L19</f>
        <v>-343.58299999999997</v>
      </c>
    </row>
    <row r="20" spans="1:14" x14ac:dyDescent="0.35">
      <c r="A20" s="39" t="s">
        <v>33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ht="58" x14ac:dyDescent="0.35">
      <c r="A21" s="3">
        <v>215.7</v>
      </c>
      <c r="B21" s="2" t="s">
        <v>42</v>
      </c>
      <c r="C21" s="11">
        <f>C8</f>
        <v>321</v>
      </c>
      <c r="D21" s="11">
        <v>10</v>
      </c>
      <c r="E21" s="11">
        <f>C21*D21</f>
        <v>3210</v>
      </c>
      <c r="F21" s="11">
        <v>8.3500000000000005E-2</v>
      </c>
      <c r="G21" s="17">
        <f>F21*E21</f>
        <v>268.03500000000003</v>
      </c>
      <c r="H21" s="12">
        <v>26.78</v>
      </c>
      <c r="I21" s="12">
        <f>H21*G21</f>
        <v>7177.9773000000014</v>
      </c>
      <c r="J21" s="13">
        <f>I21*0.33</f>
        <v>2368.7325090000004</v>
      </c>
      <c r="K21" s="13">
        <f>J21+I21</f>
        <v>9546.7098090000018</v>
      </c>
      <c r="L21" s="11">
        <v>580</v>
      </c>
      <c r="M21" s="11"/>
      <c r="N21" s="29">
        <v>-312</v>
      </c>
    </row>
    <row r="22" spans="1:14" x14ac:dyDescent="0.35">
      <c r="A22" s="36" t="s">
        <v>25</v>
      </c>
      <c r="B22" s="36"/>
      <c r="C22" s="14">
        <f>C16+C18+C21</f>
        <v>1547</v>
      </c>
      <c r="D22" s="15">
        <f>E22/C22</f>
        <v>33.619263089851323</v>
      </c>
      <c r="E22" s="23">
        <f>SUM(E12:E16)+E18+E19+E21</f>
        <v>52009</v>
      </c>
      <c r="F22" s="18">
        <f>G22/E22</f>
        <v>8.6244976830933115E-2</v>
      </c>
      <c r="G22" s="15">
        <f>SUM(G12:G16)+G18+G19+G21</f>
        <v>4485.5150000000003</v>
      </c>
      <c r="H22" s="16">
        <f>I22/G22</f>
        <v>26.217948565549328</v>
      </c>
      <c r="I22" s="16">
        <f>SUM(I12:I16)+I18+I19+I21</f>
        <v>117601.00156</v>
      </c>
      <c r="J22" s="16">
        <f>0.33*I22</f>
        <v>38808.3305148</v>
      </c>
      <c r="K22" s="16">
        <f>J22+I22</f>
        <v>156409.33207480001</v>
      </c>
      <c r="L22" s="22">
        <f>(SUM(L12:L16))+L18+L19+L21</f>
        <v>12140</v>
      </c>
      <c r="M22" s="14"/>
      <c r="N22" s="15">
        <f>(SUM(N12:N16))+N18+N19+N21</f>
        <v>-7654.5199999999986</v>
      </c>
    </row>
    <row r="23" spans="1:14" x14ac:dyDescent="0.35">
      <c r="A23" s="33" t="s">
        <v>26</v>
      </c>
      <c r="B23" s="34"/>
      <c r="C23" s="14">
        <f>C9</f>
        <v>1547</v>
      </c>
      <c r="D23" s="15">
        <f>E23/C23</f>
        <v>35.258564964447316</v>
      </c>
      <c r="E23" s="23">
        <f>E22+E9</f>
        <v>54545</v>
      </c>
      <c r="F23" s="18">
        <f>G23/E23</f>
        <v>9.3853973783114872E-2</v>
      </c>
      <c r="G23" s="15">
        <f>G22+G9</f>
        <v>5119.2650000000003</v>
      </c>
      <c r="H23" s="16">
        <f>I23/G23</f>
        <v>26.245698661819617</v>
      </c>
      <c r="I23" s="16">
        <f>I22+I9</f>
        <v>134358.68656</v>
      </c>
      <c r="J23" s="16">
        <f>I23*0.33</f>
        <v>44338.366564800002</v>
      </c>
      <c r="K23" s="16">
        <f>J23+I23</f>
        <v>178697.0531248</v>
      </c>
      <c r="L23" s="14">
        <f>L22+L9</f>
        <v>13324.75</v>
      </c>
      <c r="M23" s="14"/>
      <c r="N23" s="15">
        <f>N22+N9</f>
        <v>-8205.5199999999986</v>
      </c>
    </row>
    <row r="24" spans="1:14" x14ac:dyDescent="0.35">
      <c r="C24" s="1">
        <v>1547</v>
      </c>
    </row>
    <row r="25" spans="1:14" ht="58" x14ac:dyDescent="0.35">
      <c r="B25" s="1" t="s">
        <v>36</v>
      </c>
      <c r="C25" s="1" t="s">
        <v>27</v>
      </c>
      <c r="H25" s="20"/>
      <c r="K25" s="20">
        <f>K23+3242.1</f>
        <v>181939.15312480001</v>
      </c>
    </row>
    <row r="26" spans="1:14" ht="58" x14ac:dyDescent="0.35">
      <c r="B26" s="19" t="s">
        <v>37</v>
      </c>
      <c r="C26" s="1" t="s">
        <v>28</v>
      </c>
    </row>
  </sheetData>
  <mergeCells count="11">
    <mergeCell ref="A2:N2"/>
    <mergeCell ref="A23:B23"/>
    <mergeCell ref="A11:N11"/>
    <mergeCell ref="A17:N17"/>
    <mergeCell ref="A22:B22"/>
    <mergeCell ref="A3:N3"/>
    <mergeCell ref="A5:N5"/>
    <mergeCell ref="A9:B9"/>
    <mergeCell ref="A10:N10"/>
    <mergeCell ref="A7:N7"/>
    <mergeCell ref="A20:N20"/>
  </mergeCells>
  <hyperlinks>
    <hyperlink ref="B26" r:id="rId1" xr:uid="{E51CEC3B-5D3B-4A9A-B28E-AEF18DFD767B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DDA29071C7104191A76ED7428AD951" ma:contentTypeVersion="17" ma:contentTypeDescription="Create a new document." ma:contentTypeScope="" ma:versionID="d5a2ca854a1fefd0f5baf133a524c0bf">
  <xsd:schema xmlns:xsd="http://www.w3.org/2001/XMLSchema" xmlns:xs="http://www.w3.org/2001/XMLSchema" xmlns:p="http://schemas.microsoft.com/office/2006/metadata/properties" xmlns:ns2="4d6da2b7-63b8-4dfe-8cba-af6260a3a847" xmlns:ns3="73fb875a-8af9-4255-b008-0995492d31cd" xmlns:ns4="84c39b67-90c6-4147-97e5-c82f4be0c093" targetNamespace="http://schemas.microsoft.com/office/2006/metadata/properties" ma:root="true" ma:fieldsID="5bc8ccab0fff16fde8551c1d9a79786d" ns2:_="" ns3:_="" ns4:_="">
    <xsd:import namespace="4d6da2b7-63b8-4dfe-8cba-af6260a3a847"/>
    <xsd:import namespace="73fb875a-8af9-4255-b008-0995492d31cd"/>
    <xsd:import namespace="84c39b67-90c6-4147-97e5-c82f4be0c0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da2b7-63b8-4dfe-8cba-af6260a3a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de3572d-3524-4adc-8706-d97338dede4e}" ma:internalName="TaxCatchAll" ma:showField="CatchAllData" ma:web="84c39b67-90c6-4147-97e5-c82f4be0c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39b67-90c6-4147-97e5-c82f4be0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6da2b7-63b8-4dfe-8cba-af6260a3a847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CE2F2CEC-F9F3-4C92-ADBE-C140380B6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da2b7-63b8-4dfe-8cba-af6260a3a847"/>
    <ds:schemaRef ds:uri="73fb875a-8af9-4255-b008-0995492d31cd"/>
    <ds:schemaRef ds:uri="84c39b67-90c6-4147-97e5-c82f4be0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BD459-47DC-4392-8D65-D6D465029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B55846-7637-45B2-BE66-3B85ED40FD58}">
  <ds:schemaRefs>
    <ds:schemaRef ds:uri="http://schemas.microsoft.com/office/2006/metadata/properties"/>
    <ds:schemaRef ds:uri="http://schemas.microsoft.com/office/infopath/2007/PartnerControls"/>
    <ds:schemaRef ds:uri="4d6da2b7-63b8-4dfe-8cba-af6260a3a847"/>
    <ds:schemaRef ds:uri="73fb875a-8af9-4255-b008-0995492d31cd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Sieradzki</dc:creator>
  <cp:keywords/>
  <dc:description/>
  <cp:lastModifiedBy>Sandberg, Christina - FNS</cp:lastModifiedBy>
  <cp:revision/>
  <cp:lastPrinted>2025-09-19T15:27:47Z</cp:lastPrinted>
  <dcterms:created xsi:type="dcterms:W3CDTF">2025-03-17T17:45:01Z</dcterms:created>
  <dcterms:modified xsi:type="dcterms:W3CDTF">2025-12-11T19:11:44Z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0x0101003EDDA29071C7104191A76ED7428AD951</vt:lpwstr>
  </property>
  <property fmtid="{D5CDD505-2E9C-101B-9397-08002B2CF9AE}" pid="3" name="MediaServiceImageTags">
    <vt:lpwstr/>
  </property>
</Properties>
</file>