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updateLinks="always"/>
  <mc:AlternateContent xmlns:mc="http://schemas.openxmlformats.org/markup-compatibility/2006">
    <mc:Choice Requires="x15">
      <x15ac:absPath xmlns:x15ac="http://schemas.microsoft.com/office/spreadsheetml/2010/11/ac" url="https://usepa.sharepoint.com/sites/oar_Work/ghgrp_rule/Shared Documents/2025 reconsideration/proposal supporting statement/"/>
    </mc:Choice>
  </mc:AlternateContent>
  <xr:revisionPtr revIDLastSave="0" documentId="8_{082A4F8D-B0D1-48FD-B2A6-831C90CB203B}" xr6:coauthVersionLast="47" xr6:coauthVersionMax="47" xr10:uidLastSave="{00000000-0000-0000-0000-000000000000}"/>
  <workbookProtection workbookAlgorithmName="SHA-512" workbookHashValue="/NIrLiDr40cnlpzxqd8nBGTE35XGQ2J3jhuJ8f6/N/3/SOjlvIhC9Rnx9bxuID26lH8rgashkOmJGfzzhLmSkA==" workbookSaltValue="lJar5HsdSc7YwmAC9DVgEw==" workbookSpinCount="100000" lockStructure="1"/>
  <bookViews>
    <workbookView xWindow="-120" yWindow="-120" windowWidth="25440" windowHeight="15270" xr2:uid="{4D17A9DD-5529-420F-AEA3-77597F365447}"/>
  </bookViews>
  <sheets>
    <sheet name="Baseline 2025 Non-W sectors" sheetId="4" r:id="rId1"/>
    <sheet name="Baseline 2025 W-bysegment" sheetId="11" r:id="rId2"/>
    <sheet name="Exhibit 12.1a and b" sheetId="6" r:id="rId3"/>
    <sheet name="Exhibit 12.2" sheetId="7" r:id="rId4"/>
    <sheet name="Exhibit 12.3" sheetId="8" r:id="rId5"/>
    <sheet name="Exhibit 14.1" sheetId="9" r:id="rId6"/>
    <sheet name="Inputs--&gt;&gt;" sheetId="10" r:id="rId7"/>
    <sheet name="Labor Rates" sheetId="5" r:id="rId8"/>
    <sheet name="ICR 2300.20 Ex 6.1" sheetId="1" state="hidden" r:id="rId9"/>
    <sheet name="ICR 2773.02 Yr 1; 2025" sheetId="2" state="hidden" r:id="rId10"/>
  </sheets>
  <definedNames>
    <definedName name="_xlnm._FilterDatabase" localSheetId="0" hidden="1">'Baseline 2025 Non-W sectors'!$A$3:$N$47</definedName>
    <definedName name="_xlnm._FilterDatabase" localSheetId="8" hidden="1">'ICR 2300.20 Ex 6.1'!$A$3:$N$47</definedName>
    <definedName name="_Key1" hidden="1">#REF!</definedName>
    <definedName name="_Order1" hidden="1">0</definedName>
    <definedName name="_Order2" hidden="1">0</definedName>
    <definedName name="_Sort" hidden="1">#REF!</definedName>
    <definedName name="Admin" localSheetId="1">#REF!</definedName>
    <definedName name="Admin">'Labor Rates'!$H$7</definedName>
    <definedName name="CEPCI_Ratio" localSheetId="1">#REF!</definedName>
    <definedName name="CEPCI_Ratio">'Labor Rates'!$O$6</definedName>
    <definedName name="Engineer" localSheetId="1">#REF!</definedName>
    <definedName name="Engineer">'Labor Rates'!$H$5</definedName>
    <definedName name="Lawyer" localSheetId="1">#REF!</definedName>
    <definedName name="Lawyer">'Labor Rates'!$H$8</definedName>
    <definedName name="Manager" localSheetId="1">#REF!</definedName>
    <definedName name="Manager">'Labor Rates'!$H$6</definedName>
    <definedName name="RREngineer" localSheetId="1">#REF!</definedName>
    <definedName name="RREngineer">'Labor Rates'!$H$12</definedName>
    <definedName name="RRLawyer" localSheetId="1">#REF!</definedName>
    <definedName name="RRLawyer">'Labor Rates'!$H$9</definedName>
    <definedName name="RRMidManager" localSheetId="1">#REF!</definedName>
    <definedName name="RRMidManager">'Labor Rates'!$H$10</definedName>
    <definedName name="RRSrManager">'Labor Rates'!$H$11</definedName>
    <definedName name="RRTechnical" localSheetId="1">#REF!</definedName>
    <definedName name="RRTechnical">'Labor Rates'!$H$13</definedName>
    <definedName name="Technical">#REF!</definedName>
    <definedName name="W_RREngineer">'Labor Rates'!$H$12</definedName>
    <definedName name="W_RRLawyer">'Labor Rates'!$H$9</definedName>
    <definedName name="W_RRMidManager">'Labor Rates'!$H$10</definedName>
    <definedName name="W_RRSrManager">'Labor Rates'!$H$11</definedName>
    <definedName name="W_RRTechnical">'Labor Rates'!$H$13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6" i="9" l="1"/>
  <c r="M6" i="9"/>
  <c r="L6" i="9"/>
  <c r="G18" i="6"/>
  <c r="F18" i="6"/>
  <c r="E18" i="6"/>
  <c r="D18" i="6"/>
  <c r="C18" i="6"/>
  <c r="C17" i="6"/>
  <c r="E17" i="6"/>
  <c r="F17" i="6"/>
  <c r="G17" i="6"/>
  <c r="D17" i="6"/>
  <c r="H9" i="5"/>
  <c r="H11" i="5"/>
  <c r="G14" i="8"/>
  <c r="G13" i="8"/>
  <c r="G12" i="8"/>
  <c r="E33" i="11"/>
  <c r="D11" i="8" l="1"/>
  <c r="E11" i="8"/>
  <c r="D12" i="8"/>
  <c r="E12" i="8"/>
  <c r="D13" i="8"/>
  <c r="E13" i="8"/>
  <c r="D14" i="8"/>
  <c r="E14" i="8"/>
  <c r="G16" i="6" l="1"/>
  <c r="G15" i="6"/>
  <c r="G14" i="6"/>
  <c r="BZ59" i="4"/>
  <c r="BZ61" i="4" s="1"/>
  <c r="G74" i="11"/>
  <c r="G73" i="11"/>
  <c r="G72" i="11"/>
  <c r="G71" i="11"/>
  <c r="G69" i="11"/>
  <c r="G68" i="11"/>
  <c r="G67" i="11"/>
  <c r="E66" i="11"/>
  <c r="G65" i="11"/>
  <c r="G64" i="11"/>
  <c r="G57" i="11"/>
  <c r="G56" i="11"/>
  <c r="G55" i="11"/>
  <c r="E55" i="11"/>
  <c r="G54" i="11"/>
  <c r="G53" i="11"/>
  <c r="E53" i="11"/>
  <c r="G52" i="11"/>
  <c r="G51" i="11"/>
  <c r="G50" i="11"/>
  <c r="G49" i="11"/>
  <c r="E49" i="11"/>
  <c r="G48" i="11"/>
  <c r="G42" i="11"/>
  <c r="E42" i="11"/>
  <c r="G41" i="11"/>
  <c r="E41" i="11"/>
  <c r="G40" i="11"/>
  <c r="E40" i="11"/>
  <c r="G39" i="11"/>
  <c r="G38" i="11"/>
  <c r="E38" i="11"/>
  <c r="G37" i="11"/>
  <c r="G36" i="11"/>
  <c r="G35" i="11"/>
  <c r="E35" i="11"/>
  <c r="G34" i="11"/>
  <c r="E34" i="11"/>
  <c r="G33" i="11"/>
  <c r="E21" i="11"/>
  <c r="D21" i="11"/>
  <c r="C21" i="11"/>
  <c r="B21" i="11"/>
  <c r="G58" i="11" s="1"/>
  <c r="U20" i="11"/>
  <c r="AA20" i="11" s="1"/>
  <c r="X20" i="11"/>
  <c r="AD20" i="11" s="1"/>
  <c r="E20" i="11"/>
  <c r="V19" i="11"/>
  <c r="AB19" i="11" s="1"/>
  <c r="U19" i="11"/>
  <c r="AA19" i="11" s="1"/>
  <c r="E19" i="11"/>
  <c r="Y18" i="11"/>
  <c r="AE18" i="11" s="1"/>
  <c r="E18" i="11"/>
  <c r="V17" i="11"/>
  <c r="AB17" i="11" s="1"/>
  <c r="E17" i="11"/>
  <c r="X16" i="11"/>
  <c r="AD16" i="11" s="1"/>
  <c r="U16" i="11"/>
  <c r="AA16" i="11" s="1"/>
  <c r="E16" i="11"/>
  <c r="X15" i="11"/>
  <c r="AD15" i="11" s="1"/>
  <c r="W15" i="11"/>
  <c r="AC15" i="11" s="1"/>
  <c r="E15" i="11"/>
  <c r="Y14" i="11"/>
  <c r="AE14" i="11" s="1"/>
  <c r="E14" i="11"/>
  <c r="W13" i="11"/>
  <c r="AC13" i="11" s="1"/>
  <c r="V13" i="11"/>
  <c r="AB13" i="11" s="1"/>
  <c r="E13" i="11"/>
  <c r="U12" i="11"/>
  <c r="AA12" i="11" s="1"/>
  <c r="E12" i="11"/>
  <c r="AI11" i="11"/>
  <c r="X11" i="11"/>
  <c r="AD11" i="11" s="1"/>
  <c r="E11" i="11"/>
  <c r="K6" i="11"/>
  <c r="J6" i="11"/>
  <c r="I6" i="11"/>
  <c r="H6" i="11"/>
  <c r="G6" i="11"/>
  <c r="C6" i="8" l="1"/>
  <c r="C51" i="7"/>
  <c r="E65" i="11"/>
  <c r="X13" i="11"/>
  <c r="AD13" i="11" s="1"/>
  <c r="W19" i="11"/>
  <c r="AC19" i="11" s="1"/>
  <c r="AI17" i="11"/>
  <c r="AJ17" i="11" s="1"/>
  <c r="X19" i="11"/>
  <c r="AD19" i="11" s="1"/>
  <c r="X12" i="11"/>
  <c r="AD12" i="11" s="1"/>
  <c r="AI13" i="11"/>
  <c r="AJ13" i="11" s="1"/>
  <c r="U11" i="11"/>
  <c r="AA11" i="11" s="1"/>
  <c r="Y15" i="11"/>
  <c r="AE15" i="11" s="1"/>
  <c r="AI16" i="11"/>
  <c r="AP16" i="11" s="1"/>
  <c r="E54" i="11"/>
  <c r="E73" i="11"/>
  <c r="E57" i="11"/>
  <c r="U18" i="11"/>
  <c r="AA18" i="11" s="1"/>
  <c r="V11" i="11"/>
  <c r="AB11" i="11" s="1"/>
  <c r="W14" i="11"/>
  <c r="AC14" i="11" s="1"/>
  <c r="AI15" i="11"/>
  <c r="AJ15" i="11" s="1"/>
  <c r="V20" i="11"/>
  <c r="AB20" i="11" s="1"/>
  <c r="E56" i="11"/>
  <c r="E69" i="11"/>
  <c r="V12" i="11"/>
  <c r="AB12" i="11" s="1"/>
  <c r="W12" i="11"/>
  <c r="AC12" i="11" s="1"/>
  <c r="H57" i="11"/>
  <c r="I57" i="11" s="1"/>
  <c r="W11" i="11"/>
  <c r="AC11" i="11" s="1"/>
  <c r="X14" i="11"/>
  <c r="AD14" i="11" s="1"/>
  <c r="V16" i="11"/>
  <c r="AB16" i="11" s="1"/>
  <c r="W20" i="11"/>
  <c r="AC20" i="11" s="1"/>
  <c r="E36" i="11"/>
  <c r="E51" i="11"/>
  <c r="Y12" i="11"/>
  <c r="AE12" i="11" s="1"/>
  <c r="Y13" i="11"/>
  <c r="AE13" i="11" s="1"/>
  <c r="AI14" i="11"/>
  <c r="AJ14" i="11" s="1"/>
  <c r="U17" i="11"/>
  <c r="AA17" i="11" s="1"/>
  <c r="V18" i="11"/>
  <c r="AB18" i="11" s="1"/>
  <c r="Y20" i="11"/>
  <c r="AE20" i="11" s="1"/>
  <c r="E48" i="11"/>
  <c r="E50" i="11"/>
  <c r="E70" i="11"/>
  <c r="G70" i="11"/>
  <c r="Y11" i="11"/>
  <c r="AE11" i="11" s="1"/>
  <c r="AI12" i="11"/>
  <c r="AJ12" i="11" s="1"/>
  <c r="G66" i="11"/>
  <c r="W16" i="11"/>
  <c r="AC16" i="11" s="1"/>
  <c r="X18" i="11"/>
  <c r="AD18" i="11" s="1"/>
  <c r="U14" i="11"/>
  <c r="AA14" i="11" s="1"/>
  <c r="X17" i="11"/>
  <c r="AD17" i="11" s="1"/>
  <c r="E39" i="11"/>
  <c r="AG11" i="11"/>
  <c r="U15" i="11"/>
  <c r="AA15" i="11" s="1"/>
  <c r="W18" i="11"/>
  <c r="AC18" i="11" s="1"/>
  <c r="Y19" i="11"/>
  <c r="AE19" i="11" s="1"/>
  <c r="AI20" i="11"/>
  <c r="V15" i="11"/>
  <c r="AB15" i="11" s="1"/>
  <c r="W17" i="11"/>
  <c r="AC17" i="11" s="1"/>
  <c r="AI19" i="11"/>
  <c r="AJ19" i="11" s="1"/>
  <c r="U13" i="11"/>
  <c r="AA13" i="11" s="1"/>
  <c r="V14" i="11"/>
  <c r="AB14" i="11" s="1"/>
  <c r="Y16" i="11"/>
  <c r="AE16" i="11" s="1"/>
  <c r="Y17" i="11"/>
  <c r="AE17" i="11" s="1"/>
  <c r="AI18" i="11"/>
  <c r="E37" i="11"/>
  <c r="E52" i="11"/>
  <c r="AJ11" i="11"/>
  <c r="AP11" i="11"/>
  <c r="E64" i="11"/>
  <c r="E68" i="11"/>
  <c r="E72" i="11"/>
  <c r="H33" i="11"/>
  <c r="I33" i="11" s="1"/>
  <c r="H37" i="11"/>
  <c r="I37" i="11" s="1"/>
  <c r="H41" i="11"/>
  <c r="I41" i="11" s="1"/>
  <c r="C43" i="11"/>
  <c r="H48" i="11"/>
  <c r="I48" i="11" s="1"/>
  <c r="H52" i="11"/>
  <c r="I52" i="11" s="1"/>
  <c r="H56" i="11"/>
  <c r="I56" i="11" s="1"/>
  <c r="H50" i="11"/>
  <c r="I50" i="11" s="1"/>
  <c r="E67" i="11"/>
  <c r="E71" i="11"/>
  <c r="H39" i="11"/>
  <c r="I39" i="11" s="1"/>
  <c r="H36" i="11"/>
  <c r="I36" i="11" s="1"/>
  <c r="H40" i="11"/>
  <c r="I40" i="11" s="1"/>
  <c r="G43" i="11"/>
  <c r="H51" i="11"/>
  <c r="I51" i="11" s="1"/>
  <c r="H55" i="11"/>
  <c r="I55" i="11" s="1"/>
  <c r="H35" i="11"/>
  <c r="I35" i="11" s="1"/>
  <c r="H54" i="11"/>
  <c r="I54" i="11" s="1"/>
  <c r="AO19" i="11"/>
  <c r="H34" i="11"/>
  <c r="I34" i="11" s="1"/>
  <c r="H38" i="11"/>
  <c r="I38" i="11" s="1"/>
  <c r="H42" i="11"/>
  <c r="I42" i="11" s="1"/>
  <c r="H49" i="11"/>
  <c r="I49" i="11" s="1"/>
  <c r="H53" i="11"/>
  <c r="I53" i="11" s="1"/>
  <c r="G6" i="8" l="1"/>
  <c r="D6" i="8"/>
  <c r="E6" i="8"/>
  <c r="AJ16" i="11"/>
  <c r="E43" i="11"/>
  <c r="AE21" i="11"/>
  <c r="CE59" i="4" s="1"/>
  <c r="D23" i="7" s="1"/>
  <c r="AP12" i="11"/>
  <c r="AO15" i="11"/>
  <c r="H70" i="11"/>
  <c r="I70" i="11" s="1"/>
  <c r="H73" i="11"/>
  <c r="I73" i="11" s="1"/>
  <c r="H68" i="11"/>
  <c r="I68" i="11" s="1"/>
  <c r="AG18" i="11"/>
  <c r="AP19" i="11"/>
  <c r="AQ19" i="11" s="1"/>
  <c r="AP17" i="11"/>
  <c r="AP13" i="11"/>
  <c r="AG13" i="11"/>
  <c r="AL13" i="11" s="1"/>
  <c r="AR13" i="11" s="1"/>
  <c r="H71" i="11"/>
  <c r="I71" i="11" s="1"/>
  <c r="E58" i="11"/>
  <c r="AO11" i="11"/>
  <c r="AQ11" i="11" s="1"/>
  <c r="AO12" i="11"/>
  <c r="AQ12" i="11" s="1"/>
  <c r="AP15" i="11"/>
  <c r="H64" i="11"/>
  <c r="I64" i="11" s="1"/>
  <c r="H67" i="11"/>
  <c r="I67" i="11" s="1"/>
  <c r="AP14" i="11"/>
  <c r="AG12" i="11"/>
  <c r="AL12" i="11" s="1"/>
  <c r="AR12" i="11" s="1"/>
  <c r="H65" i="11"/>
  <c r="I65" i="11" s="1"/>
  <c r="H66" i="11"/>
  <c r="I66" i="11" s="1"/>
  <c r="AJ20" i="11"/>
  <c r="AG17" i="11"/>
  <c r="AL17" i="11" s="1"/>
  <c r="AR17" i="11" s="1"/>
  <c r="AO16" i="11"/>
  <c r="AQ16" i="11" s="1"/>
  <c r="AP20" i="11"/>
  <c r="AP18" i="11"/>
  <c r="AJ18" i="11"/>
  <c r="AG15" i="11"/>
  <c r="AG16" i="11"/>
  <c r="AL16" i="11" s="1"/>
  <c r="AR16" i="11" s="1"/>
  <c r="AO20" i="11"/>
  <c r="AG19" i="11"/>
  <c r="H69" i="11"/>
  <c r="I69" i="11" s="1"/>
  <c r="AG20" i="11"/>
  <c r="AG14" i="11"/>
  <c r="AL14" i="11" s="1"/>
  <c r="AR14" i="11" s="1"/>
  <c r="H72" i="11"/>
  <c r="I72" i="11" s="1"/>
  <c r="AO17" i="11"/>
  <c r="AQ17" i="11" s="1"/>
  <c r="AO18" i="11"/>
  <c r="AO13" i="11"/>
  <c r="AO14" i="11"/>
  <c r="AL19" i="11"/>
  <c r="AR19" i="11" s="1"/>
  <c r="I43" i="11"/>
  <c r="I58" i="11"/>
  <c r="E74" i="11"/>
  <c r="AL11" i="11"/>
  <c r="AR11" i="11" s="1"/>
  <c r="AQ15" i="11" l="1"/>
  <c r="AL18" i="11"/>
  <c r="AR18" i="11" s="1"/>
  <c r="E76" i="11"/>
  <c r="AQ14" i="11"/>
  <c r="AQ20" i="11"/>
  <c r="AG21" i="11"/>
  <c r="CF59" i="4" s="1"/>
  <c r="E23" i="7" s="1"/>
  <c r="AL20" i="11"/>
  <c r="AR20" i="11" s="1"/>
  <c r="I74" i="11"/>
  <c r="I76" i="11" s="1"/>
  <c r="AP21" i="11"/>
  <c r="AJ21" i="11"/>
  <c r="CH59" i="4" s="1"/>
  <c r="F23" i="7" s="1"/>
  <c r="AQ13" i="11"/>
  <c r="AL15" i="11"/>
  <c r="AR15" i="11" s="1"/>
  <c r="AO21" i="11"/>
  <c r="AQ18" i="11"/>
  <c r="AL21" i="11" l="1"/>
  <c r="AR21" i="11" s="1"/>
  <c r="AQ21" i="11"/>
  <c r="CI59" i="4"/>
  <c r="BZ23" i="4"/>
  <c r="G23" i="7" l="1"/>
  <c r="H12" i="5"/>
  <c r="H10" i="5"/>
  <c r="H13" i="5"/>
  <c r="BZ39" i="4" l="1"/>
  <c r="AN4" i="4"/>
  <c r="Q23" i="4"/>
  <c r="BA23" i="4" s="1"/>
  <c r="CA23" i="4" s="1"/>
  <c r="Q35" i="4" l="1"/>
  <c r="M5" i="9" l="1"/>
  <c r="BK23" i="4"/>
  <c r="K35" i="2" l="1"/>
  <c r="K5" i="9" l="1"/>
  <c r="L5" i="9" s="1"/>
  <c r="N5" i="9" s="1"/>
  <c r="BZ45" i="4" l="1"/>
  <c r="BZ44" i="4"/>
  <c r="BZ22" i="4"/>
  <c r="BZ25" i="4"/>
  <c r="BZ16" i="4"/>
  <c r="O6" i="5"/>
  <c r="BZ35" i="4" l="1"/>
  <c r="BZ34" i="4"/>
  <c r="BZ12" i="4"/>
  <c r="BZ11" i="4"/>
  <c r="BY45" i="4"/>
  <c r="BY44" i="4"/>
  <c r="BY39" i="4"/>
  <c r="BY35" i="4"/>
  <c r="BY34" i="4"/>
  <c r="BY30" i="4"/>
  <c r="BY25" i="4"/>
  <c r="BY22" i="4"/>
  <c r="BY16" i="4"/>
  <c r="BY12" i="4"/>
  <c r="BY11" i="4"/>
  <c r="BY3" i="4"/>
  <c r="AZ45" i="4" l="1"/>
  <c r="AZ44" i="4"/>
  <c r="AZ39" i="4"/>
  <c r="AZ35" i="4"/>
  <c r="AZ34" i="4"/>
  <c r="AZ25" i="4"/>
  <c r="AZ22" i="4"/>
  <c r="AZ16" i="4"/>
  <c r="AZ12" i="4"/>
  <c r="AZ11" i="4"/>
  <c r="AV45" i="4"/>
  <c r="AU45" i="4"/>
  <c r="AT45" i="4"/>
  <c r="AS45" i="4"/>
  <c r="AR45" i="4"/>
  <c r="AQ45" i="4"/>
  <c r="AP45" i="4"/>
  <c r="AO45" i="4"/>
  <c r="AN45" i="4"/>
  <c r="AV44" i="4"/>
  <c r="AU44" i="4"/>
  <c r="AT44" i="4"/>
  <c r="AS44" i="4"/>
  <c r="AR44" i="4"/>
  <c r="AQ44" i="4"/>
  <c r="AP44" i="4"/>
  <c r="AO44" i="4"/>
  <c r="AN44" i="4"/>
  <c r="AV43" i="4"/>
  <c r="AU43" i="4"/>
  <c r="AT43" i="4"/>
  <c r="AS43" i="4"/>
  <c r="AR43" i="4"/>
  <c r="AQ43" i="4"/>
  <c r="AP43" i="4"/>
  <c r="AO43" i="4"/>
  <c r="AN43" i="4"/>
  <c r="AV42" i="4"/>
  <c r="AU42" i="4"/>
  <c r="AT42" i="4"/>
  <c r="AS42" i="4"/>
  <c r="AR42" i="4"/>
  <c r="AQ42" i="4"/>
  <c r="AP42" i="4"/>
  <c r="AO42" i="4"/>
  <c r="AN42" i="4"/>
  <c r="AV41" i="4"/>
  <c r="AU41" i="4"/>
  <c r="AT41" i="4"/>
  <c r="AS41" i="4"/>
  <c r="AR41" i="4"/>
  <c r="AQ41" i="4"/>
  <c r="AP41" i="4"/>
  <c r="AO41" i="4"/>
  <c r="AN41" i="4"/>
  <c r="AV40" i="4"/>
  <c r="AU40" i="4"/>
  <c r="AT40" i="4"/>
  <c r="AS40" i="4"/>
  <c r="AR40" i="4"/>
  <c r="AQ40" i="4"/>
  <c r="AP40" i="4"/>
  <c r="AO40" i="4"/>
  <c r="AN40" i="4"/>
  <c r="AV39" i="4"/>
  <c r="AU39" i="4"/>
  <c r="AT39" i="4"/>
  <c r="AS39" i="4"/>
  <c r="AR39" i="4"/>
  <c r="AQ39" i="4"/>
  <c r="AP39" i="4"/>
  <c r="AO39" i="4"/>
  <c r="AN39" i="4"/>
  <c r="AV35" i="4"/>
  <c r="AU35" i="4"/>
  <c r="AT35" i="4"/>
  <c r="AS35" i="4"/>
  <c r="AR35" i="4"/>
  <c r="AQ35" i="4"/>
  <c r="AP35" i="4"/>
  <c r="AO35" i="4"/>
  <c r="AN35" i="4"/>
  <c r="AV34" i="4"/>
  <c r="AU34" i="4"/>
  <c r="AT34" i="4"/>
  <c r="AS34" i="4"/>
  <c r="AR34" i="4"/>
  <c r="AQ34" i="4"/>
  <c r="AP34" i="4"/>
  <c r="AO34" i="4"/>
  <c r="AN34" i="4"/>
  <c r="AV33" i="4"/>
  <c r="AU33" i="4"/>
  <c r="AT33" i="4"/>
  <c r="AS33" i="4"/>
  <c r="AR33" i="4"/>
  <c r="AQ33" i="4"/>
  <c r="AP33" i="4"/>
  <c r="AO33" i="4"/>
  <c r="AN33" i="4"/>
  <c r="AV32" i="4"/>
  <c r="AU32" i="4"/>
  <c r="AT32" i="4"/>
  <c r="AS32" i="4"/>
  <c r="AR32" i="4"/>
  <c r="AQ32" i="4"/>
  <c r="AP32" i="4"/>
  <c r="AO32" i="4"/>
  <c r="AN32" i="4"/>
  <c r="AV30" i="4"/>
  <c r="AU30" i="4"/>
  <c r="AT30" i="4"/>
  <c r="AS30" i="4"/>
  <c r="AR30" i="4"/>
  <c r="AQ30" i="4"/>
  <c r="AP30" i="4"/>
  <c r="AO30" i="4"/>
  <c r="AN30" i="4"/>
  <c r="AV28" i="4"/>
  <c r="AU28" i="4"/>
  <c r="AT28" i="4"/>
  <c r="AS28" i="4"/>
  <c r="AR28" i="4"/>
  <c r="AQ28" i="4"/>
  <c r="AP28" i="4"/>
  <c r="AO28" i="4"/>
  <c r="AN28" i="4"/>
  <c r="AV27" i="4"/>
  <c r="AU27" i="4"/>
  <c r="AT27" i="4"/>
  <c r="AS27" i="4"/>
  <c r="AR27" i="4"/>
  <c r="AQ27" i="4"/>
  <c r="AP27" i="4"/>
  <c r="AO27" i="4"/>
  <c r="AN27" i="4"/>
  <c r="AV25" i="4"/>
  <c r="AU25" i="4"/>
  <c r="AT25" i="4"/>
  <c r="AS25" i="4"/>
  <c r="AR25" i="4"/>
  <c r="AQ25" i="4"/>
  <c r="AP25" i="4"/>
  <c r="AO25" i="4"/>
  <c r="AN25" i="4"/>
  <c r="AV24" i="4"/>
  <c r="AU24" i="4"/>
  <c r="AT24" i="4"/>
  <c r="AS24" i="4"/>
  <c r="AR24" i="4"/>
  <c r="AQ24" i="4"/>
  <c r="AP24" i="4"/>
  <c r="AO24" i="4"/>
  <c r="AN24" i="4"/>
  <c r="AT23" i="4"/>
  <c r="AV22" i="4"/>
  <c r="AU22" i="4"/>
  <c r="AT22" i="4"/>
  <c r="AS22" i="4"/>
  <c r="AR22" i="4"/>
  <c r="AQ22" i="4"/>
  <c r="AP22" i="4"/>
  <c r="AO22" i="4"/>
  <c r="AN22" i="4"/>
  <c r="AV17" i="4"/>
  <c r="AU17" i="4"/>
  <c r="AT17" i="4"/>
  <c r="AS17" i="4"/>
  <c r="AR17" i="4"/>
  <c r="AQ17" i="4"/>
  <c r="AP17" i="4"/>
  <c r="AO17" i="4"/>
  <c r="AN17" i="4"/>
  <c r="AV16" i="4"/>
  <c r="AU16" i="4"/>
  <c r="AT16" i="4"/>
  <c r="AS16" i="4"/>
  <c r="AR16" i="4"/>
  <c r="AQ16" i="4"/>
  <c r="AP16" i="4"/>
  <c r="AO16" i="4"/>
  <c r="AN16" i="4"/>
  <c r="AV14" i="4"/>
  <c r="AU14" i="4"/>
  <c r="AT14" i="4"/>
  <c r="AS14" i="4"/>
  <c r="AR14" i="4"/>
  <c r="AQ14" i="4"/>
  <c r="AP14" i="4"/>
  <c r="AO14" i="4"/>
  <c r="AN14" i="4"/>
  <c r="AV11" i="4"/>
  <c r="AU11" i="4"/>
  <c r="AT11" i="4"/>
  <c r="AS11" i="4"/>
  <c r="AR11" i="4"/>
  <c r="AQ11" i="4"/>
  <c r="AP11" i="4"/>
  <c r="AO11" i="4"/>
  <c r="AN11" i="4"/>
  <c r="AV10" i="4"/>
  <c r="AU10" i="4"/>
  <c r="AT10" i="4"/>
  <c r="AS10" i="4"/>
  <c r="AR10" i="4"/>
  <c r="AQ10" i="4"/>
  <c r="AP10" i="4"/>
  <c r="AO10" i="4"/>
  <c r="AN10" i="4"/>
  <c r="AV9" i="4"/>
  <c r="AU9" i="4"/>
  <c r="AT9" i="4"/>
  <c r="AS9" i="4"/>
  <c r="AR9" i="4"/>
  <c r="AQ9" i="4"/>
  <c r="AP9" i="4"/>
  <c r="AO9" i="4"/>
  <c r="AN9" i="4"/>
  <c r="AV4" i="4"/>
  <c r="AU4" i="4"/>
  <c r="AT4" i="4"/>
  <c r="AS4" i="4"/>
  <c r="AR4" i="4"/>
  <c r="AQ4" i="4"/>
  <c r="AP4" i="4"/>
  <c r="AO4" i="4"/>
  <c r="AZ50" i="4"/>
  <c r="AZ49" i="4"/>
  <c r="AZ48" i="4"/>
  <c r="AZ47" i="4"/>
  <c r="AZ46" i="4"/>
  <c r="AZ43" i="4"/>
  <c r="AZ42" i="4"/>
  <c r="AZ41" i="4"/>
  <c r="AZ40" i="4"/>
  <c r="AZ38" i="4"/>
  <c r="AZ37" i="4"/>
  <c r="AZ36" i="4"/>
  <c r="AZ33" i="4"/>
  <c r="AZ32" i="4"/>
  <c r="AZ31" i="4"/>
  <c r="AZ30" i="4"/>
  <c r="AZ29" i="4"/>
  <c r="AZ28" i="4"/>
  <c r="AZ27" i="4"/>
  <c r="AZ26" i="4"/>
  <c r="AZ24" i="4"/>
  <c r="AZ21" i="4"/>
  <c r="AZ20" i="4"/>
  <c r="AZ19" i="4"/>
  <c r="BZ19" i="4" s="1"/>
  <c r="AZ18" i="4"/>
  <c r="BZ18" i="4" s="1"/>
  <c r="AZ17" i="4"/>
  <c r="AZ15" i="4"/>
  <c r="AZ14" i="4"/>
  <c r="AZ13" i="4"/>
  <c r="AZ10" i="4"/>
  <c r="AZ9" i="4"/>
  <c r="BZ9" i="4" s="1"/>
  <c r="AZ8" i="4"/>
  <c r="BZ8" i="4" s="1"/>
  <c r="AZ7" i="4"/>
  <c r="AZ6" i="4"/>
  <c r="AZ5" i="4"/>
  <c r="AZ4" i="4"/>
  <c r="BZ43" i="4"/>
  <c r="AX45" i="4"/>
  <c r="BX45" i="4" s="1"/>
  <c r="AX44" i="4"/>
  <c r="BX44" i="4" s="1"/>
  <c r="AX43" i="4"/>
  <c r="BX43" i="4" s="1"/>
  <c r="AX42" i="4"/>
  <c r="BX42" i="4" s="1"/>
  <c r="AX41" i="4"/>
  <c r="BX41" i="4" s="1"/>
  <c r="AX40" i="4"/>
  <c r="BX40" i="4" s="1"/>
  <c r="AX39" i="4"/>
  <c r="BX39" i="4" s="1"/>
  <c r="AX38" i="4"/>
  <c r="BX38" i="4" s="1"/>
  <c r="AX37" i="4"/>
  <c r="BX37" i="4" s="1"/>
  <c r="AX36" i="4"/>
  <c r="BX36" i="4" s="1"/>
  <c r="AX35" i="4"/>
  <c r="BX35" i="4" s="1"/>
  <c r="AX34" i="4"/>
  <c r="BX34" i="4" s="1"/>
  <c r="AX33" i="4"/>
  <c r="BX33" i="4" s="1"/>
  <c r="AX32" i="4"/>
  <c r="BX32" i="4" s="1"/>
  <c r="AX31" i="4"/>
  <c r="BX31" i="4" s="1"/>
  <c r="AX30" i="4"/>
  <c r="BX30" i="4" s="1"/>
  <c r="AX29" i="4"/>
  <c r="BX29" i="4" s="1"/>
  <c r="AX28" i="4"/>
  <c r="BX28" i="4" s="1"/>
  <c r="AX27" i="4"/>
  <c r="AX26" i="4"/>
  <c r="BX26" i="4" s="1"/>
  <c r="AX25" i="4"/>
  <c r="BX25" i="4" s="1"/>
  <c r="AX24" i="4"/>
  <c r="BX24" i="4" s="1"/>
  <c r="AX23" i="4"/>
  <c r="BX23" i="4" s="1"/>
  <c r="AX22" i="4"/>
  <c r="BX22" i="4" s="1"/>
  <c r="AX21" i="4"/>
  <c r="BX21" i="4" s="1"/>
  <c r="AX20" i="4"/>
  <c r="BX20" i="4" s="1"/>
  <c r="AX19" i="4"/>
  <c r="BX19" i="4" s="1"/>
  <c r="AX18" i="4"/>
  <c r="BX18" i="4" s="1"/>
  <c r="AX17" i="4"/>
  <c r="BX17" i="4" s="1"/>
  <c r="AX16" i="4"/>
  <c r="BX16" i="4" s="1"/>
  <c r="AX15" i="4"/>
  <c r="BX15" i="4" s="1"/>
  <c r="AX14" i="4"/>
  <c r="BX14" i="4" s="1"/>
  <c r="AX13" i="4"/>
  <c r="BX13" i="4" s="1"/>
  <c r="AX12" i="4"/>
  <c r="BX12" i="4" s="1"/>
  <c r="AX11" i="4"/>
  <c r="BX11" i="4" s="1"/>
  <c r="AX10" i="4"/>
  <c r="BX10" i="4" s="1"/>
  <c r="AX9" i="4"/>
  <c r="BX9" i="4" s="1"/>
  <c r="AX8" i="4"/>
  <c r="BX8" i="4" s="1"/>
  <c r="AX7" i="4"/>
  <c r="BX7" i="4" s="1"/>
  <c r="AX6" i="4"/>
  <c r="BX6" i="4" s="1"/>
  <c r="AX5" i="4"/>
  <c r="BX5" i="4" s="1"/>
  <c r="AX4" i="4"/>
  <c r="BX4" i="4" s="1"/>
  <c r="AM17" i="4"/>
  <c r="AM16" i="4"/>
  <c r="AM14" i="4"/>
  <c r="AM11" i="4"/>
  <c r="AM10" i="4"/>
  <c r="AM9" i="4"/>
  <c r="AM4" i="4"/>
  <c r="AM19" i="4"/>
  <c r="AM25" i="4"/>
  <c r="AM24" i="4"/>
  <c r="AM23" i="4"/>
  <c r="AM22" i="4"/>
  <c r="AM28" i="4"/>
  <c r="AM27" i="4"/>
  <c r="AM30" i="4"/>
  <c r="AM35" i="4"/>
  <c r="AM34" i="4"/>
  <c r="AM33" i="4"/>
  <c r="AM32" i="4"/>
  <c r="AM45" i="4"/>
  <c r="AM44" i="4"/>
  <c r="AM43" i="4"/>
  <c r="AM42" i="4"/>
  <c r="AM41" i="4"/>
  <c r="AM40" i="4"/>
  <c r="AM39" i="4"/>
  <c r="AV50" i="4"/>
  <c r="BI50" i="4" s="1"/>
  <c r="AU50" i="4"/>
  <c r="BH50" i="4" s="1"/>
  <c r="CH50" i="4" s="1"/>
  <c r="AT50" i="4"/>
  <c r="BG50" i="4" s="1"/>
  <c r="CG50" i="4" s="1"/>
  <c r="AS50" i="4"/>
  <c r="BF50" i="4" s="1"/>
  <c r="AR50" i="4"/>
  <c r="BE50" i="4" s="1"/>
  <c r="AQ50" i="4"/>
  <c r="BD50" i="4" s="1"/>
  <c r="CD50" i="4" s="1"/>
  <c r="AP50" i="4"/>
  <c r="BC50" i="4" s="1"/>
  <c r="CC50" i="4" s="1"/>
  <c r="AO50" i="4"/>
  <c r="BB50" i="4" s="1"/>
  <c r="CB50" i="4" s="1"/>
  <c r="AN50" i="4"/>
  <c r="BA50" i="4" s="1"/>
  <c r="CA50" i="4" s="1"/>
  <c r="AM50" i="4"/>
  <c r="AX50" i="4" s="1"/>
  <c r="BX50" i="4" s="1"/>
  <c r="AV49" i="4"/>
  <c r="BI49" i="4" s="1"/>
  <c r="AU49" i="4"/>
  <c r="BH49" i="4" s="1"/>
  <c r="CH49" i="4" s="1"/>
  <c r="AT49" i="4"/>
  <c r="BG49" i="4" s="1"/>
  <c r="AS49" i="4"/>
  <c r="BF49" i="4" s="1"/>
  <c r="AR49" i="4"/>
  <c r="BE49" i="4" s="1"/>
  <c r="AQ49" i="4"/>
  <c r="BD49" i="4" s="1"/>
  <c r="CD49" i="4" s="1"/>
  <c r="AP49" i="4"/>
  <c r="BC49" i="4" s="1"/>
  <c r="CC49" i="4" s="1"/>
  <c r="AO49" i="4"/>
  <c r="BB49" i="4" s="1"/>
  <c r="CB49" i="4" s="1"/>
  <c r="AN49" i="4"/>
  <c r="BA49" i="4" s="1"/>
  <c r="CA49" i="4" s="1"/>
  <c r="AM49" i="4"/>
  <c r="AX49" i="4" s="1"/>
  <c r="BX49" i="4" s="1"/>
  <c r="AM48" i="4"/>
  <c r="AX48" i="4" s="1"/>
  <c r="BX48" i="4" s="1"/>
  <c r="AM47" i="4"/>
  <c r="AX47" i="4" s="1"/>
  <c r="BX47" i="4" s="1"/>
  <c r="AM46" i="4"/>
  <c r="AX46" i="4" s="1"/>
  <c r="BX46" i="4" s="1"/>
  <c r="AV48" i="4"/>
  <c r="BI48" i="4" s="1"/>
  <c r="AU48" i="4"/>
  <c r="BH48" i="4" s="1"/>
  <c r="CH48" i="4" s="1"/>
  <c r="AT48" i="4"/>
  <c r="BG48" i="4" s="1"/>
  <c r="CG48" i="4" s="1"/>
  <c r="AS48" i="4"/>
  <c r="BF48" i="4" s="1"/>
  <c r="AR48" i="4"/>
  <c r="BE48" i="4" s="1"/>
  <c r="AQ48" i="4"/>
  <c r="BD48" i="4" s="1"/>
  <c r="CD48" i="4" s="1"/>
  <c r="AP48" i="4"/>
  <c r="BC48" i="4" s="1"/>
  <c r="CC48" i="4" s="1"/>
  <c r="AO48" i="4"/>
  <c r="BB48" i="4" s="1"/>
  <c r="CB48" i="4" s="1"/>
  <c r="AN48" i="4"/>
  <c r="BA48" i="4" s="1"/>
  <c r="CA48" i="4" s="1"/>
  <c r="AV47" i="4"/>
  <c r="BI47" i="4" s="1"/>
  <c r="AU47" i="4"/>
  <c r="BH47" i="4" s="1"/>
  <c r="CH47" i="4" s="1"/>
  <c r="AT47" i="4"/>
  <c r="BG47" i="4" s="1"/>
  <c r="AS47" i="4"/>
  <c r="BF47" i="4" s="1"/>
  <c r="AR47" i="4"/>
  <c r="BE47" i="4" s="1"/>
  <c r="AQ47" i="4"/>
  <c r="BD47" i="4" s="1"/>
  <c r="CD47" i="4" s="1"/>
  <c r="AP47" i="4"/>
  <c r="BC47" i="4" s="1"/>
  <c r="CC47" i="4" s="1"/>
  <c r="AO47" i="4"/>
  <c r="BB47" i="4" s="1"/>
  <c r="CB47" i="4" s="1"/>
  <c r="AN47" i="4"/>
  <c r="BA47" i="4" s="1"/>
  <c r="CA47" i="4" s="1"/>
  <c r="AV46" i="4"/>
  <c r="BI46" i="4" s="1"/>
  <c r="AU46" i="4"/>
  <c r="BH46" i="4" s="1"/>
  <c r="CH46" i="4" s="1"/>
  <c r="AT46" i="4"/>
  <c r="BG46" i="4" s="1"/>
  <c r="AS46" i="4"/>
  <c r="BF46" i="4" s="1"/>
  <c r="AR46" i="4"/>
  <c r="BE46" i="4" s="1"/>
  <c r="AQ46" i="4"/>
  <c r="BD46" i="4" s="1"/>
  <c r="CD46" i="4" s="1"/>
  <c r="AP46" i="4"/>
  <c r="BC46" i="4" s="1"/>
  <c r="CC46" i="4" s="1"/>
  <c r="AO46" i="4"/>
  <c r="BB46" i="4" s="1"/>
  <c r="CB46" i="4" s="1"/>
  <c r="AN46" i="4"/>
  <c r="BA46" i="4" s="1"/>
  <c r="CA46" i="4" s="1"/>
  <c r="AV19" i="4"/>
  <c r="AU19" i="4"/>
  <c r="AT19" i="4"/>
  <c r="AS19" i="4"/>
  <c r="AR19" i="4"/>
  <c r="AQ19" i="4"/>
  <c r="AP19" i="4"/>
  <c r="AO19" i="4"/>
  <c r="AN19" i="4"/>
  <c r="Y45" i="4"/>
  <c r="X45" i="4"/>
  <c r="BH45" i="4" s="1"/>
  <c r="CH45" i="4" s="1"/>
  <c r="W45" i="4"/>
  <c r="V45" i="4"/>
  <c r="U45" i="4"/>
  <c r="T45" i="4"/>
  <c r="S45" i="4"/>
  <c r="R45" i="4"/>
  <c r="Q45" i="4"/>
  <c r="P45" i="4"/>
  <c r="Y44" i="4"/>
  <c r="BI44" i="4" s="1"/>
  <c r="X44" i="4"/>
  <c r="W44" i="4"/>
  <c r="V44" i="4"/>
  <c r="U44" i="4"/>
  <c r="T44" i="4"/>
  <c r="S44" i="4"/>
  <c r="R44" i="4"/>
  <c r="BB44" i="4" s="1"/>
  <c r="CB44" i="4" s="1"/>
  <c r="Q44" i="4"/>
  <c r="BA44" i="4" s="1"/>
  <c r="CA44" i="4" s="1"/>
  <c r="P44" i="4"/>
  <c r="Y43" i="4"/>
  <c r="X43" i="4"/>
  <c r="W43" i="4"/>
  <c r="V43" i="4"/>
  <c r="U43" i="4"/>
  <c r="T43" i="4"/>
  <c r="S43" i="4"/>
  <c r="R43" i="4"/>
  <c r="BB43" i="4" s="1"/>
  <c r="Q43" i="4"/>
  <c r="P43" i="4"/>
  <c r="Y42" i="4"/>
  <c r="BI42" i="4" s="1"/>
  <c r="X42" i="4"/>
  <c r="W42" i="4"/>
  <c r="V42" i="4"/>
  <c r="U42" i="4"/>
  <c r="T42" i="4"/>
  <c r="BD42" i="4" s="1"/>
  <c r="CD42" i="4" s="1"/>
  <c r="S42" i="4"/>
  <c r="BC42" i="4" s="1"/>
  <c r="CC42" i="4" s="1"/>
  <c r="R42" i="4"/>
  <c r="Q42" i="4"/>
  <c r="BA42" i="4" s="1"/>
  <c r="CA42" i="4" s="1"/>
  <c r="P42" i="4"/>
  <c r="Y41" i="4"/>
  <c r="X41" i="4"/>
  <c r="W41" i="4"/>
  <c r="V41" i="4"/>
  <c r="U41" i="4"/>
  <c r="T41" i="4"/>
  <c r="BD41" i="4" s="1"/>
  <c r="CD41" i="4" s="1"/>
  <c r="S41" i="4"/>
  <c r="R41" i="4"/>
  <c r="Q41" i="4"/>
  <c r="P41" i="4"/>
  <c r="Y40" i="4"/>
  <c r="X40" i="4"/>
  <c r="BH40" i="4" s="1"/>
  <c r="CH40" i="4" s="1"/>
  <c r="W40" i="4"/>
  <c r="BG40" i="4" s="1"/>
  <c r="CG40" i="4" s="1"/>
  <c r="V40" i="4"/>
  <c r="U40" i="4"/>
  <c r="BE40" i="4" s="1"/>
  <c r="T40" i="4"/>
  <c r="BD40" i="4" s="1"/>
  <c r="CD40" i="4" s="1"/>
  <c r="S40" i="4"/>
  <c r="R40" i="4"/>
  <c r="Q40" i="4"/>
  <c r="P40" i="4"/>
  <c r="Y39" i="4"/>
  <c r="BI39" i="4" s="1"/>
  <c r="X39" i="4"/>
  <c r="W39" i="4"/>
  <c r="BG39" i="4" s="1"/>
  <c r="CG39" i="4" s="1"/>
  <c r="V39" i="4"/>
  <c r="BF39" i="4" s="1"/>
  <c r="U39" i="4"/>
  <c r="T39" i="4"/>
  <c r="S39" i="4"/>
  <c r="R39" i="4"/>
  <c r="Q39" i="4"/>
  <c r="BA39" i="4" s="1"/>
  <c r="CA39" i="4" s="1"/>
  <c r="P39" i="4"/>
  <c r="Y38" i="4"/>
  <c r="BI38" i="4" s="1"/>
  <c r="X38" i="4"/>
  <c r="BH38" i="4" s="1"/>
  <c r="CH38" i="4" s="1"/>
  <c r="W38" i="4"/>
  <c r="BG38" i="4" s="1"/>
  <c r="V38" i="4"/>
  <c r="BF38" i="4" s="1"/>
  <c r="U38" i="4"/>
  <c r="BE38" i="4" s="1"/>
  <c r="T38" i="4"/>
  <c r="BD38" i="4" s="1"/>
  <c r="CD38" i="4" s="1"/>
  <c r="S38" i="4"/>
  <c r="BC38" i="4" s="1"/>
  <c r="CC38" i="4" s="1"/>
  <c r="R38" i="4"/>
  <c r="BB38" i="4" s="1"/>
  <c r="CB38" i="4" s="1"/>
  <c r="Q38" i="4"/>
  <c r="BA38" i="4" s="1"/>
  <c r="CA38" i="4" s="1"/>
  <c r="P38" i="4"/>
  <c r="Y37" i="4"/>
  <c r="BI37" i="4" s="1"/>
  <c r="X37" i="4"/>
  <c r="BH37" i="4" s="1"/>
  <c r="CH37" i="4" s="1"/>
  <c r="W37" i="4"/>
  <c r="BG37" i="4" s="1"/>
  <c r="V37" i="4"/>
  <c r="BF37" i="4" s="1"/>
  <c r="U37" i="4"/>
  <c r="BE37" i="4" s="1"/>
  <c r="T37" i="4"/>
  <c r="BD37" i="4" s="1"/>
  <c r="CD37" i="4" s="1"/>
  <c r="S37" i="4"/>
  <c r="BC37" i="4" s="1"/>
  <c r="CC37" i="4" s="1"/>
  <c r="R37" i="4"/>
  <c r="BB37" i="4" s="1"/>
  <c r="CB37" i="4" s="1"/>
  <c r="Q37" i="4"/>
  <c r="BA37" i="4" s="1"/>
  <c r="CA37" i="4" s="1"/>
  <c r="P37" i="4"/>
  <c r="Y36" i="4"/>
  <c r="BI36" i="4" s="1"/>
  <c r="X36" i="4"/>
  <c r="BH36" i="4" s="1"/>
  <c r="CH36" i="4" s="1"/>
  <c r="W36" i="4"/>
  <c r="BG36" i="4" s="1"/>
  <c r="V36" i="4"/>
  <c r="BF36" i="4" s="1"/>
  <c r="U36" i="4"/>
  <c r="BE36" i="4" s="1"/>
  <c r="T36" i="4"/>
  <c r="BD36" i="4" s="1"/>
  <c r="CD36" i="4" s="1"/>
  <c r="S36" i="4"/>
  <c r="BC36" i="4" s="1"/>
  <c r="CC36" i="4" s="1"/>
  <c r="R36" i="4"/>
  <c r="BB36" i="4" s="1"/>
  <c r="CB36" i="4" s="1"/>
  <c r="Q36" i="4"/>
  <c r="BA36" i="4" s="1"/>
  <c r="CA36" i="4" s="1"/>
  <c r="P36" i="4"/>
  <c r="Y35" i="4"/>
  <c r="BI35" i="4" s="1"/>
  <c r="X35" i="4"/>
  <c r="W35" i="4"/>
  <c r="BG35" i="4" s="1"/>
  <c r="CG35" i="4" s="1"/>
  <c r="V35" i="4"/>
  <c r="BF35" i="4" s="1"/>
  <c r="U35" i="4"/>
  <c r="T35" i="4"/>
  <c r="S35" i="4"/>
  <c r="R35" i="4"/>
  <c r="BB35" i="4" s="1"/>
  <c r="CB35" i="4" s="1"/>
  <c r="BA35" i="4"/>
  <c r="CA35" i="4" s="1"/>
  <c r="P35" i="4"/>
  <c r="Y34" i="4"/>
  <c r="BI34" i="4" s="1"/>
  <c r="X34" i="4"/>
  <c r="BH34" i="4" s="1"/>
  <c r="CH34" i="4" s="1"/>
  <c r="W34" i="4"/>
  <c r="V34" i="4"/>
  <c r="U34" i="4"/>
  <c r="T34" i="4"/>
  <c r="S34" i="4"/>
  <c r="BC34" i="4" s="1"/>
  <c r="CC34" i="4" s="1"/>
  <c r="R34" i="4"/>
  <c r="BB34" i="4" s="1"/>
  <c r="CB34" i="4" s="1"/>
  <c r="Q34" i="4"/>
  <c r="BA34" i="4" s="1"/>
  <c r="CA34" i="4" s="1"/>
  <c r="P34" i="4"/>
  <c r="Y33" i="4"/>
  <c r="BI33" i="4" s="1"/>
  <c r="X33" i="4"/>
  <c r="W33" i="4"/>
  <c r="V33" i="4"/>
  <c r="U33" i="4"/>
  <c r="T33" i="4"/>
  <c r="BD33" i="4" s="1"/>
  <c r="CD33" i="4" s="1"/>
  <c r="S33" i="4"/>
  <c r="BC33" i="4" s="1"/>
  <c r="CC33" i="4" s="1"/>
  <c r="R33" i="4"/>
  <c r="BB33" i="4" s="1"/>
  <c r="CB33" i="4" s="1"/>
  <c r="Q33" i="4"/>
  <c r="BA33" i="4" s="1"/>
  <c r="CA33" i="4" s="1"/>
  <c r="P33" i="4"/>
  <c r="Y32" i="4"/>
  <c r="X32" i="4"/>
  <c r="W32" i="4"/>
  <c r="V32" i="4"/>
  <c r="U32" i="4"/>
  <c r="BE32" i="4" s="1"/>
  <c r="T32" i="4"/>
  <c r="BD32" i="4" s="1"/>
  <c r="CD32" i="4" s="1"/>
  <c r="S32" i="4"/>
  <c r="BC32" i="4" s="1"/>
  <c r="CC32" i="4" s="1"/>
  <c r="R32" i="4"/>
  <c r="BB32" i="4" s="1"/>
  <c r="CB32" i="4" s="1"/>
  <c r="Q32" i="4"/>
  <c r="P32" i="4"/>
  <c r="Y31" i="4"/>
  <c r="BI31" i="4" s="1"/>
  <c r="X31" i="4"/>
  <c r="BH31" i="4" s="1"/>
  <c r="CH31" i="4" s="1"/>
  <c r="W31" i="4"/>
  <c r="BG31" i="4" s="1"/>
  <c r="V31" i="4"/>
  <c r="BF31" i="4" s="1"/>
  <c r="U31" i="4"/>
  <c r="BE31" i="4" s="1"/>
  <c r="T31" i="4"/>
  <c r="BD31" i="4" s="1"/>
  <c r="CD31" i="4" s="1"/>
  <c r="S31" i="4"/>
  <c r="BC31" i="4" s="1"/>
  <c r="CC31" i="4" s="1"/>
  <c r="R31" i="4"/>
  <c r="BB31" i="4" s="1"/>
  <c r="CB31" i="4" s="1"/>
  <c r="Q31" i="4"/>
  <c r="BA31" i="4" s="1"/>
  <c r="CA31" i="4" s="1"/>
  <c r="P31" i="4"/>
  <c r="Y30" i="4"/>
  <c r="BI30" i="4" s="1"/>
  <c r="X30" i="4"/>
  <c r="W30" i="4"/>
  <c r="V30" i="4"/>
  <c r="BF30" i="4" s="1"/>
  <c r="U30" i="4"/>
  <c r="T30" i="4"/>
  <c r="BD30" i="4" s="1"/>
  <c r="CD30" i="4" s="1"/>
  <c r="S30" i="4"/>
  <c r="R30" i="4"/>
  <c r="Q30" i="4"/>
  <c r="BA30" i="4" s="1"/>
  <c r="CA30" i="4" s="1"/>
  <c r="P30" i="4"/>
  <c r="Y29" i="4"/>
  <c r="BI29" i="4" s="1"/>
  <c r="X29" i="4"/>
  <c r="BH29" i="4" s="1"/>
  <c r="CH29" i="4" s="1"/>
  <c r="W29" i="4"/>
  <c r="BG29" i="4" s="1"/>
  <c r="CG29" i="4" s="1"/>
  <c r="V29" i="4"/>
  <c r="BF29" i="4" s="1"/>
  <c r="U29" i="4"/>
  <c r="BE29" i="4" s="1"/>
  <c r="T29" i="4"/>
  <c r="BD29" i="4" s="1"/>
  <c r="CD29" i="4" s="1"/>
  <c r="S29" i="4"/>
  <c r="BC29" i="4" s="1"/>
  <c r="CC29" i="4" s="1"/>
  <c r="R29" i="4"/>
  <c r="BB29" i="4" s="1"/>
  <c r="CB29" i="4" s="1"/>
  <c r="Q29" i="4"/>
  <c r="BA29" i="4" s="1"/>
  <c r="CA29" i="4" s="1"/>
  <c r="P29" i="4"/>
  <c r="Y28" i="4"/>
  <c r="X28" i="4"/>
  <c r="W28" i="4"/>
  <c r="BG28" i="4" s="1"/>
  <c r="V28" i="4"/>
  <c r="BF28" i="4" s="1"/>
  <c r="U28" i="4"/>
  <c r="BE28" i="4" s="1"/>
  <c r="T28" i="4"/>
  <c r="BD28" i="4" s="1"/>
  <c r="CD28" i="4" s="1"/>
  <c r="S28" i="4"/>
  <c r="R28" i="4"/>
  <c r="Q28" i="4"/>
  <c r="P28" i="4"/>
  <c r="Y27" i="4"/>
  <c r="X27" i="4"/>
  <c r="BH27" i="4" s="1"/>
  <c r="CH27" i="4" s="1"/>
  <c r="W27" i="4"/>
  <c r="V27" i="4"/>
  <c r="BF27" i="4" s="1"/>
  <c r="U27" i="4"/>
  <c r="BE27" i="4" s="1"/>
  <c r="T27" i="4"/>
  <c r="S27" i="4"/>
  <c r="R27" i="4"/>
  <c r="Q27" i="4"/>
  <c r="P27" i="4"/>
  <c r="Y26" i="4"/>
  <c r="BI26" i="4" s="1"/>
  <c r="X26" i="4"/>
  <c r="BH26" i="4" s="1"/>
  <c r="CH26" i="4" s="1"/>
  <c r="W26" i="4"/>
  <c r="BG26" i="4" s="1"/>
  <c r="V26" i="4"/>
  <c r="BF26" i="4" s="1"/>
  <c r="U26" i="4"/>
  <c r="BE26" i="4" s="1"/>
  <c r="T26" i="4"/>
  <c r="BD26" i="4" s="1"/>
  <c r="CD26" i="4" s="1"/>
  <c r="S26" i="4"/>
  <c r="BC26" i="4" s="1"/>
  <c r="CC26" i="4" s="1"/>
  <c r="R26" i="4"/>
  <c r="BB26" i="4" s="1"/>
  <c r="CB26" i="4" s="1"/>
  <c r="Q26" i="4"/>
  <c r="BA26" i="4" s="1"/>
  <c r="CA26" i="4" s="1"/>
  <c r="P26" i="4"/>
  <c r="Y25" i="4"/>
  <c r="BI25" i="4" s="1"/>
  <c r="X25" i="4"/>
  <c r="W25" i="4"/>
  <c r="V25" i="4"/>
  <c r="BF25" i="4" s="1"/>
  <c r="U25" i="4"/>
  <c r="T25" i="4"/>
  <c r="S25" i="4"/>
  <c r="R25" i="4"/>
  <c r="Q25" i="4"/>
  <c r="BA25" i="4" s="1"/>
  <c r="CA25" i="4" s="1"/>
  <c r="P25" i="4"/>
  <c r="Y24" i="4"/>
  <c r="BI24" i="4" s="1"/>
  <c r="X24" i="4"/>
  <c r="BH24" i="4" s="1"/>
  <c r="CH24" i="4" s="1"/>
  <c r="W24" i="4"/>
  <c r="BG24" i="4" s="1"/>
  <c r="V24" i="4"/>
  <c r="U24" i="4"/>
  <c r="BE24" i="4" s="1"/>
  <c r="T24" i="4"/>
  <c r="S24" i="4"/>
  <c r="R24" i="4"/>
  <c r="Q24" i="4"/>
  <c r="P24" i="4"/>
  <c r="Y23" i="4"/>
  <c r="BI23" i="4" s="1"/>
  <c r="X23" i="4"/>
  <c r="BH23" i="4" s="1"/>
  <c r="CH23" i="4" s="1"/>
  <c r="W23" i="4"/>
  <c r="BG23" i="4" s="1"/>
  <c r="CG23" i="4" s="1"/>
  <c r="V23" i="4"/>
  <c r="BF23" i="4" s="1"/>
  <c r="U23" i="4"/>
  <c r="BE23" i="4" s="1"/>
  <c r="T23" i="4"/>
  <c r="S23" i="4"/>
  <c r="R23" i="4"/>
  <c r="BB23" i="4" s="1"/>
  <c r="CB23" i="4" s="1"/>
  <c r="CF23" i="4" s="1"/>
  <c r="P23" i="4"/>
  <c r="Y22" i="4"/>
  <c r="BI22" i="4" s="1"/>
  <c r="X22" i="4"/>
  <c r="BH22" i="4" s="1"/>
  <c r="CH22" i="4" s="1"/>
  <c r="W22" i="4"/>
  <c r="V22" i="4"/>
  <c r="U22" i="4"/>
  <c r="T22" i="4"/>
  <c r="BD22" i="4" s="1"/>
  <c r="CD22" i="4" s="1"/>
  <c r="S22" i="4"/>
  <c r="R22" i="4"/>
  <c r="Q22" i="4"/>
  <c r="P22" i="4"/>
  <c r="Y21" i="4"/>
  <c r="BI21" i="4" s="1"/>
  <c r="X21" i="4"/>
  <c r="BH21" i="4" s="1"/>
  <c r="CH21" i="4" s="1"/>
  <c r="W21" i="4"/>
  <c r="BG21" i="4" s="1"/>
  <c r="CG21" i="4" s="1"/>
  <c r="V21" i="4"/>
  <c r="BF21" i="4" s="1"/>
  <c r="U21" i="4"/>
  <c r="BE21" i="4" s="1"/>
  <c r="T21" i="4"/>
  <c r="BD21" i="4" s="1"/>
  <c r="CD21" i="4" s="1"/>
  <c r="S21" i="4"/>
  <c r="BC21" i="4" s="1"/>
  <c r="CC21" i="4" s="1"/>
  <c r="R21" i="4"/>
  <c r="BB21" i="4" s="1"/>
  <c r="CB21" i="4" s="1"/>
  <c r="Q21" i="4"/>
  <c r="BA21" i="4" s="1"/>
  <c r="CA21" i="4" s="1"/>
  <c r="P21" i="4"/>
  <c r="Y20" i="4"/>
  <c r="BI20" i="4" s="1"/>
  <c r="X20" i="4"/>
  <c r="BH20" i="4" s="1"/>
  <c r="CH20" i="4" s="1"/>
  <c r="W20" i="4"/>
  <c r="BG20" i="4" s="1"/>
  <c r="V20" i="4"/>
  <c r="BF20" i="4" s="1"/>
  <c r="U20" i="4"/>
  <c r="BE20" i="4" s="1"/>
  <c r="T20" i="4"/>
  <c r="BD20" i="4" s="1"/>
  <c r="CD20" i="4" s="1"/>
  <c r="S20" i="4"/>
  <c r="BC20" i="4" s="1"/>
  <c r="CC20" i="4" s="1"/>
  <c r="R20" i="4"/>
  <c r="BB20" i="4" s="1"/>
  <c r="CB20" i="4" s="1"/>
  <c r="Q20" i="4"/>
  <c r="BA20" i="4" s="1"/>
  <c r="CA20" i="4" s="1"/>
  <c r="P20" i="4"/>
  <c r="Y19" i="4"/>
  <c r="X19" i="4"/>
  <c r="W19" i="4"/>
  <c r="V19" i="4"/>
  <c r="U19" i="4"/>
  <c r="BE19" i="4" s="1"/>
  <c r="T19" i="4"/>
  <c r="S19" i="4"/>
  <c r="R19" i="4"/>
  <c r="Q19" i="4"/>
  <c r="P19" i="4"/>
  <c r="Y18" i="4"/>
  <c r="BI18" i="4" s="1"/>
  <c r="X18" i="4"/>
  <c r="BH18" i="4" s="1"/>
  <c r="CH18" i="4" s="1"/>
  <c r="W18" i="4"/>
  <c r="BG18" i="4" s="1"/>
  <c r="V18" i="4"/>
  <c r="BF18" i="4" s="1"/>
  <c r="U18" i="4"/>
  <c r="BE18" i="4" s="1"/>
  <c r="T18" i="4"/>
  <c r="BD18" i="4" s="1"/>
  <c r="S18" i="4"/>
  <c r="BC18" i="4" s="1"/>
  <c r="R18" i="4"/>
  <c r="BB18" i="4" s="1"/>
  <c r="Q18" i="4"/>
  <c r="BA18" i="4" s="1"/>
  <c r="P18" i="4"/>
  <c r="Y17" i="4"/>
  <c r="X17" i="4"/>
  <c r="W17" i="4"/>
  <c r="V17" i="4"/>
  <c r="U17" i="4"/>
  <c r="BE17" i="4" s="1"/>
  <c r="T17" i="4"/>
  <c r="S17" i="4"/>
  <c r="R17" i="4"/>
  <c r="BB17" i="4" s="1"/>
  <c r="CB17" i="4" s="1"/>
  <c r="Q17" i="4"/>
  <c r="P17" i="4"/>
  <c r="Y16" i="4"/>
  <c r="X16" i="4"/>
  <c r="W16" i="4"/>
  <c r="V16" i="4"/>
  <c r="BF16" i="4" s="1"/>
  <c r="U16" i="4"/>
  <c r="BE16" i="4" s="1"/>
  <c r="T16" i="4"/>
  <c r="S16" i="4"/>
  <c r="BC16" i="4" s="1"/>
  <c r="CC16" i="4" s="1"/>
  <c r="R16" i="4"/>
  <c r="Q16" i="4"/>
  <c r="P16" i="4"/>
  <c r="Y15" i="4"/>
  <c r="BI15" i="4" s="1"/>
  <c r="X15" i="4"/>
  <c r="BH15" i="4" s="1"/>
  <c r="CH15" i="4" s="1"/>
  <c r="W15" i="4"/>
  <c r="BG15" i="4" s="1"/>
  <c r="CG15" i="4" s="1"/>
  <c r="V15" i="4"/>
  <c r="BF15" i="4" s="1"/>
  <c r="U15" i="4"/>
  <c r="BE15" i="4" s="1"/>
  <c r="T15" i="4"/>
  <c r="BD15" i="4" s="1"/>
  <c r="CD15" i="4" s="1"/>
  <c r="S15" i="4"/>
  <c r="BC15" i="4" s="1"/>
  <c r="CC15" i="4" s="1"/>
  <c r="R15" i="4"/>
  <c r="BB15" i="4" s="1"/>
  <c r="CB15" i="4" s="1"/>
  <c r="Q15" i="4"/>
  <c r="BA15" i="4" s="1"/>
  <c r="CA15" i="4" s="1"/>
  <c r="P15" i="4"/>
  <c r="Y14" i="4"/>
  <c r="X14" i="4"/>
  <c r="W14" i="4"/>
  <c r="BG14" i="4" s="1"/>
  <c r="V14" i="4"/>
  <c r="U14" i="4"/>
  <c r="T14" i="4"/>
  <c r="BD14" i="4" s="1"/>
  <c r="CD14" i="4" s="1"/>
  <c r="S14" i="4"/>
  <c r="R14" i="4"/>
  <c r="Q14" i="4"/>
  <c r="P14" i="4"/>
  <c r="Y13" i="4"/>
  <c r="BI13" i="4" s="1"/>
  <c r="X13" i="4"/>
  <c r="BH13" i="4" s="1"/>
  <c r="CH13" i="4" s="1"/>
  <c r="W13" i="4"/>
  <c r="BG13" i="4" s="1"/>
  <c r="V13" i="4"/>
  <c r="BF13" i="4" s="1"/>
  <c r="U13" i="4"/>
  <c r="BE13" i="4" s="1"/>
  <c r="T13" i="4"/>
  <c r="BD13" i="4" s="1"/>
  <c r="CD13" i="4" s="1"/>
  <c r="S13" i="4"/>
  <c r="BC13" i="4" s="1"/>
  <c r="CC13" i="4" s="1"/>
  <c r="R13" i="4"/>
  <c r="BB13" i="4" s="1"/>
  <c r="CB13" i="4" s="1"/>
  <c r="Q13" i="4"/>
  <c r="BA13" i="4" s="1"/>
  <c r="CA13" i="4" s="1"/>
  <c r="P13" i="4"/>
  <c r="Y12" i="4"/>
  <c r="BI12" i="4" s="1"/>
  <c r="X12" i="4"/>
  <c r="BH12" i="4" s="1"/>
  <c r="CH12" i="4" s="1"/>
  <c r="W12" i="4"/>
  <c r="BG12" i="4" s="1"/>
  <c r="CG12" i="4" s="1"/>
  <c r="V12" i="4"/>
  <c r="BF12" i="4" s="1"/>
  <c r="U12" i="4"/>
  <c r="BE12" i="4" s="1"/>
  <c r="T12" i="4"/>
  <c r="BD12" i="4" s="1"/>
  <c r="CD12" i="4" s="1"/>
  <c r="S12" i="4"/>
  <c r="BC12" i="4" s="1"/>
  <c r="CC12" i="4" s="1"/>
  <c r="R12" i="4"/>
  <c r="BB12" i="4" s="1"/>
  <c r="CB12" i="4" s="1"/>
  <c r="Q12" i="4"/>
  <c r="BA12" i="4" s="1"/>
  <c r="CA12" i="4" s="1"/>
  <c r="P12" i="4"/>
  <c r="Y11" i="4"/>
  <c r="X11" i="4"/>
  <c r="BH11" i="4" s="1"/>
  <c r="CH11" i="4" s="1"/>
  <c r="W11" i="4"/>
  <c r="BG11" i="4" s="1"/>
  <c r="CG11" i="4" s="1"/>
  <c r="V11" i="4"/>
  <c r="BF11" i="4" s="1"/>
  <c r="U11" i="4"/>
  <c r="BE11" i="4" s="1"/>
  <c r="T11" i="4"/>
  <c r="S11" i="4"/>
  <c r="R11" i="4"/>
  <c r="Q11" i="4"/>
  <c r="P11" i="4"/>
  <c r="Y10" i="4"/>
  <c r="BI10" i="4" s="1"/>
  <c r="X10" i="4"/>
  <c r="BH10" i="4" s="1"/>
  <c r="CH10" i="4" s="1"/>
  <c r="W10" i="4"/>
  <c r="BG10" i="4" s="1"/>
  <c r="V10" i="4"/>
  <c r="BF10" i="4" s="1"/>
  <c r="U10" i="4"/>
  <c r="T10" i="4"/>
  <c r="S10" i="4"/>
  <c r="R10" i="4"/>
  <c r="Q10" i="4"/>
  <c r="BA10" i="4" s="1"/>
  <c r="CA10" i="4" s="1"/>
  <c r="P10" i="4"/>
  <c r="Y9" i="4"/>
  <c r="X9" i="4"/>
  <c r="W9" i="4"/>
  <c r="BG9" i="4" s="1"/>
  <c r="CG9" i="4" s="1"/>
  <c r="V9" i="4"/>
  <c r="U9" i="4"/>
  <c r="T9" i="4"/>
  <c r="S9" i="4"/>
  <c r="R9" i="4"/>
  <c r="BB9" i="4" s="1"/>
  <c r="Q9" i="4"/>
  <c r="BA9" i="4" s="1"/>
  <c r="P9" i="4"/>
  <c r="Y8" i="4"/>
  <c r="BI8" i="4" s="1"/>
  <c r="X8" i="4"/>
  <c r="BH8" i="4" s="1"/>
  <c r="CH8" i="4" s="1"/>
  <c r="W8" i="4"/>
  <c r="BG8" i="4" s="1"/>
  <c r="V8" i="4"/>
  <c r="BF8" i="4" s="1"/>
  <c r="U8" i="4"/>
  <c r="BE8" i="4" s="1"/>
  <c r="T8" i="4"/>
  <c r="BD8" i="4" s="1"/>
  <c r="S8" i="4"/>
  <c r="BC8" i="4" s="1"/>
  <c r="R8" i="4"/>
  <c r="BB8" i="4" s="1"/>
  <c r="Q8" i="4"/>
  <c r="BA8" i="4" s="1"/>
  <c r="P8" i="4"/>
  <c r="Y7" i="4"/>
  <c r="BI7" i="4" s="1"/>
  <c r="X7" i="4"/>
  <c r="BH7" i="4" s="1"/>
  <c r="W7" i="4"/>
  <c r="BG7" i="4" s="1"/>
  <c r="V7" i="4"/>
  <c r="BF7" i="4" s="1"/>
  <c r="U7" i="4"/>
  <c r="BE7" i="4" s="1"/>
  <c r="T7" i="4"/>
  <c r="BD7" i="4" s="1"/>
  <c r="S7" i="4"/>
  <c r="BC7" i="4" s="1"/>
  <c r="R7" i="4"/>
  <c r="BB7" i="4" s="1"/>
  <c r="Q7" i="4"/>
  <c r="BA7" i="4" s="1"/>
  <c r="P7" i="4"/>
  <c r="Y6" i="4"/>
  <c r="BI6" i="4" s="1"/>
  <c r="X6" i="4"/>
  <c r="BH6" i="4" s="1"/>
  <c r="CH6" i="4" s="1"/>
  <c r="W6" i="4"/>
  <c r="BG6" i="4" s="1"/>
  <c r="V6" i="4"/>
  <c r="BF6" i="4" s="1"/>
  <c r="U6" i="4"/>
  <c r="BE6" i="4" s="1"/>
  <c r="T6" i="4"/>
  <c r="BD6" i="4" s="1"/>
  <c r="CD6" i="4" s="1"/>
  <c r="S6" i="4"/>
  <c r="BC6" i="4" s="1"/>
  <c r="CC6" i="4" s="1"/>
  <c r="R6" i="4"/>
  <c r="BB6" i="4" s="1"/>
  <c r="CB6" i="4" s="1"/>
  <c r="Q6" i="4"/>
  <c r="BA6" i="4" s="1"/>
  <c r="CA6" i="4" s="1"/>
  <c r="P6" i="4"/>
  <c r="Y5" i="4"/>
  <c r="BI5" i="4" s="1"/>
  <c r="X5" i="4"/>
  <c r="BH5" i="4" s="1"/>
  <c r="CH5" i="4" s="1"/>
  <c r="W5" i="4"/>
  <c r="BG5" i="4" s="1"/>
  <c r="V5" i="4"/>
  <c r="BF5" i="4" s="1"/>
  <c r="U5" i="4"/>
  <c r="BE5" i="4" s="1"/>
  <c r="T5" i="4"/>
  <c r="BD5" i="4" s="1"/>
  <c r="CD5" i="4" s="1"/>
  <c r="S5" i="4"/>
  <c r="BC5" i="4" s="1"/>
  <c r="CC5" i="4" s="1"/>
  <c r="R5" i="4"/>
  <c r="BB5" i="4" s="1"/>
  <c r="CB5" i="4" s="1"/>
  <c r="Q5" i="4"/>
  <c r="BA5" i="4" s="1"/>
  <c r="CA5" i="4" s="1"/>
  <c r="P5" i="4"/>
  <c r="Y4" i="4"/>
  <c r="X4" i="4"/>
  <c r="BH4" i="4" s="1"/>
  <c r="CH4" i="4" s="1"/>
  <c r="W4" i="4"/>
  <c r="V4" i="4"/>
  <c r="U4" i="4"/>
  <c r="T4" i="4"/>
  <c r="S4" i="4"/>
  <c r="R4" i="4"/>
  <c r="Q4" i="4"/>
  <c r="P4" i="4"/>
  <c r="C22" i="7" l="1"/>
  <c r="C14" i="7"/>
  <c r="C6" i="7"/>
  <c r="D5" i="7"/>
  <c r="C21" i="7"/>
  <c r="C13" i="7"/>
  <c r="C5" i="7"/>
  <c r="C20" i="7"/>
  <c r="C12" i="7"/>
  <c r="F22" i="7"/>
  <c r="F20" i="7"/>
  <c r="F18" i="7"/>
  <c r="F12" i="7"/>
  <c r="F10" i="7"/>
  <c r="F8" i="7"/>
  <c r="F6" i="7"/>
  <c r="F4" i="7"/>
  <c r="C19" i="7"/>
  <c r="C11" i="7"/>
  <c r="C18" i="7"/>
  <c r="C10" i="7"/>
  <c r="C17" i="7"/>
  <c r="C9" i="7"/>
  <c r="C4" i="7"/>
  <c r="C16" i="7"/>
  <c r="C8" i="7"/>
  <c r="F21" i="7"/>
  <c r="F15" i="7"/>
  <c r="F13" i="7"/>
  <c r="F11" i="7"/>
  <c r="F5" i="7"/>
  <c r="C15" i="7"/>
  <c r="D26" i="7"/>
  <c r="F45" i="7"/>
  <c r="F31" i="7"/>
  <c r="F27" i="7"/>
  <c r="F47" i="7"/>
  <c r="F37" i="7"/>
  <c r="F29" i="7"/>
  <c r="F49" i="7"/>
  <c r="F46" i="7"/>
  <c r="F38" i="7"/>
  <c r="F34" i="7"/>
  <c r="F26" i="7"/>
  <c r="F48" i="7"/>
  <c r="F40" i="7"/>
  <c r="F36" i="7"/>
  <c r="F24" i="7"/>
  <c r="F50" i="7"/>
  <c r="CI23" i="4"/>
  <c r="C43" i="7"/>
  <c r="C35" i="7"/>
  <c r="C27" i="7"/>
  <c r="C29" i="7"/>
  <c r="C50" i="7"/>
  <c r="C42" i="7"/>
  <c r="C34" i="7"/>
  <c r="C26" i="7"/>
  <c r="C28" i="7"/>
  <c r="C49" i="7"/>
  <c r="C41" i="7"/>
  <c r="C33" i="7"/>
  <c r="C25" i="7"/>
  <c r="C48" i="7"/>
  <c r="C40" i="7"/>
  <c r="C32" i="7"/>
  <c r="C24" i="7"/>
  <c r="C36" i="7"/>
  <c r="C47" i="7"/>
  <c r="C39" i="7"/>
  <c r="C31" i="7"/>
  <c r="C23" i="7"/>
  <c r="C37" i="7"/>
  <c r="C46" i="7"/>
  <c r="C38" i="7"/>
  <c r="C30" i="7"/>
  <c r="C45" i="7"/>
  <c r="C44" i="7"/>
  <c r="BG27" i="4"/>
  <c r="CG27" i="4" s="1"/>
  <c r="CG31" i="4"/>
  <c r="BB4" i="4"/>
  <c r="CB4" i="4" s="1"/>
  <c r="BF14" i="4"/>
  <c r="BH25" i="4"/>
  <c r="CH25" i="4" s="1"/>
  <c r="F25" i="7" s="1"/>
  <c r="BI45" i="4"/>
  <c r="BH35" i="4"/>
  <c r="CH35" i="4" s="1"/>
  <c r="F35" i="7" s="1"/>
  <c r="BF40" i="4"/>
  <c r="BG19" i="4"/>
  <c r="CG19" i="4" s="1"/>
  <c r="BD17" i="4"/>
  <c r="CD17" i="4" s="1"/>
  <c r="CG8" i="4"/>
  <c r="CG20" i="4"/>
  <c r="BE41" i="4"/>
  <c r="BG25" i="4"/>
  <c r="CG25" i="4" s="1"/>
  <c r="BG4" i="4"/>
  <c r="BE10" i="4"/>
  <c r="BG43" i="4"/>
  <c r="CG43" i="4" s="1"/>
  <c r="BD25" i="4"/>
  <c r="CD25" i="4" s="1"/>
  <c r="BH43" i="4"/>
  <c r="CH43" i="4" s="1"/>
  <c r="F43" i="7" s="1"/>
  <c r="BE25" i="4"/>
  <c r="CG28" i="4"/>
  <c r="BA43" i="4"/>
  <c r="CA43" i="4" s="1"/>
  <c r="BI43" i="4"/>
  <c r="CB43" i="4"/>
  <c r="CG13" i="4"/>
  <c r="BA32" i="4"/>
  <c r="CA32" i="4" s="1"/>
  <c r="CF32" i="4" s="1" a="1"/>
  <c r="CF32" i="4" s="1"/>
  <c r="E32" i="7" s="1"/>
  <c r="BI32" i="4"/>
  <c r="BG45" i="4"/>
  <c r="CG45" i="4" s="1"/>
  <c r="BD4" i="4"/>
  <c r="CD4" i="4" s="1"/>
  <c r="BH14" i="4"/>
  <c r="CH14" i="4" s="1"/>
  <c r="F14" i="7" s="1"/>
  <c r="BI9" i="4"/>
  <c r="BA24" i="4"/>
  <c r="CA24" i="4" s="1"/>
  <c r="CG10" i="4"/>
  <c r="BB41" i="4"/>
  <c r="CB41" i="4" s="1"/>
  <c r="BE9" i="4"/>
  <c r="BG44" i="4"/>
  <c r="CG44" i="4" s="1"/>
  <c r="BH32" i="4"/>
  <c r="CH32" i="4" s="1"/>
  <c r="F32" i="7" s="1"/>
  <c r="BA16" i="4"/>
  <c r="CA16" i="4" s="1"/>
  <c r="BI16" i="4"/>
  <c r="BG33" i="4"/>
  <c r="CG37" i="4"/>
  <c r="BF34" i="4"/>
  <c r="BD39" i="4"/>
  <c r="CD39" i="4" s="1"/>
  <c r="CG6" i="4"/>
  <c r="BG22" i="4"/>
  <c r="CG22" i="4" s="1"/>
  <c r="BE35" i="4"/>
  <c r="BC40" i="4"/>
  <c r="CC40" i="4" s="1"/>
  <c r="CG7" i="4"/>
  <c r="BC41" i="4"/>
  <c r="CC41" i="4" s="1"/>
  <c r="BF24" i="4"/>
  <c r="BB42" i="4"/>
  <c r="CB42" i="4" s="1"/>
  <c r="CF42" i="4" s="1"/>
  <c r="E42" i="7" s="1"/>
  <c r="CF50" i="4" a="1"/>
  <c r="CF50" i="4" s="1"/>
  <c r="CI50" i="4" s="1"/>
  <c r="G50" i="7" s="1"/>
  <c r="BF9" i="4"/>
  <c r="BH44" i="4"/>
  <c r="CH44" i="4" s="1"/>
  <c r="F44" i="7" s="1"/>
  <c r="BD11" i="4"/>
  <c r="CD11" i="4" s="1"/>
  <c r="BB16" i="4"/>
  <c r="CB16" i="4" s="1"/>
  <c r="BH33" i="4"/>
  <c r="CH33" i="4" s="1"/>
  <c r="F33" i="7" s="1"/>
  <c r="BA17" i="4"/>
  <c r="CA17" i="4" s="1"/>
  <c r="BI17" i="4"/>
  <c r="CG18" i="4"/>
  <c r="BC28" i="4"/>
  <c r="CC28" i="4" s="1"/>
  <c r="BG34" i="4"/>
  <c r="CG34" i="4" s="1"/>
  <c r="CG38" i="4"/>
  <c r="BE39" i="4"/>
  <c r="BD45" i="4"/>
  <c r="CD45" i="4" s="1"/>
  <c r="BA11" i="4"/>
  <c r="CA11" i="4" s="1"/>
  <c r="BI11" i="4"/>
  <c r="BG16" i="4"/>
  <c r="CG16" i="4" s="1"/>
  <c r="CG24" i="4"/>
  <c r="CG36" i="4"/>
  <c r="CF48" i="4" a="1"/>
  <c r="CF48" i="4" s="1"/>
  <c r="E48" i="7" s="1"/>
  <c r="BH16" i="4"/>
  <c r="CH16" i="4" s="1"/>
  <c r="F16" i="7" s="1"/>
  <c r="BF17" i="4"/>
  <c r="BB27" i="4"/>
  <c r="CB27" i="4" s="1"/>
  <c r="BH28" i="4"/>
  <c r="CH28" i="4" s="1"/>
  <c r="F28" i="7" s="1"/>
  <c r="BB39" i="4"/>
  <c r="CB39" i="4" s="1"/>
  <c r="BC9" i="4"/>
  <c r="CC9" i="4" s="1"/>
  <c r="CG5" i="4"/>
  <c r="BG17" i="4"/>
  <c r="CG17" i="4" s="1"/>
  <c r="CG33" i="4"/>
  <c r="BF22" i="4"/>
  <c r="BH41" i="4"/>
  <c r="CH41" i="4" s="1"/>
  <c r="F41" i="7" s="1"/>
  <c r="BB10" i="4"/>
  <c r="CB10" i="4" s="1"/>
  <c r="CG14" i="4"/>
  <c r="CG26" i="4"/>
  <c r="CG46" i="4"/>
  <c r="CD8" i="4"/>
  <c r="CC8" i="4"/>
  <c r="BH19" i="4"/>
  <c r="CH19" i="4" s="1"/>
  <c r="F19" i="7" s="1"/>
  <c r="CA8" i="4"/>
  <c r="CB8" i="4"/>
  <c r="BA22" i="4"/>
  <c r="CA22" i="4" s="1"/>
  <c r="BF45" i="4"/>
  <c r="BC43" i="4"/>
  <c r="CC43" i="4" s="1"/>
  <c r="CG47" i="4"/>
  <c r="BB19" i="4"/>
  <c r="CB19" i="4" s="1"/>
  <c r="CE49" i="4"/>
  <c r="D49" i="7" s="1"/>
  <c r="CA9" i="4"/>
  <c r="CB9" i="4"/>
  <c r="CB18" i="4"/>
  <c r="CE5" i="4"/>
  <c r="CF33" i="4" a="1"/>
  <c r="CF33" i="4" s="1"/>
  <c r="E33" i="7" s="1"/>
  <c r="CE13" i="4"/>
  <c r="D13" i="7" s="1"/>
  <c r="CF13" i="4" a="1"/>
  <c r="CF13" i="4" s="1"/>
  <c r="E13" i="7" s="1"/>
  <c r="CF37" i="4" a="1"/>
  <c r="CF37" i="4" s="1"/>
  <c r="E37" i="7" s="1"/>
  <c r="CE32" i="4"/>
  <c r="D32" i="7" s="1"/>
  <c r="CF49" i="4" a="1"/>
  <c r="CF49" i="4" s="1"/>
  <c r="E49" i="7" s="1"/>
  <c r="CE21" i="4"/>
  <c r="D21" i="7" s="1"/>
  <c r="CF21" i="4" a="1"/>
  <c r="CF21" i="4" s="1"/>
  <c r="CI21" i="4" s="1"/>
  <c r="G21" i="7" s="1"/>
  <c r="CE29" i="4"/>
  <c r="D29" i="7" s="1"/>
  <c r="CF29" i="4" a="1"/>
  <c r="CF29" i="4" s="1"/>
  <c r="CI29" i="4" s="1"/>
  <c r="G29" i="7" s="1"/>
  <c r="CE6" i="4"/>
  <c r="D6" i="7" s="1"/>
  <c r="CF6" i="4" a="1"/>
  <c r="CF6" i="4" s="1"/>
  <c r="E6" i="7" s="1"/>
  <c r="CA18" i="4"/>
  <c r="CF26" i="4" a="1"/>
  <c r="CF26" i="4" s="1"/>
  <c r="E26" i="7" s="1"/>
  <c r="CE33" i="4"/>
  <c r="D33" i="7" s="1"/>
  <c r="CF38" i="4" a="1"/>
  <c r="CF38" i="4" s="1"/>
  <c r="E38" i="7" s="1"/>
  <c r="CE46" i="4"/>
  <c r="D46" i="7" s="1"/>
  <c r="CE37" i="4"/>
  <c r="D37" i="7" s="1"/>
  <c r="CE38" i="4"/>
  <c r="D38" i="7" s="1"/>
  <c r="CE50" i="4"/>
  <c r="D50" i="7" s="1"/>
  <c r="CE26" i="4"/>
  <c r="CF31" i="4" a="1"/>
  <c r="CF31" i="4" s="1"/>
  <c r="CI31" i="4" s="1"/>
  <c r="G31" i="7" s="1"/>
  <c r="CE31" i="4"/>
  <c r="D31" i="7" s="1"/>
  <c r="CD18" i="4"/>
  <c r="CF5" i="4" a="1"/>
  <c r="CF5" i="4" s="1"/>
  <c r="E5" i="7" s="1"/>
  <c r="CF15" i="4" a="1"/>
  <c r="CF15" i="4" s="1"/>
  <c r="E15" i="7" s="1"/>
  <c r="CE15" i="4"/>
  <c r="D15" i="7" s="1"/>
  <c r="CE12" i="4"/>
  <c r="D12" i="7" s="1"/>
  <c r="CF12" i="4" a="1"/>
  <c r="CF12" i="4" s="1"/>
  <c r="CI12" i="4" s="1"/>
  <c r="G12" i="7" s="1"/>
  <c r="BC19" i="4"/>
  <c r="CC19" i="4" s="1"/>
  <c r="CE20" i="4"/>
  <c r="D20" i="7" s="1"/>
  <c r="CF20" i="4" a="1"/>
  <c r="CF20" i="4" s="1"/>
  <c r="CI20" i="4" s="1"/>
  <c r="G20" i="7" s="1"/>
  <c r="CE36" i="4"/>
  <c r="D36" i="7" s="1"/>
  <c r="CF36" i="4" a="1"/>
  <c r="CF36" i="4" s="1"/>
  <c r="E36" i="7" s="1"/>
  <c r="CE47" i="4"/>
  <c r="D47" i="7" s="1"/>
  <c r="CF47" i="4" a="1"/>
  <c r="CF47" i="4" s="1"/>
  <c r="E47" i="7" s="1"/>
  <c r="CC18" i="4"/>
  <c r="CE48" i="4"/>
  <c r="D48" i="7" s="1"/>
  <c r="CG49" i="4"/>
  <c r="CF46" i="4" a="1"/>
  <c r="CF46" i="4" s="1"/>
  <c r="E46" i="7" s="1"/>
  <c r="BI4" i="4"/>
  <c r="BE14" i="4"/>
  <c r="BC10" i="4"/>
  <c r="CC10" i="4" s="1"/>
  <c r="BH9" i="4"/>
  <c r="CH9" i="4" s="1"/>
  <c r="F9" i="7" s="1"/>
  <c r="BA19" i="4"/>
  <c r="CA19" i="4" s="1"/>
  <c r="BI19" i="4"/>
  <c r="BA28" i="4"/>
  <c r="CA28" i="4" s="1"/>
  <c r="BI28" i="4"/>
  <c r="BC39" i="4"/>
  <c r="CC39" i="4" s="1"/>
  <c r="BD19" i="4"/>
  <c r="CD19" i="4" s="1"/>
  <c r="BB40" i="4"/>
  <c r="CB40" i="4" s="1"/>
  <c r="BI41" i="4"/>
  <c r="BH42" i="4"/>
  <c r="CH42" i="4" s="1"/>
  <c r="F42" i="7" s="1"/>
  <c r="BC25" i="4"/>
  <c r="CC25" i="4" s="1"/>
  <c r="BD24" i="4"/>
  <c r="CD24" i="4" s="1"/>
  <c r="BH30" i="4"/>
  <c r="CH30" i="4" s="1"/>
  <c r="F30" i="7" s="1"/>
  <c r="BE4" i="4"/>
  <c r="BF44" i="4"/>
  <c r="BG41" i="4"/>
  <c r="CG41" i="4" s="1"/>
  <c r="BE42" i="4"/>
  <c r="BF41" i="4"/>
  <c r="BF42" i="4"/>
  <c r="BD43" i="4"/>
  <c r="CD43" i="4" s="1"/>
  <c r="BE43" i="4"/>
  <c r="BC44" i="4"/>
  <c r="CC44" i="4" s="1"/>
  <c r="BD44" i="4"/>
  <c r="CD44" i="4" s="1"/>
  <c r="BB45" i="4"/>
  <c r="CB45" i="4" s="1"/>
  <c r="BC45" i="4"/>
  <c r="CC45" i="4" s="1"/>
  <c r="BH39" i="4"/>
  <c r="CH39" i="4" s="1"/>
  <c r="F39" i="7" s="1"/>
  <c r="BG32" i="4"/>
  <c r="CG32" i="4" s="1"/>
  <c r="BF33" i="4"/>
  <c r="BD34" i="4"/>
  <c r="CD34" i="4" s="1"/>
  <c r="CF34" i="4" s="1" a="1"/>
  <c r="CF34" i="4" s="1"/>
  <c r="E34" i="7" s="1"/>
  <c r="BE34" i="4"/>
  <c r="BD35" i="4"/>
  <c r="CD35" i="4" s="1"/>
  <c r="BB30" i="4"/>
  <c r="CB30" i="4" s="1"/>
  <c r="BC30" i="4"/>
  <c r="CC30" i="4" s="1"/>
  <c r="BE30" i="4"/>
  <c r="BC27" i="4"/>
  <c r="CC27" i="4" s="1"/>
  <c r="BD27" i="4"/>
  <c r="CD27" i="4" s="1"/>
  <c r="BB28" i="4"/>
  <c r="CB28" i="4" s="1"/>
  <c r="BB24" i="4"/>
  <c r="CB24" i="4" s="1"/>
  <c r="BC23" i="4"/>
  <c r="CC23" i="4" s="1"/>
  <c r="BB22" i="4"/>
  <c r="CB22" i="4" s="1"/>
  <c r="BC22" i="4"/>
  <c r="CC22" i="4" s="1"/>
  <c r="BD16" i="4"/>
  <c r="CD16" i="4" s="1"/>
  <c r="BC17" i="4"/>
  <c r="CC17" i="4" s="1"/>
  <c r="BB14" i="4"/>
  <c r="CB14" i="4" s="1"/>
  <c r="BC14" i="4"/>
  <c r="CC14" i="4" s="1"/>
  <c r="BD10" i="4"/>
  <c r="CD10" i="4" s="1"/>
  <c r="BB11" i="4"/>
  <c r="CB11" i="4" s="1"/>
  <c r="BC11" i="4"/>
  <c r="CC11" i="4" s="1"/>
  <c r="BC4" i="4"/>
  <c r="CC4" i="4" s="1"/>
  <c r="BA4" i="4"/>
  <c r="CA4" i="4" s="1"/>
  <c r="BZ7" i="4"/>
  <c r="BZ54" i="4" s="1"/>
  <c r="CG4" i="4"/>
  <c r="BE22" i="4"/>
  <c r="BC35" i="4"/>
  <c r="CC35" i="4" s="1"/>
  <c r="BA40" i="4"/>
  <c r="CA40" i="4" s="1"/>
  <c r="BI40" i="4"/>
  <c r="BH17" i="4"/>
  <c r="CH17" i="4" s="1"/>
  <c r="F17" i="7" s="1"/>
  <c r="BA41" i="4"/>
  <c r="CA41" i="4" s="1"/>
  <c r="BE45" i="4"/>
  <c r="BD23" i="4"/>
  <c r="CD23" i="4" s="1"/>
  <c r="BC24" i="4"/>
  <c r="CC24" i="4" s="1"/>
  <c r="BG30" i="4"/>
  <c r="CG30" i="4" s="1"/>
  <c r="BG42" i="4"/>
  <c r="CG42" i="4" s="1"/>
  <c r="BF19" i="4"/>
  <c r="BB25" i="4"/>
  <c r="CB25" i="4" s="1"/>
  <c r="BF43" i="4"/>
  <c r="BA14" i="4"/>
  <c r="CA14" i="4" s="1"/>
  <c r="BI14" i="4"/>
  <c r="BE44" i="4"/>
  <c r="BA45" i="4"/>
  <c r="CA45" i="4" s="1"/>
  <c r="BF4" i="4"/>
  <c r="BD9" i="4"/>
  <c r="CD9" i="4" s="1"/>
  <c r="BF32" i="4"/>
  <c r="BA27" i="4"/>
  <c r="CA27" i="4" s="1"/>
  <c r="BI27" i="4"/>
  <c r="BE33" i="4"/>
  <c r="E12" i="7" l="1"/>
  <c r="E31" i="7"/>
  <c r="E20" i="7"/>
  <c r="E29" i="7"/>
  <c r="E21" i="7"/>
  <c r="CF40" i="4" a="1"/>
  <c r="CF40" i="4" s="1"/>
  <c r="E50" i="7"/>
  <c r="CH7" i="4"/>
  <c r="F7" i="7" s="1"/>
  <c r="F52" i="7" s="1"/>
  <c r="C7" i="7"/>
  <c r="CE23" i="4"/>
  <c r="CF24" i="4"/>
  <c r="CI13" i="4"/>
  <c r="G13" i="7" s="1"/>
  <c r="CI38" i="4"/>
  <c r="G38" i="7" s="1"/>
  <c r="CI48" i="4"/>
  <c r="G48" i="7" s="1"/>
  <c r="CI15" i="4"/>
  <c r="G15" i="7" s="1"/>
  <c r="CE42" i="4"/>
  <c r="D42" i="7" s="1"/>
  <c r="CE17" i="4"/>
  <c r="D17" i="7" s="1"/>
  <c r="CF8" i="4" a="1"/>
  <c r="CF8" i="4" s="1"/>
  <c r="CI6" i="4"/>
  <c r="G6" i="7" s="1"/>
  <c r="CI47" i="4"/>
  <c r="G47" i="7" s="1"/>
  <c r="CE16" i="4"/>
  <c r="D16" i="7" s="1"/>
  <c r="CI36" i="4"/>
  <c r="G36" i="7" s="1"/>
  <c r="CI37" i="4"/>
  <c r="G37" i="7" s="1"/>
  <c r="CI5" i="4"/>
  <c r="G5" i="7" s="1"/>
  <c r="CE8" i="4"/>
  <c r="D8" i="7" s="1"/>
  <c r="CI46" i="4"/>
  <c r="G46" i="7" s="1"/>
  <c r="CI34" i="4"/>
  <c r="G34" i="7" s="1"/>
  <c r="CI26" i="4"/>
  <c r="G26" i="7" s="1"/>
  <c r="CE39" i="4"/>
  <c r="D39" i="7" s="1"/>
  <c r="CE44" i="4"/>
  <c r="D44" i="7" s="1"/>
  <c r="CI33" i="4"/>
  <c r="G33" i="7" s="1"/>
  <c r="CE10" i="4"/>
  <c r="D10" i="7" s="1"/>
  <c r="CE43" i="4"/>
  <c r="D43" i="7" s="1"/>
  <c r="CF10" i="4" a="1"/>
  <c r="CF10" i="4" s="1"/>
  <c r="CE34" i="4"/>
  <c r="D34" i="7" s="1"/>
  <c r="CF16" i="4" a="1"/>
  <c r="CF16" i="4" s="1"/>
  <c r="CE35" i="4"/>
  <c r="D35" i="7" s="1"/>
  <c r="CD7" i="4"/>
  <c r="CD54" i="4" s="1"/>
  <c r="CD56" i="4" s="1"/>
  <c r="CE9" i="4"/>
  <c r="D9" i="7" s="1"/>
  <c r="CE22" i="4"/>
  <c r="D22" i="7" s="1"/>
  <c r="CE30" i="4"/>
  <c r="D30" i="7" s="1"/>
  <c r="CF39" i="4" a="1"/>
  <c r="CF39" i="4" s="1"/>
  <c r="CE25" i="4"/>
  <c r="D25" i="7" s="1"/>
  <c r="CE11" i="4"/>
  <c r="D11" i="7" s="1"/>
  <c r="CI42" i="4"/>
  <c r="G42" i="7" s="1"/>
  <c r="CF35" i="4" a="1"/>
  <c r="CF35" i="4" s="1"/>
  <c r="CE24" i="4"/>
  <c r="D24" i="7" s="1"/>
  <c r="CF44" i="4" a="1"/>
  <c r="CF44" i="4" s="1"/>
  <c r="CI49" i="4"/>
  <c r="G49" i="7" s="1"/>
  <c r="CF9" i="4" a="1"/>
  <c r="CF9" i="4" s="1"/>
  <c r="CE40" i="4"/>
  <c r="D40" i="7" s="1"/>
  <c r="CF17" i="4" a="1"/>
  <c r="CF17" i="4" s="1"/>
  <c r="CE19" i="4"/>
  <c r="D19" i="7" s="1"/>
  <c r="CF19" i="4" a="1"/>
  <c r="CF19" i="4" s="1"/>
  <c r="CF30" i="4" a="1"/>
  <c r="CF30" i="4" s="1"/>
  <c r="CE18" i="4"/>
  <c r="D18" i="7" s="1"/>
  <c r="CI32" i="4"/>
  <c r="G32" i="7" s="1"/>
  <c r="CF11" i="4" a="1"/>
  <c r="CF11" i="4" s="1"/>
  <c r="CB7" i="4"/>
  <c r="CF25" i="4" a="1"/>
  <c r="CF25" i="4" s="1"/>
  <c r="CF22" i="4" a="1"/>
  <c r="CF22" i="4" s="1"/>
  <c r="CE45" i="4"/>
  <c r="D45" i="7" s="1"/>
  <c r="CF45" i="4" a="1"/>
  <c r="CF45" i="4" s="1"/>
  <c r="CE14" i="4"/>
  <c r="D14" i="7" s="1"/>
  <c r="CF14" i="4" a="1"/>
  <c r="CF14" i="4" s="1"/>
  <c r="CE27" i="4"/>
  <c r="D27" i="7" s="1"/>
  <c r="CF27" i="4" a="1"/>
  <c r="CF27" i="4" s="1"/>
  <c r="CF41" i="4" a="1"/>
  <c r="CF41" i="4" s="1"/>
  <c r="CE41" i="4"/>
  <c r="D41" i="7" s="1"/>
  <c r="CC7" i="4"/>
  <c r="CC54" i="4" s="1"/>
  <c r="CC56" i="4" s="1"/>
  <c r="CF43" i="4" a="1"/>
  <c r="CF43" i="4" s="1"/>
  <c r="CE28" i="4"/>
  <c r="D28" i="7" s="1"/>
  <c r="CF28" i="4" a="1"/>
  <c r="CF28" i="4" s="1"/>
  <c r="CE4" i="4"/>
  <c r="D4" i="7" s="1"/>
  <c r="CF4" i="4" a="1"/>
  <c r="CF4" i="4" s="1"/>
  <c r="E4" i="7" s="1"/>
  <c r="CA7" i="4"/>
  <c r="CA54" i="4" s="1"/>
  <c r="CA56" i="4" s="1"/>
  <c r="CF18" i="4" a="1"/>
  <c r="CF18" i="4" s="1"/>
  <c r="BZ56" i="4"/>
  <c r="CG54" i="4"/>
  <c r="CG56" i="4" s="1"/>
  <c r="CI43" i="4" l="1"/>
  <c r="G43" i="7" s="1"/>
  <c r="E43" i="7"/>
  <c r="CI19" i="4"/>
  <c r="G19" i="7" s="1"/>
  <c r="E19" i="7"/>
  <c r="CI35" i="4"/>
  <c r="G35" i="7" s="1"/>
  <c r="E35" i="7"/>
  <c r="F51" i="7"/>
  <c r="CI22" i="4"/>
  <c r="G22" i="7" s="1"/>
  <c r="E22" i="7"/>
  <c r="CI40" i="4"/>
  <c r="G40" i="7" s="1"/>
  <c r="E40" i="7"/>
  <c r="CI25" i="4"/>
  <c r="G25" i="7" s="1"/>
  <c r="E25" i="7"/>
  <c r="CI16" i="4"/>
  <c r="G16" i="7" s="1"/>
  <c r="E16" i="7"/>
  <c r="CI24" i="4"/>
  <c r="G24" i="7" s="1"/>
  <c r="E24" i="7"/>
  <c r="CI17" i="4"/>
  <c r="G17" i="7" s="1"/>
  <c r="E17" i="7"/>
  <c r="CI27" i="4"/>
  <c r="G27" i="7" s="1"/>
  <c r="E27" i="7"/>
  <c r="CI11" i="4"/>
  <c r="G11" i="7" s="1"/>
  <c r="E11" i="7"/>
  <c r="CI9" i="4"/>
  <c r="G9" i="7" s="1"/>
  <c r="E9" i="7"/>
  <c r="CI39" i="4"/>
  <c r="G39" i="7" s="1"/>
  <c r="E39" i="7"/>
  <c r="CI10" i="4"/>
  <c r="G10" i="7" s="1"/>
  <c r="E10" i="7"/>
  <c r="CI8" i="4"/>
  <c r="G8" i="7" s="1"/>
  <c r="E8" i="7"/>
  <c r="CH54" i="4"/>
  <c r="CI45" i="4"/>
  <c r="G45" i="7" s="1"/>
  <c r="E45" i="7"/>
  <c r="CI30" i="4"/>
  <c r="G30" i="7" s="1"/>
  <c r="E30" i="7"/>
  <c r="CI18" i="4"/>
  <c r="G18" i="7" s="1"/>
  <c r="E18" i="7"/>
  <c r="CI41" i="4"/>
  <c r="G41" i="7" s="1"/>
  <c r="E41" i="7"/>
  <c r="CI28" i="4"/>
  <c r="G28" i="7" s="1"/>
  <c r="E28" i="7"/>
  <c r="CI14" i="4"/>
  <c r="G14" i="7" s="1"/>
  <c r="E14" i="7"/>
  <c r="CI44" i="4"/>
  <c r="G44" i="7" s="1"/>
  <c r="E44" i="7"/>
  <c r="CI4" i="4"/>
  <c r="G4" i="7" s="1"/>
  <c r="CH56" i="4"/>
  <c r="CH61" i="4" s="1"/>
  <c r="C9" i="8" s="1"/>
  <c r="CB54" i="4"/>
  <c r="CB56" i="4" s="1"/>
  <c r="CE7" i="4"/>
  <c r="D7" i="7" s="1"/>
  <c r="D52" i="7" s="1"/>
  <c r="CF7" i="4" a="1"/>
  <c r="CF7" i="4" s="1"/>
  <c r="AK56" i="4"/>
  <c r="AJ56" i="4"/>
  <c r="AI56" i="4"/>
  <c r="AH56" i="4"/>
  <c r="AG56" i="4"/>
  <c r="AF56" i="4"/>
  <c r="AE56" i="4"/>
  <c r="AD56" i="4"/>
  <c r="AC56" i="4"/>
  <c r="AB56" i="4"/>
  <c r="I56" i="4"/>
  <c r="H56" i="4"/>
  <c r="G56" i="4"/>
  <c r="F56" i="4"/>
  <c r="N54" i="4"/>
  <c r="N56" i="4" s="1"/>
  <c r="M54" i="4"/>
  <c r="M56" i="4" s="1"/>
  <c r="L54" i="4"/>
  <c r="K54" i="4"/>
  <c r="J54" i="4"/>
  <c r="J56" i="4" s="1"/>
  <c r="E54" i="4"/>
  <c r="E56" i="4" s="1"/>
  <c r="C54" i="4"/>
  <c r="J35" i="2"/>
  <c r="I35" i="2"/>
  <c r="H35" i="2"/>
  <c r="G35" i="2"/>
  <c r="F35" i="2"/>
  <c r="E35" i="2"/>
  <c r="D35" i="2"/>
  <c r="C35" i="2"/>
  <c r="B35" i="2"/>
  <c r="M46" i="1"/>
  <c r="L46" i="1"/>
  <c r="L55" i="1" s="1"/>
  <c r="K46" i="1"/>
  <c r="K55" i="1" s="1"/>
  <c r="E46" i="1"/>
  <c r="C46" i="1"/>
  <c r="C55" i="1" s="1"/>
  <c r="CI7" i="4" l="1"/>
  <c r="E7" i="7"/>
  <c r="D51" i="7"/>
  <c r="CE54" i="4"/>
  <c r="CE56" i="4" s="1"/>
  <c r="CE61" i="4" s="1"/>
  <c r="C7" i="8" s="1"/>
  <c r="E9" i="8"/>
  <c r="D9" i="8"/>
  <c r="CF54" i="4"/>
  <c r="D54" i="4"/>
  <c r="D56" i="4" s="1"/>
  <c r="K56" i="4"/>
  <c r="C56" i="4"/>
  <c r="L56" i="4"/>
  <c r="J52" i="1"/>
  <c r="J55" i="1"/>
  <c r="D46" i="1"/>
  <c r="E55" i="1"/>
  <c r="M55" i="1"/>
  <c r="M49" i="1"/>
  <c r="N46" i="1"/>
  <c r="E51" i="7" l="1"/>
  <c r="E52" i="7"/>
  <c r="CI54" i="4"/>
  <c r="CI56" i="4" s="1"/>
  <c r="CI61" i="4" s="1"/>
  <c r="G7" i="7"/>
  <c r="F9" i="8"/>
  <c r="G9" i="8"/>
  <c r="G19" i="8" s="1"/>
  <c r="D7" i="8"/>
  <c r="E7" i="8"/>
  <c r="F7" i="8" s="1"/>
  <c r="F15" i="8" s="1"/>
  <c r="CF56" i="4"/>
  <c r="CF61" i="4" s="1"/>
  <c r="C8" i="8" s="1"/>
  <c r="C15" i="8"/>
  <c r="N55" i="1"/>
  <c r="N52" i="1"/>
  <c r="G51" i="7" l="1"/>
  <c r="G52" i="7"/>
  <c r="G7" i="8"/>
  <c r="D8" i="8"/>
  <c r="E8" i="8"/>
  <c r="D15" i="8"/>
  <c r="E15" i="8"/>
  <c r="C10" i="8"/>
  <c r="G15" i="8" l="1"/>
  <c r="E10" i="8"/>
  <c r="D10" i="8"/>
  <c r="F8" i="8"/>
  <c r="F10" i="8" s="1"/>
  <c r="F16" i="8" s="1"/>
  <c r="G8" i="8"/>
  <c r="C16" i="8"/>
  <c r="G10" i="8" l="1"/>
  <c r="G16" i="8" s="1"/>
  <c r="D16" i="8"/>
  <c r="E16" i="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<sst xmlns="http://schemas.openxmlformats.org/spreadsheetml/2006/main" count="612" uniqueCount="312">
  <si>
    <t>Burden Estimate for the Most Recent ICR Renewal (from ICR 2300.20)</t>
  </si>
  <si>
    <t>Table 1. Burden Estimate for the Most Recent ICR Renewal (ICR 2300.20) per respondent</t>
  </si>
  <si>
    <t>Incremental Burden Increase for the 2024 Final Rule (from ICR 2773.02)</t>
  </si>
  <si>
    <t>Table 2. Incremental Burden Increase for the 2024 Final Rule (ICR 2773.02) per 2021 respondent 
(i.e., not the incremental number of respondents)</t>
  </si>
  <si>
    <t>Table 3. Combined Total Burden Per Respondent (2300.20 and 2774.02)</t>
  </si>
  <si>
    <t>Incremental Burden Increase from the 2024 W Final Rule (from ICR 2774.02)</t>
  </si>
  <si>
    <t>Subpart</t>
  </si>
  <si>
    <t>Annual Average for use in Exhibit 6.1 of Supporting Statement</t>
  </si>
  <si>
    <t>2024 Final Rule Incremental Burden Year 1 (2025)</t>
  </si>
  <si>
    <t>Incremental Burden Increase for the 2024 Final W Rule (from ICR 2774.02)</t>
  </si>
  <si>
    <t>Labor costs are in 2024$.</t>
  </si>
  <si>
    <t>Adusted from 2021$ to 2024$.</t>
  </si>
  <si>
    <t>No. Respondents</t>
  </si>
  <si>
    <t>Responses/Respondent</t>
  </si>
  <si>
    <t>Total Responses</t>
  </si>
  <si>
    <t>Burden - Technical
(hrs)</t>
  </si>
  <si>
    <t>Burden - Managerial
(hrs)</t>
  </si>
  <si>
    <t>Burden - Clerical (hrs)</t>
  </si>
  <si>
    <t>Burden - Legal (hrs)</t>
  </si>
  <si>
    <t>Total Burden (hrs)</t>
  </si>
  <si>
    <t>Total Labor Cost
($)</t>
  </si>
  <si>
    <t>Capital Cost
($)</t>
  </si>
  <si>
    <t>O&amp;M Cost
 ($)</t>
  </si>
  <si>
    <t>Total Cost
($)</t>
  </si>
  <si>
    <t>Source Category</t>
  </si>
  <si>
    <t>Burden - Technical
(hrs) per Respondent</t>
  </si>
  <si>
    <t>Burden - Managerial
(hrs)  per Respondent</t>
  </si>
  <si>
    <t>Burden - Clerical (hrs)  per Respondent</t>
  </si>
  <si>
    <t>Burden - Legal (hrs)  per Respondent</t>
  </si>
  <si>
    <t>Total Burden (hrs) per Respondent</t>
  </si>
  <si>
    <t>Total Labor Cost
($)  per Respondent</t>
  </si>
  <si>
    <t>Capital Cost
($) per Respondent</t>
  </si>
  <si>
    <t>O&amp;M Cost
 ($)  per Respondent</t>
  </si>
  <si>
    <t>Total Cost
($)  per Respondent</t>
  </si>
  <si>
    <t>No. Respondents (1)</t>
  </si>
  <si>
    <t>Change in number of reporters because of 2024 amendments</t>
  </si>
  <si>
    <t>Number of Respondents (from 2021, except for new subparts)</t>
  </si>
  <si>
    <t xml:space="preserve">Number of Respondents </t>
  </si>
  <si>
    <t xml:space="preserve">Burden - Technical
(hrs) </t>
  </si>
  <si>
    <t xml:space="preserve">Burden - Managerial
(hrs)  </t>
  </si>
  <si>
    <t xml:space="preserve">Burden - Clerical (hrs)  </t>
  </si>
  <si>
    <t xml:space="preserve">Burden - Legal (hrs) </t>
  </si>
  <si>
    <t xml:space="preserve">Total Burden (hrs) </t>
  </si>
  <si>
    <t xml:space="preserve">Total Labor Cost
($) </t>
  </si>
  <si>
    <t xml:space="preserve">Capital Cost
($) </t>
  </si>
  <si>
    <t xml:space="preserve">O&amp;M Cost
 ($)  </t>
  </si>
  <si>
    <t xml:space="preserve">Total Cost
($) </t>
  </si>
  <si>
    <t>Number of Respondents (from 2023, except for new subparts, and corrected for changes to applicability  in 2024 final rule)</t>
  </si>
  <si>
    <t>C. Stationary Combustion (C only)</t>
  </si>
  <si>
    <t>C. Stationary Combustion (general unspecified)</t>
  </si>
  <si>
    <t>C -plus at least one other subpart - all tiers</t>
  </si>
  <si>
    <t>D. Electricity Generation</t>
  </si>
  <si>
    <t>E. Adipic Acid Prod.</t>
  </si>
  <si>
    <t xml:space="preserve">F. Aluminum Production </t>
  </si>
  <si>
    <t>G. Ammonia Manufacturing</t>
  </si>
  <si>
    <t>H. Cement Production</t>
  </si>
  <si>
    <t>I. Electronics Manufacturing</t>
  </si>
  <si>
    <t>Applicability changes in 2024 rule added 1 new reporter.</t>
  </si>
  <si>
    <t>K. Ferroalloy Production</t>
  </si>
  <si>
    <t>The 2024 rule moved one reporter from subpart K to subpart XX .</t>
  </si>
  <si>
    <t>L. Fluorinated Greenhouse Gas Prod</t>
  </si>
  <si>
    <t>N. Glass Production</t>
  </si>
  <si>
    <t>O. HCFC-22 Production and HFC-23 Destruction</t>
  </si>
  <si>
    <t>P. Hydrogen Production</t>
  </si>
  <si>
    <t>Applicability changes in 2024 rule added 2 new reporters.</t>
  </si>
  <si>
    <t>Q. Iron and Steel Production</t>
  </si>
  <si>
    <t>Q. Iron and Steel</t>
  </si>
  <si>
    <t>R. Lead Production</t>
  </si>
  <si>
    <t>S. Lime Manufacturing</t>
  </si>
  <si>
    <t>T. Magnesium Production</t>
  </si>
  <si>
    <t>U. Misc. Uses of Carbonate</t>
  </si>
  <si>
    <t>V. Nitric Acid Production</t>
  </si>
  <si>
    <t>GWP changes in 2024 rule removed one reporter.</t>
  </si>
  <si>
    <t>W. Oil and Natural Gas Systems</t>
  </si>
  <si>
    <t>W. Petroleum and Natural Gas Systems</t>
  </si>
  <si>
    <t>X. Petrochemical Prod.</t>
  </si>
  <si>
    <t>X. Petrochemical Production</t>
  </si>
  <si>
    <t>Y. Petroleum Refineries</t>
  </si>
  <si>
    <t>2024 rule moved 3 reporters to subpart WW.</t>
  </si>
  <si>
    <t>Z. Phosphoric Acid Prod</t>
  </si>
  <si>
    <t>AA. Pulp &amp; Paper Mnfctrng</t>
  </si>
  <si>
    <t>BB. Silicon Carbide Production</t>
  </si>
  <si>
    <t>CC. Soda Ash Manufacturing</t>
  </si>
  <si>
    <t>DD. Sulfur Hexafluoride (SF6) from Electric Power Systems</t>
  </si>
  <si>
    <t>GWP changes in the 2024 rule meant that two reporters who would have been able to off ramp would need to keep reporting. No change.</t>
  </si>
  <si>
    <t>EE. Titanium Dioxide Production</t>
  </si>
  <si>
    <t>FF. Underground Coal Mines</t>
  </si>
  <si>
    <t>GG. Zinc Production</t>
  </si>
  <si>
    <t>HH. Landfills</t>
  </si>
  <si>
    <t>HH. MSW Landfills</t>
  </si>
  <si>
    <t>GWP changes in the 2024 rule added 6 reporters.</t>
  </si>
  <si>
    <t>II. Wastewater</t>
  </si>
  <si>
    <t>II. Industrial Wastewater Treatment</t>
  </si>
  <si>
    <t>GWP changes in the 2024 rule added 2 reporters.</t>
  </si>
  <si>
    <t xml:space="preserve">LL. Suppliers of Coal-based Liquid Fuels
</t>
  </si>
  <si>
    <t>MM. Suppliers of Petrol. Prod.</t>
  </si>
  <si>
    <t>NN. Supplies of Nat Gas and Nat Gas Liquids</t>
  </si>
  <si>
    <t>OO. Suppliers of Industrial GHG</t>
  </si>
  <si>
    <t>GWP changes in the2024 rule added 1 reporter.</t>
  </si>
  <si>
    <t>PP. Suppliers of CO2</t>
  </si>
  <si>
    <t>PP. Suppliers of Carbon Dioxide</t>
  </si>
  <si>
    <t>QQ - Imports and Exports of Fluorinated GHGs in Products</t>
  </si>
  <si>
    <t>QQ. Importers/Exporters of FGHGs in Pre-Charged Equp. Or Foams</t>
  </si>
  <si>
    <t>RR. Geologic Sequestration of Carbon Dioxide</t>
  </si>
  <si>
    <t>SS - SF6 Equipment Producers</t>
  </si>
  <si>
    <t>SS. Electrical Equip. Manufacture &amp; Refurbishment</t>
  </si>
  <si>
    <t>TT -Industrial Landfills</t>
  </si>
  <si>
    <t>TT. Industrial Waste Landfills</t>
  </si>
  <si>
    <t>GWP changes in the 2024 rule added 1 reporter.</t>
  </si>
  <si>
    <t>UU. Injection of Carbon Dioxide</t>
  </si>
  <si>
    <t>2024 rule moved 2 reporters to subpart VV.</t>
  </si>
  <si>
    <t>VV. Geologic Sequestration of CO2 with EOR</t>
  </si>
  <si>
    <t>WW. Coke Calciners</t>
  </si>
  <si>
    <t>XX. Calcium Carbide</t>
  </si>
  <si>
    <t>YY. Caprolactam, Glyoxal, and Glyoxalic Acid Production</t>
  </si>
  <si>
    <t>ZZ. Ceramics Production</t>
  </si>
  <si>
    <t>Totals w/ W</t>
  </si>
  <si>
    <t>TOTAL</t>
  </si>
  <si>
    <t>Totals</t>
  </si>
  <si>
    <t>(1) Some respondents belong to multiple source categories, so the number of respondents is not additive.</t>
  </si>
  <si>
    <t>Non-W reporters (direct emitters and suppliers) estimated from the number of unique GHGRPs in FLiGHT</t>
  </si>
  <si>
    <t>The total number of respondents is less than the sum of the respondents for each subpart because many respondents report under multiple subparts.</t>
  </si>
  <si>
    <r>
      <t>Exhibit 12.1a. Summary of Annual Respondent Burden and Cost of Final Revisions for the Greenhouse Gas Reporting Rule</t>
    </r>
    <r>
      <rPr>
        <sz val="8"/>
        <color theme="1"/>
        <rFont val="Calibri"/>
        <family val="2"/>
      </rPr>
      <t> </t>
    </r>
  </si>
  <si>
    <t>Year</t>
  </si>
  <si>
    <t>Number of Respondents</t>
  </si>
  <si>
    <t>Total Labor Hours</t>
  </si>
  <si>
    <t>Labor Costs</t>
  </si>
  <si>
    <t>Non-Labor Costs (Annualized Capital/Startup and O&amp;M)</t>
  </si>
  <si>
    <t>Total Costs</t>
  </si>
  <si>
    <t>Total</t>
  </si>
  <si>
    <t>3-Yr Annual Average</t>
  </si>
  <si>
    <t>Exhibit 12.1b. Summary of Reduced Annual Respondent Burden and Cost of Final Revisions for the Greenhouse Gas Reporting Rule</t>
  </si>
  <si>
    <t>Exhibit 12.2. Annual Burden Reduction Over the First Three Years of the Information Collection, by Source Category</t>
  </si>
  <si>
    <t xml:space="preserve"> Number of Respondents (from 2023, except for new subparts, and corrected for changes to applicability in 2024 final rule) </t>
  </si>
  <si>
    <t xml:space="preserve"> Total Burden Reduced (hrs) </t>
  </si>
  <si>
    <t>Total Reduced Labor Cost  ($/year)</t>
  </si>
  <si>
    <t>Total Reduced O&amp;M Cost ($/year)</t>
  </si>
  <si>
    <t>Total Cost Savings ($/year)</t>
  </si>
  <si>
    <t>AA. Pulp &amp; Paper Manufacturing</t>
  </si>
  <si>
    <t>LL. Suppliers of Coal-based Liquid Fuels</t>
  </si>
  <si>
    <t xml:space="preserve">Totals </t>
  </si>
  <si>
    <t xml:space="preserve">Note: The total number of respondents is less than the sum of the respondents for each subpart because many respondents report under multiple subparts. </t>
  </si>
  <si>
    <t xml:space="preserve">Exhibit 12.3 Bottom Line Annual Burden and Cost </t>
  </si>
  <si>
    <t>Year 1 (2026)</t>
  </si>
  <si>
    <t>Year 2 (2027)</t>
  </si>
  <si>
    <t>Year 3 (2028)</t>
  </si>
  <si>
    <t>Annual Average</t>
  </si>
  <si>
    <t>Respondent Costs</t>
  </si>
  <si>
    <t>(N/A)</t>
  </si>
  <si>
    <t>Total Respondent Labor Hours</t>
  </si>
  <si>
    <t>Total Respondent Labor Costs</t>
  </si>
  <si>
    <t>Non-labor (Capital and O&amp;M) Costs</t>
  </si>
  <si>
    <t>Total Respondent Costs</t>
  </si>
  <si>
    <t>Agency Costs</t>
  </si>
  <si>
    <t xml:space="preserve">Total Agency Burden Hours </t>
  </si>
  <si>
    <t>Total Agency Labor Costs</t>
  </si>
  <si>
    <t>Total Agency Non-Labor Costs</t>
  </si>
  <si>
    <t>Total Burden Hours (Respondents + Agency)</t>
  </si>
  <si>
    <t>Bottom Line Costs (Respondents + Agency)</t>
  </si>
  <si>
    <t>Annual non-labor costs for respondents and the agency.</t>
  </si>
  <si>
    <t>Agency Burden Reduction</t>
  </si>
  <si>
    <t>Agency burden from 2030ss0:</t>
  </si>
  <si>
    <t>Exhibit 14.1 Annual Agency Burden and Cost Reduction</t>
  </si>
  <si>
    <r>
      <t>Information Collection Activity</t>
    </r>
    <r>
      <rPr>
        <sz val="11"/>
        <rFont val="Calibri"/>
        <family val="2"/>
      </rPr>
      <t> </t>
    </r>
  </si>
  <si>
    <r>
      <t>Annual Responses</t>
    </r>
    <r>
      <rPr>
        <sz val="11"/>
        <rFont val="Calibri"/>
        <family val="2"/>
      </rPr>
      <t> </t>
    </r>
  </si>
  <si>
    <r>
      <t>Total Annual Burden (hrs)</t>
    </r>
    <r>
      <rPr>
        <b/>
        <vertAlign val="superscript"/>
        <sz val="8.5"/>
        <rFont val="Calibri"/>
        <family val="2"/>
      </rPr>
      <t>1</t>
    </r>
    <r>
      <rPr>
        <sz val="8.5"/>
        <rFont val="Calibri"/>
        <family val="2"/>
      </rPr>
      <t> </t>
    </r>
  </si>
  <si>
    <r>
      <t>Labor Cost</t>
    </r>
    <r>
      <rPr>
        <b/>
        <vertAlign val="superscript"/>
        <sz val="8.5"/>
        <rFont val="Calibri"/>
        <family val="2"/>
      </rPr>
      <t>2</t>
    </r>
    <r>
      <rPr>
        <sz val="8.5"/>
        <rFont val="Calibri"/>
        <family val="2"/>
      </rPr>
      <t> </t>
    </r>
  </si>
  <si>
    <r>
      <t>Non-Labor Cost</t>
    </r>
    <r>
      <rPr>
        <b/>
        <vertAlign val="superscript"/>
        <sz val="8.5"/>
        <rFont val="Calibri"/>
        <family val="2"/>
      </rPr>
      <t>3</t>
    </r>
    <r>
      <rPr>
        <sz val="8.5"/>
        <rFont val="Calibri"/>
        <family val="2"/>
      </rPr>
      <t> </t>
    </r>
  </si>
  <si>
    <r>
      <t>Total Annual Cost</t>
    </r>
    <r>
      <rPr>
        <b/>
        <vertAlign val="superscript"/>
        <sz val="8.5"/>
        <rFont val="Calibri"/>
        <family val="2"/>
      </rPr>
      <t>4</t>
    </r>
    <r>
      <rPr>
        <sz val="8.5"/>
        <rFont val="Calibri"/>
        <family val="2"/>
      </rPr>
      <t> </t>
    </r>
  </si>
  <si>
    <r>
      <t>Labor Cost (2024$)</t>
    </r>
    <r>
      <rPr>
        <b/>
        <vertAlign val="superscript"/>
        <sz val="8.5"/>
        <rFont val="Calibri"/>
        <family val="2"/>
      </rPr>
      <t>2</t>
    </r>
    <r>
      <rPr>
        <sz val="8.5"/>
        <rFont val="Calibri"/>
        <family val="2"/>
      </rPr>
      <t> </t>
    </r>
  </si>
  <si>
    <r>
      <t>Non-Labor Cost (2024$)</t>
    </r>
    <r>
      <rPr>
        <b/>
        <vertAlign val="superscript"/>
        <sz val="8.5"/>
        <rFont val="Calibri"/>
        <family val="2"/>
      </rPr>
      <t>3</t>
    </r>
    <r>
      <rPr>
        <sz val="8.5"/>
        <rFont val="Calibri"/>
        <family val="2"/>
      </rPr>
      <t> </t>
    </r>
  </si>
  <si>
    <r>
      <t>Total Annual Cost (2024$)</t>
    </r>
    <r>
      <rPr>
        <b/>
        <vertAlign val="superscript"/>
        <sz val="8.5"/>
        <rFont val="Calibri"/>
        <family val="2"/>
      </rPr>
      <t>4</t>
    </r>
    <r>
      <rPr>
        <sz val="8.5"/>
        <rFont val="Calibri"/>
        <family val="2"/>
      </rPr>
      <t> </t>
    </r>
  </si>
  <si>
    <t>Developing Guidance, Conducting Training, Audits, and General Oversight </t>
  </si>
  <si>
    <t>$1,520,813 </t>
  </si>
  <si>
    <t>$9,920,813 </t>
  </si>
  <si>
    <r>
      <t>1</t>
    </r>
    <r>
      <rPr>
        <sz val="10"/>
        <rFont val="Calibri"/>
        <family val="2"/>
      </rPr>
      <t>24,960 hours is calculated based on 12 Full Time Employees (FTEs) working 80 hours per two-week pay period, for 26 pay periods per year (12 x 80 x 26 = 24,960). </t>
    </r>
  </si>
  <si>
    <r>
      <t>2</t>
    </r>
    <r>
      <rPr>
        <sz val="10"/>
        <rFont val="Calibri"/>
        <family val="2"/>
      </rPr>
      <t>The labor cost is based on the hour compensation at GS-13 step 1 on the 2021 pay scale: $38.08 x1.6 to account for overhead and benefits = $60.93.  24,960 x $60.93 = $1,520,813. </t>
    </r>
  </si>
  <si>
    <r>
      <t>3</t>
    </r>
    <r>
      <rPr>
        <sz val="10"/>
        <rFont val="Calibri"/>
        <family val="2"/>
      </rPr>
      <t>Non-labor costs cover the development of guidance, training, responding to stakeholders, communications and outreach, database maintenance, and other contractor support. </t>
    </r>
  </si>
  <si>
    <r>
      <t>4</t>
    </r>
    <r>
      <rPr>
        <sz val="10"/>
        <rFont val="Calibri"/>
        <family val="2"/>
      </rPr>
      <t>Total Annual Cost = Labor Cost + Non-Labor Cost: $1,520,813 + 8,400,000 = $9,920,813. </t>
    </r>
  </si>
  <si>
    <r>
      <t xml:space="preserve">EPA activities associated with the GHG reporting program include oversight and implementation of the reporting program (e.g., monitoring and verification of emission reports, database and software maintenance, communication and outreach, and program evaluation). EPA estimates that it will devote to these activities up to 12 full time equivalents (FTEs), working 80 hours per pay period, for 26 pay periods per year, or </t>
    </r>
    <r>
      <rPr>
        <sz val="8"/>
        <color rgb="FF000000"/>
        <rFont val="Calibri"/>
        <family val="2"/>
      </rPr>
      <t>an estimated 24,960</t>
    </r>
    <r>
      <rPr>
        <sz val="8"/>
        <rFont val="Calibri"/>
        <family val="2"/>
      </rPr>
      <t xml:space="preserve"> hours per year.   </t>
    </r>
  </si>
  <si>
    <t>Chemical Engineering Plant Cost Index (CEPCI)</t>
  </si>
  <si>
    <t>Subpart (1)</t>
  </si>
  <si>
    <t>ICR Labor Category</t>
  </si>
  <si>
    <t>Labor Rates for the 2025 Proposed Reconsideration</t>
  </si>
  <si>
    <t>BLS Citation</t>
  </si>
  <si>
    <t>Mean Hourly Wage &amp; Salaries (2024$)</t>
  </si>
  <si>
    <t>Benefits Loading Factor (4)</t>
  </si>
  <si>
    <t>Overhead Loading Factor (5)</t>
  </si>
  <si>
    <t>Loaded Hourly Rates Used in ICRs (2024$)(7)</t>
  </si>
  <si>
    <t>All</t>
  </si>
  <si>
    <t xml:space="preserve"> Technical(2) </t>
  </si>
  <si>
    <t>SOC  17-2112 (Industrial Engineer), top-level</t>
  </si>
  <si>
    <t>https://data.bls.gov/oes/#/industry/000000</t>
  </si>
  <si>
    <t>Ratio to scale 2021$ to 2024$</t>
  </si>
  <si>
    <t xml:space="preserve"> Managerial(2)</t>
  </si>
  <si>
    <t>SOC 11-3051 (Industrial Production Manager), top-level</t>
  </si>
  <si>
    <t>Administrative Support (3)</t>
  </si>
  <si>
    <t>Office and Administrative Support</t>
  </si>
  <si>
    <t>/https://www.bls.gov/news.release/archives/ecec_06182024.pdf  - Table 4; private industry workers; Occupational Group/Sales and office occupations/Office and administrative support occupations. Total benefits are $10.00; benefit loading factor = 0.4325.</t>
  </si>
  <si>
    <t xml:space="preserve"> Legal(2) </t>
  </si>
  <si>
    <t>SOC 23-1011 (Lawyer)</t>
  </si>
  <si>
    <t>W/RR</t>
  </si>
  <si>
    <t>Middle Manager(6)</t>
  </si>
  <si>
    <t>NAICS 211100 (Oil and Gas Extraction); SOC 11-1021 (General and Operations Managers)</t>
  </si>
  <si>
    <t>https://data.bls.gov/oes/#/industry/211000</t>
  </si>
  <si>
    <t>Senior Manager(6)</t>
  </si>
  <si>
    <t>NAICS 211100 (Oil and Gas Extraction); SOC 11-3051 (Industrial Production managers)</t>
  </si>
  <si>
    <t xml:space="preserve">Engineers(6) </t>
  </si>
  <si>
    <t>NAICS 211100 (Oil and Gas Extraction); SOC 17-2112 (Industrial Engineers)</t>
  </si>
  <si>
    <t>Technicians(6)</t>
  </si>
  <si>
    <t>NAICS 211100 (Oil and Gas Extraction); SOC 17-3024 (Electro-Mechanical and Mechatronics Technologists and Technicians)</t>
  </si>
  <si>
    <r>
      <t>(1)</t>
    </r>
    <r>
      <rPr>
        <sz val="7"/>
        <color theme="1"/>
        <rFont val="Times New Roman"/>
        <family val="1"/>
      </rPr>
      <t xml:space="preserve">     </t>
    </r>
    <r>
      <rPr>
        <sz val="9"/>
        <color theme="1"/>
        <rFont val="Times New Roman"/>
        <family val="1"/>
      </rPr>
      <t>Technical, Managerial, Administrative Support, and Legal are used for all subparts. In addition to these rates, specialized rates are used for subparts W and RR.</t>
    </r>
  </si>
  <si>
    <r>
      <t>(2)</t>
    </r>
    <r>
      <rPr>
        <sz val="7"/>
        <rFont val="Times New Roman"/>
        <family val="1"/>
      </rPr>
      <t xml:space="preserve">     </t>
    </r>
    <r>
      <rPr>
        <sz val="9"/>
        <rFont val="Times New Roman"/>
        <family val="1"/>
      </rPr>
      <t>The base hourly wages &amp; salaries (not including benefits &amp; overhead) for all categories except administrative support are from: https://www.bls.gov/oes/tables.htm, National Occupational Employment and Wage Statistics, Cross-industry, Private, Federal, State, and Local Government Period: May 2024: https://data.bls.gov/oes/#/industry/000000</t>
    </r>
  </si>
  <si>
    <t xml:space="preserve">U.S. Bureau of Labor Statistics (BLS) – Occupational Employment and Wage Statistics - May 2024 National Occupational Employment and Wage Estimates – United States.  17-0000 Architecture and Engineering Occupations. Wages found under Major Occupation Group 17-0000 Architecture and Engineering Occupations.    </t>
  </si>
  <si>
    <r>
      <t>(3)</t>
    </r>
    <r>
      <rPr>
        <sz val="7"/>
        <rFont val="Times New Roman"/>
        <family val="1"/>
      </rPr>
      <t xml:space="preserve">     </t>
    </r>
    <r>
      <rPr>
        <sz val="9"/>
        <rFont val="Times New Roman"/>
        <family val="1"/>
      </rPr>
      <t>The base hourly wages &amp; salaries (not including benefits &amp; overhead) for administrative support are from https://www.bls.gov/web/ecec/ececqrtn.pdf.</t>
    </r>
  </si>
  <si>
    <t xml:space="preserve">BLS’s “Employer Costs for Employee Compensation – March 2024, page 7: Table 4. Private Industry workers, by occupational and industry group: Office and administrative support occupations – wages and salaries. </t>
  </si>
  <si>
    <r>
      <t>(4)</t>
    </r>
    <r>
      <rPr>
        <sz val="7"/>
        <rFont val="Times New Roman"/>
        <family val="1"/>
      </rPr>
      <t>   </t>
    </r>
    <r>
      <rPr>
        <sz val="9"/>
        <rFont val="Times New Roman"/>
        <family val="1"/>
      </rPr>
      <t xml:space="preserve">The benefits loading factor is calculated using data from: BLS’s “Employer Costs for Employee Compensation – March 2024, page 7:  Table 4. Private Industry workers, by occupational and industry group:  To calculate the benefits loading factor for Technical, Managerial, Legal, Middle Manager, Senior Manager, Engineers, and Technicians, we used the ratio of the percentage of “total benefits” to “wages and salaries” in the first row, (29.7/70.3) = 0.4225, rounded to 0.423.
</t>
    </r>
  </si>
  <si>
    <t xml:space="preserve">BLP: The document for the admin labor rate reports that the wages are 70.3% of total compensation and benefits are 29.7%, which gives a benefits loading factor of 0.4225. </t>
  </si>
  <si>
    <r>
      <t>(5)</t>
    </r>
    <r>
      <rPr>
        <sz val="7"/>
        <rFont val="Times New Roman"/>
        <family val="1"/>
      </rPr>
      <t xml:space="preserve">     </t>
    </r>
    <r>
      <rPr>
        <sz val="9"/>
        <rFont val="Times New Roman"/>
        <family val="1"/>
      </rPr>
      <t xml:space="preserve">The overhead loading factor of 17 % (0.17) is from EPA-HQ-OPPT-2010-0572-0061_content.pdf:  Rice, Cody 2002. "Wage Rates for Economic Analyses of the Toxics Release Inventory Program,” Analytical Support Branch, Environmental Analysis Division, Office of Environmental Information, U.S. EPA, April 11, 2002, page 3. </t>
    </r>
  </si>
  <si>
    <t>BLP: Trying to find an update to the 2002 overhead factor, but have not yet found one.</t>
  </si>
  <si>
    <t>(6)     The mean hourly wage and salaries for middle manager, senior manager, engineer, and technician, for subparts W and RR, are from https://data.bls.gov/oes/#/industry/211000. U.S. Bureau of Labor Statistics – Occupational Employment and Wage Statistics – May 2024 National Industry-Specific Occupational Employment and Wage Estimates – NAICS 211100 – Oil and Gas Extraction.</t>
  </si>
  <si>
    <r>
      <t>(7)</t>
    </r>
    <r>
      <rPr>
        <sz val="7"/>
        <rFont val="Times New Roman"/>
        <family val="1"/>
      </rPr>
      <t xml:space="preserve">     </t>
    </r>
    <r>
      <rPr>
        <sz val="9"/>
        <rFont val="Times New Roman"/>
        <family val="1"/>
      </rPr>
      <t xml:space="preserve">The loaded hourly rate = Wages &amp; Salaries + (Wages &amp; Salaries * Benefits Loading Factor) + (Wages &amp; Salaries * Overhead Loading Factor). </t>
    </r>
  </si>
  <si>
    <t>Burden Estimate for the Most Recent ICR Renewal (2300.20)</t>
  </si>
  <si>
    <t>Total Burden per question = 
Total Burden (hrs)/Total Responses = 0.07 hrs. per response
(705,554/10,248,936) = 
0.0688, rounded to 0.07</t>
  </si>
  <si>
    <t>Capital and O&amp;M Costs Total---&gt;</t>
  </si>
  <si>
    <t>&lt;--EPA hours</t>
  </si>
  <si>
    <t>&lt;--Total hours</t>
  </si>
  <si>
    <t>Previous inventory</t>
  </si>
  <si>
    <t>Difference</t>
  </si>
  <si>
    <t>Previous Inventory:
Total Burden per question =
Total Burden (hrs)/Total Responses = 0.08 hrs. per response
(740,012/9,853,129)=
0.0751, rounded to 0.08</t>
  </si>
  <si>
    <t>Table 1. Summary of Burden and Cost by Source Category and Year</t>
  </si>
  <si>
    <t>Year 1 (2025)</t>
  </si>
  <si>
    <t>YY. Caprolactum, Glyoxal, and Glyoxalic Acid Production</t>
  </si>
  <si>
    <t>CEPCI ratio: 2021$ --&gt; 2024$</t>
  </si>
  <si>
    <t>Technician ($/hr)</t>
  </si>
  <si>
    <t>Engineer ($/hr)</t>
  </si>
  <si>
    <t>Middle Manager ($/hr)</t>
  </si>
  <si>
    <t>Senior Manager ($/hr)</t>
  </si>
  <si>
    <t>Lawyer ($/hr)</t>
  </si>
  <si>
    <t>Wages &amp; Salaries (2024$)</t>
  </si>
  <si>
    <t>Loaded Hourly Rates for Renewal ICR (2024$)</t>
  </si>
  <si>
    <t>Cost Per Respondent</t>
  </si>
  <si>
    <t>Segment</t>
  </si>
  <si>
    <t>RY2023 facilities</t>
  </si>
  <si>
    <t>Total Projected Facilities</t>
  </si>
  <si>
    <t>Technician (hrs/respondent)</t>
  </si>
  <si>
    <t>Engineer (hrs/respondent)</t>
  </si>
  <si>
    <t>Middle Manager (hrs/respondent)</t>
  </si>
  <si>
    <t>Senior Manager (hrs/respondent)</t>
  </si>
  <si>
    <t>Lawyer (hrs/respondent)</t>
  </si>
  <si>
    <t>O&amp;M / respondent (2021$)</t>
  </si>
  <si>
    <t>Labor Cost (2024$)</t>
  </si>
  <si>
    <t>O&amp;M / respondent (2024$)</t>
  </si>
  <si>
    <t>O&amp;M Total (2024$)</t>
  </si>
  <si>
    <t>Total Respondent Cost (Subpart W) (2024$)</t>
  </si>
  <si>
    <t>Labor (2024$)</t>
  </si>
  <si>
    <t>O&amp;M (2024$)</t>
  </si>
  <si>
    <t>Total (2024$)</t>
  </si>
  <si>
    <t>Total check</t>
  </si>
  <si>
    <t>Onshore Production</t>
  </si>
  <si>
    <t>Offshore Production</t>
  </si>
  <si>
    <t>Gathering and Boosting</t>
  </si>
  <si>
    <t>Natural Gas Processing</t>
  </si>
  <si>
    <t>Natural Gas Transmission Compression</t>
  </si>
  <si>
    <t>Natural Gas Transmission Pipeline</t>
  </si>
  <si>
    <t>Underground Natural Gas Storage</t>
  </si>
  <si>
    <t>LNG Import/Export</t>
  </si>
  <si>
    <t>LNG Storage</t>
  </si>
  <si>
    <t>Natural Gas Distribution</t>
  </si>
  <si>
    <t>Weighted Average</t>
  </si>
  <si>
    <t>Total number is smaller than the sum of facilities from each segment b/c some facilities report under multiple segments</t>
  </si>
  <si>
    <t>Weighted average totals are slightly different only b/c of reporters that report to multiple segments.</t>
  </si>
  <si>
    <t>RY2023 reporters taken from the PNGS sector summary for 2023, less "Other Oil and Gas Combustion" reporters that do not report to W</t>
  </si>
  <si>
    <t>Changes in reporters are taken from the impacts analysis of the 2024 Subpart W rule</t>
  </si>
  <si>
    <t>QA Component Comparison</t>
  </si>
  <si>
    <t>Programmatic ICR</t>
  </si>
  <si>
    <t>(base respondents, base cost)</t>
  </si>
  <si>
    <t>OLD</t>
  </si>
  <si>
    <t>NEW</t>
  </si>
  <si>
    <t>Respondents</t>
  </si>
  <si>
    <t>Total Cost / Resp.</t>
  </si>
  <si>
    <t>RY23 Resp.</t>
  </si>
  <si>
    <t>2024 SubW Rule</t>
  </si>
  <si>
    <t>(new provisions * base resp. part)</t>
  </si>
  <si>
    <t>(new provisions + old provisions) * incremental resp. part</t>
  </si>
  <si>
    <t>Technician</t>
  </si>
  <si>
    <t>Engineer</t>
  </si>
  <si>
    <t>Middle Manager</t>
  </si>
  <si>
    <t>Senior Manager</t>
  </si>
  <si>
    <t>Lawyer</t>
  </si>
  <si>
    <t>Totals (w/o W)</t>
  </si>
  <si>
    <t>Subpart W by Segment Values</t>
  </si>
  <si>
    <t>These are the values from the "by segment" analysis.</t>
  </si>
  <si>
    <t>No. Respondents (incremental respondents)</t>
  </si>
  <si>
    <t>Combined Labor / Respondent (ICR No. 2300.20 and 2774.02)</t>
  </si>
  <si>
    <t xml:space="preserve">Table 5. Average Per Respondent Burden Programmatic ICR 2024 renewal </t>
  </si>
  <si>
    <t xml:space="preserve">Table 6. Average Per Respondent 2024 Subpart W ICR-New Provisions Only </t>
  </si>
  <si>
    <t>(from OMB No. 2060-0629, ICR No. 2300.20)</t>
  </si>
  <si>
    <t>(from OMB No. 2060-0751, ICR No, 2774.02)</t>
  </si>
  <si>
    <t>Change in Facility Count Due to GWP Changes (ICR No. 2773.02)</t>
  </si>
  <si>
    <t>Change in Facility Due to SubW Rule Changes (ICR No. 2774.02)</t>
  </si>
  <si>
    <t>Baseline Cost Totals w/ Subpart W by segment</t>
  </si>
  <si>
    <t>Table 7. Combined Labor and O&amp;M Costs for Subpart W</t>
  </si>
  <si>
    <t>Totals (Rounded)</t>
  </si>
  <si>
    <t>Total (rounded)</t>
  </si>
  <si>
    <t>3-Yr Annual Average (rounded)</t>
  </si>
  <si>
    <t>Total hours for all respondents</t>
  </si>
  <si>
    <t>Table 4. Combined Total Burden Adjusted for All Non-Subpart W Respondents (2025 Reconsideration Baseline)</t>
  </si>
  <si>
    <r>
      <t>1</t>
    </r>
    <r>
      <rPr>
        <sz val="11"/>
        <color theme="1"/>
        <rFont val="Calibri"/>
        <family val="2"/>
      </rPr>
      <t>10,400 hours is calculated based on a reduction of five FTEs working 80 hours per two-week pay period, for 26 pay periods per year (5 x 80 x 26 = 10,400). </t>
    </r>
  </si>
  <si>
    <r>
      <t>2</t>
    </r>
    <r>
      <rPr>
        <sz val="11"/>
        <color theme="1"/>
        <rFont val="Calibri"/>
        <family val="2"/>
      </rPr>
      <t>The labor cost is based on the hour compensation at GS-13 step 1 on the 2024 pay scale: $42.21 x 1.6 to account for overhead and benefits = $67.86. 10,400 x $67.86 = $705,744. </t>
    </r>
  </si>
  <si>
    <r>
      <t>3</t>
    </r>
    <r>
      <rPr>
        <sz val="11"/>
        <color theme="1"/>
        <rFont val="Calibri"/>
        <family val="2"/>
      </rPr>
      <t xml:space="preserve">Non-labor costs cover the development of guidance, training, responding to stakeholders, communications and outreach, database maintenance, and other contractor support. Non-labor costs for the GHGRP were estimated to be $8,400,000 (2021$) in the current GHGRP, and we assumed they would be reduced by 5/12 of the current amount, and were then scaled from 2021$ to 2024$ using the CEPCI. </t>
    </r>
  </si>
  <si>
    <r>
      <t>4</t>
    </r>
    <r>
      <rPr>
        <sz val="11"/>
        <color theme="1"/>
        <rFont val="Calibri"/>
        <family val="2"/>
      </rPr>
      <t xml:space="preserve">Total Annual Cost = Labor Cost + Non-Labor Cost: $705,744 + $3,900,000 = $4,641,761. These costs are negative because they result from a reduction in burden and associated non-labor costs.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</si>
</sst>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5" formatCode="&quot;$&quot;#,##0_);\(&quot;$&quot;#,##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quot;$&quot;#,##0"/>
    <numFmt numFmtId="166" formatCode="_(* #,##0_);_(* \(#,##0\);_(* &quot;-&quot;??_);_(@_)"/>
    <numFmt numFmtId="167" formatCode="0.0"/>
    <numFmt numFmtId="168" formatCode="0.000"/>
    <numFmt numFmtId="169" formatCode="_(* #,##0.000_);_(* \(#,##0.000\);_(* &quot;-&quot;??_);_(@_)"/>
    <numFmt numFmtId="170" formatCode="&quot;$&quot;#,##0.00"/>
    <numFmt numFmtId="171" formatCode="_(* #,##0.0_);_(* \(#,##0.0\);_(* &quot;-&quot;??_);_(@_)"/>
  </numFmts>
  <fonts count="52" x14ac:knownFonts="1">
    <font>
      <sz val="11"/>
      <color theme="1"/>
      <name val="Aptos Narrow"/>
      <family val="2"/>
      <scheme val="minor"/>
    </font>
    <font>
      <sz val="11"/>
      <color theme="1"/>
      <name val="Aptos Narrow"/>
      <family val="2"/>
      <scheme val="minor"/>
    </font>
    <font>
      <b/>
      <sz val="11"/>
      <color theme="1"/>
      <name val="Aptos Narrow"/>
      <family val="2"/>
      <scheme val="minor"/>
    </font>
    <font>
      <sz val="10"/>
      <name val="Arial"/>
      <family val="2"/>
    </font>
    <font>
      <b/>
      <sz val="8"/>
      <name val="Calibri"/>
      <family val="2"/>
    </font>
    <font>
      <sz val="8"/>
      <name val="Calibri"/>
      <family val="2"/>
    </font>
    <font>
      <sz val="12"/>
      <color theme="1"/>
      <name val="Aptos Narrow"/>
      <family val="2"/>
      <scheme val="minor"/>
    </font>
    <font>
      <sz val="12"/>
      <color indexed="8"/>
      <name val="Calibri"/>
      <family val="2"/>
    </font>
    <font>
      <b/>
      <sz val="12"/>
      <color rgb="FFFF0000"/>
      <name val="Aptos Narrow"/>
      <family val="2"/>
      <scheme val="minor"/>
    </font>
    <font>
      <sz val="12"/>
      <color theme="0" tint="-0.14999847407452621"/>
      <name val="Aptos Narrow"/>
      <family val="2"/>
      <scheme val="minor"/>
    </font>
    <font>
      <b/>
      <sz val="12"/>
      <color theme="1"/>
      <name val="Aptos Narrow"/>
      <family val="2"/>
      <scheme val="minor"/>
    </font>
    <font>
      <b/>
      <sz val="10"/>
      <color theme="1"/>
      <name val="Aptos Narrow"/>
      <family val="2"/>
      <scheme val="minor"/>
    </font>
    <font>
      <b/>
      <sz val="22"/>
      <color theme="1"/>
      <name val="Aptos Narrow"/>
      <family val="2"/>
      <scheme val="minor"/>
    </font>
    <font>
      <b/>
      <sz val="9"/>
      <name val="Calibri"/>
      <family val="2"/>
    </font>
    <font>
      <sz val="8"/>
      <color indexed="8"/>
      <name val="Calibri"/>
      <family val="2"/>
    </font>
    <font>
      <sz val="8"/>
      <color theme="1"/>
      <name val="Aptos Narrow"/>
      <family val="2"/>
      <scheme val="minor"/>
    </font>
    <font>
      <strike/>
      <sz val="8"/>
      <name val="Calibri"/>
      <family val="2"/>
    </font>
    <font>
      <strike/>
      <sz val="12"/>
      <color indexed="8"/>
      <name val="Calibri"/>
      <family val="2"/>
    </font>
    <font>
      <strike/>
      <sz val="11"/>
      <color theme="1"/>
      <name val="Aptos Narrow"/>
      <family val="2"/>
      <scheme val="minor"/>
    </font>
    <font>
      <b/>
      <sz val="8"/>
      <color rgb="FF000000"/>
      <name val="Calibri"/>
      <family val="2"/>
    </font>
    <font>
      <sz val="8"/>
      <color rgb="FF000000"/>
      <name val="Calibri"/>
      <family val="2"/>
    </font>
    <font>
      <sz val="9"/>
      <color theme="1"/>
      <name val="Times New Roman"/>
      <family val="1"/>
    </font>
    <font>
      <sz val="7"/>
      <color theme="1"/>
      <name val="Times New Roman"/>
      <family val="1"/>
    </font>
    <font>
      <sz val="11"/>
      <color indexed="8"/>
      <name val="Calibri"/>
      <family val="2"/>
    </font>
    <font>
      <b/>
      <sz val="11"/>
      <name val="Calibri"/>
      <family val="2"/>
    </font>
    <font>
      <sz val="11"/>
      <name val="Calibri"/>
      <family val="2"/>
    </font>
    <font>
      <b/>
      <vertAlign val="superscript"/>
      <sz val="8.5"/>
      <name val="Calibri"/>
      <family val="2"/>
    </font>
    <font>
      <sz val="8.5"/>
      <name val="Calibri"/>
      <family val="2"/>
    </font>
    <font>
      <sz val="10"/>
      <name val="Calibri"/>
      <family val="2"/>
    </font>
    <font>
      <sz val="11"/>
      <color rgb="FF000000"/>
      <name val="Calibri"/>
      <family val="2"/>
    </font>
    <font>
      <vertAlign val="superscript"/>
      <sz val="8"/>
      <name val="Calibri"/>
      <family val="2"/>
    </font>
    <font>
      <sz val="9"/>
      <name val="Calibri"/>
      <family val="2"/>
    </font>
    <font>
      <sz val="11"/>
      <color theme="1"/>
      <name val="Calibri"/>
      <family val="2"/>
    </font>
    <font>
      <sz val="8"/>
      <color rgb="FF000000"/>
      <name val="Arial"/>
      <family val="2"/>
    </font>
    <font>
      <sz val="8"/>
      <color theme="1"/>
      <name val="Arial"/>
      <family val="2"/>
    </font>
    <font>
      <sz val="8"/>
      <color theme="1"/>
      <name val="Calibri"/>
      <family val="2"/>
    </font>
    <font>
      <b/>
      <sz val="11"/>
      <color theme="1"/>
      <name val="Calibri"/>
      <family val="2"/>
    </font>
    <font>
      <b/>
      <sz val="8"/>
      <color rgb="FF000000"/>
      <name val="Arial"/>
      <family val="2"/>
    </font>
    <font>
      <b/>
      <sz val="11"/>
      <color rgb="FF000000"/>
      <name val="Calibri"/>
      <family val="2"/>
    </font>
    <font>
      <sz val="9"/>
      <name val="Times New Roman"/>
      <family val="1"/>
    </font>
    <font>
      <sz val="7"/>
      <name val="Times New Roman"/>
      <family val="1"/>
    </font>
    <font>
      <sz val="8"/>
      <name val="Arial"/>
      <family val="2"/>
    </font>
    <font>
      <sz val="8"/>
      <color rgb="FF000000"/>
      <name val="Aptos Narrow"/>
      <family val="2"/>
      <scheme val="minor"/>
    </font>
    <font>
      <sz val="10"/>
      <color theme="1"/>
      <name val="Aptos Narrow"/>
      <family val="2"/>
      <scheme val="minor"/>
    </font>
    <font>
      <b/>
      <sz val="12"/>
      <name val="Calibri"/>
      <family val="2"/>
    </font>
    <font>
      <sz val="12"/>
      <name val="Calibri"/>
      <family val="2"/>
    </font>
    <font>
      <b/>
      <u/>
      <sz val="14"/>
      <color theme="1"/>
      <name val="Aptos Narrow"/>
      <family val="2"/>
      <scheme val="minor"/>
    </font>
    <font>
      <sz val="11"/>
      <color rgb="FF000000"/>
      <name val="Calibri"/>
      <family val="2"/>
    </font>
    <font>
      <sz val="12"/>
      <name val="Aptos Narrow"/>
      <family val="2"/>
      <scheme val="minor"/>
    </font>
    <font>
      <sz val="11"/>
      <name val="Aptos Narrow"/>
      <family val="2"/>
      <scheme val="minor"/>
    </font>
    <font>
      <sz val="11"/>
      <color theme="0"/>
      <name val="Aptos Narrow"/>
      <family val="2"/>
      <scheme val="minor"/>
    </font>
    <font>
      <vertAlign val="superscript"/>
      <sz val="11"/>
      <color theme="1"/>
      <name val="Calibri"/>
      <family val="2"/>
    </font>
  </fonts>
  <fills count="13">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3" tint="0.749992370372631"/>
        <bgColor indexed="64"/>
      </patternFill>
    </fill>
    <fill>
      <patternFill patternType="solid">
        <fgColor rgb="FFCCFFFF"/>
        <bgColor indexed="64"/>
      </patternFill>
    </fill>
    <fill>
      <patternFill patternType="solid">
        <fgColor rgb="FFF2F2F2"/>
        <bgColor indexed="64"/>
      </patternFill>
    </fill>
    <fill>
      <patternFill patternType="solid">
        <fgColor rgb="FFFFFFFF"/>
        <bgColor indexed="64"/>
      </patternFill>
    </fill>
    <fill>
      <patternFill patternType="solid">
        <fgColor rgb="FF92D050"/>
        <bgColor indexed="64"/>
      </patternFill>
    </fill>
    <fill>
      <patternFill patternType="solid">
        <fgColor theme="0" tint="-0.14999847407452621"/>
        <bgColor indexed="64"/>
      </patternFill>
    </fill>
    <fill>
      <patternFill patternType="solid">
        <fgColor theme="0" tint="-0.249977111117893"/>
        <bgColor indexed="64"/>
      </patternFill>
    </fill>
  </fills>
  <borders count="54">
    <border>
      <left/>
      <right/>
      <top/>
      <bottom/>
      <diagonal/>
    </border>
    <border>
      <left style="thin">
        <color auto="1"/>
      </left>
      <right style="thin">
        <color auto="1"/>
      </right>
      <top style="thin">
        <color auto="1"/>
      </top>
      <bottom style="thin">
        <color indexed="64"/>
      </bottom>
      <diagonal/>
    </border>
    <border>
      <left style="thin">
        <color indexed="64"/>
      </left>
      <right style="hair">
        <color indexed="64"/>
      </right>
      <top style="thin">
        <color auto="1"/>
      </top>
      <bottom style="hair">
        <color indexed="64"/>
      </bottom>
      <diagonal/>
    </border>
    <border>
      <left style="hair">
        <color auto="1"/>
      </left>
      <right style="hair">
        <color auto="1"/>
      </right>
      <top style="hair">
        <color auto="1"/>
      </top>
      <bottom style="hair">
        <color auto="1"/>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style="hair">
        <color auto="1"/>
      </right>
      <top style="medium">
        <color auto="1"/>
      </top>
      <bottom style="medium">
        <color auto="1"/>
      </bottom>
      <diagonal/>
    </border>
    <border>
      <left style="hair">
        <color auto="1"/>
      </left>
      <right style="hair">
        <color auto="1"/>
      </right>
      <top style="medium">
        <color auto="1"/>
      </top>
      <bottom style="medium">
        <color auto="1"/>
      </bottom>
      <diagonal/>
    </border>
    <border>
      <left style="hair">
        <color auto="1"/>
      </left>
      <right style="thin">
        <color auto="1"/>
      </right>
      <top style="medium">
        <color auto="1"/>
      </top>
      <bottom style="medium">
        <color auto="1"/>
      </bottom>
      <diagonal/>
    </border>
    <border>
      <left style="thin">
        <color auto="1"/>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indexed="64"/>
      </left>
      <right style="medium">
        <color indexed="64"/>
      </right>
      <top style="hair">
        <color auto="1"/>
      </top>
      <bottom style="hair">
        <color auto="1"/>
      </bottom>
      <diagonal/>
    </border>
    <border>
      <left style="hair">
        <color auto="1"/>
      </left>
      <right style="medium">
        <color auto="1"/>
      </right>
      <top style="hair">
        <color auto="1"/>
      </top>
      <bottom style="hair">
        <color auto="1"/>
      </bottom>
      <diagonal/>
    </border>
    <border>
      <left style="medium">
        <color indexed="64"/>
      </left>
      <right style="medium">
        <color indexed="64"/>
      </right>
      <top style="hair">
        <color auto="1"/>
      </top>
      <bottom/>
      <diagonal/>
    </border>
    <border>
      <left style="hair">
        <color auto="1"/>
      </left>
      <right style="hair">
        <color auto="1"/>
      </right>
      <top/>
      <bottom/>
      <diagonal/>
    </border>
    <border>
      <left style="hair">
        <color auto="1"/>
      </left>
      <right style="hair">
        <color auto="1"/>
      </right>
      <top style="hair">
        <color auto="1"/>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rgb="FF000000"/>
      </bottom>
      <diagonal/>
    </border>
    <border>
      <left/>
      <right style="medium">
        <color rgb="FF000000"/>
      </right>
      <top style="medium">
        <color indexed="64"/>
      </top>
      <bottom style="medium">
        <color indexed="64"/>
      </bottom>
      <diagonal/>
    </border>
    <border>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rgb="FF000000"/>
      </top>
      <bottom/>
      <diagonal/>
    </border>
    <border>
      <left style="medium">
        <color rgb="FF000000"/>
      </left>
      <right style="medium">
        <color rgb="FF000000"/>
      </right>
      <top/>
      <bottom/>
      <diagonal/>
    </border>
    <border>
      <left style="thin">
        <color rgb="FF000000"/>
      </left>
      <right style="medium">
        <color rgb="FF000000"/>
      </right>
      <top style="thin">
        <color rgb="FF000000"/>
      </top>
      <bottom style="medium">
        <color rgb="FF000000"/>
      </bottom>
      <diagonal/>
    </border>
    <border>
      <left/>
      <right/>
      <top style="thin">
        <color rgb="FF000000"/>
      </top>
      <bottom/>
      <diagonal/>
    </border>
    <border>
      <left style="medium">
        <color rgb="FF000000"/>
      </left>
      <right style="medium">
        <color rgb="FF000000"/>
      </right>
      <top style="thin">
        <color rgb="FF000000"/>
      </top>
      <bottom style="medium">
        <color rgb="FF000000"/>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bottom/>
      <diagonal/>
    </border>
    <border>
      <left style="medium">
        <color rgb="FF000000"/>
      </left>
      <right style="thin">
        <color rgb="FF000000"/>
      </right>
      <top/>
      <bottom/>
      <diagonal/>
    </border>
    <border>
      <left/>
      <right style="medium">
        <color indexed="64"/>
      </right>
      <top style="medium">
        <color indexed="64"/>
      </top>
      <bottom/>
      <diagonal/>
    </border>
    <border>
      <left style="medium">
        <color indexed="64"/>
      </left>
      <right/>
      <top/>
      <bottom/>
      <diagonal/>
    </border>
    <border>
      <left/>
      <right/>
      <top/>
      <bottom style="thick">
        <color indexed="64"/>
      </bottom>
      <diagonal/>
    </border>
    <border>
      <left style="thick">
        <color indexed="64"/>
      </left>
      <right style="medium">
        <color indexed="64"/>
      </right>
      <top/>
      <bottom style="double">
        <color indexed="64"/>
      </bottom>
      <diagonal/>
    </border>
    <border>
      <left/>
      <right style="medium">
        <color indexed="64"/>
      </right>
      <top/>
      <bottom style="double">
        <color indexed="64"/>
      </bottom>
      <diagonal/>
    </border>
    <border>
      <left/>
      <right style="thick">
        <color indexed="64"/>
      </right>
      <top/>
      <bottom style="double">
        <color indexed="64"/>
      </bottom>
      <diagonal/>
    </border>
    <border>
      <left style="thick">
        <color indexed="64"/>
      </left>
      <right style="medium">
        <color indexed="64"/>
      </right>
      <top/>
      <bottom style="medium">
        <color indexed="64"/>
      </bottom>
      <diagonal/>
    </border>
    <border>
      <left/>
      <right style="thick">
        <color indexed="64"/>
      </right>
      <top/>
      <bottom style="medium">
        <color indexed="64"/>
      </bottom>
      <diagonal/>
    </border>
    <border>
      <left style="thick">
        <color indexed="64"/>
      </left>
      <right style="medium">
        <color indexed="64"/>
      </right>
      <top/>
      <bottom style="thick">
        <color indexed="64"/>
      </bottom>
      <diagonal/>
    </border>
    <border>
      <left/>
      <right style="medium">
        <color indexed="64"/>
      </right>
      <top/>
      <bottom style="thick">
        <color indexed="64"/>
      </bottom>
      <diagonal/>
    </border>
    <border>
      <left/>
      <right style="thick">
        <color indexed="64"/>
      </right>
      <top/>
      <bottom style="thick">
        <color indexed="64"/>
      </bottom>
      <diagonal/>
    </border>
    <border>
      <left/>
      <right/>
      <top/>
      <bottom style="thin">
        <color auto="1"/>
      </bottom>
      <diagonal/>
    </border>
    <border>
      <left style="thin">
        <color auto="1"/>
      </left>
      <right/>
      <top/>
      <bottom/>
      <diagonal/>
    </border>
    <border>
      <left/>
      <right style="thin">
        <color auto="1"/>
      </right>
      <top/>
      <bottom/>
      <diagonal/>
    </border>
    <border>
      <left style="thin">
        <color indexed="64"/>
      </left>
      <right style="thin">
        <color indexed="64"/>
      </right>
      <top/>
      <bottom/>
      <diagonal/>
    </border>
    <border>
      <left style="thin">
        <color auto="1"/>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s>
  <cellStyleXfs count="9">
    <xf numFmtId="0" fontId="0" fillId="0" borderId="0"/>
    <xf numFmtId="43" fontId="1" fillId="0" borderId="0" applyFont="0" applyFill="0" applyBorder="0" applyAlignment="0" applyProtection="0"/>
    <xf numFmtId="44" fontId="1" fillId="0" borderId="0" applyFont="0" applyFill="0" applyBorder="0" applyAlignment="0" applyProtection="0"/>
    <xf numFmtId="0" fontId="3" fillId="0" borderId="0"/>
    <xf numFmtId="0" fontId="3" fillId="0" borderId="0"/>
    <xf numFmtId="44" fontId="1" fillId="0" borderId="0" applyFont="0" applyFill="0" applyBorder="0" applyAlignment="0" applyProtection="0"/>
    <xf numFmtId="43" fontId="23" fillId="0" borderId="0" applyFont="0" applyFill="0" applyBorder="0" applyAlignment="0" applyProtection="0"/>
    <xf numFmtId="44" fontId="3" fillId="0" borderId="0" applyFont="0" applyFill="0" applyBorder="0" applyAlignment="0" applyProtection="0"/>
    <xf numFmtId="0" fontId="43" fillId="0" borderId="0"/>
  </cellStyleXfs>
  <cellXfs count="292">
    <xf numFmtId="0" fontId="0" fillId="0" borderId="0" xfId="0"/>
    <xf numFmtId="1" fontId="4" fillId="3" borderId="1" xfId="3" applyNumberFormat="1" applyFont="1" applyFill="1" applyBorder="1" applyAlignment="1">
      <alignment horizontal="center" vertical="center" wrapText="1"/>
    </xf>
    <xf numFmtId="0" fontId="6" fillId="0" borderId="0" xfId="0" applyFont="1"/>
    <xf numFmtId="1" fontId="7" fillId="0" borderId="2" xfId="4" applyNumberFormat="1" applyFont="1" applyBorder="1" applyAlignment="1">
      <alignment wrapText="1"/>
    </xf>
    <xf numFmtId="3" fontId="7" fillId="0" borderId="3" xfId="4" applyNumberFormat="1" applyFont="1" applyBorder="1" applyAlignment="1">
      <alignment wrapText="1"/>
    </xf>
    <xf numFmtId="42" fontId="7" fillId="0" borderId="3" xfId="4" applyNumberFormat="1" applyFont="1" applyBorder="1" applyAlignment="1">
      <alignment wrapText="1"/>
    </xf>
    <xf numFmtId="42" fontId="6" fillId="0" borderId="0" xfId="0" applyNumberFormat="1" applyFont="1"/>
    <xf numFmtId="1" fontId="7" fillId="0" borderId="4" xfId="4" applyNumberFormat="1" applyFont="1" applyBorder="1" applyAlignment="1">
      <alignment wrapText="1"/>
    </xf>
    <xf numFmtId="1" fontId="7" fillId="0" borderId="5" xfId="4" applyNumberFormat="1" applyFont="1" applyBorder="1" applyAlignment="1">
      <alignment wrapText="1"/>
    </xf>
    <xf numFmtId="1" fontId="7" fillId="0" borderId="5" xfId="4" applyNumberFormat="1" applyFont="1" applyBorder="1" applyAlignment="1">
      <alignment vertical="top" wrapText="1"/>
    </xf>
    <xf numFmtId="3" fontId="8" fillId="0" borderId="0" xfId="0" applyNumberFormat="1" applyFont="1"/>
    <xf numFmtId="164" fontId="8" fillId="0" borderId="0" xfId="2" applyNumberFormat="1" applyFont="1"/>
    <xf numFmtId="165" fontId="8" fillId="0" borderId="0" xfId="0" applyNumberFormat="1" applyFont="1"/>
    <xf numFmtId="0" fontId="9" fillId="0" borderId="0" xfId="0" applyFont="1"/>
    <xf numFmtId="0" fontId="10" fillId="0" borderId="0" xfId="0" applyFont="1" applyAlignment="1">
      <alignment vertical="center"/>
    </xf>
    <xf numFmtId="2" fontId="10" fillId="0" borderId="0" xfId="0" applyNumberFormat="1" applyFont="1" applyAlignment="1">
      <alignment vertical="center" wrapText="1"/>
    </xf>
    <xf numFmtId="0" fontId="10" fillId="0" borderId="0" xfId="0" applyFont="1" applyAlignment="1">
      <alignment horizontal="right" wrapText="1"/>
    </xf>
    <xf numFmtId="0" fontId="10" fillId="0" borderId="0" xfId="0" applyFont="1" applyAlignment="1">
      <alignment horizontal="right" vertical="center"/>
    </xf>
    <xf numFmtId="3" fontId="6" fillId="0" borderId="0" xfId="0" applyNumberFormat="1" applyFont="1" applyAlignment="1">
      <alignment vertical="center"/>
    </xf>
    <xf numFmtId="0" fontId="6" fillId="0" borderId="0" xfId="0" applyFont="1" applyAlignment="1">
      <alignment vertical="center"/>
    </xf>
    <xf numFmtId="165" fontId="6" fillId="0" borderId="0" xfId="2" applyNumberFormat="1" applyFont="1" applyAlignment="1">
      <alignment vertical="center"/>
    </xf>
    <xf numFmtId="3" fontId="10" fillId="0" borderId="0" xfId="0" applyNumberFormat="1" applyFont="1" applyAlignment="1">
      <alignment vertical="center"/>
    </xf>
    <xf numFmtId="42" fontId="10" fillId="0" borderId="0" xfId="0" applyNumberFormat="1" applyFont="1" applyAlignment="1">
      <alignment vertical="center"/>
    </xf>
    <xf numFmtId="0" fontId="10" fillId="4" borderId="0" xfId="0" applyFont="1" applyFill="1"/>
    <xf numFmtId="166" fontId="10" fillId="4" borderId="0" xfId="1" applyNumberFormat="1" applyFont="1" applyFill="1"/>
    <xf numFmtId="166" fontId="10" fillId="4" borderId="0" xfId="0" applyNumberFormat="1" applyFont="1" applyFill="1"/>
    <xf numFmtId="0" fontId="10" fillId="4" borderId="0" xfId="0" applyFont="1" applyFill="1" applyAlignment="1">
      <alignment vertical="center"/>
    </xf>
    <xf numFmtId="166" fontId="10" fillId="4" borderId="0" xfId="1" applyNumberFormat="1" applyFont="1" applyFill="1" applyAlignment="1">
      <alignment vertical="center"/>
    </xf>
    <xf numFmtId="164" fontId="10" fillId="4" borderId="0" xfId="2" applyNumberFormat="1" applyFont="1" applyFill="1" applyAlignment="1">
      <alignment vertical="center"/>
    </xf>
    <xf numFmtId="0" fontId="11" fillId="4" borderId="0" xfId="0" applyFont="1" applyFill="1"/>
    <xf numFmtId="166" fontId="6" fillId="0" borderId="0" xfId="0" applyNumberFormat="1" applyFont="1"/>
    <xf numFmtId="0" fontId="12" fillId="0" borderId="0" xfId="0" applyFont="1" applyAlignment="1">
      <alignment vertical="center"/>
    </xf>
    <xf numFmtId="2" fontId="10" fillId="4" borderId="0" xfId="0" applyNumberFormat="1" applyFont="1" applyFill="1" applyAlignment="1">
      <alignment vertical="center" wrapText="1"/>
    </xf>
    <xf numFmtId="1" fontId="4" fillId="5" borderId="10" xfId="0" applyNumberFormat="1" applyFont="1" applyFill="1" applyBorder="1" applyAlignment="1">
      <alignment vertical="center" wrapText="1"/>
    </xf>
    <xf numFmtId="1" fontId="4" fillId="0" borderId="11" xfId="0" applyNumberFormat="1" applyFont="1" applyBorder="1" applyAlignment="1">
      <alignment horizontal="center" vertical="center" wrapText="1"/>
    </xf>
    <xf numFmtId="1" fontId="4" fillId="5" borderId="12" xfId="0" applyNumberFormat="1" applyFont="1" applyFill="1" applyBorder="1" applyAlignment="1">
      <alignment horizontal="center" vertical="center" wrapText="1"/>
    </xf>
    <xf numFmtId="1" fontId="4" fillId="5" borderId="13" xfId="0" applyNumberFormat="1" applyFont="1" applyFill="1" applyBorder="1" applyAlignment="1">
      <alignment horizontal="center" vertical="center" wrapText="1"/>
    </xf>
    <xf numFmtId="1" fontId="4" fillId="5" borderId="14" xfId="0" applyNumberFormat="1" applyFont="1" applyFill="1" applyBorder="1" applyAlignment="1">
      <alignment horizontal="center" vertical="center" wrapText="1"/>
    </xf>
    <xf numFmtId="1" fontId="4" fillId="5" borderId="15" xfId="0" applyNumberFormat="1" applyFont="1" applyFill="1" applyBorder="1" applyAlignment="1">
      <alignment horizontal="center" vertical="center" wrapText="1"/>
    </xf>
    <xf numFmtId="1" fontId="14" fillId="0" borderId="16" xfId="4" applyNumberFormat="1" applyFont="1" applyBorder="1" applyAlignment="1">
      <alignment wrapText="1"/>
    </xf>
    <xf numFmtId="3" fontId="5" fillId="0" borderId="3" xfId="0" applyNumberFormat="1" applyFont="1" applyBorder="1" applyAlignment="1">
      <alignment horizontal="center"/>
    </xf>
    <xf numFmtId="1" fontId="5" fillId="0" borderId="3" xfId="0" applyNumberFormat="1" applyFont="1" applyBorder="1" applyAlignment="1">
      <alignment horizontal="center"/>
    </xf>
    <xf numFmtId="165" fontId="5" fillId="0" borderId="3" xfId="5" applyNumberFormat="1" applyFont="1" applyFill="1" applyBorder="1" applyAlignment="1">
      <alignment horizontal="center"/>
    </xf>
    <xf numFmtId="165" fontId="5" fillId="0" borderId="17" xfId="5" applyNumberFormat="1" applyFont="1" applyFill="1" applyBorder="1" applyAlignment="1">
      <alignment horizontal="center"/>
    </xf>
    <xf numFmtId="167" fontId="5" fillId="0" borderId="3" xfId="0" applyNumberFormat="1" applyFont="1" applyBorder="1" applyAlignment="1">
      <alignment horizontal="center"/>
    </xf>
    <xf numFmtId="2" fontId="5" fillId="0" borderId="3" xfId="0" applyNumberFormat="1" applyFont="1" applyBorder="1" applyAlignment="1">
      <alignment horizontal="center"/>
    </xf>
    <xf numFmtId="1" fontId="14" fillId="0" borderId="18" xfId="4" applyNumberFormat="1" applyFont="1" applyBorder="1" applyAlignment="1">
      <alignment wrapText="1"/>
    </xf>
    <xf numFmtId="1" fontId="5" fillId="0" borderId="16" xfId="4" applyNumberFormat="1" applyFont="1" applyBorder="1" applyAlignment="1">
      <alignment wrapText="1"/>
    </xf>
    <xf numFmtId="165" fontId="5" fillId="0" borderId="19" xfId="5" applyNumberFormat="1" applyFont="1" applyFill="1" applyBorder="1" applyAlignment="1">
      <alignment horizontal="center"/>
    </xf>
    <xf numFmtId="165" fontId="5" fillId="0" borderId="20" xfId="5" applyNumberFormat="1" applyFont="1" applyFill="1" applyBorder="1" applyAlignment="1">
      <alignment horizontal="center"/>
    </xf>
    <xf numFmtId="3" fontId="5" fillId="0" borderId="20" xfId="0" applyNumberFormat="1" applyFont="1" applyBorder="1" applyAlignment="1">
      <alignment horizontal="center"/>
    </xf>
    <xf numFmtId="1" fontId="4" fillId="0" borderId="7" xfId="0" applyNumberFormat="1" applyFont="1" applyBorder="1" applyAlignment="1">
      <alignment vertical="center" wrapText="1"/>
    </xf>
    <xf numFmtId="166" fontId="5" fillId="0" borderId="9" xfId="1" applyNumberFormat="1" applyFont="1" applyFill="1" applyBorder="1" applyAlignment="1">
      <alignment horizontal="center"/>
    </xf>
    <xf numFmtId="166" fontId="5" fillId="0" borderId="9" xfId="1" applyNumberFormat="1" applyFont="1" applyFill="1" applyBorder="1" applyAlignment="1">
      <alignment horizontal="center" vertical="center"/>
    </xf>
    <xf numFmtId="166" fontId="5" fillId="0" borderId="21" xfId="1" applyNumberFormat="1" applyFont="1" applyFill="1" applyBorder="1" applyAlignment="1">
      <alignment horizontal="center"/>
    </xf>
    <xf numFmtId="3" fontId="5" fillId="0" borderId="21" xfId="5" applyNumberFormat="1" applyFont="1" applyFill="1" applyBorder="1" applyAlignment="1">
      <alignment horizontal="center"/>
    </xf>
    <xf numFmtId="165" fontId="5" fillId="0" borderId="21" xfId="5" applyNumberFormat="1" applyFont="1" applyFill="1" applyBorder="1" applyAlignment="1">
      <alignment horizontal="center"/>
    </xf>
    <xf numFmtId="0" fontId="15" fillId="0" borderId="0" xfId="0" applyFont="1"/>
    <xf numFmtId="1" fontId="0" fillId="0" borderId="0" xfId="0" applyNumberFormat="1"/>
    <xf numFmtId="167" fontId="0" fillId="0" borderId="0" xfId="0" applyNumberFormat="1"/>
    <xf numFmtId="168" fontId="0" fillId="0" borderId="0" xfId="0" applyNumberFormat="1"/>
    <xf numFmtId="1" fontId="16" fillId="0" borderId="16" xfId="4" applyNumberFormat="1" applyFont="1" applyBorder="1" applyAlignment="1">
      <alignment wrapText="1"/>
    </xf>
    <xf numFmtId="3" fontId="16" fillId="0" borderId="3" xfId="0" applyNumberFormat="1" applyFont="1" applyBorder="1" applyAlignment="1">
      <alignment horizontal="center"/>
    </xf>
    <xf numFmtId="1" fontId="16" fillId="0" borderId="3" xfId="0" applyNumberFormat="1" applyFont="1" applyBorder="1" applyAlignment="1">
      <alignment horizontal="center"/>
    </xf>
    <xf numFmtId="165" fontId="16" fillId="0" borderId="3" xfId="5" applyNumberFormat="1" applyFont="1" applyFill="1" applyBorder="1" applyAlignment="1">
      <alignment horizontal="center"/>
    </xf>
    <xf numFmtId="165" fontId="16" fillId="0" borderId="19" xfId="5" applyNumberFormat="1" applyFont="1" applyFill="1" applyBorder="1" applyAlignment="1">
      <alignment horizontal="center"/>
    </xf>
    <xf numFmtId="165" fontId="16" fillId="0" borderId="17" xfId="5" applyNumberFormat="1" applyFont="1" applyFill="1" applyBorder="1" applyAlignment="1">
      <alignment horizontal="center"/>
    </xf>
    <xf numFmtId="1" fontId="17" fillId="0" borderId="5" xfId="4" applyNumberFormat="1" applyFont="1" applyBorder="1" applyAlignment="1">
      <alignment wrapText="1"/>
    </xf>
    <xf numFmtId="3" fontId="17" fillId="0" borderId="3" xfId="4" applyNumberFormat="1" applyFont="1" applyBorder="1" applyAlignment="1">
      <alignment wrapText="1"/>
    </xf>
    <xf numFmtId="42" fontId="17" fillId="0" borderId="3" xfId="4" applyNumberFormat="1" applyFont="1" applyBorder="1" applyAlignment="1">
      <alignment wrapText="1"/>
    </xf>
    <xf numFmtId="1" fontId="18" fillId="0" borderId="0" xfId="0" applyNumberFormat="1" applyFont="1"/>
    <xf numFmtId="1" fontId="0" fillId="0" borderId="0" xfId="0" applyNumberFormat="1" applyAlignment="1">
      <alignment wrapText="1"/>
    </xf>
    <xf numFmtId="0" fontId="0" fillId="0" borderId="0" xfId="0" applyAlignment="1">
      <alignment wrapText="1"/>
    </xf>
    <xf numFmtId="1" fontId="18" fillId="0" borderId="0" xfId="0" applyNumberFormat="1" applyFont="1" applyAlignment="1">
      <alignment wrapText="1"/>
    </xf>
    <xf numFmtId="164" fontId="0" fillId="0" borderId="0" xfId="2" applyNumberFormat="1" applyFont="1"/>
    <xf numFmtId="164" fontId="4" fillId="5" borderId="14" xfId="2" applyNumberFormat="1" applyFont="1" applyFill="1" applyBorder="1" applyAlignment="1">
      <alignment horizontal="center" vertical="center" wrapText="1"/>
    </xf>
    <xf numFmtId="164" fontId="4" fillId="5" borderId="12" xfId="2" applyNumberFormat="1" applyFont="1" applyFill="1" applyBorder="1" applyAlignment="1">
      <alignment horizontal="center" vertical="center" wrapText="1"/>
    </xf>
    <xf numFmtId="164" fontId="4" fillId="5" borderId="15" xfId="2" applyNumberFormat="1" applyFont="1" applyFill="1" applyBorder="1" applyAlignment="1">
      <alignment horizontal="center" vertical="center" wrapText="1"/>
    </xf>
    <xf numFmtId="166" fontId="0" fillId="0" borderId="0" xfId="1" applyNumberFormat="1" applyFont="1"/>
    <xf numFmtId="166" fontId="4" fillId="5" borderId="12" xfId="1" applyNumberFormat="1" applyFont="1" applyFill="1" applyBorder="1" applyAlignment="1">
      <alignment horizontal="center" vertical="center" wrapText="1"/>
    </xf>
    <xf numFmtId="166" fontId="4" fillId="5" borderId="13" xfId="1" applyNumberFormat="1" applyFont="1" applyFill="1" applyBorder="1" applyAlignment="1">
      <alignment horizontal="center" vertical="center" wrapText="1"/>
    </xf>
    <xf numFmtId="3" fontId="0" fillId="0" borderId="0" xfId="0" applyNumberFormat="1"/>
    <xf numFmtId="164" fontId="0" fillId="0" borderId="0" xfId="2" applyNumberFormat="1" applyFont="1" applyBorder="1"/>
    <xf numFmtId="166" fontId="0" fillId="0" borderId="0" xfId="1" applyNumberFormat="1" applyFont="1" applyBorder="1"/>
    <xf numFmtId="164" fontId="0" fillId="0" borderId="0" xfId="0" applyNumberFormat="1"/>
    <xf numFmtId="164" fontId="18" fillId="0" borderId="0" xfId="2" applyNumberFormat="1" applyFont="1" applyBorder="1"/>
    <xf numFmtId="164" fontId="11" fillId="4" borderId="0" xfId="2" applyNumberFormat="1" applyFont="1" applyFill="1" applyBorder="1"/>
    <xf numFmtId="166" fontId="11" fillId="4" borderId="0" xfId="1" applyNumberFormat="1" applyFont="1" applyFill="1" applyBorder="1"/>
    <xf numFmtId="3" fontId="6" fillId="0" borderId="0" xfId="0" applyNumberFormat="1" applyFont="1"/>
    <xf numFmtId="0" fontId="6" fillId="6" borderId="0" xfId="0" applyFont="1" applyFill="1"/>
    <xf numFmtId="3" fontId="0" fillId="6" borderId="0" xfId="0" applyNumberFormat="1" applyFill="1"/>
    <xf numFmtId="164" fontId="0" fillId="6" borderId="0" xfId="2" applyNumberFormat="1" applyFont="1" applyFill="1"/>
    <xf numFmtId="0" fontId="19" fillId="7" borderId="24" xfId="0" applyFont="1" applyFill="1" applyBorder="1" applyAlignment="1">
      <alignment horizontal="center" vertical="center" wrapText="1"/>
    </xf>
    <xf numFmtId="0" fontId="19" fillId="7" borderId="24" xfId="0" applyFont="1" applyFill="1" applyBorder="1" applyAlignment="1">
      <alignment vertical="center" wrapText="1"/>
    </xf>
    <xf numFmtId="0" fontId="20" fillId="0" borderId="24" xfId="0" applyFont="1" applyBorder="1" applyAlignment="1">
      <alignment vertical="center" wrapText="1"/>
    </xf>
    <xf numFmtId="0" fontId="20" fillId="0" borderId="6" xfId="0" applyFont="1" applyBorder="1" applyAlignment="1">
      <alignment horizontal="right" vertical="center"/>
    </xf>
    <xf numFmtId="0" fontId="20" fillId="0" borderId="26" xfId="0" applyFont="1" applyBorder="1" applyAlignment="1">
      <alignment horizontal="right" vertical="center"/>
    </xf>
    <xf numFmtId="8" fontId="20" fillId="0" borderId="24" xfId="0" applyNumberFormat="1" applyFont="1" applyBorder="1" applyAlignment="1">
      <alignment horizontal="right" vertical="center"/>
    </xf>
    <xf numFmtId="0" fontId="20" fillId="0" borderId="24" xfId="0" applyFont="1" applyBorder="1" applyAlignment="1">
      <alignment horizontal="center" vertical="center" wrapText="1"/>
    </xf>
    <xf numFmtId="0" fontId="19" fillId="7" borderId="27" xfId="0" applyFont="1" applyFill="1" applyBorder="1" applyAlignment="1">
      <alignment vertical="center" wrapText="1"/>
    </xf>
    <xf numFmtId="0" fontId="19" fillId="7" borderId="9" xfId="0" applyFont="1" applyFill="1" applyBorder="1" applyAlignment="1">
      <alignment vertical="center" wrapText="1"/>
    </xf>
    <xf numFmtId="44" fontId="20" fillId="0" borderId="24" xfId="0" applyNumberFormat="1" applyFont="1" applyBorder="1" applyAlignment="1">
      <alignment horizontal="right" vertical="center"/>
    </xf>
    <xf numFmtId="0" fontId="0" fillId="0" borderId="1" xfId="0" applyBorder="1" applyAlignment="1">
      <alignment horizontal="center" vertical="center"/>
    </xf>
    <xf numFmtId="0" fontId="2" fillId="0" borderId="1" xfId="0" applyFont="1" applyBorder="1" applyAlignment="1">
      <alignment horizontal="center"/>
    </xf>
    <xf numFmtId="0" fontId="0" fillId="0" borderId="0" xfId="0" applyAlignment="1">
      <alignment horizontal="center" wrapText="1"/>
    </xf>
    <xf numFmtId="44" fontId="0" fillId="0" borderId="0" xfId="0" applyNumberFormat="1"/>
    <xf numFmtId="44" fontId="5" fillId="0" borderId="24" xfId="0" applyNumberFormat="1" applyFont="1" applyBorder="1" applyAlignment="1">
      <alignment horizontal="right" vertical="center"/>
    </xf>
    <xf numFmtId="0" fontId="21" fillId="0" borderId="0" xfId="0" applyFont="1" applyAlignment="1">
      <alignment vertical="top" wrapText="1"/>
    </xf>
    <xf numFmtId="0" fontId="24" fillId="0" borderId="30" xfId="0" applyFont="1" applyBorder="1" applyAlignment="1">
      <alignment horizontal="left" vertical="center" wrapText="1"/>
    </xf>
    <xf numFmtId="0" fontId="24" fillId="0" borderId="32" xfId="0" applyFont="1" applyBorder="1" applyAlignment="1">
      <alignment horizontal="left" vertical="center" wrapText="1"/>
    </xf>
    <xf numFmtId="0" fontId="24" fillId="0" borderId="33" xfId="0" applyFont="1" applyBorder="1" applyAlignment="1">
      <alignment horizontal="left" vertical="center" wrapText="1"/>
    </xf>
    <xf numFmtId="0" fontId="24" fillId="0" borderId="29" xfId="0" applyFont="1" applyBorder="1" applyAlignment="1">
      <alignment horizontal="left" vertical="center" wrapText="1"/>
    </xf>
    <xf numFmtId="0" fontId="24" fillId="0" borderId="35" xfId="0" applyFont="1" applyBorder="1" applyAlignment="1">
      <alignment horizontal="left" vertical="center" wrapText="1"/>
    </xf>
    <xf numFmtId="3" fontId="24" fillId="0" borderId="29" xfId="0" applyNumberFormat="1" applyFont="1" applyBorder="1" applyAlignment="1">
      <alignment horizontal="left" vertical="center" wrapText="1"/>
    </xf>
    <xf numFmtId="0" fontId="31" fillId="0" borderId="34" xfId="0" applyFont="1" applyBorder="1" applyAlignment="1">
      <alignment horizontal="left" vertical="center" wrapText="1"/>
    </xf>
    <xf numFmtId="0" fontId="33" fillId="8" borderId="10" xfId="0" applyFont="1" applyFill="1" applyBorder="1" applyAlignment="1">
      <alignment vertical="center"/>
    </xf>
    <xf numFmtId="0" fontId="33" fillId="8" borderId="36" xfId="0" applyFont="1" applyFill="1" applyBorder="1" applyAlignment="1">
      <alignment horizontal="center" vertical="center"/>
    </xf>
    <xf numFmtId="0" fontId="33" fillId="8" borderId="37" xfId="0" applyFont="1" applyFill="1" applyBorder="1" applyAlignment="1">
      <alignment vertical="center"/>
    </xf>
    <xf numFmtId="0" fontId="34" fillId="0" borderId="25" xfId="0" applyFont="1" applyBorder="1" applyAlignment="1">
      <alignment vertical="center"/>
    </xf>
    <xf numFmtId="0" fontId="32" fillId="0" borderId="0" xfId="0" applyFont="1"/>
    <xf numFmtId="0" fontId="35" fillId="0" borderId="27" xfId="0" applyFont="1" applyBorder="1" applyAlignment="1">
      <alignment vertical="center"/>
    </xf>
    <xf numFmtId="0" fontId="33" fillId="8" borderId="25" xfId="0" applyFont="1" applyFill="1" applyBorder="1" applyAlignment="1">
      <alignment horizontal="left" vertical="center" indent="2"/>
    </xf>
    <xf numFmtId="0" fontId="33" fillId="8" borderId="25" xfId="0" applyFont="1" applyFill="1" applyBorder="1" applyAlignment="1">
      <alignment horizontal="left" vertical="center" wrapText="1" indent="2"/>
    </xf>
    <xf numFmtId="0" fontId="33" fillId="8" borderId="25" xfId="0" applyFont="1" applyFill="1" applyBorder="1" applyAlignment="1">
      <alignment vertical="center"/>
    </xf>
    <xf numFmtId="0" fontId="34" fillId="0" borderId="27" xfId="0" applyFont="1" applyBorder="1" applyAlignment="1">
      <alignment horizontal="center" vertical="center"/>
    </xf>
    <xf numFmtId="0" fontId="34" fillId="0" borderId="27" xfId="0" applyFont="1" applyBorder="1" applyAlignment="1">
      <alignment vertical="center"/>
    </xf>
    <xf numFmtId="0" fontId="33" fillId="8" borderId="25" xfId="0" applyFont="1" applyFill="1" applyBorder="1" applyAlignment="1">
      <alignment vertical="center" wrapText="1"/>
    </xf>
    <xf numFmtId="0" fontId="33" fillId="8" borderId="26" xfId="0" applyFont="1" applyFill="1" applyBorder="1" applyAlignment="1">
      <alignment vertical="center" wrapText="1"/>
    </xf>
    <xf numFmtId="0" fontId="36" fillId="0" borderId="0" xfId="0" applyFont="1" applyAlignment="1">
      <alignment vertical="center"/>
    </xf>
    <xf numFmtId="0" fontId="37" fillId="8" borderId="39" xfId="0" applyFont="1" applyFill="1" applyBorder="1" applyAlignment="1">
      <alignment horizontal="center" vertical="center"/>
    </xf>
    <xf numFmtId="0" fontId="37" fillId="8" borderId="40" xfId="0" applyFont="1" applyFill="1" applyBorder="1" applyAlignment="1">
      <alignment horizontal="center" vertical="center" wrapText="1"/>
    </xf>
    <xf numFmtId="0" fontId="37" fillId="8" borderId="41" xfId="0" applyFont="1" applyFill="1" applyBorder="1" applyAlignment="1">
      <alignment horizontal="center" vertical="center" wrapText="1"/>
    </xf>
    <xf numFmtId="0" fontId="38" fillId="8" borderId="21" xfId="0" applyFont="1" applyFill="1" applyBorder="1" applyAlignment="1">
      <alignment vertical="center" wrapText="1"/>
    </xf>
    <xf numFmtId="0" fontId="38" fillId="8" borderId="9" xfId="0" applyFont="1" applyFill="1" applyBorder="1" applyAlignment="1">
      <alignment horizontal="center" vertical="center" wrapText="1"/>
    </xf>
    <xf numFmtId="0" fontId="29" fillId="0" borderId="26" xfId="0" applyFont="1" applyBorder="1" applyAlignment="1">
      <alignment vertical="center" wrapText="1"/>
    </xf>
    <xf numFmtId="3" fontId="29" fillId="0" borderId="24" xfId="0" applyNumberFormat="1" applyFont="1" applyBorder="1" applyAlignment="1">
      <alignment horizontal="right" vertical="center"/>
    </xf>
    <xf numFmtId="0" fontId="38" fillId="0" borderId="26" xfId="0" applyFont="1" applyBorder="1" applyAlignment="1">
      <alignment vertical="center" wrapText="1"/>
    </xf>
    <xf numFmtId="0" fontId="24" fillId="0" borderId="1" xfId="0" applyFont="1" applyBorder="1" applyAlignment="1">
      <alignment horizontal="left" vertical="center" wrapText="1"/>
    </xf>
    <xf numFmtId="0" fontId="33" fillId="0" borderId="0" xfId="0" applyFont="1" applyAlignment="1">
      <alignment vertical="center"/>
    </xf>
    <xf numFmtId="0" fontId="33" fillId="0" borderId="0" xfId="0" applyFont="1" applyAlignment="1">
      <alignment horizontal="center" vertical="center"/>
    </xf>
    <xf numFmtId="0" fontId="34" fillId="0" borderId="0" xfId="0" applyFont="1" applyAlignment="1">
      <alignment vertical="center"/>
    </xf>
    <xf numFmtId="0" fontId="35" fillId="0" borderId="0" xfId="0" applyFont="1" applyAlignment="1">
      <alignment vertical="center"/>
    </xf>
    <xf numFmtId="0" fontId="33" fillId="0" borderId="0" xfId="0" applyFont="1" applyAlignment="1">
      <alignment horizontal="left" vertical="center" indent="2"/>
    </xf>
    <xf numFmtId="3" fontId="33" fillId="0" borderId="0" xfId="0" applyNumberFormat="1" applyFont="1" applyAlignment="1">
      <alignment horizontal="center" vertical="center"/>
    </xf>
    <xf numFmtId="3" fontId="34" fillId="0" borderId="0" xfId="0" applyNumberFormat="1" applyFont="1" applyAlignment="1">
      <alignment horizontal="center" vertical="center"/>
    </xf>
    <xf numFmtId="6" fontId="34" fillId="0" borderId="0" xfId="0" applyNumberFormat="1" applyFont="1" applyAlignment="1">
      <alignment horizontal="center" vertical="center"/>
    </xf>
    <xf numFmtId="0" fontId="33" fillId="0" borderId="0" xfId="0" applyFont="1" applyAlignment="1">
      <alignment horizontal="left" vertical="center" wrapText="1" indent="2"/>
    </xf>
    <xf numFmtId="0" fontId="34" fillId="0" borderId="0" xfId="0" applyFont="1" applyAlignment="1">
      <alignment horizontal="center" vertical="center"/>
    </xf>
    <xf numFmtId="0" fontId="33" fillId="0" borderId="0" xfId="0" applyFont="1" applyAlignment="1">
      <alignment vertical="center" wrapText="1"/>
    </xf>
    <xf numFmtId="6" fontId="0" fillId="0" borderId="0" xfId="0" applyNumberFormat="1"/>
    <xf numFmtId="5" fontId="41" fillId="9" borderId="24" xfId="0" applyNumberFormat="1" applyFont="1" applyFill="1" applyBorder="1" applyAlignment="1">
      <alignment horizontal="center" vertical="center"/>
    </xf>
    <xf numFmtId="5" fontId="41" fillId="9" borderId="43" xfId="0" applyNumberFormat="1" applyFont="1" applyFill="1" applyBorder="1" applyAlignment="1">
      <alignment horizontal="center" vertical="center"/>
    </xf>
    <xf numFmtId="5" fontId="34" fillId="0" borderId="27" xfId="0" applyNumberFormat="1" applyFont="1" applyBorder="1" applyAlignment="1">
      <alignment horizontal="center" vertical="center"/>
    </xf>
    <xf numFmtId="5" fontId="34" fillId="0" borderId="24" xfId="0" applyNumberFormat="1" applyFont="1" applyBorder="1" applyAlignment="1">
      <alignment horizontal="center" vertical="center"/>
    </xf>
    <xf numFmtId="5" fontId="0" fillId="0" borderId="0" xfId="0" applyNumberFormat="1"/>
    <xf numFmtId="1" fontId="4" fillId="5" borderId="21" xfId="0" applyNumberFormat="1" applyFont="1" applyFill="1" applyBorder="1" applyAlignment="1">
      <alignment vertical="center" wrapText="1"/>
    </xf>
    <xf numFmtId="1" fontId="4" fillId="5" borderId="11" xfId="0" applyNumberFormat="1" applyFont="1" applyFill="1" applyBorder="1" applyAlignment="1">
      <alignment vertical="center" wrapText="1"/>
    </xf>
    <xf numFmtId="164" fontId="0" fillId="10" borderId="0" xfId="2" applyNumberFormat="1" applyFont="1" applyFill="1"/>
    <xf numFmtId="0" fontId="0" fillId="6" borderId="0" xfId="0" applyFill="1" applyAlignment="1">
      <alignment horizontal="center" vertical="center" wrapText="1"/>
    </xf>
    <xf numFmtId="1" fontId="4" fillId="5" borderId="1" xfId="3" applyNumberFormat="1" applyFont="1" applyFill="1" applyBorder="1" applyAlignment="1">
      <alignment horizontal="center" vertical="center" wrapText="1"/>
    </xf>
    <xf numFmtId="0" fontId="33" fillId="9" borderId="42" xfId="0" applyFont="1" applyFill="1" applyBorder="1" applyAlignment="1">
      <alignment vertical="center"/>
    </xf>
    <xf numFmtId="0" fontId="34" fillId="0" borderId="24" xfId="0" applyFont="1" applyBorder="1" applyAlignment="1">
      <alignment horizontal="center" vertical="center"/>
    </xf>
    <xf numFmtId="0" fontId="33" fillId="9" borderId="24" xfId="0" applyFont="1" applyFill="1" applyBorder="1" applyAlignment="1">
      <alignment horizontal="center" vertical="center"/>
    </xf>
    <xf numFmtId="6" fontId="33" fillId="9" borderId="24" xfId="0" applyNumberFormat="1" applyFont="1" applyFill="1" applyBorder="1" applyAlignment="1">
      <alignment horizontal="center" vertical="center"/>
    </xf>
    <xf numFmtId="6" fontId="33" fillId="9" borderId="43" xfId="0" applyNumberFormat="1" applyFont="1" applyFill="1" applyBorder="1" applyAlignment="1">
      <alignment horizontal="center" vertical="center"/>
    </xf>
    <xf numFmtId="0" fontId="33" fillId="9" borderId="39" xfId="0" applyFont="1" applyFill="1" applyBorder="1" applyAlignment="1">
      <alignment vertical="center"/>
    </xf>
    <xf numFmtId="0" fontId="34" fillId="0" borderId="40" xfId="0" applyFont="1" applyBorder="1" applyAlignment="1">
      <alignment horizontal="center" vertical="center"/>
    </xf>
    <xf numFmtId="0" fontId="33" fillId="9" borderId="40" xfId="0" applyFont="1" applyFill="1" applyBorder="1" applyAlignment="1">
      <alignment horizontal="center" vertical="center"/>
    </xf>
    <xf numFmtId="6" fontId="33" fillId="9" borderId="40" xfId="0" applyNumberFormat="1" applyFont="1" applyFill="1" applyBorder="1" applyAlignment="1">
      <alignment horizontal="center" vertical="center"/>
    </xf>
    <xf numFmtId="6" fontId="33" fillId="9" borderId="41" xfId="0" applyNumberFormat="1" applyFont="1" applyFill="1" applyBorder="1" applyAlignment="1">
      <alignment horizontal="center" vertical="center"/>
    </xf>
    <xf numFmtId="0" fontId="34" fillId="0" borderId="44" xfId="0" applyFont="1" applyBorder="1" applyAlignment="1">
      <alignment vertical="center"/>
    </xf>
    <xf numFmtId="0" fontId="34" fillId="0" borderId="45" xfId="0" applyFont="1" applyBorder="1" applyAlignment="1">
      <alignment horizontal="center" vertical="center"/>
    </xf>
    <xf numFmtId="6" fontId="34" fillId="0" borderId="45" xfId="0" applyNumberFormat="1" applyFont="1" applyBorder="1" applyAlignment="1">
      <alignment horizontal="center" vertical="center"/>
    </xf>
    <xf numFmtId="6" fontId="34" fillId="0" borderId="46" xfId="0" applyNumberFormat="1" applyFont="1" applyBorder="1" applyAlignment="1">
      <alignment horizontal="center" vertical="center"/>
    </xf>
    <xf numFmtId="0" fontId="32" fillId="0" borderId="0" xfId="0" applyFont="1" applyAlignment="1">
      <alignment vertical="center"/>
    </xf>
    <xf numFmtId="0" fontId="32" fillId="0" borderId="1" xfId="0" applyFont="1" applyBorder="1"/>
    <xf numFmtId="166" fontId="32" fillId="0" borderId="1" xfId="1" applyNumberFormat="1" applyFont="1" applyBorder="1"/>
    <xf numFmtId="164" fontId="32" fillId="0" borderId="1" xfId="2" applyNumberFormat="1" applyFont="1" applyBorder="1"/>
    <xf numFmtId="164" fontId="32" fillId="0" borderId="1" xfId="0" applyNumberFormat="1" applyFont="1" applyBorder="1"/>
    <xf numFmtId="8" fontId="42" fillId="0" borderId="24" xfId="0" applyNumberFormat="1" applyFont="1" applyBorder="1" applyAlignment="1">
      <alignment horizontal="right" vertical="center"/>
    </xf>
    <xf numFmtId="169" fontId="0" fillId="0" borderId="0" xfId="1" applyNumberFormat="1" applyFont="1"/>
    <xf numFmtId="164" fontId="0" fillId="0" borderId="0" xfId="2" applyNumberFormat="1" applyFont="1" applyFill="1"/>
    <xf numFmtId="0" fontId="43" fillId="0" borderId="0" xfId="8"/>
    <xf numFmtId="0" fontId="43" fillId="0" borderId="0" xfId="8" applyAlignment="1">
      <alignment horizontal="right"/>
    </xf>
    <xf numFmtId="170" fontId="43" fillId="0" borderId="0" xfId="8" applyNumberFormat="1"/>
    <xf numFmtId="0" fontId="11" fillId="0" borderId="0" xfId="8" applyFont="1"/>
    <xf numFmtId="1" fontId="44" fillId="2" borderId="1" xfId="3" applyNumberFormat="1" applyFont="1" applyFill="1" applyBorder="1" applyAlignment="1">
      <alignment vertical="center" wrapText="1"/>
    </xf>
    <xf numFmtId="1" fontId="4" fillId="3" borderId="0" xfId="3" applyNumberFormat="1" applyFont="1" applyFill="1" applyAlignment="1">
      <alignment horizontal="center" vertical="center" wrapText="1"/>
    </xf>
    <xf numFmtId="1" fontId="4" fillId="11" borderId="0" xfId="3" applyNumberFormat="1" applyFont="1" applyFill="1" applyAlignment="1">
      <alignment horizontal="center" vertical="center" wrapText="1"/>
    </xf>
    <xf numFmtId="0" fontId="6" fillId="0" borderId="48" xfId="8" applyFont="1" applyBorder="1"/>
    <xf numFmtId="0" fontId="6" fillId="0" borderId="0" xfId="8" applyFont="1"/>
    <xf numFmtId="0" fontId="6" fillId="0" borderId="49" xfId="8" applyFont="1" applyBorder="1"/>
    <xf numFmtId="0" fontId="43" fillId="0" borderId="48" xfId="8" applyBorder="1"/>
    <xf numFmtId="170" fontId="43" fillId="0" borderId="49" xfId="8" applyNumberFormat="1" applyBorder="1"/>
    <xf numFmtId="0" fontId="6" fillId="0" borderId="50" xfId="8" applyFont="1" applyBorder="1"/>
    <xf numFmtId="170" fontId="43" fillId="0" borderId="50" xfId="8" applyNumberFormat="1" applyBorder="1"/>
    <xf numFmtId="170" fontId="43" fillId="11" borderId="0" xfId="8" applyNumberFormat="1" applyFill="1"/>
    <xf numFmtId="0" fontId="10" fillId="0" borderId="51" xfId="8" applyFont="1" applyBorder="1"/>
    <xf numFmtId="0" fontId="10" fillId="0" borderId="47" xfId="8" applyFont="1" applyBorder="1"/>
    <xf numFmtId="0" fontId="10" fillId="0" borderId="52" xfId="8" applyFont="1" applyBorder="1"/>
    <xf numFmtId="0" fontId="43" fillId="0" borderId="51" xfId="8" applyBorder="1"/>
    <xf numFmtId="0" fontId="43" fillId="0" borderId="47" xfId="8" applyBorder="1"/>
    <xf numFmtId="0" fontId="43" fillId="0" borderId="52" xfId="8" applyBorder="1"/>
    <xf numFmtId="0" fontId="10" fillId="0" borderId="53" xfId="8" applyFont="1" applyBorder="1"/>
    <xf numFmtId="170" fontId="11" fillId="0" borderId="53" xfId="8" applyNumberFormat="1" applyFont="1" applyBorder="1"/>
    <xf numFmtId="0" fontId="46" fillId="12" borderId="0" xfId="8" applyFont="1" applyFill="1"/>
    <xf numFmtId="0" fontId="43" fillId="12" borderId="0" xfId="8" applyFill="1"/>
    <xf numFmtId="1" fontId="44" fillId="12" borderId="1" xfId="3" applyNumberFormat="1" applyFont="1" applyFill="1" applyBorder="1" applyAlignment="1">
      <alignment vertical="center" wrapText="1"/>
    </xf>
    <xf numFmtId="0" fontId="6" fillId="12" borderId="48" xfId="8" applyFont="1" applyFill="1" applyBorder="1"/>
    <xf numFmtId="170" fontId="43" fillId="12" borderId="0" xfId="8" applyNumberFormat="1" applyFill="1"/>
    <xf numFmtId="0" fontId="10" fillId="12" borderId="51" xfId="8" applyFont="1" applyFill="1" applyBorder="1"/>
    <xf numFmtId="165" fontId="43" fillId="12" borderId="0" xfId="8" applyNumberFormat="1" applyFill="1"/>
    <xf numFmtId="166" fontId="43" fillId="0" borderId="0" xfId="1" applyNumberFormat="1" applyFont="1"/>
    <xf numFmtId="166" fontId="11" fillId="0" borderId="0" xfId="8" applyNumberFormat="1" applyFont="1"/>
    <xf numFmtId="166" fontId="0" fillId="0" borderId="0" xfId="0" applyNumberFormat="1"/>
    <xf numFmtId="3" fontId="29" fillId="0" borderId="24" xfId="0" quotePrefix="1" applyNumberFormat="1" applyFont="1" applyBorder="1" applyAlignment="1">
      <alignment horizontal="right" vertical="center"/>
    </xf>
    <xf numFmtId="164" fontId="29" fillId="0" borderId="24" xfId="2" quotePrefix="1" applyNumberFormat="1" applyFont="1" applyBorder="1" applyAlignment="1">
      <alignment horizontal="right" vertical="center"/>
    </xf>
    <xf numFmtId="0" fontId="47" fillId="0" borderId="26" xfId="0" applyFont="1" applyBorder="1" applyAlignment="1">
      <alignment vertical="center" wrapText="1"/>
    </xf>
    <xf numFmtId="0" fontId="2" fillId="0" borderId="0" xfId="0" applyFont="1"/>
    <xf numFmtId="166" fontId="2" fillId="0" borderId="0" xfId="1" applyNumberFormat="1" applyFont="1"/>
    <xf numFmtId="164" fontId="2" fillId="0" borderId="0" xfId="2" applyNumberFormat="1" applyFont="1"/>
    <xf numFmtId="166" fontId="2" fillId="0" borderId="0" xfId="0" applyNumberFormat="1" applyFont="1"/>
    <xf numFmtId="3" fontId="2" fillId="0" borderId="0" xfId="0" applyNumberFormat="1" applyFont="1"/>
    <xf numFmtId="164" fontId="47" fillId="0" borderId="24" xfId="2" applyNumberFormat="1" applyFont="1" applyFill="1" applyBorder="1" applyAlignment="1">
      <alignment horizontal="right" vertical="center"/>
    </xf>
    <xf numFmtId="164" fontId="29" fillId="0" borderId="24" xfId="2" applyNumberFormat="1" applyFont="1" applyFill="1" applyBorder="1" applyAlignment="1">
      <alignment horizontal="right" vertical="center"/>
    </xf>
    <xf numFmtId="167" fontId="43" fillId="0" borderId="1" xfId="8" applyNumberFormat="1" applyBorder="1"/>
    <xf numFmtId="0" fontId="43" fillId="0" borderId="1" xfId="8" applyBorder="1"/>
    <xf numFmtId="0" fontId="48" fillId="0" borderId="0" xfId="0" applyFont="1"/>
    <xf numFmtId="1" fontId="45" fillId="0" borderId="5" xfId="4" applyNumberFormat="1" applyFont="1" applyBorder="1" applyAlignment="1">
      <alignment wrapText="1"/>
    </xf>
    <xf numFmtId="3" fontId="45" fillId="0" borderId="3" xfId="4" applyNumberFormat="1" applyFont="1" applyBorder="1" applyAlignment="1">
      <alignment wrapText="1"/>
    </xf>
    <xf numFmtId="42" fontId="45" fillId="0" borderId="3" xfId="4" applyNumberFormat="1" applyFont="1" applyBorder="1" applyAlignment="1">
      <alignment wrapText="1"/>
    </xf>
    <xf numFmtId="0" fontId="49" fillId="0" borderId="0" xfId="0" applyFont="1"/>
    <xf numFmtId="1" fontId="49" fillId="0" borderId="0" xfId="0" applyNumberFormat="1" applyFont="1" applyAlignment="1">
      <alignment wrapText="1"/>
    </xf>
    <xf numFmtId="167" fontId="49" fillId="0" borderId="0" xfId="0" applyNumberFormat="1" applyFont="1"/>
    <xf numFmtId="164" fontId="49" fillId="0" borderId="0" xfId="2" applyNumberFormat="1" applyFont="1" applyFill="1"/>
    <xf numFmtId="1" fontId="49" fillId="0" borderId="0" xfId="0" applyNumberFormat="1" applyFont="1"/>
    <xf numFmtId="3" fontId="49" fillId="0" borderId="0" xfId="0" applyNumberFormat="1" applyFont="1"/>
    <xf numFmtId="166" fontId="49" fillId="0" borderId="0" xfId="1" applyNumberFormat="1" applyFont="1" applyFill="1"/>
    <xf numFmtId="3" fontId="33" fillId="0" borderId="27" xfId="0" applyNumberFormat="1" applyFont="1" applyBorder="1" applyAlignment="1">
      <alignment horizontal="center" vertical="center"/>
    </xf>
    <xf numFmtId="0" fontId="33" fillId="0" borderId="27" xfId="0" applyFont="1" applyBorder="1" applyAlignment="1">
      <alignment horizontal="center" vertical="center"/>
    </xf>
    <xf numFmtId="0" fontId="39" fillId="0" borderId="0" xfId="0" applyFont="1" applyAlignment="1">
      <alignment vertical="top" wrapText="1"/>
    </xf>
    <xf numFmtId="165" fontId="0" fillId="0" borderId="0" xfId="0" applyNumberFormat="1"/>
    <xf numFmtId="3" fontId="25" fillId="0" borderId="24" xfId="0" applyNumberFormat="1" applyFont="1" applyBorder="1" applyAlignment="1">
      <alignment horizontal="right" vertical="center"/>
    </xf>
    <xf numFmtId="6" fontId="25" fillId="0" borderId="24" xfId="0" applyNumberFormat="1" applyFont="1" applyBorder="1" applyAlignment="1">
      <alignment horizontal="right" vertical="center"/>
    </xf>
    <xf numFmtId="0" fontId="31" fillId="0" borderId="0" xfId="0" applyFont="1" applyAlignment="1">
      <alignment horizontal="left" vertical="center" wrapText="1"/>
    </xf>
    <xf numFmtId="0" fontId="24" fillId="0" borderId="0" xfId="0" applyFont="1" applyAlignment="1">
      <alignment horizontal="left" vertical="center" wrapText="1"/>
    </xf>
    <xf numFmtId="3" fontId="24" fillId="0" borderId="0" xfId="0" applyNumberFormat="1" applyFont="1" applyAlignment="1">
      <alignment horizontal="left" vertical="center" wrapText="1"/>
    </xf>
    <xf numFmtId="166" fontId="32" fillId="0" borderId="0" xfId="1" applyNumberFormat="1" applyFont="1" applyBorder="1"/>
    <xf numFmtId="164" fontId="32" fillId="0" borderId="0" xfId="2" applyNumberFormat="1" applyFont="1" applyBorder="1"/>
    <xf numFmtId="171" fontId="43" fillId="0" borderId="0" xfId="1" applyNumberFormat="1" applyFont="1"/>
    <xf numFmtId="165" fontId="43" fillId="0" borderId="1" xfId="8" applyNumberFormat="1" applyBorder="1"/>
    <xf numFmtId="165" fontId="43" fillId="0" borderId="0" xfId="8" applyNumberFormat="1"/>
    <xf numFmtId="165" fontId="11" fillId="0" borderId="0" xfId="8" applyNumberFormat="1" applyFont="1"/>
    <xf numFmtId="165" fontId="11" fillId="4" borderId="21" xfId="8" applyNumberFormat="1" applyFont="1" applyFill="1" applyBorder="1"/>
    <xf numFmtId="0" fontId="50" fillId="0" borderId="0" xfId="0" applyFont="1"/>
    <xf numFmtId="0" fontId="51" fillId="0" borderId="0" xfId="0" applyFont="1" applyAlignment="1">
      <alignment vertical="center"/>
    </xf>
    <xf numFmtId="37" fontId="34" fillId="0" borderId="27" xfId="0" applyNumberFormat="1" applyFont="1" applyBorder="1" applyAlignment="1">
      <alignment horizontal="center" vertical="center"/>
    </xf>
    <xf numFmtId="37" fontId="34" fillId="0" borderId="24" xfId="0" applyNumberFormat="1" applyFont="1" applyBorder="1" applyAlignment="1">
      <alignment horizontal="center" vertical="center"/>
    </xf>
    <xf numFmtId="37" fontId="33" fillId="9" borderId="24" xfId="0" applyNumberFormat="1" applyFont="1" applyFill="1" applyBorder="1" applyAlignment="1">
      <alignment horizontal="center" vertical="center"/>
    </xf>
    <xf numFmtId="37" fontId="34" fillId="0" borderId="45" xfId="0" applyNumberFormat="1" applyFont="1" applyBorder="1" applyAlignment="1">
      <alignment horizontal="center" vertical="center"/>
    </xf>
    <xf numFmtId="0" fontId="0" fillId="0" borderId="0" xfId="0" applyAlignment="1">
      <alignment wrapText="1"/>
    </xf>
    <xf numFmtId="0" fontId="0" fillId="6" borderId="47" xfId="0" applyFill="1" applyBorder="1" applyAlignment="1">
      <alignment horizontal="center" vertical="center" wrapText="1"/>
    </xf>
    <xf numFmtId="0" fontId="0" fillId="6" borderId="0" xfId="0" applyFill="1" applyAlignment="1">
      <alignment horizontal="center" vertical="center" wrapText="1"/>
    </xf>
    <xf numFmtId="0" fontId="0" fillId="6" borderId="0" xfId="0" applyFill="1" applyAlignment="1">
      <alignment horizontal="center" vertical="center"/>
    </xf>
    <xf numFmtId="0" fontId="0" fillId="6" borderId="0" xfId="0" applyFill="1" applyAlignment="1">
      <alignment horizontal="center"/>
    </xf>
    <xf numFmtId="1" fontId="4" fillId="5" borderId="1" xfId="3" applyNumberFormat="1" applyFont="1" applyFill="1" applyBorder="1" applyAlignment="1">
      <alignment horizontal="center" vertical="center" wrapText="1"/>
    </xf>
    <xf numFmtId="1" fontId="4" fillId="5" borderId="1" xfId="3" applyNumberFormat="1" applyFont="1" applyFill="1" applyBorder="1" applyAlignment="1">
      <alignment horizontal="center"/>
    </xf>
    <xf numFmtId="1" fontId="5" fillId="5" borderId="1" xfId="3" applyNumberFormat="1" applyFont="1" applyFill="1" applyBorder="1"/>
    <xf numFmtId="1" fontId="4" fillId="5" borderId="7" xfId="0" applyNumberFormat="1" applyFont="1" applyFill="1" applyBorder="1" applyAlignment="1">
      <alignment horizontal="center"/>
    </xf>
    <xf numFmtId="1" fontId="4" fillId="5" borderId="8" xfId="0" applyNumberFormat="1" applyFont="1" applyFill="1" applyBorder="1" applyAlignment="1">
      <alignment horizontal="center"/>
    </xf>
    <xf numFmtId="1" fontId="4" fillId="5" borderId="9" xfId="0" applyNumberFormat="1" applyFont="1" applyFill="1" applyBorder="1" applyAlignment="1">
      <alignment horizontal="center"/>
    </xf>
    <xf numFmtId="0" fontId="32" fillId="0" borderId="38" xfId="0" applyFont="1" applyBorder="1" applyAlignment="1">
      <alignment wrapText="1"/>
    </xf>
    <xf numFmtId="0" fontId="38" fillId="0" borderId="7" xfId="0" applyFont="1" applyBorder="1" applyAlignment="1">
      <alignment horizontal="left" vertical="center" wrapText="1"/>
    </xf>
    <xf numFmtId="0" fontId="38" fillId="0" borderId="9" xfId="0" applyFont="1" applyBorder="1" applyAlignment="1">
      <alignment horizontal="left" vertical="center" wrapText="1"/>
    </xf>
    <xf numFmtId="0" fontId="5" fillId="0" borderId="0" xfId="0" applyFont="1" applyAlignment="1">
      <alignment horizontal="left" vertical="center" wrapText="1"/>
    </xf>
    <xf numFmtId="0" fontId="51" fillId="0" borderId="0" xfId="0" applyFont="1" applyAlignment="1">
      <alignment horizontal="left" vertical="center" wrapText="1"/>
    </xf>
    <xf numFmtId="0" fontId="30" fillId="0" borderId="31" xfId="0" applyFont="1" applyBorder="1" applyAlignment="1">
      <alignment horizontal="left" vertical="center" wrapText="1"/>
    </xf>
    <xf numFmtId="0" fontId="30" fillId="0" borderId="0" xfId="0" applyFont="1" applyAlignment="1">
      <alignment horizontal="left" vertical="center" wrapText="1"/>
    </xf>
    <xf numFmtId="0" fontId="39" fillId="0" borderId="0" xfId="0" applyFont="1" applyAlignment="1">
      <alignment horizontal="left" vertical="top" wrapText="1" indent="2"/>
    </xf>
    <xf numFmtId="0" fontId="21" fillId="0" borderId="0" xfId="0" applyFont="1" applyAlignment="1">
      <alignment horizontal="left" vertical="top" wrapText="1" indent="2"/>
    </xf>
    <xf numFmtId="0" fontId="19" fillId="7" borderId="10" xfId="0" applyFont="1" applyFill="1" applyBorder="1" applyAlignment="1">
      <alignment horizontal="center" vertical="center" wrapText="1"/>
    </xf>
    <xf numFmtId="0" fontId="19" fillId="7" borderId="22" xfId="0" applyFont="1" applyFill="1" applyBorder="1" applyAlignment="1">
      <alignment horizontal="center" vertical="center" wrapText="1"/>
    </xf>
    <xf numFmtId="0" fontId="19" fillId="7" borderId="7" xfId="0" applyFont="1" applyFill="1" applyBorder="1" applyAlignment="1">
      <alignment horizontal="center" vertical="center" wrapText="1"/>
    </xf>
    <xf numFmtId="0" fontId="19" fillId="7" borderId="8" xfId="0" applyFont="1" applyFill="1" applyBorder="1" applyAlignment="1">
      <alignment horizontal="center" vertical="center" wrapText="1"/>
    </xf>
    <xf numFmtId="0" fontId="19" fillId="7" borderId="23" xfId="0" applyFont="1" applyFill="1" applyBorder="1" applyAlignment="1">
      <alignment horizontal="center" vertical="center" wrapText="1"/>
    </xf>
    <xf numFmtId="0" fontId="19" fillId="7" borderId="28" xfId="0" applyFont="1" applyFill="1" applyBorder="1" applyAlignment="1">
      <alignment horizontal="center" vertical="center" wrapText="1"/>
    </xf>
    <xf numFmtId="0" fontId="19" fillId="7" borderId="25" xfId="0" applyFont="1" applyFill="1" applyBorder="1" applyAlignment="1">
      <alignment horizontal="center" vertical="center" wrapText="1"/>
    </xf>
    <xf numFmtId="0" fontId="19" fillId="7" borderId="26" xfId="0" applyFont="1" applyFill="1" applyBorder="1" applyAlignment="1">
      <alignment horizontal="center" vertical="center" wrapText="1"/>
    </xf>
    <xf numFmtId="1" fontId="4" fillId="2" borderId="1" xfId="3" applyNumberFormat="1" applyFont="1" applyFill="1" applyBorder="1" applyAlignment="1">
      <alignment horizontal="center" vertical="center" wrapText="1"/>
    </xf>
    <xf numFmtId="1" fontId="4" fillId="3" borderId="1" xfId="3" applyNumberFormat="1" applyFont="1" applyFill="1" applyBorder="1" applyAlignment="1">
      <alignment horizontal="center"/>
    </xf>
    <xf numFmtId="1" fontId="5" fillId="3" borderId="1" xfId="3" applyNumberFormat="1" applyFont="1" applyFill="1" applyBorder="1"/>
    <xf numFmtId="0" fontId="13" fillId="0" borderId="6" xfId="0" applyFont="1" applyBorder="1" applyAlignment="1">
      <alignment horizontal="center" vertical="top"/>
    </xf>
  </cellXfs>
  <cellStyles count="9">
    <cellStyle name="Comma" xfId="1" builtinId="3"/>
    <cellStyle name="Comma 4" xfId="6" xr:uid="{7F8A90BE-CD6A-469B-9005-F923ECF94966}"/>
    <cellStyle name="Currency" xfId="2" builtinId="4"/>
    <cellStyle name="Currency 2" xfId="7" xr:uid="{78F397DE-0774-4D21-8C83-10A3C65961F6}"/>
    <cellStyle name="Currency 2 2" xfId="5" xr:uid="{96E08D30-B3D1-4845-AFBB-DB079D7BCAB0}"/>
    <cellStyle name="Normal" xfId="0" builtinId="0"/>
    <cellStyle name="Normal 2" xfId="3" xr:uid="{9128282B-48EE-4EE3-9FCC-DCE83A555FC9}"/>
    <cellStyle name="Normal 3" xfId="8" xr:uid="{1F0F5E0B-FA4F-4A09-AC00-82B16056DDF4}"/>
    <cellStyle name="Normal_IP_Fugitives_Thresholds_Frequency_Methods (3)" xfId="4" xr:uid="{33EA1978-AECF-4CB7-8E3C-D3B01DD80E5E}"/>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091081-D8D8-4112-8902-8FB5CB70CA23}">
  <sheetPr>
    <tabColor theme="3" tint="0.499984740745262"/>
    <pageSetUpPr fitToPage="1"/>
  </sheetPr>
  <dimension ref="A1:CI63"/>
  <sheetViews>
    <sheetView tabSelected="1" zoomScale="89" zoomScaleNormal="89" workbookViewId="0">
      <pane xSplit="2" ySplit="3" topLeftCell="BE4" activePane="bottomRight" state="frozen"/>
      <selection pane="topRight" activeCell="C1" sqref="C1"/>
      <selection pane="bottomLeft" activeCell="A4" sqref="A4"/>
      <selection pane="bottomRight" activeCell="CA58" sqref="CA58:CC58"/>
    </sheetView>
  </sheetViews>
  <sheetFormatPr defaultRowHeight="15" x14ac:dyDescent="0.25"/>
  <cols>
    <col min="1" max="1" width="4.85546875" hidden="1" customWidth="1"/>
    <col min="2" max="2" width="18.5703125" customWidth="1"/>
    <col min="3" max="3" width="11.5703125" customWidth="1"/>
    <col min="4" max="4" width="10.85546875" bestFit="1" customWidth="1"/>
    <col min="5" max="5" width="12.85546875" customWidth="1"/>
    <col min="6" max="6" width="14.140625" customWidth="1"/>
    <col min="7" max="7" width="11.7109375" customWidth="1"/>
    <col min="8" max="8" width="9.85546875" bestFit="1" customWidth="1"/>
    <col min="10" max="10" width="23.85546875" bestFit="1" customWidth="1"/>
    <col min="11" max="11" width="16.28515625" customWidth="1"/>
    <col min="12" max="12" width="18.7109375" bestFit="1" customWidth="1"/>
    <col min="13" max="13" width="16.7109375" bestFit="1" customWidth="1"/>
    <col min="14" max="14" width="19.140625" customWidth="1"/>
    <col min="16" max="25" width="12.7109375" customWidth="1"/>
    <col min="27" max="27" width="21.42578125" customWidth="1"/>
    <col min="28" max="33" width="12.7109375" customWidth="1"/>
    <col min="34" max="37" width="12.7109375" style="74" customWidth="1"/>
    <col min="39" max="39" width="20.28515625" customWidth="1"/>
    <col min="47" max="47" width="11.140625" customWidth="1"/>
    <col min="48" max="48" width="11.42578125" customWidth="1"/>
    <col min="50" max="51" width="19.42578125" style="72" customWidth="1"/>
    <col min="52" max="52" width="16.5703125" customWidth="1"/>
    <col min="53" max="61" width="12.7109375" customWidth="1"/>
    <col min="62" max="62" width="8.42578125" customWidth="1"/>
    <col min="63" max="64" width="19.42578125" style="72" hidden="1" customWidth="1"/>
    <col min="65" max="65" width="16.5703125" hidden="1" customWidth="1"/>
    <col min="66" max="70" width="12.7109375" hidden="1" customWidth="1"/>
    <col min="71" max="71" width="23.28515625" hidden="1" customWidth="1"/>
    <col min="72" max="72" width="12.7109375" hidden="1" customWidth="1"/>
    <col min="73" max="73" width="16.42578125" hidden="1" customWidth="1"/>
    <col min="74" max="74" width="15.5703125" hidden="1" customWidth="1"/>
    <col min="75" max="75" width="0" hidden="1" customWidth="1"/>
    <col min="76" max="76" width="12.7109375" customWidth="1"/>
    <col min="77" max="77" width="18.28515625" customWidth="1"/>
    <col min="78" max="78" width="17.7109375" customWidth="1"/>
    <col min="79" max="83" width="12.7109375" customWidth="1"/>
    <col min="84" max="84" width="16.7109375" bestFit="1" customWidth="1"/>
    <col min="85" max="85" width="12.7109375" customWidth="1"/>
    <col min="86" max="86" width="15.5703125" bestFit="1" customWidth="1"/>
    <col min="87" max="87" width="16.7109375" bestFit="1" customWidth="1"/>
    <col min="88" max="88" width="12.7109375" customWidth="1"/>
  </cols>
  <sheetData>
    <row r="1" spans="1:87" ht="36.75" customHeight="1" thickBot="1" x14ac:dyDescent="0.3">
      <c r="B1" s="261" t="s">
        <v>0</v>
      </c>
      <c r="C1" s="261"/>
      <c r="D1" s="261"/>
      <c r="E1" s="261"/>
      <c r="F1" s="261"/>
      <c r="G1" s="261"/>
      <c r="H1" s="261"/>
      <c r="I1" s="261"/>
      <c r="J1" s="261"/>
      <c r="K1" s="261"/>
      <c r="L1" s="261"/>
      <c r="M1" s="261"/>
      <c r="N1" s="261"/>
      <c r="P1" s="262" t="s">
        <v>1</v>
      </c>
      <c r="Q1" s="262"/>
      <c r="R1" s="262"/>
      <c r="S1" s="262"/>
      <c r="T1" s="262"/>
      <c r="U1" s="262"/>
      <c r="V1" s="262"/>
      <c r="W1" s="262"/>
      <c r="X1" s="262"/>
      <c r="Y1" s="262"/>
      <c r="AA1" s="262" t="s">
        <v>2</v>
      </c>
      <c r="AB1" s="262"/>
      <c r="AC1" s="262"/>
      <c r="AD1" s="262"/>
      <c r="AE1" s="262"/>
      <c r="AF1" s="262"/>
      <c r="AG1" s="262"/>
      <c r="AH1" s="262"/>
      <c r="AI1" s="262"/>
      <c r="AJ1" s="262"/>
      <c r="AK1" s="158"/>
      <c r="AM1" s="262" t="s">
        <v>3</v>
      </c>
      <c r="AN1" s="262"/>
      <c r="AO1" s="262"/>
      <c r="AP1" s="262"/>
      <c r="AQ1" s="262"/>
      <c r="AR1" s="262"/>
      <c r="AS1" s="262"/>
      <c r="AT1" s="262"/>
      <c r="AU1" s="262"/>
      <c r="AV1" s="262"/>
      <c r="AX1" s="263" t="s">
        <v>4</v>
      </c>
      <c r="AY1" s="263"/>
      <c r="AZ1" s="263"/>
      <c r="BA1" s="263"/>
      <c r="BB1" s="263"/>
      <c r="BC1" s="263"/>
      <c r="BD1" s="263"/>
      <c r="BE1" s="263"/>
      <c r="BF1" s="263"/>
      <c r="BG1" s="263"/>
      <c r="BH1" s="263"/>
      <c r="BI1" s="263"/>
      <c r="BK1" s="263" t="s">
        <v>5</v>
      </c>
      <c r="BL1" s="263"/>
      <c r="BM1" s="263"/>
      <c r="BN1" s="263"/>
      <c r="BO1" s="263"/>
      <c r="BP1" s="263"/>
      <c r="BQ1" s="263"/>
      <c r="BR1" s="263"/>
      <c r="BS1" s="263"/>
      <c r="BT1" s="263"/>
      <c r="BU1" s="263"/>
      <c r="BV1" s="263"/>
      <c r="BX1" s="264" t="s">
        <v>307</v>
      </c>
      <c r="BY1" s="264"/>
      <c r="BZ1" s="264"/>
      <c r="CA1" s="264"/>
      <c r="CB1" s="264"/>
      <c r="CC1" s="264"/>
      <c r="CD1" s="264"/>
      <c r="CE1" s="264"/>
      <c r="CF1" s="264"/>
      <c r="CG1" s="264"/>
      <c r="CH1" s="264"/>
      <c r="CI1" s="264"/>
    </row>
    <row r="2" spans="1:87" ht="60.75" thickBot="1" x14ac:dyDescent="0.3">
      <c r="B2" s="265" t="s">
        <v>6</v>
      </c>
      <c r="C2" s="266" t="s">
        <v>7</v>
      </c>
      <c r="D2" s="266"/>
      <c r="E2" s="266"/>
      <c r="F2" s="266"/>
      <c r="G2" s="266"/>
      <c r="H2" s="266"/>
      <c r="I2" s="266"/>
      <c r="J2" s="266"/>
      <c r="K2" s="266"/>
      <c r="L2" s="266"/>
      <c r="M2" s="266"/>
      <c r="N2" s="267"/>
      <c r="AA2" s="268" t="s">
        <v>8</v>
      </c>
      <c r="AB2" s="269"/>
      <c r="AC2" s="269"/>
      <c r="AD2" s="269"/>
      <c r="AE2" s="269"/>
      <c r="AF2" s="269"/>
      <c r="AG2" s="269"/>
      <c r="AH2" s="269"/>
      <c r="AI2" s="269"/>
      <c r="AJ2" s="269"/>
      <c r="AK2" s="270"/>
      <c r="BK2" s="72" t="s">
        <v>9</v>
      </c>
      <c r="CF2" s="104" t="s">
        <v>10</v>
      </c>
      <c r="CH2" s="104" t="s">
        <v>11</v>
      </c>
    </row>
    <row r="3" spans="1:87" ht="68.25" thickBot="1" x14ac:dyDescent="0.3">
      <c r="B3" s="265"/>
      <c r="C3" s="159" t="s">
        <v>12</v>
      </c>
      <c r="D3" s="159" t="s">
        <v>13</v>
      </c>
      <c r="E3" s="159" t="s">
        <v>14</v>
      </c>
      <c r="F3" s="159" t="s">
        <v>15</v>
      </c>
      <c r="G3" s="159" t="s">
        <v>16</v>
      </c>
      <c r="H3" s="159" t="s">
        <v>17</v>
      </c>
      <c r="I3" s="159" t="s">
        <v>18</v>
      </c>
      <c r="J3" s="159" t="s">
        <v>19</v>
      </c>
      <c r="K3" s="159" t="s">
        <v>20</v>
      </c>
      <c r="L3" s="159" t="s">
        <v>21</v>
      </c>
      <c r="M3" s="159" t="s">
        <v>22</v>
      </c>
      <c r="N3" s="159" t="s">
        <v>23</v>
      </c>
      <c r="P3" s="79" t="s">
        <v>24</v>
      </c>
      <c r="Q3" s="79" t="s">
        <v>25</v>
      </c>
      <c r="R3" s="79" t="s">
        <v>26</v>
      </c>
      <c r="S3" s="79" t="s">
        <v>27</v>
      </c>
      <c r="T3" s="79" t="s">
        <v>28</v>
      </c>
      <c r="U3" s="80" t="s">
        <v>29</v>
      </c>
      <c r="V3" s="75" t="s">
        <v>30</v>
      </c>
      <c r="W3" s="76" t="s">
        <v>31</v>
      </c>
      <c r="X3" s="76" t="s">
        <v>32</v>
      </c>
      <c r="Y3" s="77" t="s">
        <v>33</v>
      </c>
      <c r="AA3" s="33" t="s">
        <v>24</v>
      </c>
      <c r="AB3" s="34" t="s">
        <v>34</v>
      </c>
      <c r="AC3" s="35" t="s">
        <v>15</v>
      </c>
      <c r="AD3" s="35" t="s">
        <v>16</v>
      </c>
      <c r="AE3" s="35" t="s">
        <v>17</v>
      </c>
      <c r="AF3" s="35" t="s">
        <v>18</v>
      </c>
      <c r="AG3" s="36" t="s">
        <v>19</v>
      </c>
      <c r="AH3" s="75" t="s">
        <v>20</v>
      </c>
      <c r="AI3" s="76" t="s">
        <v>21</v>
      </c>
      <c r="AJ3" s="76" t="s">
        <v>22</v>
      </c>
      <c r="AK3" s="77" t="s">
        <v>23</v>
      </c>
      <c r="AM3" s="79" t="s">
        <v>24</v>
      </c>
      <c r="AN3" s="79" t="s">
        <v>25</v>
      </c>
      <c r="AO3" s="79" t="s">
        <v>26</v>
      </c>
      <c r="AP3" s="79" t="s">
        <v>27</v>
      </c>
      <c r="AQ3" s="79" t="s">
        <v>28</v>
      </c>
      <c r="AR3" s="80" t="s">
        <v>29</v>
      </c>
      <c r="AS3" s="75" t="s">
        <v>30</v>
      </c>
      <c r="AT3" s="76" t="s">
        <v>31</v>
      </c>
      <c r="AU3" s="76" t="s">
        <v>32</v>
      </c>
      <c r="AV3" s="77" t="s">
        <v>33</v>
      </c>
      <c r="AX3" s="79" t="s">
        <v>24</v>
      </c>
      <c r="AY3" s="79" t="s">
        <v>35</v>
      </c>
      <c r="AZ3" s="79" t="s">
        <v>36</v>
      </c>
      <c r="BA3" s="79" t="s">
        <v>25</v>
      </c>
      <c r="BB3" s="79" t="s">
        <v>26</v>
      </c>
      <c r="BC3" s="79" t="s">
        <v>27</v>
      </c>
      <c r="BD3" s="79" t="s">
        <v>28</v>
      </c>
      <c r="BE3" s="80" t="s">
        <v>29</v>
      </c>
      <c r="BF3" s="75" t="s">
        <v>30</v>
      </c>
      <c r="BG3" s="76" t="s">
        <v>31</v>
      </c>
      <c r="BH3" s="76" t="s">
        <v>32</v>
      </c>
      <c r="BI3" s="77" t="s">
        <v>33</v>
      </c>
      <c r="BK3" s="79" t="s">
        <v>24</v>
      </c>
      <c r="BL3" s="79" t="s">
        <v>35</v>
      </c>
      <c r="BM3" s="79" t="s">
        <v>37</v>
      </c>
      <c r="BN3" s="79" t="s">
        <v>38</v>
      </c>
      <c r="BO3" s="79" t="s">
        <v>39</v>
      </c>
      <c r="BP3" s="79" t="s">
        <v>40</v>
      </c>
      <c r="BQ3" s="79" t="s">
        <v>41</v>
      </c>
      <c r="BR3" s="80" t="s">
        <v>42</v>
      </c>
      <c r="BS3" s="75" t="s">
        <v>43</v>
      </c>
      <c r="BT3" s="76" t="s">
        <v>44</v>
      </c>
      <c r="BU3" s="76" t="s">
        <v>45</v>
      </c>
      <c r="BV3" s="77" t="s">
        <v>46</v>
      </c>
      <c r="BX3" s="155" t="s">
        <v>24</v>
      </c>
      <c r="BY3" s="156" t="str">
        <f>AY3</f>
        <v>Change in number of reporters because of 2024 amendments</v>
      </c>
      <c r="BZ3" s="79" t="s">
        <v>47</v>
      </c>
      <c r="CA3" s="79" t="s">
        <v>15</v>
      </c>
      <c r="CB3" s="79" t="s">
        <v>16</v>
      </c>
      <c r="CC3" s="79" t="s">
        <v>17</v>
      </c>
      <c r="CD3" s="79" t="s">
        <v>18</v>
      </c>
      <c r="CE3" s="80" t="s">
        <v>19</v>
      </c>
      <c r="CF3" s="37" t="s">
        <v>20</v>
      </c>
      <c r="CG3" s="35" t="s">
        <v>21</v>
      </c>
      <c r="CH3" s="35" t="s">
        <v>22</v>
      </c>
      <c r="CI3" s="38" t="s">
        <v>23</v>
      </c>
    </row>
    <row r="4" spans="1:87" ht="47.25" x14ac:dyDescent="0.25">
      <c r="A4" s="2">
        <v>1</v>
      </c>
      <c r="B4" s="3" t="s">
        <v>48</v>
      </c>
      <c r="C4" s="4">
        <v>1793</v>
      </c>
      <c r="D4" s="4">
        <v>111</v>
      </c>
      <c r="E4" s="4">
        <v>199023</v>
      </c>
      <c r="F4" s="4">
        <v>69797.7</v>
      </c>
      <c r="G4" s="4">
        <v>2689.5</v>
      </c>
      <c r="H4" s="4">
        <v>2689.5</v>
      </c>
      <c r="I4" s="4">
        <v>0</v>
      </c>
      <c r="J4" s="4">
        <v>75176.7</v>
      </c>
      <c r="K4" s="5">
        <v>5490481.2809999995</v>
      </c>
      <c r="L4" s="5">
        <v>0</v>
      </c>
      <c r="M4" s="5">
        <v>1892086</v>
      </c>
      <c r="N4" s="5">
        <v>7382567.2809999995</v>
      </c>
      <c r="P4" s="71" t="str">
        <f>B4</f>
        <v>C. Stationary Combustion (C only)</v>
      </c>
      <c r="Q4" s="59">
        <f>F4/$C4</f>
        <v>38.927886224205238</v>
      </c>
      <c r="R4" s="59">
        <f t="shared" ref="R4:Y4" si="0">G4/$C4</f>
        <v>1.5</v>
      </c>
      <c r="S4" s="59">
        <f t="shared" si="0"/>
        <v>1.5</v>
      </c>
      <c r="T4" s="59">
        <f t="shared" si="0"/>
        <v>0</v>
      </c>
      <c r="U4" s="59">
        <f t="shared" si="0"/>
        <v>41.927886224205238</v>
      </c>
      <c r="V4" s="74">
        <f t="shared" si="0"/>
        <v>3062.1758399330729</v>
      </c>
      <c r="W4" s="74">
        <f t="shared" si="0"/>
        <v>0</v>
      </c>
      <c r="X4" s="74">
        <f t="shared" si="0"/>
        <v>1055.2626882320135</v>
      </c>
      <c r="Y4" s="74">
        <f t="shared" si="0"/>
        <v>4117.4385281650866</v>
      </c>
      <c r="AA4" s="71" t="s">
        <v>49</v>
      </c>
      <c r="AB4" s="58">
        <v>310</v>
      </c>
      <c r="AC4" s="58">
        <v>-4.3000000000000043</v>
      </c>
      <c r="AD4" s="58">
        <v>-1.2950000000000002</v>
      </c>
      <c r="AE4" s="58">
        <v>-2.5900000000000003</v>
      </c>
      <c r="AF4" s="58">
        <v>0</v>
      </c>
      <c r="AG4" s="58">
        <v>-8.1850000000000041</v>
      </c>
      <c r="AH4" s="74">
        <v>-2424.9576542000004</v>
      </c>
      <c r="AI4" s="74">
        <v>0</v>
      </c>
      <c r="AJ4" s="74">
        <v>0</v>
      </c>
      <c r="AK4" s="74">
        <v>-2424.9576542000004</v>
      </c>
      <c r="AM4" s="71" t="str">
        <f t="shared" ref="AM4:AM17" si="1">AA4</f>
        <v>C. Stationary Combustion (general unspecified)</v>
      </c>
      <c r="AN4" s="59">
        <f>AC4/$C4</f>
        <v>-2.3982152816508667E-3</v>
      </c>
      <c r="AO4" s="59">
        <f t="shared" ref="AO4:AR4" si="2">AD4/$C4</f>
        <v>-7.2225320691578373E-4</v>
      </c>
      <c r="AP4" s="59">
        <f t="shared" si="2"/>
        <v>-1.4445064138315675E-3</v>
      </c>
      <c r="AQ4" s="59">
        <f t="shared" si="2"/>
        <v>0</v>
      </c>
      <c r="AR4" s="59">
        <f t="shared" si="2"/>
        <v>-4.5649749023982172E-3</v>
      </c>
      <c r="AS4" s="74">
        <f>AH4/$C4</f>
        <v>-1.3524582566648078</v>
      </c>
      <c r="AT4" s="74">
        <f t="shared" ref="AT4:AV4" si="3">AI4/$C4</f>
        <v>0</v>
      </c>
      <c r="AU4" s="74">
        <f t="shared" si="3"/>
        <v>0</v>
      </c>
      <c r="AV4" s="74">
        <f t="shared" si="3"/>
        <v>-1.3524582566648078</v>
      </c>
      <c r="AX4" s="71" t="str">
        <f t="shared" ref="AX4:AX45" si="4">B4</f>
        <v>C. Stationary Combustion (C only)</v>
      </c>
      <c r="AY4" s="71"/>
      <c r="AZ4" s="81">
        <f t="shared" ref="AZ4:AZ10" si="5">C4</f>
        <v>1793</v>
      </c>
      <c r="BA4" s="59">
        <f t="shared" ref="BA4:BA50" si="6">Q4+AN4</f>
        <v>38.925488008923587</v>
      </c>
      <c r="BB4" s="59">
        <f t="shared" ref="BB4:BB50" si="7">R4+AO4</f>
        <v>1.4992777467930842</v>
      </c>
      <c r="BC4" s="59">
        <f t="shared" ref="BC4:BC50" si="8">S4+AP4</f>
        <v>1.4985554935861685</v>
      </c>
      <c r="BD4" s="59">
        <f t="shared" ref="BD4:BD50" si="9">T4+AQ4</f>
        <v>0</v>
      </c>
      <c r="BE4" s="59">
        <f t="shared" ref="BE4:BE50" si="10">U4+AR4</f>
        <v>41.923321249302838</v>
      </c>
      <c r="BF4" s="74">
        <f t="shared" ref="BF4:BF50" si="11">V4+AS4</f>
        <v>3060.8233816764082</v>
      </c>
      <c r="BG4" s="74">
        <f t="shared" ref="BG4:BG50" si="12">W4+AT4</f>
        <v>0</v>
      </c>
      <c r="BH4" s="74">
        <f t="shared" ref="BH4:BH50" si="13">X4+AU4</f>
        <v>1055.2626882320135</v>
      </c>
      <c r="BI4" s="74">
        <f t="shared" ref="BI4:BI50" si="14">Y4+AV4</f>
        <v>4116.0860699084215</v>
      </c>
      <c r="BK4" s="71"/>
      <c r="BL4" s="71"/>
      <c r="BM4" s="81"/>
      <c r="BN4" s="59"/>
      <c r="BO4" s="59"/>
      <c r="BP4" s="59"/>
      <c r="BQ4" s="59"/>
      <c r="BR4" s="59"/>
      <c r="BS4" s="74"/>
      <c r="BT4" s="74"/>
      <c r="BU4" s="74"/>
      <c r="BV4" s="74"/>
      <c r="BX4" s="71" t="str">
        <f>AX4</f>
        <v>C. Stationary Combustion (C only)</v>
      </c>
      <c r="BY4" s="71"/>
      <c r="BZ4" s="81">
        <v>1813</v>
      </c>
      <c r="CA4" s="78">
        <f>BA4*$BZ4</f>
        <v>70571.90976017846</v>
      </c>
      <c r="CB4" s="78">
        <f>BB4*$BZ4</f>
        <v>2718.1905549358617</v>
      </c>
      <c r="CC4" s="78">
        <f>BC4*$BZ4</f>
        <v>2716.8811098717233</v>
      </c>
      <c r="CD4" s="78">
        <f>BD4*$BZ4</f>
        <v>0</v>
      </c>
      <c r="CE4" s="78">
        <f>SUM(CA4:CD4)</f>
        <v>76006.98142498605</v>
      </c>
      <c r="CF4" s="74" cm="1">
        <f t="array" ref="CF4">CA4*Engineer+CB4*Manager+CC4*Admin+CD4*Lawyer</f>
        <v>6200357.4082654752</v>
      </c>
      <c r="CG4" s="74">
        <f t="shared" ref="CG4" si="15">BG4*$AZ4</f>
        <v>0</v>
      </c>
      <c r="CH4" s="74">
        <f t="shared" ref="CH4:CH22" si="16">BH4*$BZ4*CEPCI_Ratio</f>
        <v>2151529.486225151</v>
      </c>
      <c r="CI4" s="74">
        <f>SUM(CF4:CH4)</f>
        <v>8351886.8944906257</v>
      </c>
    </row>
    <row r="5" spans="1:87" ht="75" x14ac:dyDescent="0.25">
      <c r="A5" s="2">
        <v>1</v>
      </c>
      <c r="B5" s="7" t="s">
        <v>50</v>
      </c>
      <c r="C5" s="4">
        <v>3519</v>
      </c>
      <c r="D5" s="4">
        <v>111</v>
      </c>
      <c r="E5" s="4">
        <v>390609</v>
      </c>
      <c r="F5" s="4">
        <v>142387.30000000002</v>
      </c>
      <c r="G5" s="4">
        <v>5278.5</v>
      </c>
      <c r="H5" s="4">
        <v>5278.5</v>
      </c>
      <c r="I5" s="4">
        <v>0</v>
      </c>
      <c r="J5" s="4">
        <v>152944.30000000002</v>
      </c>
      <c r="K5" s="5">
        <v>11170106.640000001</v>
      </c>
      <c r="L5" s="5">
        <v>0</v>
      </c>
      <c r="M5" s="5">
        <v>3383470</v>
      </c>
      <c r="N5" s="5">
        <v>14553576.640000001</v>
      </c>
      <c r="P5" s="71" t="str">
        <f t="shared" ref="P5:P45" si="17">B5</f>
        <v>C -plus at least one other subpart - all tiers</v>
      </c>
      <c r="Q5" s="59">
        <f t="shared" ref="Q5:Q45" si="18">F5/$C5</f>
        <v>40.462432509235583</v>
      </c>
      <c r="R5" s="59">
        <f t="shared" ref="R5:R45" si="19">G5/$C5</f>
        <v>1.5</v>
      </c>
      <c r="S5" s="59">
        <f t="shared" ref="S5:S45" si="20">H5/$C5</f>
        <v>1.5</v>
      </c>
      <c r="T5" s="59">
        <f t="shared" ref="T5:T45" si="21">I5/$C5</f>
        <v>0</v>
      </c>
      <c r="U5" s="59">
        <f t="shared" ref="U5:U45" si="22">J5/$C5</f>
        <v>43.462432509235583</v>
      </c>
      <c r="V5" s="74">
        <f t="shared" ref="V5:V45" si="23">K5/$C5</f>
        <v>3174.2275191815856</v>
      </c>
      <c r="W5" s="74">
        <f t="shared" ref="W5:W45" si="24">L5/$C5</f>
        <v>0</v>
      </c>
      <c r="X5" s="74">
        <f t="shared" ref="X5:X45" si="25">M5/$C5</f>
        <v>961.48621767547604</v>
      </c>
      <c r="Y5" s="74">
        <f t="shared" ref="Y5:Y45" si="26">N5/$C5</f>
        <v>4135.713736857062</v>
      </c>
      <c r="AA5" s="72"/>
      <c r="AM5" s="71"/>
      <c r="AX5" s="71" t="str">
        <f t="shared" si="4"/>
        <v>C -plus at least one other subpart - all tiers</v>
      </c>
      <c r="AY5" s="71"/>
      <c r="AZ5" s="81">
        <f t="shared" si="5"/>
        <v>3519</v>
      </c>
      <c r="BA5" s="59">
        <f t="shared" si="6"/>
        <v>40.462432509235583</v>
      </c>
      <c r="BB5" s="59">
        <f t="shared" si="7"/>
        <v>1.5</v>
      </c>
      <c r="BC5" s="59">
        <f t="shared" si="8"/>
        <v>1.5</v>
      </c>
      <c r="BD5" s="59">
        <f t="shared" si="9"/>
        <v>0</v>
      </c>
      <c r="BE5" s="59">
        <f t="shared" si="10"/>
        <v>43.462432509235583</v>
      </c>
      <c r="BF5" s="74">
        <f t="shared" si="11"/>
        <v>3174.2275191815856</v>
      </c>
      <c r="BG5" s="74">
        <f t="shared" si="12"/>
        <v>0</v>
      </c>
      <c r="BH5" s="74">
        <f t="shared" si="13"/>
        <v>961.48621767547604</v>
      </c>
      <c r="BI5" s="74">
        <f t="shared" si="14"/>
        <v>4135.713736857062</v>
      </c>
      <c r="BK5" s="71"/>
      <c r="BL5" s="71"/>
      <c r="BM5" s="81"/>
      <c r="BN5" s="59"/>
      <c r="BO5" s="59"/>
      <c r="BP5" s="59"/>
      <c r="BQ5" s="59"/>
      <c r="BR5" s="59"/>
      <c r="BS5" s="74"/>
      <c r="BT5" s="74"/>
      <c r="BU5" s="74"/>
      <c r="BV5" s="74"/>
      <c r="BX5" s="71" t="str">
        <f t="shared" ref="BX5:BX50" si="27">AX5</f>
        <v>C -plus at least one other subpart - all tiers</v>
      </c>
      <c r="BY5" s="71"/>
      <c r="BZ5" s="81">
        <v>3587</v>
      </c>
      <c r="CA5" s="78">
        <f t="shared" ref="CA5:CA22" si="28">BA5*$BZ5</f>
        <v>145138.74541062803</v>
      </c>
      <c r="CB5" s="78">
        <f t="shared" ref="CB5:CB50" si="29">BB5*$BZ5</f>
        <v>5380.5</v>
      </c>
      <c r="CC5" s="78">
        <f t="shared" ref="CC5:CC50" si="30">BC5*$BZ5</f>
        <v>5380.5</v>
      </c>
      <c r="CD5" s="78">
        <f t="shared" ref="CD5:CD50" si="31">BD5*$BZ5</f>
        <v>0</v>
      </c>
      <c r="CE5" s="78">
        <f t="shared" ref="CE5:CE50" si="32">SUM(CA5:CD5)</f>
        <v>155899.74541062803</v>
      </c>
      <c r="CF5" s="74" cm="1">
        <f t="array" ref="CF5">CA5*Engineer+CB5*Manager+CC5*Admin+CD5*Lawyer</f>
        <v>12723325.018280193</v>
      </c>
      <c r="CG5" s="74">
        <f t="shared" ref="CG5:CG50" si="33">BG5*$AZ5</f>
        <v>0</v>
      </c>
      <c r="CH5" s="74">
        <f t="shared" si="16"/>
        <v>3878496.0680831899</v>
      </c>
      <c r="CI5" s="74">
        <f t="shared" ref="CI5:CI50" si="34">SUM(CF5:CH5)</f>
        <v>16601821.086363383</v>
      </c>
    </row>
    <row r="6" spans="1:87" ht="31.5" x14ac:dyDescent="0.25">
      <c r="A6" s="2">
        <v>1</v>
      </c>
      <c r="B6" s="8" t="s">
        <v>51</v>
      </c>
      <c r="C6" s="4">
        <v>1096</v>
      </c>
      <c r="D6" s="4">
        <v>61</v>
      </c>
      <c r="E6" s="4">
        <v>66856</v>
      </c>
      <c r="F6" s="4">
        <v>3288</v>
      </c>
      <c r="G6" s="4">
        <v>876.80000000000007</v>
      </c>
      <c r="H6" s="4">
        <v>876.80000000000007</v>
      </c>
      <c r="I6" s="4">
        <v>0</v>
      </c>
      <c r="J6" s="4">
        <v>5041.6000000000004</v>
      </c>
      <c r="K6" s="5">
        <v>352721.29600000003</v>
      </c>
      <c r="L6" s="5">
        <v>0</v>
      </c>
      <c r="M6" s="5">
        <v>60280</v>
      </c>
      <c r="N6" s="5">
        <v>413001.29600000003</v>
      </c>
      <c r="P6" s="71" t="str">
        <f t="shared" si="17"/>
        <v>D. Electricity Generation</v>
      </c>
      <c r="Q6" s="59">
        <f t="shared" si="18"/>
        <v>3</v>
      </c>
      <c r="R6" s="59">
        <f t="shared" si="19"/>
        <v>0.8</v>
      </c>
      <c r="S6" s="59">
        <f t="shared" si="20"/>
        <v>0.8</v>
      </c>
      <c r="T6" s="59">
        <f t="shared" si="21"/>
        <v>0</v>
      </c>
      <c r="U6" s="59">
        <f t="shared" si="22"/>
        <v>4.6000000000000005</v>
      </c>
      <c r="V6" s="74">
        <f t="shared" si="23"/>
        <v>321.82600000000002</v>
      </c>
      <c r="W6" s="74">
        <f t="shared" si="24"/>
        <v>0</v>
      </c>
      <c r="X6" s="74">
        <f t="shared" si="25"/>
        <v>55</v>
      </c>
      <c r="Y6" s="74">
        <f t="shared" si="26"/>
        <v>376.82600000000002</v>
      </c>
      <c r="AA6" s="72"/>
      <c r="AM6" s="71"/>
      <c r="AX6" s="71" t="str">
        <f t="shared" si="4"/>
        <v>D. Electricity Generation</v>
      </c>
      <c r="AY6" s="71"/>
      <c r="AZ6" s="81">
        <f t="shared" si="5"/>
        <v>1096</v>
      </c>
      <c r="BA6" s="59">
        <f t="shared" si="6"/>
        <v>3</v>
      </c>
      <c r="BB6" s="59">
        <f t="shared" si="7"/>
        <v>0.8</v>
      </c>
      <c r="BC6" s="59">
        <f t="shared" si="8"/>
        <v>0.8</v>
      </c>
      <c r="BD6" s="59">
        <f t="shared" si="9"/>
        <v>0</v>
      </c>
      <c r="BE6" s="59">
        <f t="shared" si="10"/>
        <v>4.6000000000000005</v>
      </c>
      <c r="BF6" s="74">
        <f t="shared" si="11"/>
        <v>321.82600000000002</v>
      </c>
      <c r="BG6" s="74">
        <f t="shared" si="12"/>
        <v>0</v>
      </c>
      <c r="BH6" s="74">
        <f t="shared" si="13"/>
        <v>55</v>
      </c>
      <c r="BI6" s="74">
        <f t="shared" si="14"/>
        <v>376.82600000000002</v>
      </c>
      <c r="BK6" s="71"/>
      <c r="BL6" s="71"/>
      <c r="BM6" s="81"/>
      <c r="BN6" s="59"/>
      <c r="BO6" s="59"/>
      <c r="BP6" s="59"/>
      <c r="BQ6" s="59"/>
      <c r="BR6" s="59"/>
      <c r="BS6" s="74"/>
      <c r="BT6" s="74"/>
      <c r="BU6" s="74"/>
      <c r="BV6" s="74"/>
      <c r="BX6" s="71" t="str">
        <f t="shared" si="27"/>
        <v>D. Electricity Generation</v>
      </c>
      <c r="BY6" s="71"/>
      <c r="BZ6" s="81">
        <v>1086</v>
      </c>
      <c r="CA6" s="78">
        <f t="shared" si="28"/>
        <v>3258</v>
      </c>
      <c r="CB6" s="78">
        <f t="shared" si="29"/>
        <v>868.80000000000007</v>
      </c>
      <c r="CC6" s="78">
        <f t="shared" si="30"/>
        <v>868.80000000000007</v>
      </c>
      <c r="CD6" s="78">
        <f t="shared" si="31"/>
        <v>0</v>
      </c>
      <c r="CE6" s="78">
        <f t="shared" si="32"/>
        <v>4995.6000000000004</v>
      </c>
      <c r="CF6" s="74" cm="1">
        <f t="array" ref="CF6">CA6*Engineer+CB6*Manager+CC6*Admin+CD6*Lawyer</f>
        <v>387165.51599999995</v>
      </c>
      <c r="CG6" s="74">
        <f t="shared" si="33"/>
        <v>0</v>
      </c>
      <c r="CH6" s="74">
        <f t="shared" si="16"/>
        <v>67170.940677966108</v>
      </c>
      <c r="CI6" s="74">
        <f t="shared" si="34"/>
        <v>454336.45667796605</v>
      </c>
    </row>
    <row r="7" spans="1:87" ht="31.5" x14ac:dyDescent="0.25">
      <c r="A7" s="2">
        <v>1</v>
      </c>
      <c r="B7" s="8" t="s">
        <v>52</v>
      </c>
      <c r="C7" s="4">
        <v>2</v>
      </c>
      <c r="D7" s="4">
        <v>31</v>
      </c>
      <c r="E7" s="4">
        <v>62</v>
      </c>
      <c r="F7" s="4">
        <v>33</v>
      </c>
      <c r="G7" s="4">
        <v>5.0999999999999996</v>
      </c>
      <c r="H7" s="4">
        <v>4.05</v>
      </c>
      <c r="I7" s="4">
        <v>2</v>
      </c>
      <c r="J7" s="4">
        <v>44.15</v>
      </c>
      <c r="K7" s="5">
        <v>3269.8374999999996</v>
      </c>
      <c r="L7" s="5">
        <v>0</v>
      </c>
      <c r="M7" s="5">
        <v>6118</v>
      </c>
      <c r="N7" s="5">
        <v>9387.8374999999996</v>
      </c>
      <c r="P7" s="71" t="str">
        <f t="shared" si="17"/>
        <v>E. Adipic Acid Prod.</v>
      </c>
      <c r="Q7" s="59">
        <f t="shared" si="18"/>
        <v>16.5</v>
      </c>
      <c r="R7" s="59">
        <f t="shared" si="19"/>
        <v>2.5499999999999998</v>
      </c>
      <c r="S7" s="59">
        <f t="shared" si="20"/>
        <v>2.0249999999999999</v>
      </c>
      <c r="T7" s="59">
        <f t="shared" si="21"/>
        <v>1</v>
      </c>
      <c r="U7" s="59">
        <f t="shared" si="22"/>
        <v>22.074999999999999</v>
      </c>
      <c r="V7" s="74">
        <f t="shared" si="23"/>
        <v>1634.9187499999998</v>
      </c>
      <c r="W7" s="74">
        <f t="shared" si="24"/>
        <v>0</v>
      </c>
      <c r="X7" s="74">
        <f t="shared" si="25"/>
        <v>3059</v>
      </c>
      <c r="Y7" s="74">
        <f t="shared" si="26"/>
        <v>4693.9187499999998</v>
      </c>
      <c r="AA7" s="72"/>
      <c r="AM7" s="71"/>
      <c r="AX7" s="71" t="str">
        <f t="shared" si="4"/>
        <v>E. Adipic Acid Prod.</v>
      </c>
      <c r="AY7" s="71"/>
      <c r="AZ7" s="81">
        <f t="shared" si="5"/>
        <v>2</v>
      </c>
      <c r="BA7" s="59">
        <f t="shared" si="6"/>
        <v>16.5</v>
      </c>
      <c r="BB7" s="59">
        <f t="shared" si="7"/>
        <v>2.5499999999999998</v>
      </c>
      <c r="BC7" s="59">
        <f t="shared" si="8"/>
        <v>2.0249999999999999</v>
      </c>
      <c r="BD7" s="59">
        <f t="shared" si="9"/>
        <v>1</v>
      </c>
      <c r="BE7" s="59">
        <f t="shared" si="10"/>
        <v>22.074999999999999</v>
      </c>
      <c r="BF7" s="74">
        <f t="shared" si="11"/>
        <v>1634.9187499999998</v>
      </c>
      <c r="BG7" s="74">
        <f t="shared" si="12"/>
        <v>0</v>
      </c>
      <c r="BH7" s="74">
        <f t="shared" si="13"/>
        <v>3059</v>
      </c>
      <c r="BI7" s="74">
        <f t="shared" si="14"/>
        <v>4693.9187499999998</v>
      </c>
      <c r="BK7" s="71"/>
      <c r="BL7" s="71"/>
      <c r="BM7" s="81"/>
      <c r="BN7" s="59"/>
      <c r="BO7" s="59"/>
      <c r="BP7" s="59"/>
      <c r="BQ7" s="59"/>
      <c r="BR7" s="59"/>
      <c r="BS7" s="74"/>
      <c r="BT7" s="74"/>
      <c r="BU7" s="74"/>
      <c r="BV7" s="74"/>
      <c r="BX7" s="71" t="str">
        <f t="shared" si="27"/>
        <v>E. Adipic Acid Prod.</v>
      </c>
      <c r="BY7" s="71"/>
      <c r="BZ7" s="81">
        <f>AZ7</f>
        <v>2</v>
      </c>
      <c r="CA7" s="78">
        <f t="shared" si="28"/>
        <v>33</v>
      </c>
      <c r="CB7" s="78">
        <f t="shared" si="29"/>
        <v>5.0999999999999996</v>
      </c>
      <c r="CC7" s="78">
        <f t="shared" si="30"/>
        <v>4.05</v>
      </c>
      <c r="CD7" s="78">
        <f t="shared" si="31"/>
        <v>2</v>
      </c>
      <c r="CE7" s="78">
        <f t="shared" si="32"/>
        <v>44.15</v>
      </c>
      <c r="CF7" s="74" cm="1">
        <f t="array" ref="CF7">CA7*Engineer+CB7*Manager+CC7*Admin+CD7*Lawyer</f>
        <v>3660.4655000000002</v>
      </c>
      <c r="CG7" s="74">
        <f t="shared" si="33"/>
        <v>0</v>
      </c>
      <c r="CH7" s="74">
        <f t="shared" si="16"/>
        <v>6880.1576271186441</v>
      </c>
      <c r="CI7" s="74">
        <f t="shared" si="34"/>
        <v>10540.623127118644</v>
      </c>
    </row>
    <row r="8" spans="1:87" ht="31.5" x14ac:dyDescent="0.25">
      <c r="A8" s="2">
        <v>1</v>
      </c>
      <c r="B8" s="8" t="s">
        <v>53</v>
      </c>
      <c r="C8" s="4">
        <v>7</v>
      </c>
      <c r="D8" s="4">
        <v>23</v>
      </c>
      <c r="E8" s="4">
        <v>161</v>
      </c>
      <c r="F8" s="4">
        <v>378.5</v>
      </c>
      <c r="G8" s="4">
        <v>47.4</v>
      </c>
      <c r="H8" s="4">
        <v>13.449999999999998</v>
      </c>
      <c r="I8" s="4">
        <v>7</v>
      </c>
      <c r="J8" s="4">
        <v>446.34999999999997</v>
      </c>
      <c r="K8" s="5">
        <v>33535.807500000003</v>
      </c>
      <c r="L8" s="5">
        <v>0</v>
      </c>
      <c r="M8" s="5">
        <v>4471</v>
      </c>
      <c r="N8" s="5">
        <v>38006.807500000003</v>
      </c>
      <c r="P8" s="71" t="str">
        <f t="shared" si="17"/>
        <v xml:space="preserve">F. Aluminum Production </v>
      </c>
      <c r="Q8" s="59">
        <f t="shared" si="18"/>
        <v>54.071428571428569</v>
      </c>
      <c r="R8" s="59">
        <f t="shared" si="19"/>
        <v>6.7714285714285714</v>
      </c>
      <c r="S8" s="59">
        <f t="shared" si="20"/>
        <v>1.921428571428571</v>
      </c>
      <c r="T8" s="59">
        <f t="shared" si="21"/>
        <v>1</v>
      </c>
      <c r="U8" s="59">
        <f t="shared" si="22"/>
        <v>63.764285714285712</v>
      </c>
      <c r="V8" s="74">
        <f t="shared" si="23"/>
        <v>4790.829642857143</v>
      </c>
      <c r="W8" s="74">
        <f t="shared" si="24"/>
        <v>0</v>
      </c>
      <c r="X8" s="74">
        <f t="shared" si="25"/>
        <v>638.71428571428567</v>
      </c>
      <c r="Y8" s="74">
        <f t="shared" si="26"/>
        <v>5429.5439285714292</v>
      </c>
      <c r="AA8" s="72"/>
      <c r="AM8" s="71"/>
      <c r="AX8" s="71" t="str">
        <f t="shared" si="4"/>
        <v xml:space="preserve">F. Aluminum Production </v>
      </c>
      <c r="AY8" s="71"/>
      <c r="AZ8" s="81">
        <f t="shared" si="5"/>
        <v>7</v>
      </c>
      <c r="BA8" s="59">
        <f t="shared" si="6"/>
        <v>54.071428571428569</v>
      </c>
      <c r="BB8" s="59">
        <f t="shared" si="7"/>
        <v>6.7714285714285714</v>
      </c>
      <c r="BC8" s="59">
        <f t="shared" si="8"/>
        <v>1.921428571428571</v>
      </c>
      <c r="BD8" s="59">
        <f t="shared" si="9"/>
        <v>1</v>
      </c>
      <c r="BE8" s="59">
        <f t="shared" si="10"/>
        <v>63.764285714285712</v>
      </c>
      <c r="BF8" s="74">
        <f t="shared" si="11"/>
        <v>4790.829642857143</v>
      </c>
      <c r="BG8" s="74">
        <f t="shared" si="12"/>
        <v>0</v>
      </c>
      <c r="BH8" s="74">
        <f t="shared" si="13"/>
        <v>638.71428571428567</v>
      </c>
      <c r="BI8" s="74">
        <f t="shared" si="14"/>
        <v>5429.5439285714292</v>
      </c>
      <c r="BK8" s="71"/>
      <c r="BL8" s="71"/>
      <c r="BM8" s="81"/>
      <c r="BN8" s="59"/>
      <c r="BO8" s="59"/>
      <c r="BP8" s="59"/>
      <c r="BQ8" s="59"/>
      <c r="BR8" s="59"/>
      <c r="BS8" s="74"/>
      <c r="BT8" s="74"/>
      <c r="BU8" s="74"/>
      <c r="BV8" s="74"/>
      <c r="BX8" s="71" t="str">
        <f t="shared" si="27"/>
        <v xml:space="preserve">F. Aluminum Production </v>
      </c>
      <c r="BY8" s="71"/>
      <c r="BZ8" s="81">
        <f>AZ8</f>
        <v>7</v>
      </c>
      <c r="CA8" s="78">
        <f t="shared" si="28"/>
        <v>378.5</v>
      </c>
      <c r="CB8" s="78">
        <f t="shared" si="29"/>
        <v>47.4</v>
      </c>
      <c r="CC8" s="78">
        <f t="shared" si="30"/>
        <v>13.449999999999998</v>
      </c>
      <c r="CD8" s="78">
        <f t="shared" si="31"/>
        <v>7</v>
      </c>
      <c r="CE8" s="78">
        <f t="shared" si="32"/>
        <v>446.34999999999997</v>
      </c>
      <c r="CF8" s="74" cm="1">
        <f t="array" ref="CF8">CA8*Engineer+CB8*Manager+CC8*Admin+CD8*Lawyer</f>
        <v>37440.294499999996</v>
      </c>
      <c r="CG8" s="74">
        <f t="shared" si="33"/>
        <v>0</v>
      </c>
      <c r="CH8" s="74">
        <f t="shared" si="16"/>
        <v>5027.9805084745758</v>
      </c>
      <c r="CI8" s="74">
        <f t="shared" si="34"/>
        <v>42468.275008474571</v>
      </c>
    </row>
    <row r="9" spans="1:87" ht="45" x14ac:dyDescent="0.25">
      <c r="A9" s="2">
        <v>1</v>
      </c>
      <c r="B9" s="8" t="s">
        <v>54</v>
      </c>
      <c r="C9" s="4">
        <v>29</v>
      </c>
      <c r="D9" s="4">
        <v>134</v>
      </c>
      <c r="E9" s="4">
        <v>3886</v>
      </c>
      <c r="F9" s="4">
        <v>1030.4000000000001</v>
      </c>
      <c r="G9" s="4">
        <v>103</v>
      </c>
      <c r="H9" s="4">
        <v>72.8</v>
      </c>
      <c r="I9" s="4">
        <v>29</v>
      </c>
      <c r="J9" s="4">
        <v>1235.2</v>
      </c>
      <c r="K9" s="5">
        <v>91292.373999999996</v>
      </c>
      <c r="L9" s="5">
        <v>0</v>
      </c>
      <c r="M9" s="5">
        <v>143035</v>
      </c>
      <c r="N9" s="5">
        <v>234327.37399999998</v>
      </c>
      <c r="P9" s="71" t="str">
        <f t="shared" si="17"/>
        <v>G. Ammonia Manufacturing</v>
      </c>
      <c r="Q9" s="59">
        <f t="shared" si="18"/>
        <v>35.531034482758621</v>
      </c>
      <c r="R9" s="59">
        <f t="shared" si="19"/>
        <v>3.5517241379310347</v>
      </c>
      <c r="S9" s="59">
        <f t="shared" si="20"/>
        <v>2.5103448275862066</v>
      </c>
      <c r="T9" s="59">
        <f t="shared" si="21"/>
        <v>1</v>
      </c>
      <c r="U9" s="59">
        <f t="shared" si="22"/>
        <v>42.593103448275862</v>
      </c>
      <c r="V9" s="74">
        <f t="shared" si="23"/>
        <v>3148.0128965517242</v>
      </c>
      <c r="W9" s="74">
        <f t="shared" si="24"/>
        <v>0</v>
      </c>
      <c r="X9" s="74">
        <f t="shared" si="25"/>
        <v>4932.2413793103451</v>
      </c>
      <c r="Y9" s="74">
        <f t="shared" si="26"/>
        <v>8080.2542758620684</v>
      </c>
      <c r="AA9" s="71" t="s">
        <v>54</v>
      </c>
      <c r="AB9" s="58">
        <v>29</v>
      </c>
      <c r="AC9" s="58">
        <v>1.4500000000000002</v>
      </c>
      <c r="AD9" s="58">
        <v>7.2500000000000009E-2</v>
      </c>
      <c r="AE9" s="58">
        <v>0.14500000000000002</v>
      </c>
      <c r="AF9" s="58">
        <v>0</v>
      </c>
      <c r="AG9" s="58">
        <v>1.6675000000000002</v>
      </c>
      <c r="AH9" s="74">
        <v>118.61346260000002</v>
      </c>
      <c r="AI9" s="74">
        <v>0</v>
      </c>
      <c r="AJ9" s="74">
        <v>0</v>
      </c>
      <c r="AK9" s="74">
        <v>118.61346260000002</v>
      </c>
      <c r="AM9" s="71" t="str">
        <f t="shared" si="1"/>
        <v>G. Ammonia Manufacturing</v>
      </c>
      <c r="AN9" s="59">
        <f t="shared" ref="AN9:AN11" si="35">AC9/$C9</f>
        <v>0.05</v>
      </c>
      <c r="AO9" s="59">
        <f t="shared" ref="AO9:AO11" si="36">AD9/$C9</f>
        <v>2.5000000000000005E-3</v>
      </c>
      <c r="AP9" s="59">
        <f t="shared" ref="AP9:AP11" si="37">AE9/$C9</f>
        <v>5.000000000000001E-3</v>
      </c>
      <c r="AQ9" s="59">
        <f t="shared" ref="AQ9:AQ11" si="38">AF9/$C9</f>
        <v>0</v>
      </c>
      <c r="AR9" s="59">
        <f t="shared" ref="AR9:AR11" si="39">AG9/$C9</f>
        <v>5.7500000000000009E-2</v>
      </c>
      <c r="AS9" s="74">
        <f t="shared" ref="AS9:AS11" si="40">AH9/$C9</f>
        <v>4.0901194000000007</v>
      </c>
      <c r="AT9" s="74">
        <f t="shared" ref="AT9:AT11" si="41">AI9/$C9</f>
        <v>0</v>
      </c>
      <c r="AU9" s="74">
        <f t="shared" ref="AU9:AU11" si="42">AJ9/$C9</f>
        <v>0</v>
      </c>
      <c r="AV9" s="74">
        <f t="shared" ref="AV9:AV11" si="43">AK9/$C9</f>
        <v>4.0901194000000007</v>
      </c>
      <c r="AX9" s="71" t="str">
        <f t="shared" si="4"/>
        <v>G. Ammonia Manufacturing</v>
      </c>
      <c r="AY9" s="71"/>
      <c r="AZ9" s="81">
        <f t="shared" si="5"/>
        <v>29</v>
      </c>
      <c r="BA9" s="59">
        <f t="shared" si="6"/>
        <v>35.581034482758618</v>
      </c>
      <c r="BB9" s="59">
        <f t="shared" si="7"/>
        <v>3.5542241379310346</v>
      </c>
      <c r="BC9" s="59">
        <f t="shared" si="8"/>
        <v>2.5153448275862065</v>
      </c>
      <c r="BD9" s="59">
        <f t="shared" si="9"/>
        <v>1</v>
      </c>
      <c r="BE9" s="59">
        <f t="shared" si="10"/>
        <v>42.650603448275859</v>
      </c>
      <c r="BF9" s="74">
        <f t="shared" si="11"/>
        <v>3152.103015951724</v>
      </c>
      <c r="BG9" s="74">
        <f t="shared" si="12"/>
        <v>0</v>
      </c>
      <c r="BH9" s="74">
        <f t="shared" si="13"/>
        <v>4932.2413793103451</v>
      </c>
      <c r="BI9" s="74">
        <f t="shared" si="14"/>
        <v>8084.3443952620682</v>
      </c>
      <c r="BK9" s="71"/>
      <c r="BL9" s="71"/>
      <c r="BM9" s="81"/>
      <c r="BN9" s="59"/>
      <c r="BO9" s="59"/>
      <c r="BP9" s="59"/>
      <c r="BQ9" s="59"/>
      <c r="BR9" s="59"/>
      <c r="BS9" s="74"/>
      <c r="BT9" s="74"/>
      <c r="BU9" s="74"/>
      <c r="BV9" s="74"/>
      <c r="BX9" s="71" t="str">
        <f t="shared" si="27"/>
        <v>G. Ammonia Manufacturing</v>
      </c>
      <c r="BY9" s="71"/>
      <c r="BZ9" s="81">
        <f>AZ9</f>
        <v>29</v>
      </c>
      <c r="CA9" s="78">
        <f t="shared" si="28"/>
        <v>1031.8499999999999</v>
      </c>
      <c r="CB9" s="78">
        <f t="shared" si="29"/>
        <v>103.07250000000001</v>
      </c>
      <c r="CC9" s="78">
        <f t="shared" si="30"/>
        <v>72.944999999999993</v>
      </c>
      <c r="CD9" s="78">
        <f t="shared" si="31"/>
        <v>29</v>
      </c>
      <c r="CE9" s="78">
        <f t="shared" si="32"/>
        <v>1236.8674999999998</v>
      </c>
      <c r="CF9" s="74" cm="1">
        <f t="array" ref="CF9">CA9*Engineer+CB9*Manager+CC9*Admin+CD9*Lawyer</f>
        <v>102205.16299999999</v>
      </c>
      <c r="CG9" s="74">
        <f t="shared" si="33"/>
        <v>0</v>
      </c>
      <c r="CH9" s="74">
        <f t="shared" si="16"/>
        <v>160853.76694915254</v>
      </c>
      <c r="CI9" s="74">
        <f t="shared" si="34"/>
        <v>263058.92994915252</v>
      </c>
    </row>
    <row r="10" spans="1:87" ht="31.5" x14ac:dyDescent="0.25">
      <c r="A10" s="2">
        <v>1</v>
      </c>
      <c r="B10" s="8" t="s">
        <v>55</v>
      </c>
      <c r="C10" s="4">
        <v>92</v>
      </c>
      <c r="D10" s="4">
        <v>112</v>
      </c>
      <c r="E10" s="4">
        <v>10304</v>
      </c>
      <c r="F10" s="4">
        <v>1656</v>
      </c>
      <c r="G10" s="4">
        <v>230</v>
      </c>
      <c r="H10" s="4">
        <v>322</v>
      </c>
      <c r="I10" s="4">
        <v>23</v>
      </c>
      <c r="J10" s="4">
        <v>2231</v>
      </c>
      <c r="K10" s="5">
        <v>156885.76000000001</v>
      </c>
      <c r="L10" s="5">
        <v>0</v>
      </c>
      <c r="M10" s="5">
        <v>5060</v>
      </c>
      <c r="N10" s="5">
        <v>161945.76</v>
      </c>
      <c r="P10" s="71" t="str">
        <f t="shared" si="17"/>
        <v>H. Cement Production</v>
      </c>
      <c r="Q10" s="59">
        <f t="shared" si="18"/>
        <v>18</v>
      </c>
      <c r="R10" s="59">
        <f t="shared" si="19"/>
        <v>2.5</v>
      </c>
      <c r="S10" s="59">
        <f t="shared" si="20"/>
        <v>3.5</v>
      </c>
      <c r="T10" s="59">
        <f t="shared" si="21"/>
        <v>0.25</v>
      </c>
      <c r="U10" s="59">
        <f t="shared" si="22"/>
        <v>24.25</v>
      </c>
      <c r="V10" s="74">
        <f t="shared" si="23"/>
        <v>1705.2800000000002</v>
      </c>
      <c r="W10" s="74">
        <f t="shared" si="24"/>
        <v>0</v>
      </c>
      <c r="X10" s="74">
        <f t="shared" si="25"/>
        <v>55</v>
      </c>
      <c r="Y10" s="74">
        <f t="shared" si="26"/>
        <v>1760.2800000000002</v>
      </c>
      <c r="AA10" s="71" t="s">
        <v>55</v>
      </c>
      <c r="AB10" s="58">
        <v>94</v>
      </c>
      <c r="AC10" s="58">
        <v>23.5</v>
      </c>
      <c r="AD10" s="58">
        <v>1.175</v>
      </c>
      <c r="AE10" s="58">
        <v>2.35</v>
      </c>
      <c r="AF10" s="58">
        <v>0</v>
      </c>
      <c r="AG10" s="58">
        <v>27.025000000000002</v>
      </c>
      <c r="AH10" s="74">
        <v>1999.4547300000002</v>
      </c>
      <c r="AI10" s="74">
        <v>0</v>
      </c>
      <c r="AJ10" s="74">
        <v>0</v>
      </c>
      <c r="AK10" s="74">
        <v>1999.4547300000002</v>
      </c>
      <c r="AM10" s="71" t="str">
        <f t="shared" si="1"/>
        <v>H. Cement Production</v>
      </c>
      <c r="AN10" s="59">
        <f t="shared" si="35"/>
        <v>0.25543478260869568</v>
      </c>
      <c r="AO10" s="59">
        <f t="shared" si="36"/>
        <v>1.2771739130434783E-2</v>
      </c>
      <c r="AP10" s="59">
        <f t="shared" si="37"/>
        <v>2.5543478260869567E-2</v>
      </c>
      <c r="AQ10" s="59">
        <f t="shared" si="38"/>
        <v>0</v>
      </c>
      <c r="AR10" s="59">
        <f t="shared" si="39"/>
        <v>0.29375000000000001</v>
      </c>
      <c r="AS10" s="74">
        <f t="shared" si="40"/>
        <v>21.733203586956524</v>
      </c>
      <c r="AT10" s="74">
        <f t="shared" si="41"/>
        <v>0</v>
      </c>
      <c r="AU10" s="74">
        <f t="shared" si="42"/>
        <v>0</v>
      </c>
      <c r="AV10" s="74">
        <f t="shared" si="43"/>
        <v>21.733203586956524</v>
      </c>
      <c r="AX10" s="71" t="str">
        <f t="shared" si="4"/>
        <v>H. Cement Production</v>
      </c>
      <c r="AY10" s="71"/>
      <c r="AZ10" s="81">
        <f t="shared" si="5"/>
        <v>92</v>
      </c>
      <c r="BA10" s="59">
        <f t="shared" si="6"/>
        <v>18.255434782608695</v>
      </c>
      <c r="BB10" s="59">
        <f t="shared" si="7"/>
        <v>2.5127717391304349</v>
      </c>
      <c r="BC10" s="59">
        <f t="shared" si="8"/>
        <v>3.5255434782608694</v>
      </c>
      <c r="BD10" s="59">
        <f t="shared" si="9"/>
        <v>0.25</v>
      </c>
      <c r="BE10" s="59">
        <f t="shared" si="10"/>
        <v>24.543749999999999</v>
      </c>
      <c r="BF10" s="74">
        <f t="shared" si="11"/>
        <v>1727.0132035869567</v>
      </c>
      <c r="BG10" s="74">
        <f t="shared" si="12"/>
        <v>0</v>
      </c>
      <c r="BH10" s="74">
        <f t="shared" si="13"/>
        <v>55</v>
      </c>
      <c r="BI10" s="74">
        <f t="shared" si="14"/>
        <v>1782.0132035869567</v>
      </c>
      <c r="BK10" s="71"/>
      <c r="BL10" s="71"/>
      <c r="BM10" s="81"/>
      <c r="BN10" s="59"/>
      <c r="BO10" s="59"/>
      <c r="BP10" s="59"/>
      <c r="BQ10" s="59"/>
      <c r="BR10" s="59"/>
      <c r="BS10" s="74"/>
      <c r="BT10" s="74"/>
      <c r="BU10" s="74"/>
      <c r="BV10" s="74"/>
      <c r="BX10" s="71" t="str">
        <f t="shared" si="27"/>
        <v>H. Cement Production</v>
      </c>
      <c r="BY10" s="71"/>
      <c r="BZ10" s="81">
        <v>90</v>
      </c>
      <c r="CA10" s="78">
        <f t="shared" si="28"/>
        <v>1642.9891304347825</v>
      </c>
      <c r="CB10" s="78">
        <f t="shared" si="29"/>
        <v>226.14945652173915</v>
      </c>
      <c r="CC10" s="78">
        <f t="shared" si="30"/>
        <v>317.29891304347825</v>
      </c>
      <c r="CD10" s="78">
        <f t="shared" si="31"/>
        <v>22.5</v>
      </c>
      <c r="CE10" s="78">
        <f t="shared" si="32"/>
        <v>2208.9375</v>
      </c>
      <c r="CF10" s="74" cm="1">
        <f t="array" ref="CF10">CA10*Engineer+CB10*Manager+CC10*Admin+CD10*Lawyer</f>
        <v>172970.63804347822</v>
      </c>
      <c r="CG10" s="74">
        <f t="shared" si="33"/>
        <v>0</v>
      </c>
      <c r="CH10" s="74">
        <f t="shared" si="16"/>
        <v>5566.6525423728808</v>
      </c>
      <c r="CI10" s="74">
        <f t="shared" si="34"/>
        <v>178537.29058585109</v>
      </c>
    </row>
    <row r="11" spans="1:87" ht="60" x14ac:dyDescent="0.25">
      <c r="A11" s="2">
        <v>1</v>
      </c>
      <c r="B11" s="8" t="s">
        <v>56</v>
      </c>
      <c r="C11" s="4">
        <v>51</v>
      </c>
      <c r="D11" s="4">
        <v>379</v>
      </c>
      <c r="E11" s="4">
        <v>19329</v>
      </c>
      <c r="F11" s="4">
        <v>10655.43</v>
      </c>
      <c r="G11" s="4">
        <v>889.94999999999993</v>
      </c>
      <c r="H11" s="4">
        <v>553.86</v>
      </c>
      <c r="I11" s="4">
        <v>61.199999999999996</v>
      </c>
      <c r="J11" s="4">
        <v>12160.440000000002</v>
      </c>
      <c r="K11" s="5">
        <v>893876.37780000002</v>
      </c>
      <c r="L11" s="5">
        <v>0</v>
      </c>
      <c r="M11" s="5">
        <v>288776</v>
      </c>
      <c r="N11" s="5">
        <v>1182652.3777999999</v>
      </c>
      <c r="P11" s="71" t="str">
        <f t="shared" si="17"/>
        <v>I. Electronics Manufacturing</v>
      </c>
      <c r="Q11" s="59">
        <f t="shared" si="18"/>
        <v>208.93</v>
      </c>
      <c r="R11" s="59">
        <f t="shared" si="19"/>
        <v>17.45</v>
      </c>
      <c r="S11" s="59">
        <f t="shared" si="20"/>
        <v>10.86</v>
      </c>
      <c r="T11" s="59">
        <f t="shared" si="21"/>
        <v>1.2</v>
      </c>
      <c r="U11" s="59">
        <f t="shared" si="22"/>
        <v>238.44000000000005</v>
      </c>
      <c r="V11" s="74">
        <f t="shared" si="23"/>
        <v>17526.987799999999</v>
      </c>
      <c r="W11" s="74">
        <f t="shared" si="24"/>
        <v>0</v>
      </c>
      <c r="X11" s="74">
        <f t="shared" si="25"/>
        <v>5662.2745098039213</v>
      </c>
      <c r="Y11" s="74">
        <f t="shared" si="26"/>
        <v>23189.262309803918</v>
      </c>
      <c r="AA11" s="71" t="s">
        <v>56</v>
      </c>
      <c r="AB11" s="58">
        <v>48</v>
      </c>
      <c r="AC11" s="58">
        <v>235.38</v>
      </c>
      <c r="AD11" s="58">
        <v>18.622499999999999</v>
      </c>
      <c r="AE11" s="58">
        <v>13.204999999999998</v>
      </c>
      <c r="AF11" s="58">
        <v>1.2</v>
      </c>
      <c r="AG11" s="58">
        <v>268.40749999999997</v>
      </c>
      <c r="AH11" s="74">
        <v>19651.446955480853</v>
      </c>
      <c r="AI11" s="74">
        <v>0</v>
      </c>
      <c r="AJ11" s="74">
        <v>62.378854625550659</v>
      </c>
      <c r="AK11" s="74">
        <v>19713.825810106402</v>
      </c>
      <c r="AM11" s="71" t="str">
        <f t="shared" si="1"/>
        <v>I. Electronics Manufacturing</v>
      </c>
      <c r="AN11" s="59">
        <f t="shared" si="35"/>
        <v>4.6152941176470588</v>
      </c>
      <c r="AO11" s="59">
        <f t="shared" si="36"/>
        <v>0.36514705882352938</v>
      </c>
      <c r="AP11" s="59">
        <f t="shared" si="37"/>
        <v>0.25892156862745097</v>
      </c>
      <c r="AQ11" s="59">
        <f t="shared" si="38"/>
        <v>2.3529411764705882E-2</v>
      </c>
      <c r="AR11" s="59">
        <f t="shared" si="39"/>
        <v>5.2628921568627449</v>
      </c>
      <c r="AS11" s="74">
        <f t="shared" si="40"/>
        <v>385.322489323154</v>
      </c>
      <c r="AT11" s="74">
        <f t="shared" si="41"/>
        <v>0</v>
      </c>
      <c r="AU11" s="74">
        <f t="shared" si="42"/>
        <v>1.2231147965794247</v>
      </c>
      <c r="AV11" s="74">
        <f t="shared" si="43"/>
        <v>386.54560411973335</v>
      </c>
      <c r="AX11" s="71" t="str">
        <f t="shared" si="4"/>
        <v>I. Electronics Manufacturing</v>
      </c>
      <c r="AY11" s="71" t="s">
        <v>57</v>
      </c>
      <c r="AZ11" s="81">
        <f>C11-3</f>
        <v>48</v>
      </c>
      <c r="BA11" s="59">
        <f t="shared" si="6"/>
        <v>213.54529411764707</v>
      </c>
      <c r="BB11" s="59">
        <f t="shared" si="7"/>
        <v>17.815147058823527</v>
      </c>
      <c r="BC11" s="59">
        <f t="shared" si="8"/>
        <v>11.118921568627451</v>
      </c>
      <c r="BD11" s="59">
        <f t="shared" si="9"/>
        <v>1.2235294117647058</v>
      </c>
      <c r="BE11" s="59">
        <f t="shared" si="10"/>
        <v>243.70289215686279</v>
      </c>
      <c r="BF11" s="74">
        <f t="shared" si="11"/>
        <v>17912.310289323152</v>
      </c>
      <c r="BG11" s="74">
        <f t="shared" si="12"/>
        <v>0</v>
      </c>
      <c r="BH11" s="74">
        <f t="shared" si="13"/>
        <v>5663.4976246005008</v>
      </c>
      <c r="BI11" s="74">
        <f t="shared" si="14"/>
        <v>23575.807913923651</v>
      </c>
      <c r="BK11" s="71"/>
      <c r="BL11" s="71"/>
      <c r="BM11" s="81"/>
      <c r="BN11" s="59"/>
      <c r="BO11" s="59"/>
      <c r="BP11" s="59"/>
      <c r="BQ11" s="59"/>
      <c r="BR11" s="59"/>
      <c r="BS11" s="74"/>
      <c r="BT11" s="74"/>
      <c r="BU11" s="74"/>
      <c r="BV11" s="74"/>
      <c r="BX11" s="71" t="str">
        <f t="shared" si="27"/>
        <v>I. Electronics Manufacturing</v>
      </c>
      <c r="BY11" s="71" t="str">
        <f t="shared" ref="BY11:BY45" si="44">AY11</f>
        <v>Applicability changes in 2024 rule added 1 new reporter.</v>
      </c>
      <c r="BZ11" s="81">
        <f>46+1</f>
        <v>47</v>
      </c>
      <c r="CA11" s="78">
        <f t="shared" si="28"/>
        <v>10036.628823529412</v>
      </c>
      <c r="CB11" s="78">
        <f t="shared" si="29"/>
        <v>837.31191176470577</v>
      </c>
      <c r="CC11" s="78">
        <f t="shared" si="30"/>
        <v>522.58931372549023</v>
      </c>
      <c r="CD11" s="78">
        <f t="shared" si="31"/>
        <v>57.505882352941171</v>
      </c>
      <c r="CE11" s="78">
        <f t="shared" si="32"/>
        <v>11454.035931372549</v>
      </c>
      <c r="CF11" s="74" cm="1">
        <f t="array" ref="CF11">CA11*Engineer+CB11*Manager+CC11*Admin+CD11*Lawyer</f>
        <v>939465.76795686269</v>
      </c>
      <c r="CG11" s="74">
        <f t="shared" si="33"/>
        <v>0</v>
      </c>
      <c r="CH11" s="74">
        <f t="shared" si="16"/>
        <v>299344.64690568525</v>
      </c>
      <c r="CI11" s="74">
        <f t="shared" si="34"/>
        <v>1238810.414862548</v>
      </c>
    </row>
    <row r="12" spans="1:87" ht="60" x14ac:dyDescent="0.25">
      <c r="A12" s="2">
        <v>1</v>
      </c>
      <c r="B12" s="8" t="s">
        <v>58</v>
      </c>
      <c r="C12" s="4">
        <v>8</v>
      </c>
      <c r="D12" s="4">
        <v>179</v>
      </c>
      <c r="E12" s="4">
        <v>1432</v>
      </c>
      <c r="F12" s="4">
        <v>256</v>
      </c>
      <c r="G12" s="4">
        <v>25.600000000000005</v>
      </c>
      <c r="H12" s="4">
        <v>18.8</v>
      </c>
      <c r="I12" s="4">
        <v>16</v>
      </c>
      <c r="J12" s="4">
        <v>316.40000000000003</v>
      </c>
      <c r="K12" s="5">
        <v>23716.219999999998</v>
      </c>
      <c r="L12" s="5">
        <v>0</v>
      </c>
      <c r="M12" s="5">
        <v>440</v>
      </c>
      <c r="N12" s="5">
        <v>24156.219999999998</v>
      </c>
      <c r="P12" s="71" t="str">
        <f t="shared" si="17"/>
        <v>K. Ferroalloy Production</v>
      </c>
      <c r="Q12" s="59">
        <f t="shared" si="18"/>
        <v>32</v>
      </c>
      <c r="R12" s="59">
        <f t="shared" si="19"/>
        <v>3.2000000000000006</v>
      </c>
      <c r="S12" s="59">
        <f t="shared" si="20"/>
        <v>2.35</v>
      </c>
      <c r="T12" s="59">
        <f t="shared" si="21"/>
        <v>2</v>
      </c>
      <c r="U12" s="59">
        <f t="shared" si="22"/>
        <v>39.550000000000004</v>
      </c>
      <c r="V12" s="74">
        <f t="shared" si="23"/>
        <v>2964.5274999999997</v>
      </c>
      <c r="W12" s="74">
        <f t="shared" si="24"/>
        <v>0</v>
      </c>
      <c r="X12" s="74">
        <f t="shared" si="25"/>
        <v>55</v>
      </c>
      <c r="Y12" s="74">
        <f t="shared" si="26"/>
        <v>3019.5274999999997</v>
      </c>
      <c r="AA12" s="72"/>
      <c r="AM12" s="71"/>
      <c r="AX12" s="71" t="str">
        <f t="shared" si="4"/>
        <v>K. Ferroalloy Production</v>
      </c>
      <c r="AY12" s="71" t="s">
        <v>59</v>
      </c>
      <c r="AZ12" s="81">
        <f>C12-1</f>
        <v>7</v>
      </c>
      <c r="BA12" s="59">
        <f t="shared" si="6"/>
        <v>32</v>
      </c>
      <c r="BB12" s="59">
        <f t="shared" si="7"/>
        <v>3.2000000000000006</v>
      </c>
      <c r="BC12" s="59">
        <f t="shared" si="8"/>
        <v>2.35</v>
      </c>
      <c r="BD12" s="59">
        <f t="shared" si="9"/>
        <v>2</v>
      </c>
      <c r="BE12" s="59">
        <f t="shared" si="10"/>
        <v>39.550000000000004</v>
      </c>
      <c r="BF12" s="74">
        <f t="shared" si="11"/>
        <v>2964.5274999999997</v>
      </c>
      <c r="BG12" s="74">
        <f t="shared" si="12"/>
        <v>0</v>
      </c>
      <c r="BH12" s="74">
        <f t="shared" si="13"/>
        <v>55</v>
      </c>
      <c r="BI12" s="74">
        <f t="shared" si="14"/>
        <v>3019.5274999999997</v>
      </c>
      <c r="BK12" s="71"/>
      <c r="BL12" s="71"/>
      <c r="BM12" s="81"/>
      <c r="BN12" s="59"/>
      <c r="BO12" s="59"/>
      <c r="BP12" s="59"/>
      <c r="BQ12" s="59"/>
      <c r="BR12" s="59"/>
      <c r="BS12" s="74"/>
      <c r="BT12" s="74"/>
      <c r="BU12" s="74"/>
      <c r="BV12" s="74"/>
      <c r="BX12" s="71" t="str">
        <f>AX12</f>
        <v>K. Ferroalloy Production</v>
      </c>
      <c r="BY12" s="71" t="str">
        <f t="shared" si="44"/>
        <v>The 2024 rule moved one reporter from subpart K to subpart XX .</v>
      </c>
      <c r="BZ12" s="81">
        <f>9-1</f>
        <v>8</v>
      </c>
      <c r="CA12" s="78">
        <f t="shared" si="28"/>
        <v>256</v>
      </c>
      <c r="CB12" s="78">
        <f t="shared" si="29"/>
        <v>25.600000000000005</v>
      </c>
      <c r="CC12" s="78">
        <f t="shared" si="30"/>
        <v>18.8</v>
      </c>
      <c r="CD12" s="78">
        <f t="shared" si="31"/>
        <v>16</v>
      </c>
      <c r="CE12" s="78">
        <f t="shared" si="32"/>
        <v>316.40000000000003</v>
      </c>
      <c r="CF12" s="74" cm="1">
        <f t="array" ref="CF12">CA12*Engineer+CB12*Manager+CC12*Admin+CD12*Lawyer</f>
        <v>26617.907999999999</v>
      </c>
      <c r="CG12" s="74">
        <f t="shared" si="33"/>
        <v>0</v>
      </c>
      <c r="CH12" s="74">
        <f t="shared" si="16"/>
        <v>494.81355932203388</v>
      </c>
      <c r="CI12" s="74">
        <f t="shared" si="34"/>
        <v>27112.721559322032</v>
      </c>
    </row>
    <row r="13" spans="1:87" ht="60" x14ac:dyDescent="0.25">
      <c r="A13" s="2">
        <v>1</v>
      </c>
      <c r="B13" s="8" t="s">
        <v>60</v>
      </c>
      <c r="C13" s="4">
        <v>14</v>
      </c>
      <c r="D13" s="4">
        <v>363</v>
      </c>
      <c r="E13" s="4">
        <v>5082</v>
      </c>
      <c r="F13" s="4">
        <v>10048.199999999999</v>
      </c>
      <c r="G13" s="4">
        <v>670.28000000000009</v>
      </c>
      <c r="H13" s="4">
        <v>990.55999999999983</v>
      </c>
      <c r="I13" s="4">
        <v>45.20000000000001</v>
      </c>
      <c r="J13" s="4">
        <v>11754.24</v>
      </c>
      <c r="K13" s="5">
        <v>842032.42879999988</v>
      </c>
      <c r="L13" s="5">
        <v>0</v>
      </c>
      <c r="M13" s="5">
        <v>770</v>
      </c>
      <c r="N13" s="5">
        <v>842802.42879999988</v>
      </c>
      <c r="P13" s="71" t="str">
        <f t="shared" si="17"/>
        <v>L. Fluorinated Greenhouse Gas Prod</v>
      </c>
      <c r="Q13" s="59">
        <f t="shared" si="18"/>
        <v>717.7285714285714</v>
      </c>
      <c r="R13" s="59">
        <f t="shared" si="19"/>
        <v>47.877142857142864</v>
      </c>
      <c r="S13" s="59">
        <f t="shared" si="20"/>
        <v>70.7542857142857</v>
      </c>
      <c r="T13" s="59">
        <f t="shared" si="21"/>
        <v>3.2285714285714291</v>
      </c>
      <c r="U13" s="59">
        <f t="shared" si="22"/>
        <v>839.58857142857141</v>
      </c>
      <c r="V13" s="74">
        <f t="shared" si="23"/>
        <v>60145.17348571428</v>
      </c>
      <c r="W13" s="74">
        <f t="shared" si="24"/>
        <v>0</v>
      </c>
      <c r="X13" s="74">
        <f t="shared" si="25"/>
        <v>55</v>
      </c>
      <c r="Y13" s="74">
        <f t="shared" si="26"/>
        <v>60200.17348571428</v>
      </c>
      <c r="AA13" s="72"/>
      <c r="AM13" s="71"/>
      <c r="AX13" s="71" t="str">
        <f t="shared" si="4"/>
        <v>L. Fluorinated Greenhouse Gas Prod</v>
      </c>
      <c r="AY13" s="71"/>
      <c r="AZ13" s="81">
        <f>C13</f>
        <v>14</v>
      </c>
      <c r="BA13" s="59">
        <f t="shared" si="6"/>
        <v>717.7285714285714</v>
      </c>
      <c r="BB13" s="59">
        <f t="shared" si="7"/>
        <v>47.877142857142864</v>
      </c>
      <c r="BC13" s="59">
        <f t="shared" si="8"/>
        <v>70.7542857142857</v>
      </c>
      <c r="BD13" s="59">
        <f t="shared" si="9"/>
        <v>3.2285714285714291</v>
      </c>
      <c r="BE13" s="59">
        <f t="shared" si="10"/>
        <v>839.58857142857141</v>
      </c>
      <c r="BF13" s="74">
        <f t="shared" si="11"/>
        <v>60145.17348571428</v>
      </c>
      <c r="BG13" s="74">
        <f t="shared" si="12"/>
        <v>0</v>
      </c>
      <c r="BH13" s="74">
        <f t="shared" si="13"/>
        <v>55</v>
      </c>
      <c r="BI13" s="74">
        <f t="shared" si="14"/>
        <v>60200.17348571428</v>
      </c>
      <c r="BK13" s="71"/>
      <c r="BL13" s="71"/>
      <c r="BM13" s="81"/>
      <c r="BN13" s="59"/>
      <c r="BO13" s="59"/>
      <c r="BP13" s="59"/>
      <c r="BQ13" s="59"/>
      <c r="BR13" s="59"/>
      <c r="BS13" s="74"/>
      <c r="BT13" s="74"/>
      <c r="BU13" s="74"/>
      <c r="BV13" s="74"/>
      <c r="BX13" s="71" t="str">
        <f t="shared" si="27"/>
        <v>L. Fluorinated Greenhouse Gas Prod</v>
      </c>
      <c r="BY13" s="71"/>
      <c r="BZ13" s="81">
        <v>15</v>
      </c>
      <c r="CA13" s="78">
        <f t="shared" si="28"/>
        <v>10765.928571428571</v>
      </c>
      <c r="CB13" s="78">
        <f t="shared" si="29"/>
        <v>718.15714285714296</v>
      </c>
      <c r="CC13" s="78">
        <f t="shared" si="30"/>
        <v>1061.3142857142855</v>
      </c>
      <c r="CD13" s="78">
        <f t="shared" si="31"/>
        <v>48.428571428571438</v>
      </c>
      <c r="CE13" s="78">
        <f t="shared" si="32"/>
        <v>12593.828571428568</v>
      </c>
      <c r="CF13" s="74" cm="1">
        <f t="array" ref="CF13">CA13*Engineer+CB13*Manager+CC13*Admin+CD13*Lawyer</f>
        <v>1006509.4135714285</v>
      </c>
      <c r="CG13" s="74">
        <f t="shared" si="33"/>
        <v>0</v>
      </c>
      <c r="CH13" s="74">
        <f t="shared" si="16"/>
        <v>927.77542372881351</v>
      </c>
      <c r="CI13" s="74">
        <f t="shared" si="34"/>
        <v>1007437.1889951574</v>
      </c>
    </row>
    <row r="14" spans="1:87" ht="31.5" x14ac:dyDescent="0.25">
      <c r="A14" s="2">
        <v>1</v>
      </c>
      <c r="B14" s="8" t="s">
        <v>61</v>
      </c>
      <c r="C14" s="4">
        <v>101</v>
      </c>
      <c r="D14" s="4">
        <v>60</v>
      </c>
      <c r="E14" s="4">
        <v>6060</v>
      </c>
      <c r="F14" s="4">
        <v>3948.8999999999996</v>
      </c>
      <c r="G14" s="4">
        <v>482.59999999999997</v>
      </c>
      <c r="H14" s="4">
        <v>320.90000000000003</v>
      </c>
      <c r="I14" s="4">
        <v>99</v>
      </c>
      <c r="J14" s="4">
        <v>4851.3999999999996</v>
      </c>
      <c r="K14" s="5">
        <v>357927.82600000006</v>
      </c>
      <c r="L14" s="5">
        <v>0</v>
      </c>
      <c r="M14" s="5">
        <v>11385</v>
      </c>
      <c r="N14" s="5">
        <v>369312.82600000006</v>
      </c>
      <c r="P14" s="71" t="str">
        <f t="shared" si="17"/>
        <v>N. Glass Production</v>
      </c>
      <c r="Q14" s="59">
        <f t="shared" si="18"/>
        <v>39.098019801980193</v>
      </c>
      <c r="R14" s="59">
        <f t="shared" si="19"/>
        <v>4.778217821782178</v>
      </c>
      <c r="S14" s="59">
        <f t="shared" si="20"/>
        <v>3.1772277227722774</v>
      </c>
      <c r="T14" s="59">
        <f t="shared" si="21"/>
        <v>0.98019801980198018</v>
      </c>
      <c r="U14" s="59">
        <f t="shared" si="22"/>
        <v>48.033663366336633</v>
      </c>
      <c r="V14" s="74">
        <f t="shared" si="23"/>
        <v>3543.8398613861391</v>
      </c>
      <c r="W14" s="74">
        <f t="shared" si="24"/>
        <v>0</v>
      </c>
      <c r="X14" s="74">
        <f t="shared" si="25"/>
        <v>112.72277227722772</v>
      </c>
      <c r="Y14" s="74">
        <f t="shared" si="26"/>
        <v>3656.5626336633668</v>
      </c>
      <c r="AA14" s="71" t="s">
        <v>61</v>
      </c>
      <c r="AB14" s="58">
        <v>101</v>
      </c>
      <c r="AC14" s="58">
        <v>35.350000000000009</v>
      </c>
      <c r="AD14" s="58">
        <v>1.7675000000000005</v>
      </c>
      <c r="AE14" s="58">
        <v>3.535000000000001</v>
      </c>
      <c r="AF14" s="58">
        <v>0</v>
      </c>
      <c r="AG14" s="58">
        <v>40.652500000000011</v>
      </c>
      <c r="AH14" s="74">
        <v>2073.6905357999999</v>
      </c>
      <c r="AI14" s="74">
        <v>0</v>
      </c>
      <c r="AJ14" s="74">
        <v>0</v>
      </c>
      <c r="AK14" s="74">
        <v>2073.6905357999999</v>
      </c>
      <c r="AM14" s="71" t="str">
        <f t="shared" si="1"/>
        <v>N. Glass Production</v>
      </c>
      <c r="AN14" s="59">
        <f>AC14/$C14</f>
        <v>0.35000000000000009</v>
      </c>
      <c r="AO14" s="59">
        <f t="shared" ref="AO14" si="45">AD14/$C14</f>
        <v>1.7500000000000005E-2</v>
      </c>
      <c r="AP14" s="59">
        <f t="shared" ref="AP14" si="46">AE14/$C14</f>
        <v>3.500000000000001E-2</v>
      </c>
      <c r="AQ14" s="59">
        <f t="shared" ref="AQ14" si="47">AF14/$C14</f>
        <v>0</v>
      </c>
      <c r="AR14" s="59">
        <f t="shared" ref="AR14" si="48">AG14/$C14</f>
        <v>0.40250000000000008</v>
      </c>
      <c r="AS14" s="74">
        <f>AH14/$C14</f>
        <v>20.531589463366334</v>
      </c>
      <c r="AT14" s="74">
        <f t="shared" ref="AT14" si="49">AI14/$C14</f>
        <v>0</v>
      </c>
      <c r="AU14" s="74">
        <f t="shared" ref="AU14" si="50">AJ14/$C14</f>
        <v>0</v>
      </c>
      <c r="AV14" s="74">
        <f t="shared" ref="AV14" si="51">AK14/$C14</f>
        <v>20.531589463366334</v>
      </c>
      <c r="AX14" s="71" t="str">
        <f t="shared" si="4"/>
        <v>N. Glass Production</v>
      </c>
      <c r="AY14" s="71"/>
      <c r="AZ14" s="81">
        <f>C14</f>
        <v>101</v>
      </c>
      <c r="BA14" s="59">
        <f t="shared" si="6"/>
        <v>39.448019801980195</v>
      </c>
      <c r="BB14" s="59">
        <f t="shared" si="7"/>
        <v>4.7957178217821781</v>
      </c>
      <c r="BC14" s="59">
        <f t="shared" si="8"/>
        <v>3.2122277227722775</v>
      </c>
      <c r="BD14" s="59">
        <f t="shared" si="9"/>
        <v>0.98019801980198018</v>
      </c>
      <c r="BE14" s="59">
        <f t="shared" si="10"/>
        <v>48.436163366336636</v>
      </c>
      <c r="BF14" s="74">
        <f t="shared" si="11"/>
        <v>3564.3714508495054</v>
      </c>
      <c r="BG14" s="74">
        <f t="shared" si="12"/>
        <v>0</v>
      </c>
      <c r="BH14" s="74">
        <f t="shared" si="13"/>
        <v>112.72277227722772</v>
      </c>
      <c r="BI14" s="74">
        <f t="shared" si="14"/>
        <v>3677.0942231267331</v>
      </c>
      <c r="BK14" s="71"/>
      <c r="BL14" s="71"/>
      <c r="BM14" s="81"/>
      <c r="BN14" s="59"/>
      <c r="BO14" s="59"/>
      <c r="BP14" s="59"/>
      <c r="BQ14" s="59"/>
      <c r="BR14" s="59"/>
      <c r="BS14" s="74"/>
      <c r="BT14" s="74"/>
      <c r="BU14" s="74"/>
      <c r="BV14" s="74"/>
      <c r="BX14" s="71" t="str">
        <f t="shared" si="27"/>
        <v>N. Glass Production</v>
      </c>
      <c r="BY14" s="71"/>
      <c r="BZ14" s="81">
        <v>102</v>
      </c>
      <c r="CA14" s="78">
        <f t="shared" si="28"/>
        <v>4023.6980198019801</v>
      </c>
      <c r="CB14" s="78">
        <f t="shared" si="29"/>
        <v>489.16321782178215</v>
      </c>
      <c r="CC14" s="78">
        <f t="shared" si="30"/>
        <v>327.6472277227723</v>
      </c>
      <c r="CD14" s="78">
        <f t="shared" si="31"/>
        <v>99.980198019801975</v>
      </c>
      <c r="CE14" s="78">
        <f t="shared" si="32"/>
        <v>4940.4886633663364</v>
      </c>
      <c r="CF14" s="74" cm="1">
        <f t="array" ref="CF14">CA14*Engineer+CB14*Manager+CC14*Admin+CD14*Lawyer</f>
        <v>406936.45205940591</v>
      </c>
      <c r="CG14" s="74">
        <f t="shared" si="33"/>
        <v>0</v>
      </c>
      <c r="CH14" s="74">
        <f t="shared" si="16"/>
        <v>12930.06620238295</v>
      </c>
      <c r="CI14" s="74">
        <f t="shared" si="34"/>
        <v>419866.51826178888</v>
      </c>
    </row>
    <row r="15" spans="1:87" ht="63" x14ac:dyDescent="0.25">
      <c r="A15" s="2">
        <v>1</v>
      </c>
      <c r="B15" s="9" t="s">
        <v>62</v>
      </c>
      <c r="C15" s="4">
        <v>4</v>
      </c>
      <c r="D15" s="4">
        <v>32</v>
      </c>
      <c r="E15" s="4">
        <v>128</v>
      </c>
      <c r="F15" s="4">
        <v>384</v>
      </c>
      <c r="G15" s="4">
        <v>26</v>
      </c>
      <c r="H15" s="4">
        <v>38</v>
      </c>
      <c r="I15" s="4">
        <v>8</v>
      </c>
      <c r="J15" s="4">
        <v>456</v>
      </c>
      <c r="K15" s="5">
        <v>32939.120000000003</v>
      </c>
      <c r="L15" s="5">
        <v>0</v>
      </c>
      <c r="M15" s="5">
        <v>220</v>
      </c>
      <c r="N15" s="5">
        <v>33159.120000000003</v>
      </c>
      <c r="P15" s="71" t="str">
        <f t="shared" si="17"/>
        <v>O. HCFC-22 Production and HFC-23 Destruction</v>
      </c>
      <c r="Q15" s="59">
        <f t="shared" si="18"/>
        <v>96</v>
      </c>
      <c r="R15" s="59">
        <f t="shared" si="19"/>
        <v>6.5</v>
      </c>
      <c r="S15" s="59">
        <f t="shared" si="20"/>
        <v>9.5</v>
      </c>
      <c r="T15" s="59">
        <f t="shared" si="21"/>
        <v>2</v>
      </c>
      <c r="U15" s="59">
        <f t="shared" si="22"/>
        <v>114</v>
      </c>
      <c r="V15" s="74">
        <f t="shared" si="23"/>
        <v>8234.7800000000007</v>
      </c>
      <c r="W15" s="74">
        <f t="shared" si="24"/>
        <v>0</v>
      </c>
      <c r="X15" s="74">
        <f t="shared" si="25"/>
        <v>55</v>
      </c>
      <c r="Y15" s="74">
        <f t="shared" si="26"/>
        <v>8289.7800000000007</v>
      </c>
      <c r="AA15" s="72"/>
      <c r="AM15" s="71"/>
      <c r="AX15" s="71" t="str">
        <f t="shared" si="4"/>
        <v>O. HCFC-22 Production and HFC-23 Destruction</v>
      </c>
      <c r="AY15" s="71"/>
      <c r="AZ15" s="81">
        <f>C15</f>
        <v>4</v>
      </c>
      <c r="BA15" s="59">
        <f t="shared" si="6"/>
        <v>96</v>
      </c>
      <c r="BB15" s="59">
        <f t="shared" si="7"/>
        <v>6.5</v>
      </c>
      <c r="BC15" s="59">
        <f t="shared" si="8"/>
        <v>9.5</v>
      </c>
      <c r="BD15" s="59">
        <f t="shared" si="9"/>
        <v>2</v>
      </c>
      <c r="BE15" s="59">
        <f t="shared" si="10"/>
        <v>114</v>
      </c>
      <c r="BF15" s="74">
        <f t="shared" si="11"/>
        <v>8234.7800000000007</v>
      </c>
      <c r="BG15" s="74">
        <f t="shared" si="12"/>
        <v>0</v>
      </c>
      <c r="BH15" s="74">
        <f t="shared" si="13"/>
        <v>55</v>
      </c>
      <c r="BI15" s="74">
        <f t="shared" si="14"/>
        <v>8289.7800000000007</v>
      </c>
      <c r="BK15" s="71"/>
      <c r="BL15" s="71"/>
      <c r="BM15" s="81"/>
      <c r="BN15" s="59"/>
      <c r="BO15" s="59"/>
      <c r="BP15" s="59"/>
      <c r="BQ15" s="59"/>
      <c r="BR15" s="59"/>
      <c r="BS15" s="74"/>
      <c r="BT15" s="74"/>
      <c r="BU15" s="74"/>
      <c r="BV15" s="74"/>
      <c r="BX15" s="71" t="str">
        <f t="shared" si="27"/>
        <v>O. HCFC-22 Production and HFC-23 Destruction</v>
      </c>
      <c r="BY15" s="71"/>
      <c r="BZ15" s="81">
        <v>5</v>
      </c>
      <c r="CA15" s="78">
        <f t="shared" si="28"/>
        <v>480</v>
      </c>
      <c r="CB15" s="78">
        <f t="shared" si="29"/>
        <v>32.5</v>
      </c>
      <c r="CC15" s="78">
        <f t="shared" si="30"/>
        <v>47.5</v>
      </c>
      <c r="CD15" s="78">
        <f t="shared" si="31"/>
        <v>10</v>
      </c>
      <c r="CE15" s="78">
        <f t="shared" si="32"/>
        <v>570</v>
      </c>
      <c r="CF15" s="74" cm="1">
        <f t="array" ref="CF15">CA15*Engineer+CB15*Manager+CC15*Admin+CD15*Lawyer</f>
        <v>46026.974999999999</v>
      </c>
      <c r="CG15" s="74">
        <f t="shared" si="33"/>
        <v>0</v>
      </c>
      <c r="CH15" s="74">
        <f t="shared" si="16"/>
        <v>309.25847457627117</v>
      </c>
      <c r="CI15" s="74">
        <f t="shared" si="34"/>
        <v>46336.233474576271</v>
      </c>
    </row>
    <row r="16" spans="1:87" ht="60" x14ac:dyDescent="0.25">
      <c r="A16" s="2">
        <v>1</v>
      </c>
      <c r="B16" s="8" t="s">
        <v>63</v>
      </c>
      <c r="C16" s="4">
        <v>111</v>
      </c>
      <c r="D16" s="4">
        <v>137</v>
      </c>
      <c r="E16" s="4">
        <v>15207</v>
      </c>
      <c r="F16" s="4">
        <v>3761.3999999999996</v>
      </c>
      <c r="G16" s="4">
        <v>376.14000000000004</v>
      </c>
      <c r="H16" s="4">
        <v>376.14000000000004</v>
      </c>
      <c r="I16" s="4">
        <v>92</v>
      </c>
      <c r="J16" s="4">
        <v>4605.68</v>
      </c>
      <c r="K16" s="5">
        <v>335441.24079999991</v>
      </c>
      <c r="L16" s="5">
        <v>0</v>
      </c>
      <c r="M16" s="5">
        <v>47998</v>
      </c>
      <c r="N16" s="5">
        <v>383439.24079999997</v>
      </c>
      <c r="P16" s="71" t="str">
        <f t="shared" si="17"/>
        <v>P. Hydrogen Production</v>
      </c>
      <c r="Q16" s="59">
        <f t="shared" si="18"/>
        <v>33.886486486486483</v>
      </c>
      <c r="R16" s="59">
        <f t="shared" si="19"/>
        <v>3.3886486486486489</v>
      </c>
      <c r="S16" s="59">
        <f t="shared" si="20"/>
        <v>3.3886486486486489</v>
      </c>
      <c r="T16" s="59">
        <f t="shared" si="21"/>
        <v>0.8288288288288288</v>
      </c>
      <c r="U16" s="59">
        <f t="shared" si="22"/>
        <v>41.492612612612618</v>
      </c>
      <c r="V16" s="74">
        <f t="shared" si="23"/>
        <v>3021.9931603603595</v>
      </c>
      <c r="W16" s="74">
        <f t="shared" si="24"/>
        <v>0</v>
      </c>
      <c r="X16" s="74">
        <f t="shared" si="25"/>
        <v>432.41441441441441</v>
      </c>
      <c r="Y16" s="74">
        <f t="shared" si="26"/>
        <v>3454.4075747747747</v>
      </c>
      <c r="AA16" s="71" t="s">
        <v>63</v>
      </c>
      <c r="AB16" s="58">
        <v>114</v>
      </c>
      <c r="AC16" s="58">
        <v>106.15</v>
      </c>
      <c r="AD16" s="58">
        <v>7.5075000000000003</v>
      </c>
      <c r="AE16" s="58">
        <v>10.615000000000002</v>
      </c>
      <c r="AF16" s="58">
        <v>0</v>
      </c>
      <c r="AG16" s="58">
        <v>124.27250000000001</v>
      </c>
      <c r="AH16" s="74">
        <v>7496.5364776991155</v>
      </c>
      <c r="AI16" s="74">
        <v>0</v>
      </c>
      <c r="AJ16" s="74">
        <v>2561.2969162995596</v>
      </c>
      <c r="AK16" s="74">
        <v>10057.833393998675</v>
      </c>
      <c r="AM16" s="71" t="str">
        <f t="shared" si="1"/>
        <v>P. Hydrogen Production</v>
      </c>
      <c r="AN16" s="59">
        <f t="shared" ref="AN16:AN17" si="52">AC16/$C16</f>
        <v>0.95630630630630631</v>
      </c>
      <c r="AO16" s="59">
        <f t="shared" ref="AO16:AO17" si="53">AD16/$C16</f>
        <v>6.7635135135135138E-2</v>
      </c>
      <c r="AP16" s="59">
        <f t="shared" ref="AP16:AP17" si="54">AE16/$C16</f>
        <v>9.5630630630630653E-2</v>
      </c>
      <c r="AQ16" s="59">
        <f t="shared" ref="AQ16:AQ17" si="55">AF16/$C16</f>
        <v>0</v>
      </c>
      <c r="AR16" s="59">
        <f t="shared" ref="AR16:AR17" si="56">AG16/$C16</f>
        <v>1.1195720720720721</v>
      </c>
      <c r="AS16" s="74">
        <f t="shared" ref="AS16:AS17" si="57">AH16/$C16</f>
        <v>67.536364663955993</v>
      </c>
      <c r="AT16" s="74">
        <f t="shared" ref="AT16:AT17" si="58">AI16/$C16</f>
        <v>0</v>
      </c>
      <c r="AU16" s="74">
        <f t="shared" ref="AU16:AU17" si="59">AJ16/$C16</f>
        <v>23.074746993689725</v>
      </c>
      <c r="AV16" s="74">
        <f t="shared" ref="AV16:AV17" si="60">AK16/$C16</f>
        <v>90.611111657645722</v>
      </c>
      <c r="AX16" s="71" t="str">
        <f t="shared" si="4"/>
        <v>P. Hydrogen Production</v>
      </c>
      <c r="AY16" s="71" t="s">
        <v>64</v>
      </c>
      <c r="AZ16" s="81">
        <f>C16+2</f>
        <v>113</v>
      </c>
      <c r="BA16" s="59">
        <f t="shared" si="6"/>
        <v>34.842792792792793</v>
      </c>
      <c r="BB16" s="59">
        <f t="shared" si="7"/>
        <v>3.4562837837837841</v>
      </c>
      <c r="BC16" s="59">
        <f t="shared" si="8"/>
        <v>3.4842792792792796</v>
      </c>
      <c r="BD16" s="59">
        <f t="shared" si="9"/>
        <v>0.8288288288288288</v>
      </c>
      <c r="BE16" s="59">
        <f t="shared" si="10"/>
        <v>42.612184684684692</v>
      </c>
      <c r="BF16" s="74">
        <f t="shared" si="11"/>
        <v>3089.5295250243157</v>
      </c>
      <c r="BG16" s="74">
        <f t="shared" si="12"/>
        <v>0</v>
      </c>
      <c r="BH16" s="74">
        <f t="shared" si="13"/>
        <v>455.48916140810411</v>
      </c>
      <c r="BI16" s="74">
        <f t="shared" si="14"/>
        <v>3545.0186864324205</v>
      </c>
      <c r="BK16" s="71"/>
      <c r="BL16" s="71"/>
      <c r="BM16" s="81"/>
      <c r="BN16" s="59"/>
      <c r="BO16" s="59"/>
      <c r="BP16" s="59"/>
      <c r="BQ16" s="59"/>
      <c r="BR16" s="59"/>
      <c r="BS16" s="74"/>
      <c r="BT16" s="74"/>
      <c r="BU16" s="74"/>
      <c r="BV16" s="74"/>
      <c r="BX16" s="71" t="str">
        <f t="shared" si="27"/>
        <v>P. Hydrogen Production</v>
      </c>
      <c r="BY16" s="71" t="str">
        <f t="shared" si="44"/>
        <v>Applicability changes in 2024 rule added 2 new reporters.</v>
      </c>
      <c r="BZ16" s="81">
        <f>113+2</f>
        <v>115</v>
      </c>
      <c r="CA16" s="78">
        <f t="shared" si="28"/>
        <v>4006.921171171171</v>
      </c>
      <c r="CB16" s="78">
        <f t="shared" si="29"/>
        <v>397.47263513513519</v>
      </c>
      <c r="CC16" s="78">
        <f t="shared" si="30"/>
        <v>400.69211711711716</v>
      </c>
      <c r="CD16" s="78">
        <f t="shared" si="31"/>
        <v>95.315315315315317</v>
      </c>
      <c r="CE16" s="78">
        <f t="shared" si="32"/>
        <v>4900.4012387387384</v>
      </c>
      <c r="CF16" s="74" cm="1">
        <f t="array" ref="CF16">CA16*Engineer+CB16*Manager+CC16*Admin+CD16*Lawyer</f>
        <v>398515.66109909909</v>
      </c>
      <c r="CG16" s="74">
        <f t="shared" si="33"/>
        <v>0</v>
      </c>
      <c r="CH16" s="74">
        <f t="shared" si="16"/>
        <v>58906.714810748927</v>
      </c>
      <c r="CI16" s="74">
        <f t="shared" si="34"/>
        <v>457422.37590984802</v>
      </c>
    </row>
    <row r="17" spans="1:87" ht="45" x14ac:dyDescent="0.25">
      <c r="A17" s="2">
        <v>1</v>
      </c>
      <c r="B17" s="8" t="s">
        <v>65</v>
      </c>
      <c r="C17" s="4">
        <v>122</v>
      </c>
      <c r="D17" s="4">
        <v>61</v>
      </c>
      <c r="E17" s="4">
        <v>7442</v>
      </c>
      <c r="F17" s="4">
        <v>2191</v>
      </c>
      <c r="G17" s="4">
        <v>328.90000000000003</v>
      </c>
      <c r="H17" s="4">
        <v>255.94999999999996</v>
      </c>
      <c r="I17" s="4">
        <v>162</v>
      </c>
      <c r="J17" s="4">
        <v>2937.85</v>
      </c>
      <c r="K17" s="5">
        <v>219122.9025</v>
      </c>
      <c r="L17" s="5">
        <v>0</v>
      </c>
      <c r="M17" s="5">
        <v>128260</v>
      </c>
      <c r="N17" s="5">
        <v>347382.90249999997</v>
      </c>
      <c r="P17" s="71" t="str">
        <f t="shared" si="17"/>
        <v>Q. Iron and Steel Production</v>
      </c>
      <c r="Q17" s="59">
        <f t="shared" si="18"/>
        <v>17.959016393442624</v>
      </c>
      <c r="R17" s="59">
        <f t="shared" si="19"/>
        <v>2.6959016393442625</v>
      </c>
      <c r="S17" s="59">
        <f t="shared" si="20"/>
        <v>2.097950819672131</v>
      </c>
      <c r="T17" s="59">
        <f t="shared" si="21"/>
        <v>1.3278688524590163</v>
      </c>
      <c r="U17" s="59">
        <f t="shared" si="22"/>
        <v>24.080737704918032</v>
      </c>
      <c r="V17" s="74">
        <f t="shared" si="23"/>
        <v>1796.0893647540984</v>
      </c>
      <c r="W17" s="74">
        <f t="shared" si="24"/>
        <v>0</v>
      </c>
      <c r="X17" s="74">
        <f t="shared" si="25"/>
        <v>1051.311475409836</v>
      </c>
      <c r="Y17" s="74">
        <f t="shared" si="26"/>
        <v>2847.4008401639339</v>
      </c>
      <c r="AA17" s="71" t="s">
        <v>66</v>
      </c>
      <c r="AB17" s="58">
        <v>121</v>
      </c>
      <c r="AC17" s="58">
        <v>18.150000000000002</v>
      </c>
      <c r="AD17" s="58">
        <v>0.9075000000000002</v>
      </c>
      <c r="AE17" s="58">
        <v>1.8150000000000004</v>
      </c>
      <c r="AF17" s="58">
        <v>0</v>
      </c>
      <c r="AG17" s="58">
        <v>20.872500000000002</v>
      </c>
      <c r="AH17" s="74">
        <v>1484.7133421999999</v>
      </c>
      <c r="AI17" s="74">
        <v>0</v>
      </c>
      <c r="AJ17" s="74">
        <v>0</v>
      </c>
      <c r="AK17" s="74">
        <v>1484.7133421999999</v>
      </c>
      <c r="AM17" s="71" t="str">
        <f t="shared" si="1"/>
        <v>Q. Iron and Steel</v>
      </c>
      <c r="AN17" s="59">
        <f t="shared" si="52"/>
        <v>0.1487704918032787</v>
      </c>
      <c r="AO17" s="59">
        <f t="shared" si="53"/>
        <v>7.4385245901639361E-3</v>
      </c>
      <c r="AP17" s="59">
        <f t="shared" si="54"/>
        <v>1.4877049180327872E-2</v>
      </c>
      <c r="AQ17" s="59">
        <f t="shared" si="55"/>
        <v>0</v>
      </c>
      <c r="AR17" s="59">
        <f t="shared" si="56"/>
        <v>0.17108606557377051</v>
      </c>
      <c r="AS17" s="74">
        <f t="shared" si="57"/>
        <v>12.169781493442622</v>
      </c>
      <c r="AT17" s="74">
        <f t="shared" si="58"/>
        <v>0</v>
      </c>
      <c r="AU17" s="74">
        <f t="shared" si="59"/>
        <v>0</v>
      </c>
      <c r="AV17" s="74">
        <f t="shared" si="60"/>
        <v>12.169781493442622</v>
      </c>
      <c r="AX17" s="71" t="str">
        <f t="shared" si="4"/>
        <v>Q. Iron and Steel Production</v>
      </c>
      <c r="AY17" s="71"/>
      <c r="AZ17" s="81">
        <f>C17</f>
        <v>122</v>
      </c>
      <c r="BA17" s="59">
        <f t="shared" si="6"/>
        <v>18.107786885245904</v>
      </c>
      <c r="BB17" s="59">
        <f t="shared" si="7"/>
        <v>2.7033401639344263</v>
      </c>
      <c r="BC17" s="59">
        <f t="shared" si="8"/>
        <v>2.1128278688524591</v>
      </c>
      <c r="BD17" s="59">
        <f t="shared" si="9"/>
        <v>1.3278688524590163</v>
      </c>
      <c r="BE17" s="59">
        <f t="shared" si="10"/>
        <v>24.251823770491804</v>
      </c>
      <c r="BF17" s="74">
        <f t="shared" si="11"/>
        <v>1808.2591462475409</v>
      </c>
      <c r="BG17" s="74">
        <f t="shared" si="12"/>
        <v>0</v>
      </c>
      <c r="BH17" s="74">
        <f t="shared" si="13"/>
        <v>1051.311475409836</v>
      </c>
      <c r="BI17" s="74">
        <f t="shared" si="14"/>
        <v>2859.5706216573767</v>
      </c>
      <c r="BK17" s="71"/>
      <c r="BL17" s="71"/>
      <c r="BM17" s="81"/>
      <c r="BN17" s="59"/>
      <c r="BO17" s="59"/>
      <c r="BP17" s="59"/>
      <c r="BQ17" s="59"/>
      <c r="BR17" s="59"/>
      <c r="BS17" s="74"/>
      <c r="BT17" s="74"/>
      <c r="BU17" s="74"/>
      <c r="BV17" s="74"/>
      <c r="BX17" s="71" t="str">
        <f t="shared" si="27"/>
        <v>Q. Iron and Steel Production</v>
      </c>
      <c r="BY17" s="71"/>
      <c r="BZ17" s="81">
        <v>121</v>
      </c>
      <c r="CA17" s="78">
        <f t="shared" si="28"/>
        <v>2191.0422131147543</v>
      </c>
      <c r="CB17" s="78">
        <f t="shared" si="29"/>
        <v>327.10415983606561</v>
      </c>
      <c r="CC17" s="78">
        <f t="shared" si="30"/>
        <v>255.65217213114755</v>
      </c>
      <c r="CD17" s="78">
        <f t="shared" si="31"/>
        <v>160.67213114754097</v>
      </c>
      <c r="CE17" s="78">
        <f t="shared" si="32"/>
        <v>2934.4706762295082</v>
      </c>
      <c r="CF17" s="74" cm="1">
        <f t="array" ref="CF17">CA17*Engineer+CB17*Manager+CC17*Admin+CD17*Lawyer</f>
        <v>245312.84461885242</v>
      </c>
      <c r="CG17" s="74">
        <f t="shared" si="33"/>
        <v>0</v>
      </c>
      <c r="CH17" s="74">
        <f t="shared" si="16"/>
        <v>143055.87260350096</v>
      </c>
      <c r="CI17" s="74">
        <f t="shared" si="34"/>
        <v>388368.71722235339</v>
      </c>
    </row>
    <row r="18" spans="1:87" ht="30" x14ac:dyDescent="0.25">
      <c r="A18" s="2">
        <v>1</v>
      </c>
      <c r="B18" s="8" t="s">
        <v>67</v>
      </c>
      <c r="C18" s="4">
        <v>11</v>
      </c>
      <c r="D18" s="4">
        <v>79</v>
      </c>
      <c r="E18" s="4">
        <v>869</v>
      </c>
      <c r="F18" s="4">
        <v>198</v>
      </c>
      <c r="G18" s="4">
        <v>29.700000000000003</v>
      </c>
      <c r="H18" s="4">
        <v>23.100000000000005</v>
      </c>
      <c r="I18" s="4">
        <v>22</v>
      </c>
      <c r="J18" s="4">
        <v>272.79999999999995</v>
      </c>
      <c r="K18" s="5">
        <v>20643.919999999998</v>
      </c>
      <c r="L18" s="5">
        <v>0</v>
      </c>
      <c r="M18" s="5">
        <v>12760</v>
      </c>
      <c r="N18" s="5">
        <v>33403.919999999998</v>
      </c>
      <c r="P18" s="71" t="str">
        <f t="shared" si="17"/>
        <v>R. Lead Production</v>
      </c>
      <c r="Q18" s="59">
        <f t="shared" si="18"/>
        <v>18</v>
      </c>
      <c r="R18" s="59">
        <f t="shared" si="19"/>
        <v>2.7</v>
      </c>
      <c r="S18" s="59">
        <f t="shared" si="20"/>
        <v>2.1000000000000005</v>
      </c>
      <c r="T18" s="59">
        <f t="shared" si="21"/>
        <v>2</v>
      </c>
      <c r="U18" s="59">
        <f t="shared" si="22"/>
        <v>24.799999999999997</v>
      </c>
      <c r="V18" s="74">
        <f t="shared" si="23"/>
        <v>1876.7199999999998</v>
      </c>
      <c r="W18" s="74">
        <f t="shared" si="24"/>
        <v>0</v>
      </c>
      <c r="X18" s="74">
        <f t="shared" si="25"/>
        <v>1160</v>
      </c>
      <c r="Y18" s="74">
        <f t="shared" si="26"/>
        <v>3036.72</v>
      </c>
      <c r="AA18" s="72"/>
      <c r="AX18" s="71" t="str">
        <f t="shared" si="4"/>
        <v>R. Lead Production</v>
      </c>
      <c r="AY18" s="71"/>
      <c r="AZ18" s="81">
        <f>C18</f>
        <v>11</v>
      </c>
      <c r="BA18" s="59">
        <f t="shared" si="6"/>
        <v>18</v>
      </c>
      <c r="BB18" s="59">
        <f t="shared" si="7"/>
        <v>2.7</v>
      </c>
      <c r="BC18" s="59">
        <f t="shared" si="8"/>
        <v>2.1000000000000005</v>
      </c>
      <c r="BD18" s="59">
        <f t="shared" si="9"/>
        <v>2</v>
      </c>
      <c r="BE18" s="59">
        <f t="shared" si="10"/>
        <v>24.799999999999997</v>
      </c>
      <c r="BF18" s="74">
        <f t="shared" si="11"/>
        <v>1876.7199999999998</v>
      </c>
      <c r="BG18" s="74">
        <f t="shared" si="12"/>
        <v>0</v>
      </c>
      <c r="BH18" s="74">
        <f t="shared" si="13"/>
        <v>1160</v>
      </c>
      <c r="BI18" s="74">
        <f t="shared" si="14"/>
        <v>3036.72</v>
      </c>
      <c r="BK18" s="71"/>
      <c r="BL18" s="71"/>
      <c r="BM18" s="81"/>
      <c r="BN18" s="59"/>
      <c r="BO18" s="59"/>
      <c r="BP18" s="59"/>
      <c r="BQ18" s="59"/>
      <c r="BR18" s="59"/>
      <c r="BS18" s="74"/>
      <c r="BT18" s="74"/>
      <c r="BU18" s="74"/>
      <c r="BV18" s="74"/>
      <c r="BX18" s="71" t="str">
        <f t="shared" si="27"/>
        <v>R. Lead Production</v>
      </c>
      <c r="BY18" s="71"/>
      <c r="BZ18" s="81">
        <f>AZ18</f>
        <v>11</v>
      </c>
      <c r="CA18" s="78">
        <f t="shared" si="28"/>
        <v>198</v>
      </c>
      <c r="CB18" s="78">
        <f t="shared" si="29"/>
        <v>29.700000000000003</v>
      </c>
      <c r="CC18" s="78">
        <f t="shared" si="30"/>
        <v>23.100000000000005</v>
      </c>
      <c r="CD18" s="78">
        <f t="shared" si="31"/>
        <v>22</v>
      </c>
      <c r="CE18" s="78">
        <f t="shared" si="32"/>
        <v>272.79999999999995</v>
      </c>
      <c r="CF18" s="74" cm="1">
        <f t="array" ref="CF18">CA18*Engineer+CB18*Manager+CC18*Admin+CD18*Lawyer</f>
        <v>23229.151000000002</v>
      </c>
      <c r="CG18" s="74">
        <f t="shared" si="33"/>
        <v>0</v>
      </c>
      <c r="CH18" s="74">
        <f t="shared" si="16"/>
        <v>14349.593220338982</v>
      </c>
      <c r="CI18" s="74">
        <f t="shared" si="34"/>
        <v>37578.74422033898</v>
      </c>
    </row>
    <row r="19" spans="1:87" ht="45" x14ac:dyDescent="0.25">
      <c r="A19" s="2">
        <v>1</v>
      </c>
      <c r="B19" s="8" t="s">
        <v>68</v>
      </c>
      <c r="C19" s="4">
        <v>68</v>
      </c>
      <c r="D19" s="4">
        <v>268</v>
      </c>
      <c r="E19" s="4">
        <v>18224</v>
      </c>
      <c r="F19" s="4">
        <v>1468</v>
      </c>
      <c r="G19" s="4">
        <v>146.80000000000001</v>
      </c>
      <c r="H19" s="4">
        <v>127.59999999999998</v>
      </c>
      <c r="I19" s="4">
        <v>128</v>
      </c>
      <c r="J19" s="4">
        <v>1870.3999999999999</v>
      </c>
      <c r="K19" s="5">
        <v>140833.96800000002</v>
      </c>
      <c r="L19" s="5">
        <v>0</v>
      </c>
      <c r="M19" s="5">
        <v>3740</v>
      </c>
      <c r="N19" s="5">
        <v>144573.96800000002</v>
      </c>
      <c r="P19" s="71" t="str">
        <f t="shared" si="17"/>
        <v>S. Lime Manufacturing</v>
      </c>
      <c r="Q19" s="59">
        <f t="shared" si="18"/>
        <v>21.588235294117649</v>
      </c>
      <c r="R19" s="59">
        <f t="shared" si="19"/>
        <v>2.158823529411765</v>
      </c>
      <c r="S19" s="59">
        <f t="shared" si="20"/>
        <v>1.8764705882352939</v>
      </c>
      <c r="T19" s="59">
        <f t="shared" si="21"/>
        <v>1.8823529411764706</v>
      </c>
      <c r="U19" s="59">
        <f t="shared" si="22"/>
        <v>27.505882352941175</v>
      </c>
      <c r="V19" s="74">
        <f t="shared" si="23"/>
        <v>2071.0877647058828</v>
      </c>
      <c r="W19" s="74">
        <f t="shared" si="24"/>
        <v>0</v>
      </c>
      <c r="X19" s="74">
        <f t="shared" si="25"/>
        <v>55</v>
      </c>
      <c r="Y19" s="74">
        <f t="shared" si="26"/>
        <v>2126.0877647058828</v>
      </c>
      <c r="AA19" s="71" t="s">
        <v>68</v>
      </c>
      <c r="AB19" s="58">
        <v>71</v>
      </c>
      <c r="AC19" s="58">
        <v>35.5</v>
      </c>
      <c r="AD19" s="58">
        <v>1.7750000000000004</v>
      </c>
      <c r="AE19" s="58">
        <v>3.5500000000000007</v>
      </c>
      <c r="AF19" s="58">
        <v>0</v>
      </c>
      <c r="AG19" s="58">
        <v>40.825000000000003</v>
      </c>
      <c r="AH19" s="74">
        <v>1186.1346260000003</v>
      </c>
      <c r="AI19" s="74">
        <v>0</v>
      </c>
      <c r="AJ19" s="74">
        <v>0</v>
      </c>
      <c r="AK19" s="74">
        <v>1186.1346260000003</v>
      </c>
      <c r="AM19" s="71" t="str">
        <f>AA19</f>
        <v>S. Lime Manufacturing</v>
      </c>
      <c r="AN19" s="59">
        <f>AC19/$AB19</f>
        <v>0.5</v>
      </c>
      <c r="AO19" s="59">
        <f t="shared" ref="AO19" si="61">AD19/$AB19</f>
        <v>2.5000000000000005E-2</v>
      </c>
      <c r="AP19" s="59">
        <f t="shared" ref="AP19" si="62">AE19/$AB19</f>
        <v>5.000000000000001E-2</v>
      </c>
      <c r="AQ19" s="59">
        <f t="shared" ref="AQ19" si="63">AF19/$AB19</f>
        <v>0</v>
      </c>
      <c r="AR19" s="59">
        <f t="shared" ref="AR19" si="64">AG19/$AB19</f>
        <v>0.57500000000000007</v>
      </c>
      <c r="AS19" s="74">
        <f t="shared" ref="AS19" si="65">AH19/$AB19</f>
        <v>16.706121492957749</v>
      </c>
      <c r="AT19" s="74">
        <f t="shared" ref="AT19" si="66">AI19/$AB19</f>
        <v>0</v>
      </c>
      <c r="AU19" s="74">
        <f t="shared" ref="AU19" si="67">AJ19/$AB19</f>
        <v>0</v>
      </c>
      <c r="AV19" s="74">
        <f t="shared" ref="AV19" si="68">AK19/$AB19</f>
        <v>16.706121492957749</v>
      </c>
      <c r="AX19" s="71" t="str">
        <f t="shared" si="4"/>
        <v>S. Lime Manufacturing</v>
      </c>
      <c r="AY19" s="71"/>
      <c r="AZ19" s="81">
        <f>C19</f>
        <v>68</v>
      </c>
      <c r="BA19" s="59">
        <f t="shared" si="6"/>
        <v>22.088235294117649</v>
      </c>
      <c r="BB19" s="59">
        <f t="shared" si="7"/>
        <v>2.1838235294117649</v>
      </c>
      <c r="BC19" s="59">
        <f t="shared" si="8"/>
        <v>1.9264705882352939</v>
      </c>
      <c r="BD19" s="59">
        <f t="shared" si="9"/>
        <v>1.8823529411764706</v>
      </c>
      <c r="BE19" s="59">
        <f t="shared" si="10"/>
        <v>28.080882352941174</v>
      </c>
      <c r="BF19" s="74">
        <f t="shared" si="11"/>
        <v>2087.7938861988405</v>
      </c>
      <c r="BG19" s="74">
        <f t="shared" si="12"/>
        <v>0</v>
      </c>
      <c r="BH19" s="74">
        <f t="shared" si="13"/>
        <v>55</v>
      </c>
      <c r="BI19" s="74">
        <f t="shared" si="14"/>
        <v>2142.7938861988405</v>
      </c>
      <c r="BK19" s="71"/>
      <c r="BL19" s="71"/>
      <c r="BM19" s="81"/>
      <c r="BN19" s="59"/>
      <c r="BO19" s="59"/>
      <c r="BP19" s="59"/>
      <c r="BQ19" s="59"/>
      <c r="BR19" s="59"/>
      <c r="BS19" s="74"/>
      <c r="BT19" s="74"/>
      <c r="BU19" s="74"/>
      <c r="BV19" s="74"/>
      <c r="BX19" s="71" t="str">
        <f t="shared" si="27"/>
        <v>S. Lime Manufacturing</v>
      </c>
      <c r="BY19" s="71"/>
      <c r="BZ19" s="81">
        <f>AZ19</f>
        <v>68</v>
      </c>
      <c r="CA19" s="78">
        <f t="shared" si="28"/>
        <v>1502</v>
      </c>
      <c r="CB19" s="78">
        <f t="shared" si="29"/>
        <v>148.50000000000003</v>
      </c>
      <c r="CC19" s="78">
        <f t="shared" si="30"/>
        <v>131</v>
      </c>
      <c r="CD19" s="78">
        <f t="shared" si="31"/>
        <v>128</v>
      </c>
      <c r="CE19" s="78">
        <f t="shared" si="32"/>
        <v>1909.5</v>
      </c>
      <c r="CF19" s="74" cm="1">
        <f t="array" ref="CF19">CA19*Engineer+CB19*Manager+CC19*Admin+CD19*Lawyer</f>
        <v>161542.46000000002</v>
      </c>
      <c r="CG19" s="74">
        <f t="shared" si="33"/>
        <v>0</v>
      </c>
      <c r="CH19" s="74">
        <f t="shared" si="16"/>
        <v>4205.9152542372876</v>
      </c>
      <c r="CI19" s="74">
        <f t="shared" si="34"/>
        <v>165748.3752542373</v>
      </c>
    </row>
    <row r="20" spans="1:87" ht="45" x14ac:dyDescent="0.25">
      <c r="A20" s="2">
        <v>1</v>
      </c>
      <c r="B20" s="8" t="s">
        <v>69</v>
      </c>
      <c r="C20" s="4">
        <v>10</v>
      </c>
      <c r="D20" s="4">
        <v>83</v>
      </c>
      <c r="E20" s="4">
        <v>830</v>
      </c>
      <c r="F20" s="4">
        <v>120</v>
      </c>
      <c r="G20" s="4">
        <v>28</v>
      </c>
      <c r="H20" s="4">
        <v>22.5</v>
      </c>
      <c r="I20" s="4">
        <v>10</v>
      </c>
      <c r="J20" s="4">
        <v>180.5</v>
      </c>
      <c r="K20" s="5">
        <v>13331.865</v>
      </c>
      <c r="L20" s="5">
        <v>0</v>
      </c>
      <c r="M20" s="5">
        <v>550</v>
      </c>
      <c r="N20" s="5">
        <v>13881.865</v>
      </c>
      <c r="P20" s="71" t="str">
        <f t="shared" si="17"/>
        <v>T. Magnesium Production</v>
      </c>
      <c r="Q20" s="59">
        <f t="shared" si="18"/>
        <v>12</v>
      </c>
      <c r="R20" s="59">
        <f t="shared" si="19"/>
        <v>2.8</v>
      </c>
      <c r="S20" s="59">
        <f t="shared" si="20"/>
        <v>2.25</v>
      </c>
      <c r="T20" s="59">
        <f t="shared" si="21"/>
        <v>1</v>
      </c>
      <c r="U20" s="59">
        <f t="shared" si="22"/>
        <v>18.05</v>
      </c>
      <c r="V20" s="74">
        <f t="shared" si="23"/>
        <v>1333.1865</v>
      </c>
      <c r="W20" s="74">
        <f t="shared" si="24"/>
        <v>0</v>
      </c>
      <c r="X20" s="74">
        <f t="shared" si="25"/>
        <v>55</v>
      </c>
      <c r="Y20" s="74">
        <f t="shared" si="26"/>
        <v>1388.1865</v>
      </c>
      <c r="AA20" s="72"/>
      <c r="AX20" s="71" t="str">
        <f t="shared" si="4"/>
        <v>T. Magnesium Production</v>
      </c>
      <c r="AY20" s="71"/>
      <c r="AZ20" s="81">
        <f>C20</f>
        <v>10</v>
      </c>
      <c r="BA20" s="59">
        <f t="shared" si="6"/>
        <v>12</v>
      </c>
      <c r="BB20" s="59">
        <f t="shared" si="7"/>
        <v>2.8</v>
      </c>
      <c r="BC20" s="59">
        <f t="shared" si="8"/>
        <v>2.25</v>
      </c>
      <c r="BD20" s="59">
        <f t="shared" si="9"/>
        <v>1</v>
      </c>
      <c r="BE20" s="59">
        <f t="shared" si="10"/>
        <v>18.05</v>
      </c>
      <c r="BF20" s="74">
        <f t="shared" si="11"/>
        <v>1333.1865</v>
      </c>
      <c r="BG20" s="74">
        <f t="shared" si="12"/>
        <v>0</v>
      </c>
      <c r="BH20" s="74">
        <f t="shared" si="13"/>
        <v>55</v>
      </c>
      <c r="BI20" s="74">
        <f t="shared" si="14"/>
        <v>1388.1865</v>
      </c>
      <c r="BK20" s="71"/>
      <c r="BL20" s="71"/>
      <c r="BM20" s="81"/>
      <c r="BN20" s="59"/>
      <c r="BO20" s="59"/>
      <c r="BP20" s="59"/>
      <c r="BQ20" s="59"/>
      <c r="BR20" s="59"/>
      <c r="BS20" s="74"/>
      <c r="BT20" s="74"/>
      <c r="BU20" s="74"/>
      <c r="BV20" s="74"/>
      <c r="BX20" s="71" t="str">
        <f t="shared" si="27"/>
        <v>T. Magnesium Production</v>
      </c>
      <c r="BY20" s="71"/>
      <c r="BZ20" s="81">
        <v>8</v>
      </c>
      <c r="CA20" s="78">
        <f t="shared" si="28"/>
        <v>96</v>
      </c>
      <c r="CB20" s="78">
        <f t="shared" si="29"/>
        <v>22.4</v>
      </c>
      <c r="CC20" s="78">
        <f t="shared" si="30"/>
        <v>18</v>
      </c>
      <c r="CD20" s="78">
        <f t="shared" si="31"/>
        <v>8</v>
      </c>
      <c r="CE20" s="78">
        <f t="shared" si="32"/>
        <v>144.4</v>
      </c>
      <c r="CF20" s="74" cm="1">
        <f t="array" ref="CF20">CA20*Engineer+CB20*Manager+CC20*Admin+CD20*Lawyer</f>
        <v>11931.356</v>
      </c>
      <c r="CG20" s="74">
        <f t="shared" si="33"/>
        <v>0</v>
      </c>
      <c r="CH20" s="74">
        <f t="shared" si="16"/>
        <v>494.81355932203388</v>
      </c>
      <c r="CI20" s="74">
        <f t="shared" si="34"/>
        <v>12426.169559322034</v>
      </c>
    </row>
    <row r="21" spans="1:87" ht="31.5" x14ac:dyDescent="0.25">
      <c r="A21" s="2">
        <v>1</v>
      </c>
      <c r="B21" s="8" t="s">
        <v>70</v>
      </c>
      <c r="C21" s="4">
        <v>5</v>
      </c>
      <c r="D21" s="4">
        <v>7</v>
      </c>
      <c r="E21" s="4">
        <v>35</v>
      </c>
      <c r="F21" s="4">
        <v>30</v>
      </c>
      <c r="G21" s="4">
        <v>7.5</v>
      </c>
      <c r="H21" s="4">
        <v>7.5</v>
      </c>
      <c r="I21" s="4">
        <v>0</v>
      </c>
      <c r="J21" s="4">
        <v>45</v>
      </c>
      <c r="K21" s="5">
        <v>3155.5500000000006</v>
      </c>
      <c r="L21" s="5">
        <v>0</v>
      </c>
      <c r="M21" s="5">
        <v>275</v>
      </c>
      <c r="N21" s="5">
        <v>3430.5500000000006</v>
      </c>
      <c r="P21" s="71" t="str">
        <f t="shared" si="17"/>
        <v>U. Misc. Uses of Carbonate</v>
      </c>
      <c r="Q21" s="59">
        <f t="shared" si="18"/>
        <v>6</v>
      </c>
      <c r="R21" s="59">
        <f t="shared" si="19"/>
        <v>1.5</v>
      </c>
      <c r="S21" s="59">
        <f t="shared" si="20"/>
        <v>1.5</v>
      </c>
      <c r="T21" s="59">
        <f t="shared" si="21"/>
        <v>0</v>
      </c>
      <c r="U21" s="59">
        <f t="shared" si="22"/>
        <v>9</v>
      </c>
      <c r="V21" s="74">
        <f t="shared" si="23"/>
        <v>631.11000000000013</v>
      </c>
      <c r="W21" s="74">
        <f t="shared" si="24"/>
        <v>0</v>
      </c>
      <c r="X21" s="74">
        <f t="shared" si="25"/>
        <v>55</v>
      </c>
      <c r="Y21" s="74">
        <f t="shared" si="26"/>
        <v>686.11000000000013</v>
      </c>
      <c r="AA21" s="72"/>
      <c r="AX21" s="71" t="str">
        <f t="shared" si="4"/>
        <v>U. Misc. Uses of Carbonate</v>
      </c>
      <c r="AY21" s="71"/>
      <c r="AZ21" s="81">
        <f>C21</f>
        <v>5</v>
      </c>
      <c r="BA21" s="59">
        <f t="shared" si="6"/>
        <v>6</v>
      </c>
      <c r="BB21" s="59">
        <f t="shared" si="7"/>
        <v>1.5</v>
      </c>
      <c r="BC21" s="59">
        <f t="shared" si="8"/>
        <v>1.5</v>
      </c>
      <c r="BD21" s="59">
        <f t="shared" si="9"/>
        <v>0</v>
      </c>
      <c r="BE21" s="59">
        <f t="shared" si="10"/>
        <v>9</v>
      </c>
      <c r="BF21" s="74">
        <f t="shared" si="11"/>
        <v>631.11000000000013</v>
      </c>
      <c r="BG21" s="74">
        <f t="shared" si="12"/>
        <v>0</v>
      </c>
      <c r="BH21" s="74">
        <f t="shared" si="13"/>
        <v>55</v>
      </c>
      <c r="BI21" s="74">
        <f t="shared" si="14"/>
        <v>686.11000000000013</v>
      </c>
      <c r="BK21" s="71"/>
      <c r="BL21" s="71"/>
      <c r="BM21" s="81"/>
      <c r="BN21" s="59"/>
      <c r="BO21" s="59"/>
      <c r="BP21" s="59"/>
      <c r="BQ21" s="59"/>
      <c r="BR21" s="59"/>
      <c r="BS21" s="74"/>
      <c r="BT21" s="74"/>
      <c r="BU21" s="74"/>
      <c r="BV21" s="74"/>
      <c r="BX21" s="71" t="str">
        <f t="shared" si="27"/>
        <v>U. Misc. Uses of Carbonate</v>
      </c>
      <c r="BY21" s="71"/>
      <c r="BZ21" s="81">
        <v>6</v>
      </c>
      <c r="CA21" s="78">
        <f t="shared" si="28"/>
        <v>36</v>
      </c>
      <c r="CB21" s="78">
        <f t="shared" si="29"/>
        <v>9</v>
      </c>
      <c r="CC21" s="78">
        <f t="shared" si="30"/>
        <v>9</v>
      </c>
      <c r="CD21" s="78">
        <f t="shared" si="31"/>
        <v>0</v>
      </c>
      <c r="CE21" s="78">
        <f t="shared" si="32"/>
        <v>54</v>
      </c>
      <c r="CF21" s="74" cm="1">
        <f t="array" ref="CF21">CA21*Engineer+CB21*Manager+CC21*Admin+CD21*Lawyer</f>
        <v>4196.6099999999997</v>
      </c>
      <c r="CG21" s="74">
        <f t="shared" si="33"/>
        <v>0</v>
      </c>
      <c r="CH21" s="74">
        <f t="shared" si="16"/>
        <v>371.11016949152543</v>
      </c>
      <c r="CI21" s="74">
        <f t="shared" si="34"/>
        <v>4567.7201694915248</v>
      </c>
    </row>
    <row r="22" spans="1:87" ht="45" x14ac:dyDescent="0.25">
      <c r="A22" s="2">
        <v>1</v>
      </c>
      <c r="B22" s="8" t="s">
        <v>71</v>
      </c>
      <c r="C22" s="4">
        <v>31</v>
      </c>
      <c r="D22" s="4">
        <v>23</v>
      </c>
      <c r="E22" s="4">
        <v>713</v>
      </c>
      <c r="F22" s="4">
        <v>872.79999999999984</v>
      </c>
      <c r="G22" s="4">
        <v>115</v>
      </c>
      <c r="H22" s="4">
        <v>80.2</v>
      </c>
      <c r="I22" s="4">
        <v>31</v>
      </c>
      <c r="J22" s="4">
        <v>1099</v>
      </c>
      <c r="K22" s="5">
        <v>81234.59199999999</v>
      </c>
      <c r="L22" s="5">
        <v>0</v>
      </c>
      <c r="M22" s="5">
        <v>265306</v>
      </c>
      <c r="N22" s="5">
        <v>346540.592</v>
      </c>
      <c r="P22" s="71" t="str">
        <f t="shared" si="17"/>
        <v>V. Nitric Acid Production</v>
      </c>
      <c r="Q22" s="59">
        <f t="shared" si="18"/>
        <v>28.154838709677414</v>
      </c>
      <c r="R22" s="59">
        <f t="shared" si="19"/>
        <v>3.7096774193548385</v>
      </c>
      <c r="S22" s="59">
        <f t="shared" si="20"/>
        <v>2.5870967741935487</v>
      </c>
      <c r="T22" s="59">
        <f t="shared" si="21"/>
        <v>1</v>
      </c>
      <c r="U22" s="59">
        <f t="shared" si="22"/>
        <v>35.451612903225808</v>
      </c>
      <c r="V22" s="74">
        <f t="shared" si="23"/>
        <v>2620.4707096774191</v>
      </c>
      <c r="W22" s="74">
        <f t="shared" si="24"/>
        <v>0</v>
      </c>
      <c r="X22" s="74">
        <f t="shared" si="25"/>
        <v>8558.2580645161288</v>
      </c>
      <c r="Y22" s="74">
        <f t="shared" si="26"/>
        <v>11178.728774193549</v>
      </c>
      <c r="AA22" s="71" t="s">
        <v>71</v>
      </c>
      <c r="AB22" s="58">
        <v>1</v>
      </c>
      <c r="AC22" s="58">
        <v>-78</v>
      </c>
      <c r="AD22" s="58">
        <v>-3.8</v>
      </c>
      <c r="AE22" s="58">
        <v>-12</v>
      </c>
      <c r="AF22" s="58">
        <v>-1</v>
      </c>
      <c r="AG22" s="58">
        <v>-94.8</v>
      </c>
      <c r="AH22" s="74">
        <v>-2680.1040509999998</v>
      </c>
      <c r="AI22" s="74">
        <v>0</v>
      </c>
      <c r="AJ22" s="74">
        <v>-11084.722466960353</v>
      </c>
      <c r="AK22" s="74">
        <v>-13764.826517960353</v>
      </c>
      <c r="AM22" s="71" t="str">
        <f t="shared" ref="AM22:AM25" si="69">AA22</f>
        <v>V. Nitric Acid Production</v>
      </c>
      <c r="AN22" s="59">
        <f>AC22/$C22</f>
        <v>-2.5161290322580645</v>
      </c>
      <c r="AO22" s="59">
        <f t="shared" ref="AO22" si="70">AD22/$C22</f>
        <v>-0.12258064516129032</v>
      </c>
      <c r="AP22" s="59">
        <f t="shared" ref="AP22" si="71">AE22/$C22</f>
        <v>-0.38709677419354838</v>
      </c>
      <c r="AQ22" s="59">
        <f t="shared" ref="AQ22" si="72">AF22/$C22</f>
        <v>-3.2258064516129031E-2</v>
      </c>
      <c r="AR22" s="59">
        <f t="shared" ref="AR22" si="73">AG22/$C22</f>
        <v>-3.0580645161290323</v>
      </c>
      <c r="AS22" s="74">
        <f>AH22/$C22</f>
        <v>-86.454969387096767</v>
      </c>
      <c r="AT22" s="74">
        <f t="shared" ref="AT22:AT23" si="74">AI22/$C22</f>
        <v>0</v>
      </c>
      <c r="AU22" s="74">
        <f t="shared" ref="AU22" si="75">AJ22/$C22</f>
        <v>-357.57169248259203</v>
      </c>
      <c r="AV22" s="74">
        <f t="shared" ref="AV22" si="76">AK22/$C22</f>
        <v>-444.02666186968884</v>
      </c>
      <c r="AX22" s="71" t="str">
        <f t="shared" si="4"/>
        <v>V. Nitric Acid Production</v>
      </c>
      <c r="AY22" s="71" t="s">
        <v>72</v>
      </c>
      <c r="AZ22" s="81">
        <f>C22-1</f>
        <v>30</v>
      </c>
      <c r="BA22" s="59">
        <f t="shared" si="6"/>
        <v>25.638709677419349</v>
      </c>
      <c r="BB22" s="59">
        <f t="shared" si="7"/>
        <v>3.5870967741935482</v>
      </c>
      <c r="BC22" s="59">
        <f t="shared" si="8"/>
        <v>2.2000000000000002</v>
      </c>
      <c r="BD22" s="59">
        <f t="shared" si="9"/>
        <v>0.967741935483871</v>
      </c>
      <c r="BE22" s="59">
        <f t="shared" si="10"/>
        <v>32.393548387096779</v>
      </c>
      <c r="BF22" s="74">
        <f t="shared" si="11"/>
        <v>2534.0157402903224</v>
      </c>
      <c r="BG22" s="74">
        <f t="shared" si="12"/>
        <v>0</v>
      </c>
      <c r="BH22" s="74">
        <f t="shared" si="13"/>
        <v>8200.6863720335368</v>
      </c>
      <c r="BI22" s="74">
        <f t="shared" si="14"/>
        <v>10734.702112323859</v>
      </c>
      <c r="BK22" s="71"/>
      <c r="BL22" s="71"/>
      <c r="BM22" s="81"/>
      <c r="BN22" s="59"/>
      <c r="BO22" s="59"/>
      <c r="BP22" s="59"/>
      <c r="BQ22" s="59"/>
      <c r="BR22" s="59"/>
      <c r="BS22" s="74"/>
      <c r="BT22" s="74"/>
      <c r="BU22" s="74"/>
      <c r="BV22" s="74"/>
      <c r="BX22" s="71" t="str">
        <f t="shared" si="27"/>
        <v>V. Nitric Acid Production</v>
      </c>
      <c r="BY22" s="71" t="str">
        <f t="shared" si="44"/>
        <v>GWP changes in 2024 rule removed one reporter.</v>
      </c>
      <c r="BZ22" s="81">
        <f>29-1</f>
        <v>28</v>
      </c>
      <c r="CA22" s="78">
        <f t="shared" si="28"/>
        <v>717.88387096774181</v>
      </c>
      <c r="CB22" s="78">
        <f t="shared" si="29"/>
        <v>100.43870967741935</v>
      </c>
      <c r="CC22" s="78">
        <f t="shared" si="30"/>
        <v>61.600000000000009</v>
      </c>
      <c r="CD22" s="78">
        <f t="shared" si="31"/>
        <v>27.096774193548388</v>
      </c>
      <c r="CE22" s="78">
        <f t="shared" si="32"/>
        <v>907.01935483870966</v>
      </c>
      <c r="CF22" s="74" cm="1">
        <f t="array" ref="CF22">CA22*Engineer+CB22*Manager+CC22*Admin+CD22*Lawyer</f>
        <v>75317.34270967741</v>
      </c>
      <c r="CG22" s="74">
        <f>BG22*$AZ22</f>
        <v>0</v>
      </c>
      <c r="CH22" s="74">
        <f t="shared" si="16"/>
        <v>258224.32444006618</v>
      </c>
      <c r="CI22" s="74">
        <f t="shared" si="34"/>
        <v>333541.66714974359</v>
      </c>
    </row>
    <row r="23" spans="1:87" s="231" customFormat="1" ht="47.25" hidden="1" customHeight="1" x14ac:dyDescent="0.25">
      <c r="A23" s="227">
        <v>1</v>
      </c>
      <c r="B23" s="228" t="s">
        <v>74</v>
      </c>
      <c r="C23" s="229">
        <v>2338</v>
      </c>
      <c r="D23" s="229">
        <v>3294</v>
      </c>
      <c r="E23" s="229">
        <v>7701372</v>
      </c>
      <c r="F23" s="229">
        <v>240991.2</v>
      </c>
      <c r="G23" s="229">
        <v>27985.599999999999</v>
      </c>
      <c r="H23" s="229">
        <v>0</v>
      </c>
      <c r="I23" s="229">
        <v>0</v>
      </c>
      <c r="J23" s="229">
        <v>273652.8</v>
      </c>
      <c r="K23" s="230">
        <v>30223171.409000002</v>
      </c>
      <c r="L23" s="230">
        <v>0</v>
      </c>
      <c r="M23" s="230">
        <v>24410343</v>
      </c>
      <c r="N23" s="230">
        <v>54633514.409000002</v>
      </c>
      <c r="P23" s="232" t="str">
        <f t="shared" si="17"/>
        <v>W. Petroleum and Natural Gas Systems</v>
      </c>
      <c r="Q23" s="233">
        <f>F23/$C23</f>
        <v>103.07579127459367</v>
      </c>
      <c r="R23" s="233">
        <f t="shared" si="19"/>
        <v>11.969888793840889</v>
      </c>
      <c r="S23" s="233">
        <f t="shared" si="20"/>
        <v>0</v>
      </c>
      <c r="T23" s="233">
        <f t="shared" si="21"/>
        <v>0</v>
      </c>
      <c r="U23" s="233">
        <f t="shared" si="22"/>
        <v>117.04568006843455</v>
      </c>
      <c r="V23" s="234">
        <f t="shared" si="23"/>
        <v>12926.933878956374</v>
      </c>
      <c r="W23" s="234">
        <f t="shared" si="24"/>
        <v>0</v>
      </c>
      <c r="X23" s="234">
        <f t="shared" si="25"/>
        <v>10440.694183062447</v>
      </c>
      <c r="Y23" s="234">
        <f t="shared" si="26"/>
        <v>23367.628062018819</v>
      </c>
      <c r="AA23" s="232" t="s">
        <v>74</v>
      </c>
      <c r="AB23" s="235">
        <v>188</v>
      </c>
      <c r="AC23" s="235">
        <v>18473.189556858695</v>
      </c>
      <c r="AD23" s="235">
        <v>2248.5828752649259</v>
      </c>
      <c r="AE23" s="235">
        <v>925.0153504359489</v>
      </c>
      <c r="AF23" s="235">
        <v>376</v>
      </c>
      <c r="AG23" s="235">
        <v>22045</v>
      </c>
      <c r="AH23" s="234">
        <v>2433057.84014276</v>
      </c>
      <c r="AI23" s="234">
        <v>0</v>
      </c>
      <c r="AJ23" s="234">
        <v>2717863.5788032156</v>
      </c>
      <c r="AK23" s="234">
        <v>5150921.4189459756</v>
      </c>
      <c r="AM23" s="232" t="str">
        <f t="shared" si="69"/>
        <v>W. Petroleum and Natural Gas Systems</v>
      </c>
      <c r="AN23" s="233">
        <v>0</v>
      </c>
      <c r="AO23" s="233">
        <v>0</v>
      </c>
      <c r="AP23" s="233">
        <v>0</v>
      </c>
      <c r="AQ23" s="233">
        <v>0</v>
      </c>
      <c r="AR23" s="233">
        <v>0</v>
      </c>
      <c r="AS23" s="234">
        <v>0</v>
      </c>
      <c r="AT23" s="234">
        <f t="shared" si="74"/>
        <v>0</v>
      </c>
      <c r="AU23" s="234">
        <v>0</v>
      </c>
      <c r="AV23" s="234">
        <v>0</v>
      </c>
      <c r="AX23" s="232" t="str">
        <f t="shared" si="4"/>
        <v>W. Petroleum and Natural Gas Systems</v>
      </c>
      <c r="AY23" s="232"/>
      <c r="AZ23" s="236">
        <v>2338</v>
      </c>
      <c r="BA23" s="233">
        <f>Q23+AN23</f>
        <v>103.07579127459367</v>
      </c>
      <c r="BB23" s="233">
        <f t="shared" si="7"/>
        <v>11.969888793840889</v>
      </c>
      <c r="BC23" s="233">
        <f t="shared" si="8"/>
        <v>0</v>
      </c>
      <c r="BD23" s="233">
        <f t="shared" si="9"/>
        <v>0</v>
      </c>
      <c r="BE23" s="233">
        <f t="shared" si="10"/>
        <v>117.04568006843455</v>
      </c>
      <c r="BF23" s="234">
        <f t="shared" si="11"/>
        <v>12926.933878956374</v>
      </c>
      <c r="BG23" s="234">
        <f t="shared" si="12"/>
        <v>0</v>
      </c>
      <c r="BH23" s="234">
        <f t="shared" si="13"/>
        <v>10440.694183062447</v>
      </c>
      <c r="BI23" s="234">
        <f t="shared" si="14"/>
        <v>23367.628062018819</v>
      </c>
      <c r="BK23" s="232" t="str">
        <f>B23</f>
        <v>W. Petroleum and Natural Gas Systems</v>
      </c>
      <c r="BL23" s="232">
        <v>567</v>
      </c>
      <c r="BM23" s="236">
        <v>3077</v>
      </c>
      <c r="BN23" s="237">
        <v>1854716.12593908</v>
      </c>
      <c r="BO23" s="237">
        <v>48075.895745791677</v>
      </c>
      <c r="BP23" s="233"/>
      <c r="BQ23" s="233"/>
      <c r="BR23" s="233">
        <v>1902792.0216848718</v>
      </c>
      <c r="BS23" s="234">
        <v>171374684.88640141</v>
      </c>
      <c r="BT23" s="234">
        <v>0</v>
      </c>
      <c r="BU23" s="234">
        <v>13837957.671654832</v>
      </c>
      <c r="BV23" s="234">
        <v>185212642.55805624</v>
      </c>
      <c r="BX23" s="232" t="str">
        <f t="shared" si="27"/>
        <v>W. Petroleum and Natural Gas Systems</v>
      </c>
      <c r="BY23" s="232"/>
      <c r="BZ23" s="236">
        <f>2245+AB23+BL23</f>
        <v>3000</v>
      </c>
      <c r="CA23" s="237">
        <f>(BA23*$AZ23)+BN23</f>
        <v>2095707.32593908</v>
      </c>
      <c r="CB23" s="237">
        <f>(BB23*$AZ23)+BO23</f>
        <v>76061.495745791675</v>
      </c>
      <c r="CC23" s="237">
        <f>BC23*$BZ23</f>
        <v>0</v>
      </c>
      <c r="CD23" s="237">
        <f t="shared" si="31"/>
        <v>0</v>
      </c>
      <c r="CE23" s="237">
        <f>SUM(CA23:CD23)</f>
        <v>2171768.8216848718</v>
      </c>
      <c r="CF23" s="237">
        <f>(CA23*RRTechnical)+(CB23*RRMidManager)</f>
        <v>178791820.94155294</v>
      </c>
      <c r="CG23" s="237">
        <f>(BG23*$AZ23)+BT23</f>
        <v>0</v>
      </c>
      <c r="CH23" s="237">
        <f>BH23*$BZ23*CEPCI_Ratio</f>
        <v>35224070.798958987</v>
      </c>
      <c r="CI23" s="234">
        <f t="shared" si="34"/>
        <v>214015891.74051192</v>
      </c>
    </row>
    <row r="24" spans="1:87" ht="64.5" customHeight="1" x14ac:dyDescent="0.25">
      <c r="A24" s="2">
        <v>1</v>
      </c>
      <c r="B24" s="8" t="s">
        <v>75</v>
      </c>
      <c r="C24" s="4">
        <v>85</v>
      </c>
      <c r="D24" s="4">
        <v>672</v>
      </c>
      <c r="E24" s="4">
        <v>57120</v>
      </c>
      <c r="F24" s="4">
        <v>10892</v>
      </c>
      <c r="G24" s="4">
        <v>639</v>
      </c>
      <c r="H24" s="4">
        <v>995</v>
      </c>
      <c r="I24" s="4">
        <v>170</v>
      </c>
      <c r="J24" s="4">
        <v>12696</v>
      </c>
      <c r="K24" s="5">
        <v>915951.77999999991</v>
      </c>
      <c r="L24" s="5">
        <v>0</v>
      </c>
      <c r="M24" s="5">
        <v>148847</v>
      </c>
      <c r="N24" s="5">
        <v>1064798.78</v>
      </c>
      <c r="P24" s="71" t="str">
        <f t="shared" si="17"/>
        <v>X. Petrochemical Prod.</v>
      </c>
      <c r="Q24" s="59">
        <f t="shared" si="18"/>
        <v>128.14117647058825</v>
      </c>
      <c r="R24" s="59">
        <f t="shared" si="19"/>
        <v>7.5176470588235293</v>
      </c>
      <c r="S24" s="59">
        <f t="shared" si="20"/>
        <v>11.705882352941176</v>
      </c>
      <c r="T24" s="59">
        <f t="shared" si="21"/>
        <v>2</v>
      </c>
      <c r="U24" s="59">
        <f t="shared" si="22"/>
        <v>149.36470588235295</v>
      </c>
      <c r="V24" s="74">
        <f t="shared" si="23"/>
        <v>10775.903294117647</v>
      </c>
      <c r="W24" s="74">
        <f t="shared" si="24"/>
        <v>0</v>
      </c>
      <c r="X24" s="74">
        <f t="shared" si="25"/>
        <v>1751.1411764705883</v>
      </c>
      <c r="Y24" s="74">
        <f t="shared" si="26"/>
        <v>12527.044470588236</v>
      </c>
      <c r="AA24" s="71" t="s">
        <v>76</v>
      </c>
      <c r="AB24" s="58">
        <v>31</v>
      </c>
      <c r="AC24" s="58">
        <v>12.4</v>
      </c>
      <c r="AD24" s="58">
        <v>0.62000000000000011</v>
      </c>
      <c r="AE24" s="58">
        <v>1.2400000000000002</v>
      </c>
      <c r="AF24" s="58">
        <v>0</v>
      </c>
      <c r="AG24" s="58">
        <v>14.26</v>
      </c>
      <c r="AH24" s="74">
        <v>617.60802939999996</v>
      </c>
      <c r="AI24" s="74">
        <v>0</v>
      </c>
      <c r="AJ24" s="74">
        <v>0</v>
      </c>
      <c r="AK24" s="74">
        <v>617.60802939999996</v>
      </c>
      <c r="AM24" s="71" t="str">
        <f t="shared" si="69"/>
        <v>X. Petrochemical Production</v>
      </c>
      <c r="AN24" s="59">
        <f>AC24/$C24</f>
        <v>0.14588235294117646</v>
      </c>
      <c r="AO24" s="59">
        <f t="shared" ref="AO24:AO25" si="77">AD24/$C24</f>
        <v>7.2941176470588251E-3</v>
      </c>
      <c r="AP24" s="59">
        <f t="shared" ref="AP24:AP25" si="78">AE24/$C24</f>
        <v>1.458823529411765E-2</v>
      </c>
      <c r="AQ24" s="59">
        <f t="shared" ref="AQ24:AQ25" si="79">AF24/$C24</f>
        <v>0</v>
      </c>
      <c r="AR24" s="59">
        <f t="shared" ref="AR24:AR25" si="80">AG24/$C24</f>
        <v>0.16776470588235293</v>
      </c>
      <c r="AS24" s="74">
        <f>AH24/$C24</f>
        <v>7.2659768164705882</v>
      </c>
      <c r="AT24" s="74">
        <f t="shared" ref="AT24:AT25" si="81">AI24/$C24</f>
        <v>0</v>
      </c>
      <c r="AU24" s="74">
        <f t="shared" ref="AU24:AU25" si="82">AJ24/$C24</f>
        <v>0</v>
      </c>
      <c r="AV24" s="74">
        <f t="shared" ref="AV24:AV25" si="83">AK24/$C24</f>
        <v>7.2659768164705882</v>
      </c>
      <c r="AX24" s="71" t="str">
        <f t="shared" si="4"/>
        <v>X. Petrochemical Prod.</v>
      </c>
      <c r="AY24" s="71"/>
      <c r="AZ24" s="81">
        <f>C24</f>
        <v>85</v>
      </c>
      <c r="BA24" s="59">
        <f t="shared" si="6"/>
        <v>128.28705882352943</v>
      </c>
      <c r="BB24" s="59">
        <f t="shared" si="7"/>
        <v>7.5249411764705885</v>
      </c>
      <c r="BC24" s="59">
        <f t="shared" si="8"/>
        <v>11.720470588235294</v>
      </c>
      <c r="BD24" s="59">
        <f t="shared" si="9"/>
        <v>2</v>
      </c>
      <c r="BE24" s="59">
        <f t="shared" si="10"/>
        <v>149.5324705882353</v>
      </c>
      <c r="BF24" s="74">
        <f t="shared" si="11"/>
        <v>10783.169270934117</v>
      </c>
      <c r="BG24" s="74">
        <f t="shared" si="12"/>
        <v>0</v>
      </c>
      <c r="BH24" s="74">
        <f t="shared" si="13"/>
        <v>1751.1411764705883</v>
      </c>
      <c r="BI24" s="74">
        <f t="shared" si="14"/>
        <v>12534.310447404707</v>
      </c>
      <c r="BK24" s="71"/>
      <c r="BL24" s="71"/>
      <c r="BM24" s="81"/>
      <c r="BN24" s="59"/>
      <c r="BO24" s="59"/>
      <c r="BP24" s="59"/>
      <c r="BQ24" s="59"/>
      <c r="BR24" s="59"/>
      <c r="BS24" s="74"/>
      <c r="BT24" s="74"/>
      <c r="BU24" s="74"/>
      <c r="BV24" s="74"/>
      <c r="BX24" s="71" t="str">
        <f t="shared" si="27"/>
        <v>X. Petrochemical Prod.</v>
      </c>
      <c r="BY24" s="71"/>
      <c r="BZ24" s="81">
        <v>74</v>
      </c>
      <c r="CA24" s="78">
        <f t="shared" ref="CA24:CA50" si="84">BA24*$BZ24</f>
        <v>9493.242352941179</v>
      </c>
      <c r="CB24" s="78">
        <f t="shared" si="29"/>
        <v>556.8456470588236</v>
      </c>
      <c r="CC24" s="78">
        <f t="shared" si="30"/>
        <v>867.3148235294118</v>
      </c>
      <c r="CD24" s="78">
        <f t="shared" si="31"/>
        <v>148</v>
      </c>
      <c r="CE24" s="78">
        <f t="shared" si="32"/>
        <v>11065.402823529415</v>
      </c>
      <c r="CF24" s="74">
        <f>CA24*Engineer+CB24*Manager+CC24*Admin+CD24*Lawyer</f>
        <v>892178.20889411774</v>
      </c>
      <c r="CG24" s="74">
        <f t="shared" si="33"/>
        <v>0</v>
      </c>
      <c r="CH24" s="74">
        <f>BH24*$BZ24*CEPCI_Ratio</f>
        <v>145727.59427716851</v>
      </c>
      <c r="CI24" s="74">
        <f t="shared" si="34"/>
        <v>1037905.8031712862</v>
      </c>
    </row>
    <row r="25" spans="1:87" ht="45" x14ac:dyDescent="0.25">
      <c r="A25" s="2">
        <v>1</v>
      </c>
      <c r="B25" s="8" t="s">
        <v>77</v>
      </c>
      <c r="C25" s="4">
        <v>134</v>
      </c>
      <c r="D25" s="4">
        <v>173</v>
      </c>
      <c r="E25" s="4">
        <v>23182</v>
      </c>
      <c r="F25" s="4">
        <v>5994.9750000000013</v>
      </c>
      <c r="G25" s="4">
        <v>600.0200000000001</v>
      </c>
      <c r="H25" s="4">
        <v>600.0200000000001</v>
      </c>
      <c r="I25" s="4">
        <v>268</v>
      </c>
      <c r="J25" s="4">
        <v>7463.0150000000021</v>
      </c>
      <c r="K25" s="5">
        <v>548629.91265000007</v>
      </c>
      <c r="L25" s="5">
        <v>0</v>
      </c>
      <c r="M25" s="5">
        <v>7370</v>
      </c>
      <c r="N25" s="5">
        <v>555999.91265000007</v>
      </c>
      <c r="P25" s="71" t="str">
        <f t="shared" si="17"/>
        <v>Y. Petroleum Refineries</v>
      </c>
      <c r="Q25" s="59">
        <f t="shared" si="18"/>
        <v>44.738619402985087</v>
      </c>
      <c r="R25" s="59">
        <f t="shared" si="19"/>
        <v>4.4777611940298518</v>
      </c>
      <c r="S25" s="59">
        <f t="shared" si="20"/>
        <v>4.4777611940298518</v>
      </c>
      <c r="T25" s="59">
        <f t="shared" si="21"/>
        <v>2</v>
      </c>
      <c r="U25" s="59">
        <f t="shared" si="22"/>
        <v>55.694141791044792</v>
      </c>
      <c r="V25" s="74">
        <f t="shared" si="23"/>
        <v>4094.2530794776126</v>
      </c>
      <c r="W25" s="74">
        <f t="shared" si="24"/>
        <v>0</v>
      </c>
      <c r="X25" s="74">
        <f t="shared" si="25"/>
        <v>55</v>
      </c>
      <c r="Y25" s="74">
        <f t="shared" si="26"/>
        <v>4149.2530794776121</v>
      </c>
      <c r="AA25" s="71" t="s">
        <v>77</v>
      </c>
      <c r="AB25" s="58">
        <v>57</v>
      </c>
      <c r="AC25" s="58">
        <v>-55.2</v>
      </c>
      <c r="AD25" s="58">
        <v>-8.91</v>
      </c>
      <c r="AE25" s="58">
        <v>-5.8199999999999985</v>
      </c>
      <c r="AF25" s="58">
        <v>-6</v>
      </c>
      <c r="AG25" s="58">
        <v>-75.929999999999993</v>
      </c>
      <c r="AH25" s="74">
        <v>-6132.7775595999992</v>
      </c>
      <c r="AI25" s="74">
        <v>0</v>
      </c>
      <c r="AJ25" s="74">
        <v>-3929.8678414096921</v>
      </c>
      <c r="AK25" s="74">
        <v>-10062.645401009691</v>
      </c>
      <c r="AM25" s="71" t="str">
        <f t="shared" si="69"/>
        <v>Y. Petroleum Refineries</v>
      </c>
      <c r="AN25" s="59">
        <f>AC25/$C25</f>
        <v>-0.41194029850746272</v>
      </c>
      <c r="AO25" s="59">
        <f t="shared" si="77"/>
        <v>-6.649253731343284E-2</v>
      </c>
      <c r="AP25" s="59">
        <f t="shared" si="78"/>
        <v>-4.3432835820895514E-2</v>
      </c>
      <c r="AQ25" s="59">
        <f t="shared" si="79"/>
        <v>-4.4776119402985072E-2</v>
      </c>
      <c r="AR25" s="59">
        <f t="shared" si="80"/>
        <v>-0.56664179104477608</v>
      </c>
      <c r="AS25" s="74">
        <f>AH25/$C25</f>
        <v>-45.766996713432832</v>
      </c>
      <c r="AT25" s="74">
        <f t="shared" si="81"/>
        <v>0</v>
      </c>
      <c r="AU25" s="74">
        <f t="shared" si="82"/>
        <v>-29.327371950818598</v>
      </c>
      <c r="AV25" s="74">
        <f t="shared" si="83"/>
        <v>-75.094368664251434</v>
      </c>
      <c r="AX25" s="71" t="str">
        <f t="shared" si="4"/>
        <v>Y. Petroleum Refineries</v>
      </c>
      <c r="AY25" s="71" t="s">
        <v>78</v>
      </c>
      <c r="AZ25" s="81">
        <f>C25-3</f>
        <v>131</v>
      </c>
      <c r="BA25" s="59">
        <f t="shared" si="6"/>
        <v>44.326679104477627</v>
      </c>
      <c r="BB25" s="59">
        <f t="shared" si="7"/>
        <v>4.4112686567164188</v>
      </c>
      <c r="BC25" s="59">
        <f t="shared" si="8"/>
        <v>4.4343283582089565</v>
      </c>
      <c r="BD25" s="59">
        <f t="shared" si="9"/>
        <v>1.955223880597015</v>
      </c>
      <c r="BE25" s="59">
        <f t="shared" si="10"/>
        <v>55.127500000000019</v>
      </c>
      <c r="BF25" s="74">
        <f t="shared" si="11"/>
        <v>4048.4860827641796</v>
      </c>
      <c r="BG25" s="74">
        <f t="shared" si="12"/>
        <v>0</v>
      </c>
      <c r="BH25" s="74">
        <f t="shared" si="13"/>
        <v>25.672628049181402</v>
      </c>
      <c r="BI25" s="74">
        <f t="shared" si="14"/>
        <v>4074.1587108133608</v>
      </c>
      <c r="BK25" s="71"/>
      <c r="BL25" s="71"/>
      <c r="BM25" s="81"/>
      <c r="BN25" s="59"/>
      <c r="BO25" s="59"/>
      <c r="BP25" s="59"/>
      <c r="BQ25" s="59"/>
      <c r="BR25" s="59"/>
      <c r="BS25" s="74"/>
      <c r="BT25" s="74"/>
      <c r="BU25" s="74"/>
      <c r="BV25" s="74"/>
      <c r="BX25" s="71" t="str">
        <f t="shared" si="27"/>
        <v>Y. Petroleum Refineries</v>
      </c>
      <c r="BY25" s="71" t="str">
        <f t="shared" si="44"/>
        <v>2024 rule moved 3 reporters to subpart WW.</v>
      </c>
      <c r="BZ25" s="81">
        <f>125-3</f>
        <v>122</v>
      </c>
      <c r="CA25" s="78">
        <f t="shared" si="84"/>
        <v>5407.8548507462701</v>
      </c>
      <c r="CB25" s="78">
        <f t="shared" si="29"/>
        <v>538.17477611940308</v>
      </c>
      <c r="CC25" s="78">
        <f t="shared" si="30"/>
        <v>540.98805970149272</v>
      </c>
      <c r="CD25" s="78">
        <f t="shared" si="31"/>
        <v>238.53731343283584</v>
      </c>
      <c r="CE25" s="78">
        <f t="shared" si="32"/>
        <v>6725.5550000000012</v>
      </c>
      <c r="CF25" s="74" cm="1">
        <f t="array" ref="CF25">CA25*Engineer+CB25*Manager+CC25*Admin+CD25*Lawyer</f>
        <v>553408.33129328373</v>
      </c>
      <c r="CG25" s="74">
        <f t="shared" si="33"/>
        <v>0</v>
      </c>
      <c r="CH25" s="74">
        <f t="shared" ref="CH25:CH50" si="85">BH25*$BZ25*CEPCI_Ratio</f>
        <v>3522.2410554187913</v>
      </c>
      <c r="CI25" s="74">
        <f t="shared" si="34"/>
        <v>556930.57234870247</v>
      </c>
    </row>
    <row r="26" spans="1:87" ht="45" x14ac:dyDescent="0.25">
      <c r="A26" s="2">
        <v>1</v>
      </c>
      <c r="B26" s="8" t="s">
        <v>79</v>
      </c>
      <c r="C26" s="4">
        <v>9</v>
      </c>
      <c r="D26" s="4">
        <v>100</v>
      </c>
      <c r="E26" s="4">
        <v>900</v>
      </c>
      <c r="F26" s="4">
        <v>54</v>
      </c>
      <c r="G26" s="4">
        <v>13.5</v>
      </c>
      <c r="H26" s="4">
        <v>13.5</v>
      </c>
      <c r="I26" s="4">
        <v>9</v>
      </c>
      <c r="J26" s="4">
        <v>90</v>
      </c>
      <c r="K26" s="5">
        <v>6713.19</v>
      </c>
      <c r="L26" s="5">
        <v>0</v>
      </c>
      <c r="M26" s="5">
        <v>495</v>
      </c>
      <c r="N26" s="5">
        <v>7208.19</v>
      </c>
      <c r="P26" s="71" t="str">
        <f t="shared" si="17"/>
        <v>Z. Phosphoric Acid Prod</v>
      </c>
      <c r="Q26" s="59">
        <f t="shared" si="18"/>
        <v>6</v>
      </c>
      <c r="R26" s="59">
        <f t="shared" si="19"/>
        <v>1.5</v>
      </c>
      <c r="S26" s="59">
        <f t="shared" si="20"/>
        <v>1.5</v>
      </c>
      <c r="T26" s="59">
        <f t="shared" si="21"/>
        <v>1</v>
      </c>
      <c r="U26" s="59">
        <f t="shared" si="22"/>
        <v>10</v>
      </c>
      <c r="V26" s="74">
        <f t="shared" si="23"/>
        <v>745.91</v>
      </c>
      <c r="W26" s="74">
        <f t="shared" si="24"/>
        <v>0</v>
      </c>
      <c r="X26" s="74">
        <f t="shared" si="25"/>
        <v>55</v>
      </c>
      <c r="Y26" s="74">
        <f t="shared" si="26"/>
        <v>800.91</v>
      </c>
      <c r="AA26" s="72"/>
      <c r="AX26" s="71" t="str">
        <f t="shared" si="4"/>
        <v>Z. Phosphoric Acid Prod</v>
      </c>
      <c r="AY26" s="71"/>
      <c r="AZ26" s="81">
        <f t="shared" ref="AZ26:AZ33" si="86">C26</f>
        <v>9</v>
      </c>
      <c r="BA26" s="59">
        <f t="shared" si="6"/>
        <v>6</v>
      </c>
      <c r="BB26" s="59">
        <f t="shared" si="7"/>
        <v>1.5</v>
      </c>
      <c r="BC26" s="59">
        <f t="shared" si="8"/>
        <v>1.5</v>
      </c>
      <c r="BD26" s="59">
        <f t="shared" si="9"/>
        <v>1</v>
      </c>
      <c r="BE26" s="59">
        <f t="shared" si="10"/>
        <v>10</v>
      </c>
      <c r="BF26" s="74">
        <f t="shared" si="11"/>
        <v>745.91</v>
      </c>
      <c r="BG26" s="74">
        <f t="shared" si="12"/>
        <v>0</v>
      </c>
      <c r="BH26" s="74">
        <f t="shared" si="13"/>
        <v>55</v>
      </c>
      <c r="BI26" s="74">
        <f t="shared" si="14"/>
        <v>800.91</v>
      </c>
      <c r="BK26" s="71"/>
      <c r="BL26" s="71"/>
      <c r="BM26" s="81"/>
      <c r="BN26" s="59"/>
      <c r="BO26" s="59"/>
      <c r="BP26" s="59"/>
      <c r="BQ26" s="59"/>
      <c r="BR26" s="59"/>
      <c r="BS26" s="74"/>
      <c r="BT26" s="74"/>
      <c r="BU26" s="74"/>
      <c r="BV26" s="74"/>
      <c r="BX26" s="71" t="str">
        <f t="shared" si="27"/>
        <v>Z. Phosphoric Acid Prod</v>
      </c>
      <c r="BY26" s="71"/>
      <c r="BZ26" s="81">
        <v>9</v>
      </c>
      <c r="CA26" s="78">
        <f t="shared" si="84"/>
        <v>54</v>
      </c>
      <c r="CB26" s="78">
        <f t="shared" si="29"/>
        <v>13.5</v>
      </c>
      <c r="CC26" s="78">
        <f t="shared" si="30"/>
        <v>13.5</v>
      </c>
      <c r="CD26" s="78">
        <f t="shared" si="31"/>
        <v>9</v>
      </c>
      <c r="CE26" s="78">
        <f t="shared" si="32"/>
        <v>90</v>
      </c>
      <c r="CF26" s="74" cm="1">
        <f t="array" ref="CF26">CA26*Engineer+CB26*Manager+CC26*Admin+CD26*Lawyer</f>
        <v>7554.5549999999994</v>
      </c>
      <c r="CG26" s="74">
        <f t="shared" si="33"/>
        <v>0</v>
      </c>
      <c r="CH26" s="74">
        <f t="shared" si="85"/>
        <v>556.66525423728808</v>
      </c>
      <c r="CI26" s="74">
        <f t="shared" si="34"/>
        <v>8111.220254237287</v>
      </c>
    </row>
    <row r="27" spans="1:87" ht="60.75" thickBot="1" x14ac:dyDescent="0.3">
      <c r="A27" s="2">
        <v>2</v>
      </c>
      <c r="B27" s="8" t="s">
        <v>80</v>
      </c>
      <c r="C27" s="4">
        <v>103</v>
      </c>
      <c r="D27" s="4">
        <v>105</v>
      </c>
      <c r="E27" s="4">
        <v>10815</v>
      </c>
      <c r="F27" s="4">
        <v>2338.1</v>
      </c>
      <c r="G27" s="4">
        <v>370.8</v>
      </c>
      <c r="H27" s="4">
        <v>164.8</v>
      </c>
      <c r="I27" s="4">
        <v>51.5</v>
      </c>
      <c r="J27" s="4">
        <v>2925.2000000000003</v>
      </c>
      <c r="K27" s="5">
        <v>218017.31899999999</v>
      </c>
      <c r="L27" s="5">
        <v>0</v>
      </c>
      <c r="M27" s="5">
        <v>27501</v>
      </c>
      <c r="N27" s="5">
        <v>245518.31899999999</v>
      </c>
      <c r="P27" s="71" t="str">
        <f t="shared" si="17"/>
        <v>AA. Pulp &amp; Paper Mnfctrng</v>
      </c>
      <c r="Q27" s="59">
        <f t="shared" si="18"/>
        <v>22.7</v>
      </c>
      <c r="R27" s="59">
        <f t="shared" si="19"/>
        <v>3.6</v>
      </c>
      <c r="S27" s="59">
        <f t="shared" si="20"/>
        <v>1.6</v>
      </c>
      <c r="T27" s="59">
        <f t="shared" si="21"/>
        <v>0.5</v>
      </c>
      <c r="U27" s="59">
        <f t="shared" si="22"/>
        <v>28.400000000000002</v>
      </c>
      <c r="V27" s="74">
        <f t="shared" si="23"/>
        <v>2116.6729999999998</v>
      </c>
      <c r="W27" s="74">
        <f t="shared" si="24"/>
        <v>0</v>
      </c>
      <c r="X27" s="74">
        <f t="shared" si="25"/>
        <v>267</v>
      </c>
      <c r="Y27" s="74">
        <f t="shared" si="26"/>
        <v>2383.6729999999998</v>
      </c>
      <c r="AA27" s="71" t="s">
        <v>80</v>
      </c>
      <c r="AB27" s="58">
        <v>1</v>
      </c>
      <c r="AC27" s="58">
        <v>1.4000000000000001</v>
      </c>
      <c r="AD27" s="58">
        <v>5.0000000000000001E-3</v>
      </c>
      <c r="AE27" s="58">
        <v>1.0000000000000002E-2</v>
      </c>
      <c r="AF27" s="58">
        <v>0</v>
      </c>
      <c r="AG27" s="58">
        <v>1.4050000000000002</v>
      </c>
      <c r="AH27" s="74">
        <v>104.15535180000001</v>
      </c>
      <c r="AI27" s="74">
        <v>0</v>
      </c>
      <c r="AJ27" s="74">
        <v>0</v>
      </c>
      <c r="AK27" s="74">
        <v>104.15535180000001</v>
      </c>
      <c r="AM27" s="71" t="str">
        <f t="shared" ref="AM27:AM28" si="87">AA27</f>
        <v>AA. Pulp &amp; Paper Mnfctrng</v>
      </c>
      <c r="AN27" s="59">
        <f t="shared" ref="AN27:AN28" si="88">AC27/$C27</f>
        <v>1.3592233009708739E-2</v>
      </c>
      <c r="AO27" s="59">
        <f t="shared" ref="AO27:AO28" si="89">AD27/$C27</f>
        <v>4.8543689320388353E-5</v>
      </c>
      <c r="AP27" s="59">
        <f t="shared" ref="AP27:AP28" si="90">AE27/$C27</f>
        <v>9.7087378640776719E-5</v>
      </c>
      <c r="AQ27" s="59">
        <f t="shared" ref="AQ27:AQ28" si="91">AF27/$C27</f>
        <v>0</v>
      </c>
      <c r="AR27" s="59">
        <f t="shared" ref="AR27:AR28" si="92">AG27/$C27</f>
        <v>1.3640776699029128E-2</v>
      </c>
      <c r="AS27" s="74">
        <f t="shared" ref="AS27:AS28" si="93">AH27/$C27</f>
        <v>1.0112170077669904</v>
      </c>
      <c r="AT27" s="74">
        <f t="shared" ref="AT27:AT28" si="94">AI27/$C27</f>
        <v>0</v>
      </c>
      <c r="AU27" s="74">
        <f t="shared" ref="AU27:AU28" si="95">AJ27/$C27</f>
        <v>0</v>
      </c>
      <c r="AV27" s="74">
        <f t="shared" ref="AV27:AV28" si="96">AK27/$C27</f>
        <v>1.0112170077669904</v>
      </c>
      <c r="AX27" s="71" t="str">
        <f t="shared" si="4"/>
        <v>AA. Pulp &amp; Paper Mnfctrng</v>
      </c>
      <c r="AY27" s="71"/>
      <c r="AZ27" s="81">
        <f t="shared" si="86"/>
        <v>103</v>
      </c>
      <c r="BA27" s="59">
        <f t="shared" si="6"/>
        <v>22.71359223300971</v>
      </c>
      <c r="BB27" s="59">
        <f t="shared" si="7"/>
        <v>3.6000485436893204</v>
      </c>
      <c r="BC27" s="59">
        <f t="shared" si="8"/>
        <v>1.6000970873786409</v>
      </c>
      <c r="BD27" s="59">
        <f t="shared" si="9"/>
        <v>0.5</v>
      </c>
      <c r="BE27" s="59">
        <f t="shared" si="10"/>
        <v>28.41364077669903</v>
      </c>
      <c r="BF27" s="74">
        <f t="shared" si="11"/>
        <v>2117.6842170077666</v>
      </c>
      <c r="BG27" s="74">
        <f t="shared" si="12"/>
        <v>0</v>
      </c>
      <c r="BH27" s="74">
        <f t="shared" si="13"/>
        <v>267</v>
      </c>
      <c r="BI27" s="74">
        <f t="shared" si="14"/>
        <v>2384.6842170077666</v>
      </c>
      <c r="BK27" s="71"/>
      <c r="BL27" s="71"/>
      <c r="BM27" s="81"/>
      <c r="BN27" s="59"/>
      <c r="BO27" s="59"/>
      <c r="BP27" s="59"/>
      <c r="BQ27" s="59"/>
      <c r="BR27" s="59"/>
      <c r="BS27" s="74"/>
      <c r="BT27" s="74"/>
      <c r="BU27" s="74"/>
      <c r="BV27" s="74"/>
      <c r="BX27" s="217" t="s">
        <v>138</v>
      </c>
      <c r="BY27" s="71"/>
      <c r="BZ27" s="81">
        <v>98</v>
      </c>
      <c r="CA27" s="78">
        <f t="shared" si="84"/>
        <v>2225.9320388349515</v>
      </c>
      <c r="CB27" s="78">
        <f t="shared" si="29"/>
        <v>352.80475728155341</v>
      </c>
      <c r="CC27" s="78">
        <f t="shared" si="30"/>
        <v>156.8095145631068</v>
      </c>
      <c r="CD27" s="78">
        <f t="shared" si="31"/>
        <v>49</v>
      </c>
      <c r="CE27" s="78">
        <f t="shared" si="32"/>
        <v>2784.5463106796119</v>
      </c>
      <c r="CF27" s="74" cm="1">
        <f t="array" ref="CF27">CA27*Engineer+CB27*Manager+CC27*Admin+CD27*Lawyer</f>
        <v>231468.60147572815</v>
      </c>
      <c r="CG27" s="74">
        <f t="shared" si="33"/>
        <v>0</v>
      </c>
      <c r="CH27" s="74">
        <f t="shared" si="85"/>
        <v>29425.662711864406</v>
      </c>
      <c r="CI27" s="74">
        <f t="shared" si="34"/>
        <v>260894.26418759255</v>
      </c>
    </row>
    <row r="28" spans="1:87" ht="47.25" x14ac:dyDescent="0.25">
      <c r="A28" s="2">
        <v>2</v>
      </c>
      <c r="B28" s="8" t="s">
        <v>81</v>
      </c>
      <c r="C28" s="4">
        <v>1</v>
      </c>
      <c r="D28" s="4">
        <v>10</v>
      </c>
      <c r="E28" s="4">
        <v>10</v>
      </c>
      <c r="F28" s="4">
        <v>9</v>
      </c>
      <c r="G28" s="4">
        <v>2.5</v>
      </c>
      <c r="H28" s="4">
        <v>3.5</v>
      </c>
      <c r="I28" s="4">
        <v>0.25</v>
      </c>
      <c r="J28" s="4">
        <v>15.25</v>
      </c>
      <c r="K28" s="5">
        <v>1040.8100000000002</v>
      </c>
      <c r="L28" s="5">
        <v>0</v>
      </c>
      <c r="M28" s="5">
        <v>253</v>
      </c>
      <c r="N28" s="5">
        <v>1293.8100000000002</v>
      </c>
      <c r="P28" s="71" t="str">
        <f t="shared" si="17"/>
        <v>BB. Silicon Carbide Production</v>
      </c>
      <c r="Q28" s="59">
        <f t="shared" si="18"/>
        <v>9</v>
      </c>
      <c r="R28" s="59">
        <f t="shared" si="19"/>
        <v>2.5</v>
      </c>
      <c r="S28" s="59">
        <f t="shared" si="20"/>
        <v>3.5</v>
      </c>
      <c r="T28" s="59">
        <f t="shared" si="21"/>
        <v>0.25</v>
      </c>
      <c r="U28" s="59">
        <f t="shared" si="22"/>
        <v>15.25</v>
      </c>
      <c r="V28" s="74">
        <f t="shared" si="23"/>
        <v>1040.8100000000002</v>
      </c>
      <c r="W28" s="74">
        <f t="shared" si="24"/>
        <v>0</v>
      </c>
      <c r="X28" s="74">
        <f t="shared" si="25"/>
        <v>253</v>
      </c>
      <c r="Y28" s="74">
        <f t="shared" si="26"/>
        <v>1293.8100000000002</v>
      </c>
      <c r="AA28" s="71" t="s">
        <v>81</v>
      </c>
      <c r="AB28" s="58">
        <v>1</v>
      </c>
      <c r="AC28" s="58">
        <v>0.25</v>
      </c>
      <c r="AD28" s="58">
        <v>1.2500000000000001E-2</v>
      </c>
      <c r="AE28" s="58">
        <v>2.5000000000000001E-2</v>
      </c>
      <c r="AF28" s="58">
        <v>0</v>
      </c>
      <c r="AG28" s="58">
        <v>0.28750000000000003</v>
      </c>
      <c r="AH28" s="74">
        <v>20.450597000000002</v>
      </c>
      <c r="AI28" s="74">
        <v>0</v>
      </c>
      <c r="AJ28" s="74">
        <v>0</v>
      </c>
      <c r="AK28" s="74">
        <v>20.450597000000002</v>
      </c>
      <c r="AM28" s="71" t="str">
        <f t="shared" si="87"/>
        <v>BB. Silicon Carbide Production</v>
      </c>
      <c r="AN28" s="59">
        <f t="shared" si="88"/>
        <v>0.25</v>
      </c>
      <c r="AO28" s="59">
        <f t="shared" si="89"/>
        <v>1.2500000000000001E-2</v>
      </c>
      <c r="AP28" s="59">
        <f t="shared" si="90"/>
        <v>2.5000000000000001E-2</v>
      </c>
      <c r="AQ28" s="59">
        <f t="shared" si="91"/>
        <v>0</v>
      </c>
      <c r="AR28" s="59">
        <f t="shared" si="92"/>
        <v>0.28750000000000003</v>
      </c>
      <c r="AS28" s="74">
        <f t="shared" si="93"/>
        <v>20.450597000000002</v>
      </c>
      <c r="AT28" s="74">
        <f t="shared" si="94"/>
        <v>0</v>
      </c>
      <c r="AU28" s="74">
        <f t="shared" si="95"/>
        <v>0</v>
      </c>
      <c r="AV28" s="74">
        <f t="shared" si="96"/>
        <v>20.450597000000002</v>
      </c>
      <c r="AX28" s="71" t="str">
        <f t="shared" si="4"/>
        <v>BB. Silicon Carbide Production</v>
      </c>
      <c r="AY28" s="71"/>
      <c r="AZ28" s="81">
        <f t="shared" si="86"/>
        <v>1</v>
      </c>
      <c r="BA28" s="59">
        <f t="shared" si="6"/>
        <v>9.25</v>
      </c>
      <c r="BB28" s="59">
        <f t="shared" si="7"/>
        <v>2.5125000000000002</v>
      </c>
      <c r="BC28" s="59">
        <f t="shared" si="8"/>
        <v>3.5249999999999999</v>
      </c>
      <c r="BD28" s="59">
        <f t="shared" si="9"/>
        <v>0.25</v>
      </c>
      <c r="BE28" s="59">
        <f t="shared" si="10"/>
        <v>15.5375</v>
      </c>
      <c r="BF28" s="74">
        <f t="shared" si="11"/>
        <v>1061.2605970000002</v>
      </c>
      <c r="BG28" s="74">
        <f t="shared" si="12"/>
        <v>0</v>
      </c>
      <c r="BH28" s="74">
        <f t="shared" si="13"/>
        <v>253</v>
      </c>
      <c r="BI28" s="74">
        <f t="shared" si="14"/>
        <v>1314.2605970000002</v>
      </c>
      <c r="BL28" s="71"/>
      <c r="BM28" s="81"/>
      <c r="BN28" s="59"/>
      <c r="BP28" s="59"/>
      <c r="BQ28" s="59"/>
      <c r="BR28" s="59"/>
      <c r="BS28" s="74"/>
      <c r="BT28" s="74"/>
      <c r="BU28" s="74"/>
      <c r="BV28" s="74"/>
      <c r="BX28" s="71" t="str">
        <f t="shared" si="27"/>
        <v>BB. Silicon Carbide Production</v>
      </c>
      <c r="BY28" s="71"/>
      <c r="BZ28" s="81">
        <v>1</v>
      </c>
      <c r="CA28" s="78">
        <f t="shared" si="84"/>
        <v>9.25</v>
      </c>
      <c r="CB28" s="78">
        <f t="shared" si="29"/>
        <v>2.5125000000000002</v>
      </c>
      <c r="CC28" s="78">
        <f t="shared" si="30"/>
        <v>3.5249999999999999</v>
      </c>
      <c r="CD28" s="78">
        <f t="shared" si="31"/>
        <v>0.25</v>
      </c>
      <c r="CE28" s="78">
        <f t="shared" si="32"/>
        <v>15.5375</v>
      </c>
      <c r="CF28" s="74" cm="1">
        <f t="array" ref="CF28">CA28*Engineer+CB28*Manager+CC28*Admin+CD28*Lawyer</f>
        <v>1177.73</v>
      </c>
      <c r="CG28" s="74">
        <f t="shared" si="33"/>
        <v>0</v>
      </c>
      <c r="CH28" s="74">
        <f t="shared" si="85"/>
        <v>284.51779661016951</v>
      </c>
      <c r="CI28" s="74">
        <f t="shared" si="34"/>
        <v>1462.2477966101696</v>
      </c>
    </row>
    <row r="29" spans="1:87" ht="45" x14ac:dyDescent="0.25">
      <c r="A29" s="2">
        <v>2</v>
      </c>
      <c r="B29" s="8" t="s">
        <v>82</v>
      </c>
      <c r="C29" s="4">
        <v>4</v>
      </c>
      <c r="D29" s="4">
        <v>28</v>
      </c>
      <c r="E29" s="4">
        <v>112</v>
      </c>
      <c r="F29" s="4">
        <v>24.100000000000005</v>
      </c>
      <c r="G29" s="4">
        <v>6.5</v>
      </c>
      <c r="H29" s="4">
        <v>6</v>
      </c>
      <c r="I29" s="4">
        <v>0</v>
      </c>
      <c r="J29" s="4">
        <v>36.6</v>
      </c>
      <c r="K29" s="5">
        <v>2577.4880000000003</v>
      </c>
      <c r="L29" s="5">
        <v>0</v>
      </c>
      <c r="M29" s="5">
        <v>2228</v>
      </c>
      <c r="N29" s="5">
        <v>4805.4880000000003</v>
      </c>
      <c r="P29" s="71" t="str">
        <f t="shared" si="17"/>
        <v>CC. Soda Ash Manufacturing</v>
      </c>
      <c r="Q29" s="59">
        <f t="shared" si="18"/>
        <v>6.0250000000000012</v>
      </c>
      <c r="R29" s="59">
        <f t="shared" si="19"/>
        <v>1.625</v>
      </c>
      <c r="S29" s="59">
        <f t="shared" si="20"/>
        <v>1.5</v>
      </c>
      <c r="T29" s="59">
        <f t="shared" si="21"/>
        <v>0</v>
      </c>
      <c r="U29" s="59">
        <f t="shared" si="22"/>
        <v>9.15</v>
      </c>
      <c r="V29" s="74">
        <f t="shared" si="23"/>
        <v>644.37200000000007</v>
      </c>
      <c r="W29" s="74">
        <f t="shared" si="24"/>
        <v>0</v>
      </c>
      <c r="X29" s="74">
        <f t="shared" si="25"/>
        <v>557</v>
      </c>
      <c r="Y29" s="74">
        <f t="shared" si="26"/>
        <v>1201.3720000000001</v>
      </c>
      <c r="AA29" s="72"/>
      <c r="AX29" s="71" t="str">
        <f t="shared" si="4"/>
        <v>CC. Soda Ash Manufacturing</v>
      </c>
      <c r="AY29" s="71"/>
      <c r="AZ29" s="81">
        <f t="shared" si="86"/>
        <v>4</v>
      </c>
      <c r="BA29" s="59">
        <f t="shared" si="6"/>
        <v>6.0250000000000012</v>
      </c>
      <c r="BB29" s="59">
        <f t="shared" si="7"/>
        <v>1.625</v>
      </c>
      <c r="BC29" s="59">
        <f t="shared" si="8"/>
        <v>1.5</v>
      </c>
      <c r="BD29" s="59">
        <f t="shared" si="9"/>
        <v>0</v>
      </c>
      <c r="BE29" s="59">
        <f t="shared" si="10"/>
        <v>9.15</v>
      </c>
      <c r="BF29" s="74">
        <f t="shared" si="11"/>
        <v>644.37200000000007</v>
      </c>
      <c r="BG29" s="74">
        <f t="shared" si="12"/>
        <v>0</v>
      </c>
      <c r="BH29" s="74">
        <f t="shared" si="13"/>
        <v>557</v>
      </c>
      <c r="BI29" s="74">
        <f t="shared" si="14"/>
        <v>1201.3720000000001</v>
      </c>
      <c r="BK29" s="71"/>
      <c r="BL29" s="71"/>
      <c r="BM29" s="81"/>
      <c r="BN29" s="59"/>
      <c r="BO29" s="59"/>
      <c r="BP29" s="59"/>
      <c r="BQ29" s="59"/>
      <c r="BR29" s="59"/>
      <c r="BS29" s="74"/>
      <c r="BT29" s="74"/>
      <c r="BU29" s="74"/>
      <c r="BV29" s="74"/>
      <c r="BX29" s="71" t="str">
        <f t="shared" si="27"/>
        <v>CC. Soda Ash Manufacturing</v>
      </c>
      <c r="BY29" s="71"/>
      <c r="BZ29" s="81">
        <v>4</v>
      </c>
      <c r="CA29" s="78">
        <f t="shared" si="84"/>
        <v>24.100000000000005</v>
      </c>
      <c r="CB29" s="78">
        <f t="shared" si="29"/>
        <v>6.5</v>
      </c>
      <c r="CC29" s="78">
        <f t="shared" si="30"/>
        <v>6</v>
      </c>
      <c r="CD29" s="78">
        <f t="shared" si="31"/>
        <v>0</v>
      </c>
      <c r="CE29" s="78">
        <f t="shared" si="32"/>
        <v>36.600000000000009</v>
      </c>
      <c r="CF29" s="74" cm="1">
        <f t="array" ref="CF29">CA29*Engineer+CB29*Manager+CC29*Admin+CD29*Lawyer</f>
        <v>2855.4730000000004</v>
      </c>
      <c r="CG29" s="74">
        <f t="shared" si="33"/>
        <v>0</v>
      </c>
      <c r="CH29" s="74">
        <f t="shared" si="85"/>
        <v>2505.5559322033896</v>
      </c>
      <c r="CI29" s="74">
        <f t="shared" si="34"/>
        <v>5361.0289322033896</v>
      </c>
    </row>
    <row r="30" spans="1:87" ht="120" x14ac:dyDescent="0.25">
      <c r="A30" s="2">
        <v>2</v>
      </c>
      <c r="B30" s="8" t="s">
        <v>83</v>
      </c>
      <c r="C30" s="4">
        <v>90</v>
      </c>
      <c r="D30" s="4">
        <v>206</v>
      </c>
      <c r="E30" s="4">
        <v>18540</v>
      </c>
      <c r="F30" s="4">
        <v>2790</v>
      </c>
      <c r="G30" s="4">
        <v>405</v>
      </c>
      <c r="H30" s="4">
        <v>495</v>
      </c>
      <c r="I30" s="4">
        <v>90</v>
      </c>
      <c r="J30" s="4">
        <v>3780</v>
      </c>
      <c r="K30" s="5">
        <v>270180.89999999997</v>
      </c>
      <c r="L30" s="5">
        <v>0</v>
      </c>
      <c r="M30" s="5">
        <v>124290</v>
      </c>
      <c r="N30" s="5">
        <v>394470.89999999997</v>
      </c>
      <c r="P30" s="71" t="str">
        <f t="shared" si="17"/>
        <v>DD. Sulfur Hexafluoride (SF6) from Electric Power Systems</v>
      </c>
      <c r="Q30" s="59">
        <f t="shared" si="18"/>
        <v>31</v>
      </c>
      <c r="R30" s="59">
        <f t="shared" si="19"/>
        <v>4.5</v>
      </c>
      <c r="S30" s="59">
        <f t="shared" si="20"/>
        <v>5.5</v>
      </c>
      <c r="T30" s="59">
        <f t="shared" si="21"/>
        <v>1</v>
      </c>
      <c r="U30" s="59">
        <f t="shared" si="22"/>
        <v>42</v>
      </c>
      <c r="V30" s="74">
        <f t="shared" si="23"/>
        <v>3002.0099999999998</v>
      </c>
      <c r="W30" s="74">
        <f t="shared" si="24"/>
        <v>0</v>
      </c>
      <c r="X30" s="74">
        <f t="shared" si="25"/>
        <v>1381</v>
      </c>
      <c r="Y30" s="74">
        <f t="shared" si="26"/>
        <v>4383.0099999999993</v>
      </c>
      <c r="AA30" s="71" t="s">
        <v>83</v>
      </c>
      <c r="AB30" s="58">
        <v>95</v>
      </c>
      <c r="AC30" s="58">
        <v>187.55</v>
      </c>
      <c r="AD30" s="58">
        <v>15.2775</v>
      </c>
      <c r="AE30" s="58">
        <v>23.555</v>
      </c>
      <c r="AF30" s="58">
        <v>2</v>
      </c>
      <c r="AG30" s="58">
        <v>228.38250000000002</v>
      </c>
      <c r="AH30" s="74">
        <v>15277.745557560003</v>
      </c>
      <c r="AI30" s="74">
        <v>0</v>
      </c>
      <c r="AJ30" s="74">
        <v>3118.9427312775333</v>
      </c>
      <c r="AK30" s="74">
        <v>18396.688288837537</v>
      </c>
      <c r="AM30" s="71" t="str">
        <f>AA30</f>
        <v>DD. Sulfur Hexafluoride (SF6) from Electric Power Systems</v>
      </c>
      <c r="AN30" s="59">
        <f>AC30/$C30</f>
        <v>2.0838888888888891</v>
      </c>
      <c r="AO30" s="59">
        <f t="shared" ref="AO30" si="97">AD30/$C30</f>
        <v>0.16975000000000001</v>
      </c>
      <c r="AP30" s="59">
        <f t="shared" ref="AP30" si="98">AE30/$C30</f>
        <v>0.26172222222222224</v>
      </c>
      <c r="AQ30" s="59">
        <f t="shared" ref="AQ30" si="99">AF30/$C30</f>
        <v>2.2222222222222223E-2</v>
      </c>
      <c r="AR30" s="59">
        <f t="shared" ref="AR30" si="100">AG30/$C30</f>
        <v>2.5375833333333335</v>
      </c>
      <c r="AS30" s="74">
        <f>AH30/$C30</f>
        <v>169.75272841733337</v>
      </c>
      <c r="AT30" s="74">
        <f t="shared" ref="AT30" si="101">AI30/$C30</f>
        <v>0</v>
      </c>
      <c r="AU30" s="74">
        <f t="shared" ref="AU30" si="102">AJ30/$C30</f>
        <v>34.654919236417037</v>
      </c>
      <c r="AV30" s="74">
        <f t="shared" ref="AV30" si="103">AK30/$C30</f>
        <v>204.40764765375042</v>
      </c>
      <c r="AX30" s="71" t="str">
        <f t="shared" si="4"/>
        <v>DD. Sulfur Hexafluoride (SF6) from Electric Power Systems</v>
      </c>
      <c r="AY30" s="71" t="s">
        <v>84</v>
      </c>
      <c r="AZ30" s="81">
        <f t="shared" si="86"/>
        <v>90</v>
      </c>
      <c r="BA30" s="59">
        <f t="shared" si="6"/>
        <v>33.083888888888886</v>
      </c>
      <c r="BB30" s="59">
        <f t="shared" si="7"/>
        <v>4.6697499999999996</v>
      </c>
      <c r="BC30" s="59">
        <f t="shared" si="8"/>
        <v>5.7617222222222226</v>
      </c>
      <c r="BD30" s="59">
        <f t="shared" si="9"/>
        <v>1.0222222222222221</v>
      </c>
      <c r="BE30" s="59">
        <f t="shared" si="10"/>
        <v>44.53758333333333</v>
      </c>
      <c r="BF30" s="74">
        <f t="shared" si="11"/>
        <v>3171.7627284173332</v>
      </c>
      <c r="BG30" s="74">
        <f t="shared" si="12"/>
        <v>0</v>
      </c>
      <c r="BH30" s="74">
        <f t="shared" si="13"/>
        <v>1415.6549192364171</v>
      </c>
      <c r="BI30" s="74">
        <f t="shared" si="14"/>
        <v>4587.4176476537496</v>
      </c>
      <c r="BK30" s="71"/>
      <c r="BL30" s="71"/>
      <c r="BM30" s="81"/>
      <c r="BN30" s="59"/>
      <c r="BO30" s="59"/>
      <c r="BP30" s="59"/>
      <c r="BQ30" s="59"/>
      <c r="BR30" s="59"/>
      <c r="BS30" s="74"/>
      <c r="BT30" s="74"/>
      <c r="BU30" s="74"/>
      <c r="BV30" s="74"/>
      <c r="BX30" s="71" t="str">
        <f t="shared" si="27"/>
        <v>DD. Sulfur Hexafluoride (SF6) from Electric Power Systems</v>
      </c>
      <c r="BY30" s="71" t="str">
        <f t="shared" si="44"/>
        <v>GWP changes in the 2024 rule meant that two reporters who would have been able to off ramp would need to keep reporting. No change.</v>
      </c>
      <c r="BZ30" s="81">
        <v>82</v>
      </c>
      <c r="CA30" s="78">
        <f t="shared" si="84"/>
        <v>2712.8788888888885</v>
      </c>
      <c r="CB30" s="78">
        <f t="shared" si="29"/>
        <v>382.91949999999997</v>
      </c>
      <c r="CC30" s="78">
        <f t="shared" si="30"/>
        <v>472.46122222222226</v>
      </c>
      <c r="CD30" s="78">
        <f t="shared" si="31"/>
        <v>83.822222222222223</v>
      </c>
      <c r="CE30" s="78">
        <f t="shared" si="32"/>
        <v>3652.0818333333327</v>
      </c>
      <c r="CF30" s="74" cm="1">
        <f t="array" ref="CF30">CA30*Engineer+CB30*Manager+CC30*Admin+CD30*Lawyer</f>
        <v>291183.7429555555</v>
      </c>
      <c r="CG30" s="74">
        <f t="shared" si="33"/>
        <v>0</v>
      </c>
      <c r="CH30" s="74">
        <f t="shared" si="85"/>
        <v>130544.97828965381</v>
      </c>
      <c r="CI30" s="74">
        <f t="shared" si="34"/>
        <v>421728.72124520934</v>
      </c>
    </row>
    <row r="31" spans="1:87" ht="47.25" x14ac:dyDescent="0.25">
      <c r="A31" s="2">
        <v>2</v>
      </c>
      <c r="B31" s="8" t="s">
        <v>85</v>
      </c>
      <c r="C31" s="4">
        <v>6</v>
      </c>
      <c r="D31" s="4">
        <v>76</v>
      </c>
      <c r="E31" s="4">
        <v>456</v>
      </c>
      <c r="F31" s="4">
        <v>54</v>
      </c>
      <c r="G31" s="4">
        <v>15</v>
      </c>
      <c r="H31" s="4">
        <v>21</v>
      </c>
      <c r="I31" s="4">
        <v>1.5</v>
      </c>
      <c r="J31" s="4">
        <v>91.5</v>
      </c>
      <c r="K31" s="5">
        <v>6244.86</v>
      </c>
      <c r="L31" s="5">
        <v>0</v>
      </c>
      <c r="M31" s="5">
        <v>2706</v>
      </c>
      <c r="N31" s="5">
        <v>8950.86</v>
      </c>
      <c r="P31" s="71" t="str">
        <f t="shared" si="17"/>
        <v>EE. Titanium Dioxide Production</v>
      </c>
      <c r="Q31" s="59">
        <f t="shared" si="18"/>
        <v>9</v>
      </c>
      <c r="R31" s="59">
        <f t="shared" si="19"/>
        <v>2.5</v>
      </c>
      <c r="S31" s="59">
        <f t="shared" si="20"/>
        <v>3.5</v>
      </c>
      <c r="T31" s="59">
        <f t="shared" si="21"/>
        <v>0.25</v>
      </c>
      <c r="U31" s="59">
        <f t="shared" si="22"/>
        <v>15.25</v>
      </c>
      <c r="V31" s="74">
        <f t="shared" si="23"/>
        <v>1040.81</v>
      </c>
      <c r="W31" s="74">
        <f t="shared" si="24"/>
        <v>0</v>
      </c>
      <c r="X31" s="74">
        <f t="shared" si="25"/>
        <v>451</v>
      </c>
      <c r="Y31" s="74">
        <f t="shared" si="26"/>
        <v>1491.8100000000002</v>
      </c>
      <c r="AA31" s="72"/>
      <c r="AX31" s="71" t="str">
        <f t="shared" si="4"/>
        <v>EE. Titanium Dioxide Production</v>
      </c>
      <c r="AY31" s="71"/>
      <c r="AZ31" s="81">
        <f t="shared" si="86"/>
        <v>6</v>
      </c>
      <c r="BA31" s="59">
        <f t="shared" si="6"/>
        <v>9</v>
      </c>
      <c r="BB31" s="59">
        <f t="shared" si="7"/>
        <v>2.5</v>
      </c>
      <c r="BC31" s="59">
        <f t="shared" si="8"/>
        <v>3.5</v>
      </c>
      <c r="BD31" s="59">
        <f t="shared" si="9"/>
        <v>0.25</v>
      </c>
      <c r="BE31" s="59">
        <f t="shared" si="10"/>
        <v>15.25</v>
      </c>
      <c r="BF31" s="74">
        <f t="shared" si="11"/>
        <v>1040.81</v>
      </c>
      <c r="BG31" s="74">
        <f t="shared" si="12"/>
        <v>0</v>
      </c>
      <c r="BH31" s="74">
        <f t="shared" si="13"/>
        <v>451</v>
      </c>
      <c r="BI31" s="74">
        <f t="shared" si="14"/>
        <v>1491.8100000000002</v>
      </c>
      <c r="BK31" s="71"/>
      <c r="BL31" s="71"/>
      <c r="BM31" s="81"/>
      <c r="BN31" s="59"/>
      <c r="BO31" s="59"/>
      <c r="BP31" s="59"/>
      <c r="BQ31" s="59"/>
      <c r="BR31" s="59"/>
      <c r="BS31" s="74"/>
      <c r="BT31" s="74"/>
      <c r="BU31" s="74"/>
      <c r="BV31" s="74"/>
      <c r="BX31" s="71" t="str">
        <f t="shared" si="27"/>
        <v>EE. Titanium Dioxide Production</v>
      </c>
      <c r="BY31" s="71"/>
      <c r="BZ31" s="81">
        <v>6</v>
      </c>
      <c r="CA31" s="78">
        <f t="shared" si="84"/>
        <v>54</v>
      </c>
      <c r="CB31" s="78">
        <f t="shared" si="29"/>
        <v>15</v>
      </c>
      <c r="CC31" s="78">
        <f t="shared" si="30"/>
        <v>21</v>
      </c>
      <c r="CD31" s="78">
        <f t="shared" si="31"/>
        <v>1.5</v>
      </c>
      <c r="CE31" s="78">
        <f t="shared" si="32"/>
        <v>91.5</v>
      </c>
      <c r="CF31" s="74" cm="1">
        <f t="array" ref="CF31">CA31*Engineer+CB31*Manager+CC31*Admin+CD31*Lawyer</f>
        <v>6929.4899999999989</v>
      </c>
      <c r="CG31" s="74">
        <f t="shared" si="33"/>
        <v>0</v>
      </c>
      <c r="CH31" s="74">
        <f t="shared" si="85"/>
        <v>3043.1033898305086</v>
      </c>
      <c r="CI31" s="74">
        <f t="shared" si="34"/>
        <v>9972.5933898305084</v>
      </c>
    </row>
    <row r="32" spans="1:87" ht="45" x14ac:dyDescent="0.25">
      <c r="A32" s="2">
        <v>2</v>
      </c>
      <c r="B32" s="8" t="s">
        <v>86</v>
      </c>
      <c r="C32" s="4">
        <v>78</v>
      </c>
      <c r="D32" s="4">
        <v>1614</v>
      </c>
      <c r="E32" s="4">
        <v>125892</v>
      </c>
      <c r="F32" s="4">
        <v>4990</v>
      </c>
      <c r="G32" s="4">
        <v>240</v>
      </c>
      <c r="H32" s="4">
        <v>180</v>
      </c>
      <c r="I32" s="4">
        <v>0</v>
      </c>
      <c r="J32" s="4">
        <v>5410</v>
      </c>
      <c r="K32" s="5">
        <v>396467.10000000003</v>
      </c>
      <c r="L32" s="5">
        <v>0</v>
      </c>
      <c r="M32" s="5">
        <v>66285</v>
      </c>
      <c r="N32" s="5">
        <v>462752.10000000003</v>
      </c>
      <c r="P32" s="71" t="str">
        <f t="shared" si="17"/>
        <v>FF. Underground Coal Mines</v>
      </c>
      <c r="Q32" s="59">
        <f t="shared" si="18"/>
        <v>63.974358974358971</v>
      </c>
      <c r="R32" s="59">
        <f t="shared" si="19"/>
        <v>3.0769230769230771</v>
      </c>
      <c r="S32" s="59">
        <f t="shared" si="20"/>
        <v>2.3076923076923075</v>
      </c>
      <c r="T32" s="59">
        <f t="shared" si="21"/>
        <v>0</v>
      </c>
      <c r="U32" s="59">
        <f t="shared" si="22"/>
        <v>69.358974358974365</v>
      </c>
      <c r="V32" s="74">
        <f t="shared" si="23"/>
        <v>5082.9115384615388</v>
      </c>
      <c r="W32" s="74">
        <f t="shared" si="24"/>
        <v>0</v>
      </c>
      <c r="X32" s="74">
        <f t="shared" si="25"/>
        <v>849.80769230769226</v>
      </c>
      <c r="Y32" s="74">
        <f t="shared" si="26"/>
        <v>5932.7192307692312</v>
      </c>
      <c r="AA32" s="71" t="s">
        <v>86</v>
      </c>
      <c r="AB32" s="58">
        <v>61</v>
      </c>
      <c r="AC32" s="58">
        <v>0</v>
      </c>
      <c r="AD32" s="58">
        <v>0</v>
      </c>
      <c r="AE32" s="58">
        <v>0</v>
      </c>
      <c r="AF32" s="58">
        <v>0</v>
      </c>
      <c r="AG32" s="58">
        <v>0</v>
      </c>
      <c r="AH32" s="74">
        <v>0</v>
      </c>
      <c r="AI32" s="74">
        <v>0</v>
      </c>
      <c r="AJ32" s="74">
        <v>0</v>
      </c>
      <c r="AK32" s="74">
        <v>0</v>
      </c>
      <c r="AM32" s="71" t="str">
        <f t="shared" ref="AM32:AM35" si="104">AA32</f>
        <v>FF. Underground Coal Mines</v>
      </c>
      <c r="AN32" s="59">
        <f t="shared" ref="AN32:AN35" si="105">AC32/$C32</f>
        <v>0</v>
      </c>
      <c r="AO32" s="59">
        <f t="shared" ref="AO32:AO35" si="106">AD32/$C32</f>
        <v>0</v>
      </c>
      <c r="AP32" s="59">
        <f t="shared" ref="AP32:AP35" si="107">AE32/$C32</f>
        <v>0</v>
      </c>
      <c r="AQ32" s="59">
        <f t="shared" ref="AQ32:AQ35" si="108">AF32/$C32</f>
        <v>0</v>
      </c>
      <c r="AR32" s="59">
        <f t="shared" ref="AR32:AR35" si="109">AG32/$C32</f>
        <v>0</v>
      </c>
      <c r="AS32" s="74">
        <f t="shared" ref="AS32:AS35" si="110">AH32/$C32</f>
        <v>0</v>
      </c>
      <c r="AT32" s="74">
        <f t="shared" ref="AT32:AT35" si="111">AI32/$C32</f>
        <v>0</v>
      </c>
      <c r="AU32" s="74">
        <f t="shared" ref="AU32:AU35" si="112">AJ32/$C32</f>
        <v>0</v>
      </c>
      <c r="AV32" s="74">
        <f t="shared" ref="AV32:AV35" si="113">AK32/$C32</f>
        <v>0</v>
      </c>
      <c r="AX32" s="71" t="str">
        <f t="shared" si="4"/>
        <v>FF. Underground Coal Mines</v>
      </c>
      <c r="AY32" s="71"/>
      <c r="AZ32" s="81">
        <f t="shared" si="86"/>
        <v>78</v>
      </c>
      <c r="BA32" s="59">
        <f t="shared" si="6"/>
        <v>63.974358974358971</v>
      </c>
      <c r="BB32" s="59">
        <f t="shared" si="7"/>
        <v>3.0769230769230771</v>
      </c>
      <c r="BC32" s="59">
        <f t="shared" si="8"/>
        <v>2.3076923076923075</v>
      </c>
      <c r="BD32" s="59">
        <f t="shared" si="9"/>
        <v>0</v>
      </c>
      <c r="BE32" s="59">
        <f t="shared" si="10"/>
        <v>69.358974358974365</v>
      </c>
      <c r="BF32" s="74">
        <f t="shared" si="11"/>
        <v>5082.9115384615388</v>
      </c>
      <c r="BG32" s="74">
        <f t="shared" si="12"/>
        <v>0</v>
      </c>
      <c r="BH32" s="74">
        <f t="shared" si="13"/>
        <v>849.80769230769226</v>
      </c>
      <c r="BI32" s="74">
        <f t="shared" si="14"/>
        <v>5932.7192307692312</v>
      </c>
      <c r="BK32" s="71"/>
      <c r="BL32" s="71"/>
      <c r="BM32" s="81"/>
      <c r="BN32" s="59"/>
      <c r="BO32" s="59"/>
      <c r="BP32" s="59"/>
      <c r="BQ32" s="59"/>
      <c r="BR32" s="59"/>
      <c r="BS32" s="74"/>
      <c r="BT32" s="74"/>
      <c r="BU32" s="74"/>
      <c r="BV32" s="74"/>
      <c r="BX32" s="71" t="str">
        <f t="shared" si="27"/>
        <v>FF. Underground Coal Mines</v>
      </c>
      <c r="BY32" s="71"/>
      <c r="BZ32" s="81">
        <v>58</v>
      </c>
      <c r="CA32" s="78">
        <f t="shared" si="84"/>
        <v>3710.5128205128203</v>
      </c>
      <c r="CB32" s="78">
        <f t="shared" si="29"/>
        <v>178.46153846153848</v>
      </c>
      <c r="CC32" s="78">
        <f t="shared" si="30"/>
        <v>133.84615384615384</v>
      </c>
      <c r="CD32" s="78">
        <f t="shared" si="31"/>
        <v>0</v>
      </c>
      <c r="CE32" s="78">
        <f t="shared" si="32"/>
        <v>4022.8205128205127</v>
      </c>
      <c r="CF32" s="74" cm="1">
        <f t="array" ref="CF32">CA32*Engineer+CB32*Manager+CC32*Admin+CD32*Lawyer</f>
        <v>329186.21282051277</v>
      </c>
      <c r="CG32" s="74">
        <f t="shared" si="33"/>
        <v>0</v>
      </c>
      <c r="CH32" s="74">
        <f t="shared" si="85"/>
        <v>55429.066818774438</v>
      </c>
      <c r="CI32" s="74">
        <f t="shared" si="34"/>
        <v>384615.27963928721</v>
      </c>
    </row>
    <row r="33" spans="1:87" ht="31.5" x14ac:dyDescent="0.25">
      <c r="A33" s="2">
        <v>2</v>
      </c>
      <c r="B33" s="8" t="s">
        <v>87</v>
      </c>
      <c r="C33" s="4">
        <v>5</v>
      </c>
      <c r="D33" s="4">
        <v>44</v>
      </c>
      <c r="E33" s="4">
        <v>220</v>
      </c>
      <c r="F33" s="4">
        <v>120</v>
      </c>
      <c r="G33" s="4">
        <v>16.5</v>
      </c>
      <c r="H33" s="4">
        <v>12</v>
      </c>
      <c r="I33" s="4">
        <v>10</v>
      </c>
      <c r="J33" s="4">
        <v>158.5</v>
      </c>
      <c r="K33" s="5">
        <v>11923.625</v>
      </c>
      <c r="L33" s="5">
        <v>0</v>
      </c>
      <c r="M33" s="5">
        <v>7735</v>
      </c>
      <c r="N33" s="5">
        <v>19658.625</v>
      </c>
      <c r="P33" s="71" t="str">
        <f t="shared" si="17"/>
        <v>GG. Zinc Production</v>
      </c>
      <c r="Q33" s="59">
        <f t="shared" si="18"/>
        <v>24</v>
      </c>
      <c r="R33" s="59">
        <f t="shared" si="19"/>
        <v>3.3</v>
      </c>
      <c r="S33" s="59">
        <f t="shared" si="20"/>
        <v>2.4</v>
      </c>
      <c r="T33" s="59">
        <f t="shared" si="21"/>
        <v>2</v>
      </c>
      <c r="U33" s="59">
        <f t="shared" si="22"/>
        <v>31.7</v>
      </c>
      <c r="V33" s="74">
        <f t="shared" si="23"/>
        <v>2384.7249999999999</v>
      </c>
      <c r="W33" s="74">
        <f t="shared" si="24"/>
        <v>0</v>
      </c>
      <c r="X33" s="74">
        <f t="shared" si="25"/>
        <v>1547</v>
      </c>
      <c r="Y33" s="74">
        <f t="shared" si="26"/>
        <v>3931.7249999999999</v>
      </c>
      <c r="AA33" s="71" t="s">
        <v>87</v>
      </c>
      <c r="AB33" s="58">
        <v>5</v>
      </c>
      <c r="AC33" s="58">
        <v>0.5</v>
      </c>
      <c r="AD33" s="58">
        <v>2.5000000000000005E-2</v>
      </c>
      <c r="AE33" s="58">
        <v>5.000000000000001E-2</v>
      </c>
      <c r="AF33" s="58">
        <v>0</v>
      </c>
      <c r="AG33" s="58">
        <v>0.57500000000000007</v>
      </c>
      <c r="AH33" s="74">
        <v>20.450597000000002</v>
      </c>
      <c r="AI33" s="74">
        <v>0</v>
      </c>
      <c r="AJ33" s="74">
        <v>0</v>
      </c>
      <c r="AK33" s="74">
        <v>20.450597000000002</v>
      </c>
      <c r="AM33" s="71" t="str">
        <f t="shared" si="104"/>
        <v>GG. Zinc Production</v>
      </c>
      <c r="AN33" s="59">
        <f t="shared" si="105"/>
        <v>0.1</v>
      </c>
      <c r="AO33" s="59">
        <f t="shared" si="106"/>
        <v>5.000000000000001E-3</v>
      </c>
      <c r="AP33" s="59">
        <f t="shared" si="107"/>
        <v>1.0000000000000002E-2</v>
      </c>
      <c r="AQ33" s="59">
        <f t="shared" si="108"/>
        <v>0</v>
      </c>
      <c r="AR33" s="59">
        <f t="shared" si="109"/>
        <v>0.11500000000000002</v>
      </c>
      <c r="AS33" s="74">
        <f t="shared" si="110"/>
        <v>4.0901194000000007</v>
      </c>
      <c r="AT33" s="74">
        <f t="shared" si="111"/>
        <v>0</v>
      </c>
      <c r="AU33" s="74">
        <f t="shared" si="112"/>
        <v>0</v>
      </c>
      <c r="AV33" s="74">
        <f t="shared" si="113"/>
        <v>4.0901194000000007</v>
      </c>
      <c r="AX33" s="71" t="str">
        <f t="shared" si="4"/>
        <v>GG. Zinc Production</v>
      </c>
      <c r="AY33" s="71"/>
      <c r="AZ33" s="81">
        <f t="shared" si="86"/>
        <v>5</v>
      </c>
      <c r="BA33" s="59">
        <f t="shared" si="6"/>
        <v>24.1</v>
      </c>
      <c r="BB33" s="59">
        <f t="shared" si="7"/>
        <v>3.3049999999999997</v>
      </c>
      <c r="BC33" s="59">
        <f t="shared" si="8"/>
        <v>2.4099999999999997</v>
      </c>
      <c r="BD33" s="59">
        <f t="shared" si="9"/>
        <v>2</v>
      </c>
      <c r="BE33" s="59">
        <f t="shared" si="10"/>
        <v>31.814999999999998</v>
      </c>
      <c r="BF33" s="74">
        <f t="shared" si="11"/>
        <v>2388.8151193999997</v>
      </c>
      <c r="BG33" s="74">
        <f t="shared" si="12"/>
        <v>0</v>
      </c>
      <c r="BH33" s="74">
        <f t="shared" si="13"/>
        <v>1547</v>
      </c>
      <c r="BI33" s="74">
        <f t="shared" si="14"/>
        <v>3935.8151193999997</v>
      </c>
      <c r="BK33" s="71"/>
      <c r="BL33" s="71"/>
      <c r="BM33" s="81"/>
      <c r="BN33" s="59"/>
      <c r="BO33" s="59"/>
      <c r="BP33" s="59"/>
      <c r="BQ33" s="59"/>
      <c r="BR33" s="59"/>
      <c r="BS33" s="74"/>
      <c r="BT33" s="74"/>
      <c r="BU33" s="74"/>
      <c r="BV33" s="74"/>
      <c r="BX33" s="71" t="str">
        <f t="shared" si="27"/>
        <v>GG. Zinc Production</v>
      </c>
      <c r="BY33" s="71"/>
      <c r="BZ33" s="81">
        <v>6</v>
      </c>
      <c r="CA33" s="78">
        <f t="shared" si="84"/>
        <v>144.60000000000002</v>
      </c>
      <c r="CB33" s="78">
        <f t="shared" si="29"/>
        <v>19.829999999999998</v>
      </c>
      <c r="CC33" s="78">
        <f t="shared" si="30"/>
        <v>14.459999999999997</v>
      </c>
      <c r="CD33" s="78">
        <f t="shared" si="31"/>
        <v>12</v>
      </c>
      <c r="CE33" s="78">
        <f t="shared" si="32"/>
        <v>190.89000000000001</v>
      </c>
      <c r="CF33" s="74" cm="1">
        <f t="array" ref="CF33">CA33*Engineer+CB33*Manager+CC33*Admin+CD33*Lawyer</f>
        <v>16122.36</v>
      </c>
      <c r="CG33" s="74">
        <f t="shared" si="33"/>
        <v>0</v>
      </c>
      <c r="CH33" s="74">
        <f t="shared" si="85"/>
        <v>10438.316949152542</v>
      </c>
      <c r="CI33" s="74">
        <f t="shared" si="34"/>
        <v>26560.676949152541</v>
      </c>
    </row>
    <row r="34" spans="1:87" ht="45" x14ac:dyDescent="0.25">
      <c r="A34" s="2">
        <v>2</v>
      </c>
      <c r="B34" s="8" t="s">
        <v>88</v>
      </c>
      <c r="C34" s="4">
        <v>1127</v>
      </c>
      <c r="D34" s="4">
        <v>514</v>
      </c>
      <c r="E34" s="4">
        <v>579278</v>
      </c>
      <c r="F34" s="4">
        <v>58807</v>
      </c>
      <c r="G34" s="4">
        <v>5635</v>
      </c>
      <c r="H34" s="4">
        <v>6762</v>
      </c>
      <c r="I34" s="4">
        <v>1127</v>
      </c>
      <c r="J34" s="4">
        <v>72331</v>
      </c>
      <c r="K34" s="5">
        <v>5216261.5399999991</v>
      </c>
      <c r="L34" s="5">
        <v>0</v>
      </c>
      <c r="M34" s="5">
        <v>1987691</v>
      </c>
      <c r="N34" s="5">
        <v>7203952.5399999991</v>
      </c>
      <c r="P34" s="71" t="str">
        <f t="shared" si="17"/>
        <v>HH. Landfills</v>
      </c>
      <c r="Q34" s="59">
        <f t="shared" si="18"/>
        <v>52.180124223602483</v>
      </c>
      <c r="R34" s="59">
        <f t="shared" si="19"/>
        <v>5</v>
      </c>
      <c r="S34" s="59">
        <f t="shared" si="20"/>
        <v>6</v>
      </c>
      <c r="T34" s="59">
        <f t="shared" si="21"/>
        <v>1</v>
      </c>
      <c r="U34" s="59">
        <f t="shared" si="22"/>
        <v>64.18012422360249</v>
      </c>
      <c r="V34" s="74">
        <f t="shared" si="23"/>
        <v>4628.4485714285711</v>
      </c>
      <c r="W34" s="74">
        <f t="shared" si="24"/>
        <v>0</v>
      </c>
      <c r="X34" s="74">
        <f t="shared" si="25"/>
        <v>1763.700976042591</v>
      </c>
      <c r="Y34" s="74">
        <f t="shared" si="26"/>
        <v>6392.1495474711619</v>
      </c>
      <c r="AA34" s="71" t="s">
        <v>89</v>
      </c>
      <c r="AB34" s="58">
        <v>1129</v>
      </c>
      <c r="AC34" s="58">
        <v>1347.95</v>
      </c>
      <c r="AD34" s="58">
        <v>72.497500000000002</v>
      </c>
      <c r="AE34" s="58">
        <v>120.995</v>
      </c>
      <c r="AF34" s="58">
        <v>12</v>
      </c>
      <c r="AG34" s="58">
        <v>1553.4425000000001</v>
      </c>
      <c r="AH34" s="74">
        <v>84650.753655600012</v>
      </c>
      <c r="AI34" s="74">
        <v>0</v>
      </c>
      <c r="AJ34" s="74">
        <v>374.27312775330392</v>
      </c>
      <c r="AK34" s="74">
        <v>85025.026783353314</v>
      </c>
      <c r="AM34" s="71" t="str">
        <f t="shared" si="104"/>
        <v>HH. MSW Landfills</v>
      </c>
      <c r="AN34" s="59">
        <f t="shared" si="105"/>
        <v>1.1960514640638864</v>
      </c>
      <c r="AO34" s="59">
        <f t="shared" si="106"/>
        <v>6.4327861579414378E-2</v>
      </c>
      <c r="AP34" s="59">
        <f t="shared" si="107"/>
        <v>0.10736024844720497</v>
      </c>
      <c r="AQ34" s="59">
        <f t="shared" si="108"/>
        <v>1.064773735581189E-2</v>
      </c>
      <c r="AR34" s="59">
        <f t="shared" si="109"/>
        <v>1.3783873114463177</v>
      </c>
      <c r="AS34" s="74">
        <f t="shared" si="110"/>
        <v>75.111582658030173</v>
      </c>
      <c r="AT34" s="74">
        <f t="shared" si="111"/>
        <v>0</v>
      </c>
      <c r="AU34" s="74">
        <f t="shared" si="112"/>
        <v>0.33209683030461751</v>
      </c>
      <c r="AV34" s="74">
        <f t="shared" si="113"/>
        <v>75.443679488334794</v>
      </c>
      <c r="AX34" s="71" t="str">
        <f t="shared" si="4"/>
        <v>HH. Landfills</v>
      </c>
      <c r="AY34" s="71" t="s">
        <v>90</v>
      </c>
      <c r="AZ34" s="81">
        <f>C34+6</f>
        <v>1133</v>
      </c>
      <c r="BA34" s="59">
        <f t="shared" si="6"/>
        <v>53.376175687666368</v>
      </c>
      <c r="BB34" s="59">
        <f t="shared" si="7"/>
        <v>5.0643278615794145</v>
      </c>
      <c r="BC34" s="59">
        <f t="shared" si="8"/>
        <v>6.1073602484472049</v>
      </c>
      <c r="BD34" s="59">
        <f t="shared" si="9"/>
        <v>1.0106477373558118</v>
      </c>
      <c r="BE34" s="59">
        <f t="shared" si="10"/>
        <v>65.558511535048808</v>
      </c>
      <c r="BF34" s="74">
        <f t="shared" si="11"/>
        <v>4703.560154086601</v>
      </c>
      <c r="BG34" s="74">
        <f t="shared" si="12"/>
        <v>0</v>
      </c>
      <c r="BH34" s="74">
        <f t="shared" si="13"/>
        <v>1764.0330728728957</v>
      </c>
      <c r="BI34" s="74">
        <f t="shared" si="14"/>
        <v>6467.5932269594969</v>
      </c>
      <c r="BK34" s="71"/>
      <c r="BL34" s="71"/>
      <c r="BM34" s="81"/>
      <c r="BN34" s="59"/>
      <c r="BO34" s="59"/>
      <c r="BP34" s="59"/>
      <c r="BQ34" s="59"/>
      <c r="BR34" s="59"/>
      <c r="BS34" s="74"/>
      <c r="BT34" s="74"/>
      <c r="BU34" s="74"/>
      <c r="BV34" s="74"/>
      <c r="BX34" s="71" t="str">
        <f t="shared" si="27"/>
        <v>HH. Landfills</v>
      </c>
      <c r="BY34" s="71" t="str">
        <f t="shared" si="44"/>
        <v>GWP changes in the 2024 rule added 6 reporters.</v>
      </c>
      <c r="BZ34" s="81">
        <f>1125+6</f>
        <v>1131</v>
      </c>
      <c r="CA34" s="78">
        <f t="shared" si="84"/>
        <v>60368.454702750663</v>
      </c>
      <c r="CB34" s="78">
        <f t="shared" si="29"/>
        <v>5727.7548114463179</v>
      </c>
      <c r="CC34" s="78">
        <f t="shared" si="30"/>
        <v>6907.4244409937892</v>
      </c>
      <c r="CD34" s="78">
        <f t="shared" si="31"/>
        <v>1143.0425909494231</v>
      </c>
      <c r="CE34" s="78">
        <f t="shared" si="32"/>
        <v>74146.676546140196</v>
      </c>
      <c r="CF34" s="74" cm="1">
        <f t="array" ref="CF34">CA34*Engineer+CB34*Manager+CC34*Admin+CD34*Lawyer</f>
        <v>5969330.1563238679</v>
      </c>
      <c r="CG34" s="74">
        <f t="shared" si="33"/>
        <v>0</v>
      </c>
      <c r="CH34" s="74">
        <f t="shared" si="85"/>
        <v>2243666.1906706253</v>
      </c>
      <c r="CI34" s="74">
        <f t="shared" si="34"/>
        <v>8212996.3469944932</v>
      </c>
    </row>
    <row r="35" spans="1:87" ht="45" x14ac:dyDescent="0.25">
      <c r="A35" s="2">
        <v>2</v>
      </c>
      <c r="B35" s="8" t="s">
        <v>91</v>
      </c>
      <c r="C35" s="4">
        <v>114</v>
      </c>
      <c r="D35" s="4">
        <v>437</v>
      </c>
      <c r="E35" s="4">
        <v>49818</v>
      </c>
      <c r="F35" s="4">
        <v>2850</v>
      </c>
      <c r="G35" s="4">
        <v>421.8</v>
      </c>
      <c r="H35" s="4">
        <v>193.79999999999998</v>
      </c>
      <c r="I35" s="4">
        <v>114</v>
      </c>
      <c r="J35" s="4">
        <v>3579.6000000000004</v>
      </c>
      <c r="K35" s="5">
        <v>268632.33600000001</v>
      </c>
      <c r="L35" s="5">
        <v>0</v>
      </c>
      <c r="M35" s="5">
        <v>154698</v>
      </c>
      <c r="N35" s="5">
        <v>423330.33599999995</v>
      </c>
      <c r="P35" s="71" t="str">
        <f t="shared" si="17"/>
        <v>II. Wastewater</v>
      </c>
      <c r="Q35" s="59">
        <f>F35/$C35</f>
        <v>25</v>
      </c>
      <c r="R35" s="59">
        <f t="shared" si="19"/>
        <v>3.7</v>
      </c>
      <c r="S35" s="59">
        <f t="shared" si="20"/>
        <v>1.7</v>
      </c>
      <c r="T35" s="59">
        <f t="shared" si="21"/>
        <v>1</v>
      </c>
      <c r="U35" s="59">
        <f t="shared" si="22"/>
        <v>31.400000000000002</v>
      </c>
      <c r="V35" s="74">
        <f t="shared" si="23"/>
        <v>2356.424</v>
      </c>
      <c r="W35" s="74">
        <f t="shared" si="24"/>
        <v>0</v>
      </c>
      <c r="X35" s="74">
        <f t="shared" si="25"/>
        <v>1357</v>
      </c>
      <c r="Y35" s="74">
        <f t="shared" si="26"/>
        <v>3713.4239999999995</v>
      </c>
      <c r="AA35" s="71" t="s">
        <v>92</v>
      </c>
      <c r="AB35" s="58">
        <v>2</v>
      </c>
      <c r="AC35" s="58">
        <v>54</v>
      </c>
      <c r="AD35" s="58">
        <v>7.8</v>
      </c>
      <c r="AE35" s="58">
        <v>3.8</v>
      </c>
      <c r="AF35" s="58">
        <v>4</v>
      </c>
      <c r="AG35" s="58">
        <v>69.599999999999994</v>
      </c>
      <c r="AH35" s="74">
        <v>5287.7472980000002</v>
      </c>
      <c r="AI35" s="74">
        <v>0</v>
      </c>
      <c r="AJ35" s="74">
        <v>3076.5251101321587</v>
      </c>
      <c r="AK35" s="74">
        <v>8364.2724081321594</v>
      </c>
      <c r="AM35" s="71" t="str">
        <f t="shared" si="104"/>
        <v>II. Industrial Wastewater Treatment</v>
      </c>
      <c r="AN35" s="59">
        <f t="shared" si="105"/>
        <v>0.47368421052631576</v>
      </c>
      <c r="AO35" s="59">
        <f t="shared" si="106"/>
        <v>6.8421052631578952E-2</v>
      </c>
      <c r="AP35" s="59">
        <f t="shared" si="107"/>
        <v>3.3333333333333333E-2</v>
      </c>
      <c r="AQ35" s="59">
        <f t="shared" si="108"/>
        <v>3.5087719298245612E-2</v>
      </c>
      <c r="AR35" s="59">
        <f t="shared" si="109"/>
        <v>0.61052631578947358</v>
      </c>
      <c r="AS35" s="74">
        <f t="shared" si="110"/>
        <v>46.383748228070175</v>
      </c>
      <c r="AT35" s="74">
        <f t="shared" si="111"/>
        <v>0</v>
      </c>
      <c r="AU35" s="74">
        <f t="shared" si="112"/>
        <v>26.98706236958034</v>
      </c>
      <c r="AV35" s="74">
        <f t="shared" si="113"/>
        <v>73.370810597650518</v>
      </c>
      <c r="AX35" s="71" t="str">
        <f t="shared" si="4"/>
        <v>II. Wastewater</v>
      </c>
      <c r="AY35" s="71" t="s">
        <v>93</v>
      </c>
      <c r="AZ35" s="81">
        <f>C35+2</f>
        <v>116</v>
      </c>
      <c r="BA35" s="59">
        <f t="shared" si="6"/>
        <v>25.473684210526315</v>
      </c>
      <c r="BB35" s="59">
        <f t="shared" si="7"/>
        <v>3.7684210526315791</v>
      </c>
      <c r="BC35" s="59">
        <f t="shared" si="8"/>
        <v>1.7333333333333334</v>
      </c>
      <c r="BD35" s="59">
        <f t="shared" si="9"/>
        <v>1.0350877192982457</v>
      </c>
      <c r="BE35" s="59">
        <f t="shared" si="10"/>
        <v>32.010526315789477</v>
      </c>
      <c r="BF35" s="74">
        <f t="shared" si="11"/>
        <v>2402.8077482280701</v>
      </c>
      <c r="BG35" s="74">
        <f t="shared" si="12"/>
        <v>0</v>
      </c>
      <c r="BH35" s="74">
        <f t="shared" si="13"/>
        <v>1383.9870623695804</v>
      </c>
      <c r="BI35" s="74">
        <f t="shared" si="14"/>
        <v>3786.7948105976502</v>
      </c>
      <c r="BK35" s="71"/>
      <c r="BL35" s="71"/>
      <c r="BM35" s="81"/>
      <c r="BN35" s="59"/>
      <c r="BO35" s="59"/>
      <c r="BP35" s="59"/>
      <c r="BQ35" s="59"/>
      <c r="BR35" s="59"/>
      <c r="BS35" s="74"/>
      <c r="BT35" s="74"/>
      <c r="BU35" s="74"/>
      <c r="BV35" s="74"/>
      <c r="BX35" s="71" t="str">
        <f t="shared" si="27"/>
        <v>II. Wastewater</v>
      </c>
      <c r="BY35" s="71" t="str">
        <f t="shared" si="44"/>
        <v>GWP changes in the 2024 rule added 2 reporters.</v>
      </c>
      <c r="BZ35" s="81">
        <f>118+2</f>
        <v>120</v>
      </c>
      <c r="CA35" s="78">
        <f t="shared" si="84"/>
        <v>3056.8421052631579</v>
      </c>
      <c r="CB35" s="78">
        <f t="shared" si="29"/>
        <v>452.21052631578948</v>
      </c>
      <c r="CC35" s="78">
        <f t="shared" si="30"/>
        <v>208</v>
      </c>
      <c r="CD35" s="78">
        <f t="shared" si="31"/>
        <v>124.21052631578948</v>
      </c>
      <c r="CE35" s="78">
        <f t="shared" si="32"/>
        <v>3841.2631578947371</v>
      </c>
      <c r="CF35" s="74" cm="1">
        <f t="array" ref="CF35">CA35*Engineer+CB35*Manager+CC35*Admin+CD35*Lawyer</f>
        <v>322373.71789473685</v>
      </c>
      <c r="CG35" s="74">
        <f t="shared" si="33"/>
        <v>0</v>
      </c>
      <c r="CH35" s="74">
        <f t="shared" si="85"/>
        <v>186767.88119638304</v>
      </c>
      <c r="CI35" s="74">
        <f t="shared" si="34"/>
        <v>509141.59909111989</v>
      </c>
    </row>
    <row r="36" spans="1:87" ht="60.75" thickBot="1" x14ac:dyDescent="0.3">
      <c r="A36" s="2">
        <v>2</v>
      </c>
      <c r="B36" s="134" t="s">
        <v>139</v>
      </c>
      <c r="C36" s="4">
        <v>1</v>
      </c>
      <c r="D36" s="4">
        <v>2</v>
      </c>
      <c r="E36" s="4">
        <v>2</v>
      </c>
      <c r="F36" s="4">
        <v>15.25</v>
      </c>
      <c r="G36" s="4">
        <v>1.97</v>
      </c>
      <c r="H36" s="4">
        <v>2.4300000000000002</v>
      </c>
      <c r="I36" s="4">
        <v>2</v>
      </c>
      <c r="J36" s="4">
        <v>21.649999999999995</v>
      </c>
      <c r="K36" s="5">
        <v>1618.2663</v>
      </c>
      <c r="L36" s="5">
        <v>0</v>
      </c>
      <c r="M36" s="5">
        <v>55</v>
      </c>
      <c r="N36" s="5">
        <v>1673.2663</v>
      </c>
      <c r="P36" s="71" t="str">
        <f t="shared" si="17"/>
        <v>LL. Suppliers of Coal-based Liquid Fuels</v>
      </c>
      <c r="Q36" s="59">
        <f t="shared" si="18"/>
        <v>15.25</v>
      </c>
      <c r="R36" s="59">
        <f t="shared" si="19"/>
        <v>1.97</v>
      </c>
      <c r="S36" s="59">
        <f t="shared" si="20"/>
        <v>2.4300000000000002</v>
      </c>
      <c r="T36" s="59">
        <f t="shared" si="21"/>
        <v>2</v>
      </c>
      <c r="U36" s="59">
        <f t="shared" si="22"/>
        <v>21.649999999999995</v>
      </c>
      <c r="V36" s="74">
        <f t="shared" si="23"/>
        <v>1618.2663</v>
      </c>
      <c r="W36" s="74">
        <f t="shared" si="24"/>
        <v>0</v>
      </c>
      <c r="X36" s="74">
        <f t="shared" si="25"/>
        <v>55</v>
      </c>
      <c r="Y36" s="74">
        <f t="shared" si="26"/>
        <v>1673.2663</v>
      </c>
      <c r="AA36" s="72"/>
      <c r="AX36" s="71" t="str">
        <f t="shared" si="4"/>
        <v>LL. Suppliers of Coal-based Liquid Fuels</v>
      </c>
      <c r="AY36" s="71"/>
      <c r="AZ36" s="81">
        <f>C36</f>
        <v>1</v>
      </c>
      <c r="BA36" s="59">
        <f t="shared" si="6"/>
        <v>15.25</v>
      </c>
      <c r="BB36" s="59">
        <f t="shared" si="7"/>
        <v>1.97</v>
      </c>
      <c r="BC36" s="59">
        <f t="shared" si="8"/>
        <v>2.4300000000000002</v>
      </c>
      <c r="BD36" s="59">
        <f t="shared" si="9"/>
        <v>2</v>
      </c>
      <c r="BE36" s="59">
        <f t="shared" si="10"/>
        <v>21.649999999999995</v>
      </c>
      <c r="BF36" s="74">
        <f t="shared" si="11"/>
        <v>1618.2663</v>
      </c>
      <c r="BG36" s="74">
        <f t="shared" si="12"/>
        <v>0</v>
      </c>
      <c r="BH36" s="74">
        <f t="shared" si="13"/>
        <v>55</v>
      </c>
      <c r="BI36" s="74">
        <f t="shared" si="14"/>
        <v>1673.2663</v>
      </c>
      <c r="BK36" s="71"/>
      <c r="BL36" s="71"/>
      <c r="BM36" s="81"/>
      <c r="BN36" s="59"/>
      <c r="BO36" s="59"/>
      <c r="BP36" s="59"/>
      <c r="BQ36" s="59"/>
      <c r="BR36" s="59"/>
      <c r="BS36" s="74"/>
      <c r="BT36" s="74"/>
      <c r="BU36" s="74"/>
      <c r="BV36" s="74"/>
      <c r="BX36" s="71" t="str">
        <f t="shared" si="27"/>
        <v>LL. Suppliers of Coal-based Liquid Fuels</v>
      </c>
      <c r="BY36" s="71"/>
      <c r="BZ36" s="81">
        <v>1</v>
      </c>
      <c r="CA36" s="78">
        <f t="shared" si="84"/>
        <v>15.25</v>
      </c>
      <c r="CB36" s="78">
        <f t="shared" si="29"/>
        <v>1.97</v>
      </c>
      <c r="CC36" s="78">
        <f t="shared" si="30"/>
        <v>2.4300000000000002</v>
      </c>
      <c r="CD36" s="78">
        <f t="shared" si="31"/>
        <v>2</v>
      </c>
      <c r="CE36" s="78">
        <f t="shared" si="32"/>
        <v>21.65</v>
      </c>
      <c r="CF36" s="74" cm="1">
        <f t="array" ref="CF36">CA36*Engineer+CB36*Manager+CC36*Admin+CD36*Lawyer</f>
        <v>1824.4362000000001</v>
      </c>
      <c r="CG36" s="74">
        <f t="shared" si="33"/>
        <v>0</v>
      </c>
      <c r="CH36" s="74">
        <f t="shared" si="85"/>
        <v>61.851694915254235</v>
      </c>
      <c r="CI36" s="74">
        <f t="shared" si="34"/>
        <v>1886.2878949152544</v>
      </c>
    </row>
    <row r="37" spans="1:87" ht="45" x14ac:dyDescent="0.25">
      <c r="A37" s="2"/>
      <c r="B37" s="8" t="s">
        <v>95</v>
      </c>
      <c r="C37" s="4">
        <v>238</v>
      </c>
      <c r="D37" s="4">
        <v>149</v>
      </c>
      <c r="E37" s="4">
        <v>35462</v>
      </c>
      <c r="F37" s="4">
        <v>7418.46</v>
      </c>
      <c r="G37" s="4">
        <v>549.78</v>
      </c>
      <c r="H37" s="4">
        <v>742.56000000000006</v>
      </c>
      <c r="I37" s="4">
        <v>476</v>
      </c>
      <c r="J37" s="4">
        <v>9186.7999999999993</v>
      </c>
      <c r="K37" s="5">
        <v>677874.97960000008</v>
      </c>
      <c r="L37" s="5">
        <v>0</v>
      </c>
      <c r="M37" s="5">
        <v>13090</v>
      </c>
      <c r="N37" s="5">
        <v>690964.97960000008</v>
      </c>
      <c r="P37" s="71" t="str">
        <f t="shared" si="17"/>
        <v>MM. Suppliers of Petrol. Prod.</v>
      </c>
      <c r="Q37" s="59">
        <f t="shared" si="18"/>
        <v>31.17</v>
      </c>
      <c r="R37" s="59">
        <f t="shared" si="19"/>
        <v>2.31</v>
      </c>
      <c r="S37" s="59">
        <f t="shared" si="20"/>
        <v>3.12</v>
      </c>
      <c r="T37" s="59">
        <f t="shared" si="21"/>
        <v>2</v>
      </c>
      <c r="U37" s="59">
        <f t="shared" si="22"/>
        <v>38.599999999999994</v>
      </c>
      <c r="V37" s="74">
        <f t="shared" si="23"/>
        <v>2848.2142000000003</v>
      </c>
      <c r="W37" s="74">
        <f t="shared" si="24"/>
        <v>0</v>
      </c>
      <c r="X37" s="74">
        <f t="shared" si="25"/>
        <v>55</v>
      </c>
      <c r="Y37" s="74">
        <f t="shared" si="26"/>
        <v>2903.2142000000003</v>
      </c>
      <c r="AA37" s="72"/>
      <c r="AX37" s="71" t="str">
        <f t="shared" si="4"/>
        <v>MM. Suppliers of Petrol. Prod.</v>
      </c>
      <c r="AY37" s="71"/>
      <c r="AZ37" s="81">
        <f>C37</f>
        <v>238</v>
      </c>
      <c r="BA37" s="59">
        <f t="shared" si="6"/>
        <v>31.17</v>
      </c>
      <c r="BB37" s="59">
        <f t="shared" si="7"/>
        <v>2.31</v>
      </c>
      <c r="BC37" s="59">
        <f t="shared" si="8"/>
        <v>3.12</v>
      </c>
      <c r="BD37" s="59">
        <f t="shared" si="9"/>
        <v>2</v>
      </c>
      <c r="BE37" s="59">
        <f t="shared" si="10"/>
        <v>38.599999999999994</v>
      </c>
      <c r="BF37" s="74">
        <f t="shared" si="11"/>
        <v>2848.2142000000003</v>
      </c>
      <c r="BG37" s="74">
        <f t="shared" si="12"/>
        <v>0</v>
      </c>
      <c r="BH37" s="74">
        <f t="shared" si="13"/>
        <v>55</v>
      </c>
      <c r="BI37" s="74">
        <f t="shared" si="14"/>
        <v>2903.2142000000003</v>
      </c>
      <c r="BK37" s="71"/>
      <c r="BL37" s="71"/>
      <c r="BM37" s="81"/>
      <c r="BN37" s="59"/>
      <c r="BO37" s="59"/>
      <c r="BP37" s="59"/>
      <c r="BQ37" s="59"/>
      <c r="BR37" s="59"/>
      <c r="BS37" s="74"/>
      <c r="BT37" s="74"/>
      <c r="BU37" s="74"/>
      <c r="BV37" s="74"/>
      <c r="BX37" s="71" t="str">
        <f t="shared" si="27"/>
        <v>MM. Suppliers of Petrol. Prod.</v>
      </c>
      <c r="BY37" s="71"/>
      <c r="BZ37" s="81">
        <v>274</v>
      </c>
      <c r="CA37" s="78">
        <f t="shared" si="84"/>
        <v>8540.58</v>
      </c>
      <c r="CB37" s="78">
        <f t="shared" si="29"/>
        <v>632.94000000000005</v>
      </c>
      <c r="CC37" s="78">
        <f t="shared" si="30"/>
        <v>854.88</v>
      </c>
      <c r="CD37" s="78">
        <f t="shared" si="31"/>
        <v>548</v>
      </c>
      <c r="CE37" s="78">
        <f t="shared" si="32"/>
        <v>10576.4</v>
      </c>
      <c r="CF37" s="74" cm="1">
        <f t="array" ref="CF37">CA37*Engineer+CB37*Manager+CC37*Admin+CD37*Lawyer</f>
        <v>876514.51939999987</v>
      </c>
      <c r="CG37" s="74">
        <f t="shared" si="33"/>
        <v>0</v>
      </c>
      <c r="CH37" s="74">
        <f t="shared" si="85"/>
        <v>16947.364406779659</v>
      </c>
      <c r="CI37" s="74">
        <f t="shared" si="34"/>
        <v>893461.88380677951</v>
      </c>
    </row>
    <row r="38" spans="1:87" ht="60" x14ac:dyDescent="0.25">
      <c r="A38" s="2">
        <v>2</v>
      </c>
      <c r="B38" s="8" t="s">
        <v>96</v>
      </c>
      <c r="C38" s="4">
        <v>484</v>
      </c>
      <c r="D38" s="4">
        <v>64</v>
      </c>
      <c r="E38" s="4">
        <v>30976</v>
      </c>
      <c r="F38" s="4">
        <v>5407.3</v>
      </c>
      <c r="G38" s="4">
        <v>1355.1999999999998</v>
      </c>
      <c r="H38" s="4">
        <v>899.56500000000005</v>
      </c>
      <c r="I38" s="4">
        <v>484</v>
      </c>
      <c r="J38" s="4">
        <v>8146.0649999999996</v>
      </c>
      <c r="K38" s="5">
        <v>609220.74584999995</v>
      </c>
      <c r="L38" s="5">
        <v>0</v>
      </c>
      <c r="M38" s="5">
        <v>26620</v>
      </c>
      <c r="N38" s="5">
        <v>635840.74584999995</v>
      </c>
      <c r="P38" s="71" t="str">
        <f t="shared" si="17"/>
        <v>NN. Supplies of Nat Gas and Nat Gas Liquids</v>
      </c>
      <c r="Q38" s="59">
        <f t="shared" si="18"/>
        <v>11.17210743801653</v>
      </c>
      <c r="R38" s="59">
        <f t="shared" si="19"/>
        <v>2.8</v>
      </c>
      <c r="S38" s="59">
        <f t="shared" si="20"/>
        <v>1.8586053719008266</v>
      </c>
      <c r="T38" s="59">
        <f t="shared" si="21"/>
        <v>1</v>
      </c>
      <c r="U38" s="59">
        <f t="shared" si="22"/>
        <v>16.830712809917355</v>
      </c>
      <c r="V38" s="74">
        <f t="shared" si="23"/>
        <v>1258.7205492768594</v>
      </c>
      <c r="W38" s="74">
        <f t="shared" si="24"/>
        <v>0</v>
      </c>
      <c r="X38" s="74">
        <f t="shared" si="25"/>
        <v>55</v>
      </c>
      <c r="Y38" s="74">
        <f t="shared" si="26"/>
        <v>1313.7205492768594</v>
      </c>
      <c r="AA38" s="72"/>
      <c r="AX38" s="71" t="str">
        <f t="shared" si="4"/>
        <v>NN. Supplies of Nat Gas and Nat Gas Liquids</v>
      </c>
      <c r="AY38" s="71"/>
      <c r="AZ38" s="81">
        <f>C38</f>
        <v>484</v>
      </c>
      <c r="BA38" s="59">
        <f t="shared" si="6"/>
        <v>11.17210743801653</v>
      </c>
      <c r="BB38" s="59">
        <f t="shared" si="7"/>
        <v>2.8</v>
      </c>
      <c r="BC38" s="59">
        <f t="shared" si="8"/>
        <v>1.8586053719008266</v>
      </c>
      <c r="BD38" s="59">
        <f t="shared" si="9"/>
        <v>1</v>
      </c>
      <c r="BE38" s="59">
        <f t="shared" si="10"/>
        <v>16.830712809917355</v>
      </c>
      <c r="BF38" s="74">
        <f t="shared" si="11"/>
        <v>1258.7205492768594</v>
      </c>
      <c r="BG38" s="74">
        <f t="shared" si="12"/>
        <v>0</v>
      </c>
      <c r="BH38" s="74">
        <f t="shared" si="13"/>
        <v>55</v>
      </c>
      <c r="BI38" s="74">
        <f t="shared" si="14"/>
        <v>1313.7205492768594</v>
      </c>
      <c r="BK38" s="71"/>
      <c r="BL38" s="71"/>
      <c r="BM38" s="81"/>
      <c r="BN38" s="59"/>
      <c r="BO38" s="59"/>
      <c r="BP38" s="59"/>
      <c r="BQ38" s="59"/>
      <c r="BR38" s="59"/>
      <c r="BS38" s="74"/>
      <c r="BT38" s="74"/>
      <c r="BU38" s="74"/>
      <c r="BV38" s="74"/>
      <c r="BX38" s="71" t="str">
        <f>AX38</f>
        <v>NN. Supplies of Nat Gas and Nat Gas Liquids</v>
      </c>
      <c r="BY38" s="71"/>
      <c r="BZ38" s="81">
        <v>522</v>
      </c>
      <c r="CA38" s="78">
        <f t="shared" si="84"/>
        <v>5831.8400826446286</v>
      </c>
      <c r="CB38" s="78">
        <f t="shared" si="29"/>
        <v>1461.6</v>
      </c>
      <c r="CC38" s="78">
        <f t="shared" si="30"/>
        <v>970.19200413223155</v>
      </c>
      <c r="CD38" s="78">
        <f t="shared" si="31"/>
        <v>522</v>
      </c>
      <c r="CE38" s="78">
        <f t="shared" si="32"/>
        <v>8785.6320867768609</v>
      </c>
      <c r="CF38" s="74" cm="1">
        <f t="array" ref="CF38">CA38*Engineer+CB38*Manager+CC38*Admin+CD38*Lawyer</f>
        <v>735286.94154111575</v>
      </c>
      <c r="CG38" s="74">
        <f t="shared" si="33"/>
        <v>0</v>
      </c>
      <c r="CH38" s="74">
        <f t="shared" si="85"/>
        <v>32286.58474576271</v>
      </c>
      <c r="CI38" s="74">
        <f t="shared" si="34"/>
        <v>767573.52628687851</v>
      </c>
    </row>
    <row r="39" spans="1:87" ht="60" x14ac:dyDescent="0.25">
      <c r="A39" s="2">
        <v>2</v>
      </c>
      <c r="B39" s="8" t="s">
        <v>97</v>
      </c>
      <c r="C39" s="4">
        <v>103</v>
      </c>
      <c r="D39" s="4">
        <v>3635</v>
      </c>
      <c r="E39" s="4">
        <v>374405</v>
      </c>
      <c r="F39" s="4">
        <v>7642.3999999999987</v>
      </c>
      <c r="G39" s="4">
        <v>1208.1199999999999</v>
      </c>
      <c r="H39" s="4">
        <v>646.24</v>
      </c>
      <c r="I39" s="4">
        <v>236</v>
      </c>
      <c r="J39" s="4">
        <v>9732.76</v>
      </c>
      <c r="K39" s="5">
        <v>723699.11320000002</v>
      </c>
      <c r="L39" s="5">
        <v>0</v>
      </c>
      <c r="M39" s="5">
        <v>5665</v>
      </c>
      <c r="N39" s="5">
        <v>729364.11320000002</v>
      </c>
      <c r="P39" s="71" t="str">
        <f t="shared" si="17"/>
        <v>OO. Suppliers of Industrial GHG</v>
      </c>
      <c r="Q39" s="59">
        <f t="shared" si="18"/>
        <v>74.198058252427174</v>
      </c>
      <c r="R39" s="59">
        <f t="shared" si="19"/>
        <v>11.729320388349514</v>
      </c>
      <c r="S39" s="59">
        <f t="shared" si="20"/>
        <v>6.2741747572815534</v>
      </c>
      <c r="T39" s="59">
        <f t="shared" si="21"/>
        <v>2.29126213592233</v>
      </c>
      <c r="U39" s="59">
        <f t="shared" si="22"/>
        <v>94.49281553398059</v>
      </c>
      <c r="V39" s="74">
        <f t="shared" si="23"/>
        <v>7026.2049825242721</v>
      </c>
      <c r="W39" s="74">
        <f t="shared" si="24"/>
        <v>0</v>
      </c>
      <c r="X39" s="74">
        <f t="shared" si="25"/>
        <v>55</v>
      </c>
      <c r="Y39" s="74">
        <f t="shared" si="26"/>
        <v>7081.2049825242721</v>
      </c>
      <c r="AA39" s="71" t="s">
        <v>97</v>
      </c>
      <c r="AB39" s="58">
        <v>121</v>
      </c>
      <c r="AC39" s="58">
        <v>73.8</v>
      </c>
      <c r="AD39" s="58">
        <v>10.69</v>
      </c>
      <c r="AE39" s="58">
        <v>6.38</v>
      </c>
      <c r="AF39" s="58">
        <v>2</v>
      </c>
      <c r="AG39" s="58">
        <v>92.86999999999999</v>
      </c>
      <c r="AH39" s="74">
        <v>6884.0876826000003</v>
      </c>
      <c r="AI39" s="74">
        <v>0</v>
      </c>
      <c r="AJ39" s="74">
        <v>62.378854625550659</v>
      </c>
      <c r="AK39" s="74">
        <v>6946.4665372255513</v>
      </c>
      <c r="AM39" s="71" t="str">
        <f t="shared" ref="AM39:AM45" si="114">AA39</f>
        <v>OO. Suppliers of Industrial GHG</v>
      </c>
      <c r="AN39" s="59">
        <f t="shared" ref="AN39:AN45" si="115">AC39/$C39</f>
        <v>0.71650485436893196</v>
      </c>
      <c r="AO39" s="59">
        <f t="shared" ref="AO39:AO45" si="116">AD39/$C39</f>
        <v>0.10378640776699029</v>
      </c>
      <c r="AP39" s="59">
        <f t="shared" ref="AP39:AP45" si="117">AE39/$C39</f>
        <v>6.194174757281553E-2</v>
      </c>
      <c r="AQ39" s="59">
        <f t="shared" ref="AQ39:AQ45" si="118">AF39/$C39</f>
        <v>1.9417475728155338E-2</v>
      </c>
      <c r="AR39" s="59">
        <f t="shared" ref="AR39:AR45" si="119">AG39/$C39</f>
        <v>0.90165048543689308</v>
      </c>
      <c r="AS39" s="74">
        <f t="shared" ref="AS39:AS45" si="120">AH39/$C39</f>
        <v>66.835802743689328</v>
      </c>
      <c r="AT39" s="74">
        <f t="shared" ref="AT39:AT45" si="121">AI39/$C39</f>
        <v>0</v>
      </c>
      <c r="AU39" s="74">
        <f t="shared" ref="AU39:AU45" si="122">AJ39/$C39</f>
        <v>0.60561994782088013</v>
      </c>
      <c r="AV39" s="74">
        <f t="shared" ref="AV39:AV45" si="123">AK39/$C39</f>
        <v>67.441422691510212</v>
      </c>
      <c r="AX39" s="71" t="str">
        <f t="shared" si="4"/>
        <v>OO. Suppliers of Industrial GHG</v>
      </c>
      <c r="AY39" s="71" t="s">
        <v>98</v>
      </c>
      <c r="AZ39" s="81">
        <f>C39+1</f>
        <v>104</v>
      </c>
      <c r="BA39" s="59">
        <f t="shared" si="6"/>
        <v>74.914563106796109</v>
      </c>
      <c r="BB39" s="59">
        <f t="shared" si="7"/>
        <v>11.833106796116503</v>
      </c>
      <c r="BC39" s="59">
        <f t="shared" si="8"/>
        <v>6.3361165048543686</v>
      </c>
      <c r="BD39" s="59">
        <f t="shared" si="9"/>
        <v>2.3106796116504853</v>
      </c>
      <c r="BE39" s="59">
        <f t="shared" si="10"/>
        <v>95.394466019417479</v>
      </c>
      <c r="BF39" s="74">
        <f t="shared" si="11"/>
        <v>7093.0407852679618</v>
      </c>
      <c r="BG39" s="74">
        <f t="shared" si="12"/>
        <v>0</v>
      </c>
      <c r="BH39" s="74">
        <f t="shared" si="13"/>
        <v>55.605619947820877</v>
      </c>
      <c r="BI39" s="74">
        <f t="shared" si="14"/>
        <v>7148.6464052157826</v>
      </c>
      <c r="BK39" s="71"/>
      <c r="BL39" s="71"/>
      <c r="BM39" s="81"/>
      <c r="BN39" s="59"/>
      <c r="BO39" s="59"/>
      <c r="BP39" s="59"/>
      <c r="BQ39" s="59"/>
      <c r="BR39" s="59"/>
      <c r="BS39" s="74"/>
      <c r="BT39" s="74"/>
      <c r="BU39" s="74"/>
      <c r="BV39" s="74"/>
      <c r="BX39" s="71" t="str">
        <f t="shared" si="27"/>
        <v>OO. Suppliers of Industrial GHG</v>
      </c>
      <c r="BY39" s="71" t="str">
        <f t="shared" si="44"/>
        <v>GWP changes in the2024 rule added 1 reporter.</v>
      </c>
      <c r="BZ39" s="81">
        <f>149+1</f>
        <v>150</v>
      </c>
      <c r="CA39" s="78">
        <f t="shared" si="84"/>
        <v>11237.184466019417</v>
      </c>
      <c r="CB39" s="78">
        <f t="shared" si="29"/>
        <v>1774.9660194174755</v>
      </c>
      <c r="CC39" s="78">
        <f t="shared" si="30"/>
        <v>950.4174757281553</v>
      </c>
      <c r="CD39" s="78">
        <f t="shared" si="31"/>
        <v>346.60194174757282</v>
      </c>
      <c r="CE39" s="78">
        <f t="shared" si="32"/>
        <v>14309.169902912621</v>
      </c>
      <c r="CF39" s="74" cm="1">
        <f t="array" ref="CF39">CA39*Engineer+CB39*Manager+CC39*Admin+CD39*Lawyer</f>
        <v>1187657.9737864076</v>
      </c>
      <c r="CG39" s="74">
        <f t="shared" si="33"/>
        <v>0</v>
      </c>
      <c r="CH39" s="74">
        <f t="shared" si="85"/>
        <v>9379.914110689615</v>
      </c>
      <c r="CI39" s="74">
        <f t="shared" si="34"/>
        <v>1197037.8878970973</v>
      </c>
    </row>
    <row r="40" spans="1:87" ht="31.5" x14ac:dyDescent="0.25">
      <c r="A40" s="2">
        <v>2</v>
      </c>
      <c r="B40" s="8" t="s">
        <v>99</v>
      </c>
      <c r="C40" s="4">
        <v>128</v>
      </c>
      <c r="D40" s="4">
        <v>94</v>
      </c>
      <c r="E40" s="4">
        <v>12032</v>
      </c>
      <c r="F40" s="4">
        <v>1152</v>
      </c>
      <c r="G40" s="4">
        <v>320</v>
      </c>
      <c r="H40" s="4">
        <v>192</v>
      </c>
      <c r="I40" s="4">
        <v>0</v>
      </c>
      <c r="J40" s="4">
        <v>1664</v>
      </c>
      <c r="K40" s="5">
        <v>120823.03999999999</v>
      </c>
      <c r="L40" s="5">
        <v>0</v>
      </c>
      <c r="M40" s="5">
        <v>7040</v>
      </c>
      <c r="N40" s="5">
        <v>127863.03999999999</v>
      </c>
      <c r="P40" s="71" t="str">
        <f t="shared" si="17"/>
        <v>PP. Suppliers of CO2</v>
      </c>
      <c r="Q40" s="59">
        <f t="shared" si="18"/>
        <v>9</v>
      </c>
      <c r="R40" s="59">
        <f t="shared" si="19"/>
        <v>2.5</v>
      </c>
      <c r="S40" s="59">
        <f t="shared" si="20"/>
        <v>1.5</v>
      </c>
      <c r="T40" s="59">
        <f t="shared" si="21"/>
        <v>0</v>
      </c>
      <c r="U40" s="59">
        <f t="shared" si="22"/>
        <v>13</v>
      </c>
      <c r="V40" s="74">
        <f t="shared" si="23"/>
        <v>943.93</v>
      </c>
      <c r="W40" s="74">
        <f t="shared" si="24"/>
        <v>0</v>
      </c>
      <c r="X40" s="74">
        <f t="shared" si="25"/>
        <v>55</v>
      </c>
      <c r="Y40" s="74">
        <f t="shared" si="26"/>
        <v>998.93</v>
      </c>
      <c r="AA40" s="71" t="s">
        <v>100</v>
      </c>
      <c r="AB40" s="58">
        <v>22.3</v>
      </c>
      <c r="AC40" s="58">
        <v>10.66</v>
      </c>
      <c r="AD40" s="58">
        <v>0.53300000000000014</v>
      </c>
      <c r="AE40" s="58">
        <v>1.0660000000000003</v>
      </c>
      <c r="AF40" s="58">
        <v>0</v>
      </c>
      <c r="AG40" s="58">
        <v>12.259</v>
      </c>
      <c r="AH40" s="74">
        <v>872.01345607999997</v>
      </c>
      <c r="AI40" s="74">
        <v>0</v>
      </c>
      <c r="AJ40" s="74">
        <v>0</v>
      </c>
      <c r="AK40" s="74">
        <v>872.01345607999997</v>
      </c>
      <c r="AM40" s="71" t="str">
        <f t="shared" si="114"/>
        <v>PP. Suppliers of Carbon Dioxide</v>
      </c>
      <c r="AN40" s="59">
        <f t="shared" si="115"/>
        <v>8.3281250000000001E-2</v>
      </c>
      <c r="AO40" s="59">
        <f t="shared" si="116"/>
        <v>4.1640625000000011E-3</v>
      </c>
      <c r="AP40" s="59">
        <f t="shared" si="117"/>
        <v>8.3281250000000022E-3</v>
      </c>
      <c r="AQ40" s="59">
        <f t="shared" si="118"/>
        <v>0</v>
      </c>
      <c r="AR40" s="59">
        <f t="shared" si="119"/>
        <v>9.5773437500000003E-2</v>
      </c>
      <c r="AS40" s="74">
        <f t="shared" si="120"/>
        <v>6.8126051256249998</v>
      </c>
      <c r="AT40" s="74">
        <f t="shared" si="121"/>
        <v>0</v>
      </c>
      <c r="AU40" s="74">
        <f t="shared" si="122"/>
        <v>0</v>
      </c>
      <c r="AV40" s="74">
        <f t="shared" si="123"/>
        <v>6.8126051256249998</v>
      </c>
      <c r="AX40" s="71" t="str">
        <f t="shared" si="4"/>
        <v>PP. Suppliers of CO2</v>
      </c>
      <c r="AY40" s="71"/>
      <c r="AZ40" s="81">
        <f>C40</f>
        <v>128</v>
      </c>
      <c r="BA40" s="59">
        <f t="shared" si="6"/>
        <v>9.0832812500000006</v>
      </c>
      <c r="BB40" s="59">
        <f t="shared" si="7"/>
        <v>2.5041640625000001</v>
      </c>
      <c r="BC40" s="59">
        <f t="shared" si="8"/>
        <v>1.508328125</v>
      </c>
      <c r="BD40" s="59">
        <f t="shared" si="9"/>
        <v>0</v>
      </c>
      <c r="BE40" s="59">
        <f t="shared" si="10"/>
        <v>13.0957734375</v>
      </c>
      <c r="BF40" s="74">
        <f t="shared" si="11"/>
        <v>950.742605125625</v>
      </c>
      <c r="BG40" s="74">
        <f t="shared" si="12"/>
        <v>0</v>
      </c>
      <c r="BH40" s="74">
        <f t="shared" si="13"/>
        <v>55</v>
      </c>
      <c r="BI40" s="74">
        <f t="shared" si="14"/>
        <v>1005.742605125625</v>
      </c>
      <c r="BK40" s="71"/>
      <c r="BL40" s="71"/>
      <c r="BM40" s="81"/>
      <c r="BN40" s="59"/>
      <c r="BO40" s="59"/>
      <c r="BP40" s="59"/>
      <c r="BQ40" s="59"/>
      <c r="BR40" s="59"/>
      <c r="BS40" s="74"/>
      <c r="BT40" s="74"/>
      <c r="BU40" s="74"/>
      <c r="BV40" s="74"/>
      <c r="BX40" s="71" t="str">
        <f t="shared" si="27"/>
        <v>PP. Suppliers of CO2</v>
      </c>
      <c r="BY40" s="71"/>
      <c r="BZ40" s="81">
        <v>160</v>
      </c>
      <c r="CA40" s="78">
        <f t="shared" si="84"/>
        <v>1453.325</v>
      </c>
      <c r="CB40" s="78">
        <f t="shared" si="29"/>
        <v>400.66624999999999</v>
      </c>
      <c r="CC40" s="78">
        <f t="shared" si="30"/>
        <v>241.33250000000001</v>
      </c>
      <c r="CD40" s="78">
        <f t="shared" si="31"/>
        <v>0</v>
      </c>
      <c r="CE40" s="78">
        <f t="shared" si="32"/>
        <v>2095.32375</v>
      </c>
      <c r="CF40" s="74" cm="1">
        <f t="array" ref="CF40">CA40*Engineer+CB40*Manager+CC40*Admin+CD40*Lawyer</f>
        <v>168618.43949999998</v>
      </c>
      <c r="CG40" s="74">
        <f t="shared" si="33"/>
        <v>0</v>
      </c>
      <c r="CH40" s="74">
        <f t="shared" si="85"/>
        <v>9896.2711864406774</v>
      </c>
      <c r="CI40" s="74">
        <f t="shared" si="34"/>
        <v>178514.71068644067</v>
      </c>
    </row>
    <row r="41" spans="1:87" ht="90" x14ac:dyDescent="0.25">
      <c r="A41" s="2">
        <v>2</v>
      </c>
      <c r="B41" s="8" t="s">
        <v>101</v>
      </c>
      <c r="C41" s="4">
        <v>44</v>
      </c>
      <c r="D41" s="4">
        <v>4092</v>
      </c>
      <c r="E41" s="4">
        <v>180048</v>
      </c>
      <c r="F41" s="4">
        <v>2244</v>
      </c>
      <c r="G41" s="4">
        <v>286</v>
      </c>
      <c r="H41" s="4">
        <v>242</v>
      </c>
      <c r="I41" s="4">
        <v>44</v>
      </c>
      <c r="J41" s="4">
        <v>2816</v>
      </c>
      <c r="K41" s="5">
        <v>205095.88</v>
      </c>
      <c r="L41" s="5">
        <v>0</v>
      </c>
      <c r="M41" s="5">
        <v>2420</v>
      </c>
      <c r="N41" s="5">
        <v>207515.88</v>
      </c>
      <c r="P41" s="71" t="str">
        <f t="shared" si="17"/>
        <v>QQ - Imports and Exports of Fluorinated GHGs in Products</v>
      </c>
      <c r="Q41" s="59">
        <f t="shared" si="18"/>
        <v>51</v>
      </c>
      <c r="R41" s="59">
        <f t="shared" si="19"/>
        <v>6.5</v>
      </c>
      <c r="S41" s="59">
        <f t="shared" si="20"/>
        <v>5.5</v>
      </c>
      <c r="T41" s="59">
        <f t="shared" si="21"/>
        <v>1</v>
      </c>
      <c r="U41" s="59">
        <f t="shared" si="22"/>
        <v>64</v>
      </c>
      <c r="V41" s="74">
        <f t="shared" si="23"/>
        <v>4661.2700000000004</v>
      </c>
      <c r="W41" s="74">
        <f t="shared" si="24"/>
        <v>0</v>
      </c>
      <c r="X41" s="74">
        <f t="shared" si="25"/>
        <v>55</v>
      </c>
      <c r="Y41" s="74">
        <f t="shared" si="26"/>
        <v>4716.2700000000004</v>
      </c>
      <c r="AA41" s="71" t="s">
        <v>102</v>
      </c>
      <c r="AB41" s="58">
        <v>33</v>
      </c>
      <c r="AC41" s="58">
        <v>3.3000000000000003</v>
      </c>
      <c r="AD41" s="58">
        <v>0.16500000000000004</v>
      </c>
      <c r="AE41" s="58">
        <v>0.33000000000000007</v>
      </c>
      <c r="AF41" s="58">
        <v>0</v>
      </c>
      <c r="AG41" s="58">
        <v>3.7950000000000004</v>
      </c>
      <c r="AH41" s="74">
        <v>249.49728340000004</v>
      </c>
      <c r="AI41" s="74">
        <v>0</v>
      </c>
      <c r="AJ41" s="74">
        <v>0</v>
      </c>
      <c r="AK41" s="74">
        <v>249.49728340000004</v>
      </c>
      <c r="AM41" s="71" t="str">
        <f t="shared" si="114"/>
        <v>QQ. Importers/Exporters of FGHGs in Pre-Charged Equp. Or Foams</v>
      </c>
      <c r="AN41" s="59">
        <f t="shared" si="115"/>
        <v>7.5000000000000011E-2</v>
      </c>
      <c r="AO41" s="59">
        <f t="shared" si="116"/>
        <v>3.7500000000000007E-3</v>
      </c>
      <c r="AP41" s="59">
        <f t="shared" si="117"/>
        <v>7.5000000000000015E-3</v>
      </c>
      <c r="AQ41" s="59">
        <f t="shared" si="118"/>
        <v>0</v>
      </c>
      <c r="AR41" s="59">
        <f t="shared" si="119"/>
        <v>8.6250000000000007E-2</v>
      </c>
      <c r="AS41" s="74">
        <f t="shared" si="120"/>
        <v>5.6703928045454557</v>
      </c>
      <c r="AT41" s="74">
        <f t="shared" si="121"/>
        <v>0</v>
      </c>
      <c r="AU41" s="74">
        <f t="shared" si="122"/>
        <v>0</v>
      </c>
      <c r="AV41" s="74">
        <f t="shared" si="123"/>
        <v>5.6703928045454557</v>
      </c>
      <c r="AX41" s="71" t="str">
        <f t="shared" si="4"/>
        <v>QQ - Imports and Exports of Fluorinated GHGs in Products</v>
      </c>
      <c r="AY41" s="71"/>
      <c r="AZ41" s="81">
        <f>C41</f>
        <v>44</v>
      </c>
      <c r="BA41" s="59">
        <f t="shared" si="6"/>
        <v>51.075000000000003</v>
      </c>
      <c r="BB41" s="59">
        <f t="shared" si="7"/>
        <v>6.5037500000000001</v>
      </c>
      <c r="BC41" s="59">
        <f t="shared" si="8"/>
        <v>5.5075000000000003</v>
      </c>
      <c r="BD41" s="59">
        <f t="shared" si="9"/>
        <v>1</v>
      </c>
      <c r="BE41" s="59">
        <f t="shared" si="10"/>
        <v>64.086250000000007</v>
      </c>
      <c r="BF41" s="74">
        <f t="shared" si="11"/>
        <v>4666.9403928045458</v>
      </c>
      <c r="BG41" s="74">
        <f t="shared" si="12"/>
        <v>0</v>
      </c>
      <c r="BH41" s="74">
        <f t="shared" si="13"/>
        <v>55</v>
      </c>
      <c r="BI41" s="74">
        <f t="shared" si="14"/>
        <v>4721.9403928045458</v>
      </c>
      <c r="BK41" s="71"/>
      <c r="BL41" s="71"/>
      <c r="BM41" s="81"/>
      <c r="BN41" s="59"/>
      <c r="BO41" s="59"/>
      <c r="BP41" s="59"/>
      <c r="BQ41" s="59"/>
      <c r="BR41" s="59"/>
      <c r="BS41" s="74"/>
      <c r="BT41" s="74"/>
      <c r="BU41" s="74"/>
      <c r="BV41" s="74"/>
      <c r="BX41" s="71" t="str">
        <f t="shared" si="27"/>
        <v>QQ - Imports and Exports of Fluorinated GHGs in Products</v>
      </c>
      <c r="BY41" s="71"/>
      <c r="BZ41" s="81">
        <v>57</v>
      </c>
      <c r="CA41" s="78">
        <f t="shared" si="84"/>
        <v>2911.2750000000001</v>
      </c>
      <c r="CB41" s="78">
        <f t="shared" si="29"/>
        <v>370.71375</v>
      </c>
      <c r="CC41" s="78">
        <f t="shared" si="30"/>
        <v>313.92750000000001</v>
      </c>
      <c r="CD41" s="78">
        <f t="shared" si="31"/>
        <v>57</v>
      </c>
      <c r="CE41" s="78">
        <f t="shared" si="32"/>
        <v>3652.9162500000002</v>
      </c>
      <c r="CF41" s="74" cm="1">
        <f t="array" ref="CF41">CA41*Engineer+CB41*Manager+CC41*Admin+CD41*Lawyer</f>
        <v>296776.7415</v>
      </c>
      <c r="CG41" s="74">
        <f t="shared" si="33"/>
        <v>0</v>
      </c>
      <c r="CH41" s="74">
        <f t="shared" si="85"/>
        <v>3525.5466101694915</v>
      </c>
      <c r="CI41" s="74">
        <f t="shared" si="34"/>
        <v>300302.28811016952</v>
      </c>
    </row>
    <row r="42" spans="1:87" ht="60" x14ac:dyDescent="0.25">
      <c r="A42" s="2">
        <v>2</v>
      </c>
      <c r="B42" s="8" t="s">
        <v>103</v>
      </c>
      <c r="C42" s="4">
        <v>9</v>
      </c>
      <c r="D42" s="4">
        <v>1882</v>
      </c>
      <c r="E42" s="4">
        <v>16938</v>
      </c>
      <c r="F42" s="4">
        <v>2517</v>
      </c>
      <c r="G42" s="4">
        <v>738</v>
      </c>
      <c r="H42" s="4">
        <v>263</v>
      </c>
      <c r="I42" s="4">
        <v>186</v>
      </c>
      <c r="J42" s="4">
        <v>3704</v>
      </c>
      <c r="K42" s="5">
        <v>450257.76999999996</v>
      </c>
      <c r="L42" s="5">
        <v>0</v>
      </c>
      <c r="M42" s="5">
        <v>17680</v>
      </c>
      <c r="N42" s="5">
        <v>467937.76999999996</v>
      </c>
      <c r="P42" s="71" t="str">
        <f t="shared" si="17"/>
        <v>RR. Geologic Sequestration of Carbon Dioxide</v>
      </c>
      <c r="Q42" s="59">
        <f t="shared" si="18"/>
        <v>279.66666666666669</v>
      </c>
      <c r="R42" s="59">
        <f t="shared" si="19"/>
        <v>82</v>
      </c>
      <c r="S42" s="59">
        <f t="shared" si="20"/>
        <v>29.222222222222221</v>
      </c>
      <c r="T42" s="59">
        <f t="shared" si="21"/>
        <v>20.666666666666668</v>
      </c>
      <c r="U42" s="59">
        <f t="shared" si="22"/>
        <v>411.55555555555554</v>
      </c>
      <c r="V42" s="74">
        <f t="shared" si="23"/>
        <v>50028.641111111108</v>
      </c>
      <c r="W42" s="74">
        <f t="shared" si="24"/>
        <v>0</v>
      </c>
      <c r="X42" s="74">
        <f t="shared" si="25"/>
        <v>1964.4444444444443</v>
      </c>
      <c r="Y42" s="74">
        <f t="shared" si="26"/>
        <v>51993.085555555554</v>
      </c>
      <c r="AA42" s="71" t="s">
        <v>103</v>
      </c>
      <c r="AB42" s="58">
        <v>9</v>
      </c>
      <c r="AC42" s="58">
        <v>0</v>
      </c>
      <c r="AD42" s="58">
        <v>0</v>
      </c>
      <c r="AE42" s="58">
        <v>0</v>
      </c>
      <c r="AF42" s="58">
        <v>0</v>
      </c>
      <c r="AG42" s="58">
        <v>0</v>
      </c>
      <c r="AH42" s="74">
        <v>0</v>
      </c>
      <c r="AI42" s="74">
        <v>0</v>
      </c>
      <c r="AJ42" s="74">
        <v>0</v>
      </c>
      <c r="AK42" s="74">
        <v>0</v>
      </c>
      <c r="AM42" s="71" t="str">
        <f t="shared" si="114"/>
        <v>RR. Geologic Sequestration of Carbon Dioxide</v>
      </c>
      <c r="AN42" s="59">
        <f t="shared" si="115"/>
        <v>0</v>
      </c>
      <c r="AO42" s="59">
        <f t="shared" si="116"/>
        <v>0</v>
      </c>
      <c r="AP42" s="59">
        <f t="shared" si="117"/>
        <v>0</v>
      </c>
      <c r="AQ42" s="59">
        <f t="shared" si="118"/>
        <v>0</v>
      </c>
      <c r="AR42" s="59">
        <f t="shared" si="119"/>
        <v>0</v>
      </c>
      <c r="AS42" s="74">
        <f t="shared" si="120"/>
        <v>0</v>
      </c>
      <c r="AT42" s="74">
        <f t="shared" si="121"/>
        <v>0</v>
      </c>
      <c r="AU42" s="74">
        <f t="shared" si="122"/>
        <v>0</v>
      </c>
      <c r="AV42" s="74">
        <f t="shared" si="123"/>
        <v>0</v>
      </c>
      <c r="AX42" s="71" t="str">
        <f t="shared" si="4"/>
        <v>RR. Geologic Sequestration of Carbon Dioxide</v>
      </c>
      <c r="AY42" s="71"/>
      <c r="AZ42" s="81">
        <f>C42</f>
        <v>9</v>
      </c>
      <c r="BA42" s="59">
        <f t="shared" si="6"/>
        <v>279.66666666666669</v>
      </c>
      <c r="BB42" s="59">
        <f t="shared" si="7"/>
        <v>82</v>
      </c>
      <c r="BC42" s="59">
        <f t="shared" si="8"/>
        <v>29.222222222222221</v>
      </c>
      <c r="BD42" s="59">
        <f t="shared" si="9"/>
        <v>20.666666666666668</v>
      </c>
      <c r="BE42" s="59">
        <f t="shared" si="10"/>
        <v>411.55555555555554</v>
      </c>
      <c r="BF42" s="74">
        <f t="shared" si="11"/>
        <v>50028.641111111108</v>
      </c>
      <c r="BG42" s="74">
        <f t="shared" si="12"/>
        <v>0</v>
      </c>
      <c r="BH42" s="74">
        <f t="shared" si="13"/>
        <v>1964.4444444444443</v>
      </c>
      <c r="BI42" s="74">
        <f t="shared" si="14"/>
        <v>51993.085555555554</v>
      </c>
      <c r="BK42" s="71"/>
      <c r="BL42" s="71"/>
      <c r="BM42" s="81"/>
      <c r="BN42" s="59"/>
      <c r="BO42" s="59"/>
      <c r="BP42" s="59"/>
      <c r="BQ42" s="59"/>
      <c r="BR42" s="59"/>
      <c r="BS42" s="74"/>
      <c r="BT42" s="74"/>
      <c r="BU42" s="74"/>
      <c r="BV42" s="74"/>
      <c r="BX42" s="71" t="str">
        <f t="shared" si="27"/>
        <v>RR. Geologic Sequestration of Carbon Dioxide</v>
      </c>
      <c r="BY42" s="71"/>
      <c r="BZ42" s="81">
        <v>19</v>
      </c>
      <c r="CA42" s="78">
        <f t="shared" si="84"/>
        <v>5313.666666666667</v>
      </c>
      <c r="CB42" s="78">
        <f t="shared" si="29"/>
        <v>1558</v>
      </c>
      <c r="CC42" s="78">
        <f t="shared" si="30"/>
        <v>555.22222222222217</v>
      </c>
      <c r="CD42" s="78">
        <f t="shared" si="31"/>
        <v>392.66666666666669</v>
      </c>
      <c r="CE42" s="78">
        <f t="shared" si="32"/>
        <v>7819.5555555555557</v>
      </c>
      <c r="CF42" s="181">
        <f>CA42*RREngineer+CB42*RRMidManager+CC42*RRTechnical+CD42*RRLawyer</f>
        <v>1042964.8082655556</v>
      </c>
      <c r="CG42" s="74">
        <f t="shared" si="33"/>
        <v>0</v>
      </c>
      <c r="CH42" s="74">
        <f t="shared" si="85"/>
        <v>41974.184557438792</v>
      </c>
      <c r="CI42" s="74">
        <f t="shared" si="34"/>
        <v>1084938.9928229945</v>
      </c>
    </row>
    <row r="43" spans="1:87" ht="47.25" x14ac:dyDescent="0.25">
      <c r="A43" s="2">
        <v>2</v>
      </c>
      <c r="B43" s="8" t="s">
        <v>104</v>
      </c>
      <c r="C43" s="4">
        <v>5</v>
      </c>
      <c r="D43" s="4">
        <v>465</v>
      </c>
      <c r="E43" s="4">
        <v>2325</v>
      </c>
      <c r="F43" s="4">
        <v>185</v>
      </c>
      <c r="G43" s="4">
        <v>25</v>
      </c>
      <c r="H43" s="4">
        <v>20</v>
      </c>
      <c r="I43" s="4">
        <v>5</v>
      </c>
      <c r="J43" s="4">
        <v>235</v>
      </c>
      <c r="K43" s="5">
        <v>17197.599999999999</v>
      </c>
      <c r="L43" s="5">
        <v>0</v>
      </c>
      <c r="M43" s="5">
        <v>275</v>
      </c>
      <c r="N43" s="5">
        <v>17472.599999999999</v>
      </c>
      <c r="P43" s="71" t="str">
        <f t="shared" si="17"/>
        <v>SS - SF6 Equipment Producers</v>
      </c>
      <c r="Q43" s="59">
        <f t="shared" si="18"/>
        <v>37</v>
      </c>
      <c r="R43" s="59">
        <f t="shared" si="19"/>
        <v>5</v>
      </c>
      <c r="S43" s="59">
        <f t="shared" si="20"/>
        <v>4</v>
      </c>
      <c r="T43" s="59">
        <f t="shared" si="21"/>
        <v>1</v>
      </c>
      <c r="U43" s="59">
        <f t="shared" si="22"/>
        <v>47</v>
      </c>
      <c r="V43" s="74">
        <f t="shared" si="23"/>
        <v>3439.5199999999995</v>
      </c>
      <c r="W43" s="74">
        <f t="shared" si="24"/>
        <v>0</v>
      </c>
      <c r="X43" s="74">
        <f t="shared" si="25"/>
        <v>55</v>
      </c>
      <c r="Y43" s="74">
        <f t="shared" si="26"/>
        <v>3494.5199999999995</v>
      </c>
      <c r="AA43" s="71" t="s">
        <v>105</v>
      </c>
      <c r="AB43" s="58">
        <v>5</v>
      </c>
      <c r="AC43" s="58">
        <v>4.5</v>
      </c>
      <c r="AD43" s="58">
        <v>0.22500000000000003</v>
      </c>
      <c r="AE43" s="58">
        <v>0.45000000000000007</v>
      </c>
      <c r="AF43" s="58">
        <v>0</v>
      </c>
      <c r="AG43" s="58">
        <v>5.1749999999999998</v>
      </c>
      <c r="AH43" s="74">
        <v>357.52725000000004</v>
      </c>
      <c r="AI43" s="74">
        <v>0</v>
      </c>
      <c r="AJ43" s="74">
        <v>0</v>
      </c>
      <c r="AK43" s="74">
        <v>357.52725000000004</v>
      </c>
      <c r="AM43" s="71" t="str">
        <f t="shared" si="114"/>
        <v>SS. Electrical Equip. Manufacture &amp; Refurbishment</v>
      </c>
      <c r="AN43" s="59">
        <f t="shared" si="115"/>
        <v>0.9</v>
      </c>
      <c r="AO43" s="59">
        <f t="shared" si="116"/>
        <v>4.5000000000000005E-2</v>
      </c>
      <c r="AP43" s="59">
        <f t="shared" si="117"/>
        <v>9.0000000000000011E-2</v>
      </c>
      <c r="AQ43" s="59">
        <f t="shared" si="118"/>
        <v>0</v>
      </c>
      <c r="AR43" s="59">
        <f t="shared" si="119"/>
        <v>1.0349999999999999</v>
      </c>
      <c r="AS43" s="74">
        <f t="shared" si="120"/>
        <v>71.50545000000001</v>
      </c>
      <c r="AT43" s="74">
        <f t="shared" si="121"/>
        <v>0</v>
      </c>
      <c r="AU43" s="74">
        <f t="shared" si="122"/>
        <v>0</v>
      </c>
      <c r="AV43" s="74">
        <f t="shared" si="123"/>
        <v>71.50545000000001</v>
      </c>
      <c r="AX43" s="71" t="str">
        <f t="shared" si="4"/>
        <v>SS - SF6 Equipment Producers</v>
      </c>
      <c r="AY43" s="71"/>
      <c r="AZ43" s="81">
        <f>C43</f>
        <v>5</v>
      </c>
      <c r="BA43" s="59">
        <f t="shared" si="6"/>
        <v>37.9</v>
      </c>
      <c r="BB43" s="59">
        <f t="shared" si="7"/>
        <v>5.0449999999999999</v>
      </c>
      <c r="BC43" s="59">
        <f t="shared" si="8"/>
        <v>4.09</v>
      </c>
      <c r="BD43" s="59">
        <f t="shared" si="9"/>
        <v>1</v>
      </c>
      <c r="BE43" s="59">
        <f t="shared" si="10"/>
        <v>48.034999999999997</v>
      </c>
      <c r="BF43" s="74">
        <f t="shared" si="11"/>
        <v>3511.0254499999996</v>
      </c>
      <c r="BG43" s="74">
        <f t="shared" si="12"/>
        <v>0</v>
      </c>
      <c r="BH43" s="74">
        <f t="shared" si="13"/>
        <v>55</v>
      </c>
      <c r="BI43" s="74">
        <f t="shared" si="14"/>
        <v>3566.0254499999996</v>
      </c>
      <c r="BK43" s="71"/>
      <c r="BL43" s="71"/>
      <c r="BM43" s="81"/>
      <c r="BN43" s="59"/>
      <c r="BO43" s="59"/>
      <c r="BP43" s="59"/>
      <c r="BQ43" s="59"/>
      <c r="BR43" s="59"/>
      <c r="BS43" s="74"/>
      <c r="BT43" s="74"/>
      <c r="BU43" s="74"/>
      <c r="BV43" s="74"/>
      <c r="BX43" s="71" t="str">
        <f t="shared" si="27"/>
        <v>SS - SF6 Equipment Producers</v>
      </c>
      <c r="BY43" s="71"/>
      <c r="BZ43" s="81">
        <f>AZ43</f>
        <v>5</v>
      </c>
      <c r="CA43" s="78">
        <f t="shared" si="84"/>
        <v>189.5</v>
      </c>
      <c r="CB43" s="78">
        <f t="shared" si="29"/>
        <v>25.225000000000001</v>
      </c>
      <c r="CC43" s="78">
        <f t="shared" si="30"/>
        <v>20.45</v>
      </c>
      <c r="CD43" s="78">
        <f t="shared" si="31"/>
        <v>5</v>
      </c>
      <c r="CE43" s="78">
        <f t="shared" si="32"/>
        <v>240.17499999999998</v>
      </c>
      <c r="CF43" s="74" cm="1">
        <f t="array" ref="CF43">CA43*Engineer+CB43*Manager+CC43*Admin+CD43*Lawyer</f>
        <v>19607.12</v>
      </c>
      <c r="CG43" s="74">
        <f t="shared" si="33"/>
        <v>0</v>
      </c>
      <c r="CH43" s="74">
        <f t="shared" si="85"/>
        <v>309.25847457627117</v>
      </c>
      <c r="CI43" s="74">
        <f t="shared" si="34"/>
        <v>19916.378474576271</v>
      </c>
    </row>
    <row r="44" spans="1:87" ht="45" x14ac:dyDescent="0.25">
      <c r="A44" s="2">
        <v>2</v>
      </c>
      <c r="B44" s="8" t="s">
        <v>106</v>
      </c>
      <c r="C44" s="4">
        <v>167</v>
      </c>
      <c r="D44" s="4">
        <v>1661</v>
      </c>
      <c r="E44" s="4">
        <v>277387</v>
      </c>
      <c r="F44" s="4">
        <v>7014</v>
      </c>
      <c r="G44" s="4">
        <v>1002</v>
      </c>
      <c r="H44" s="4">
        <v>835</v>
      </c>
      <c r="I44" s="4">
        <v>167</v>
      </c>
      <c r="J44" s="4">
        <v>9018</v>
      </c>
      <c r="K44" s="5">
        <v>656993.03</v>
      </c>
      <c r="L44" s="5">
        <v>0</v>
      </c>
      <c r="M44" s="5">
        <v>9185</v>
      </c>
      <c r="N44" s="5">
        <v>666178.03</v>
      </c>
      <c r="P44" s="71" t="str">
        <f t="shared" si="17"/>
        <v>TT -Industrial Landfills</v>
      </c>
      <c r="Q44" s="59">
        <f t="shared" si="18"/>
        <v>42</v>
      </c>
      <c r="R44" s="59">
        <f t="shared" si="19"/>
        <v>6</v>
      </c>
      <c r="S44" s="59">
        <f t="shared" si="20"/>
        <v>5</v>
      </c>
      <c r="T44" s="59">
        <f t="shared" si="21"/>
        <v>1</v>
      </c>
      <c r="U44" s="59">
        <f t="shared" si="22"/>
        <v>54</v>
      </c>
      <c r="V44" s="74">
        <f t="shared" si="23"/>
        <v>3934.09</v>
      </c>
      <c r="W44" s="74">
        <f t="shared" si="24"/>
        <v>0</v>
      </c>
      <c r="X44" s="74">
        <f t="shared" si="25"/>
        <v>55</v>
      </c>
      <c r="Y44" s="74">
        <f t="shared" si="26"/>
        <v>3989.09</v>
      </c>
      <c r="AA44" s="71" t="s">
        <v>107</v>
      </c>
      <c r="AB44" s="58">
        <v>1</v>
      </c>
      <c r="AC44" s="58">
        <v>45</v>
      </c>
      <c r="AD44" s="58">
        <v>10</v>
      </c>
      <c r="AE44" s="58">
        <v>8</v>
      </c>
      <c r="AF44" s="58">
        <v>3</v>
      </c>
      <c r="AG44" s="58">
        <v>66</v>
      </c>
      <c r="AH44" s="74">
        <v>4852.6056800000006</v>
      </c>
      <c r="AI44" s="74">
        <v>0</v>
      </c>
      <c r="AJ44" s="74">
        <v>62.378854625550659</v>
      </c>
      <c r="AK44" s="74">
        <v>4914.9845346255515</v>
      </c>
      <c r="AM44" s="71" t="str">
        <f t="shared" si="114"/>
        <v>TT. Industrial Waste Landfills</v>
      </c>
      <c r="AN44" s="59">
        <f t="shared" si="115"/>
        <v>0.26946107784431139</v>
      </c>
      <c r="AO44" s="59">
        <f t="shared" si="116"/>
        <v>5.9880239520958084E-2</v>
      </c>
      <c r="AP44" s="59">
        <f t="shared" si="117"/>
        <v>4.790419161676647E-2</v>
      </c>
      <c r="AQ44" s="59">
        <f t="shared" si="118"/>
        <v>1.7964071856287425E-2</v>
      </c>
      <c r="AR44" s="59">
        <f t="shared" si="119"/>
        <v>0.39520958083832336</v>
      </c>
      <c r="AS44" s="74">
        <f t="shared" si="120"/>
        <v>29.057519041916173</v>
      </c>
      <c r="AT44" s="74">
        <f t="shared" si="121"/>
        <v>0</v>
      </c>
      <c r="AU44" s="74">
        <f t="shared" si="122"/>
        <v>0.37352607560209977</v>
      </c>
      <c r="AV44" s="74">
        <f t="shared" si="123"/>
        <v>29.431045117518273</v>
      </c>
      <c r="AX44" s="71" t="str">
        <f t="shared" si="4"/>
        <v>TT -Industrial Landfills</v>
      </c>
      <c r="AY44" s="71" t="s">
        <v>108</v>
      </c>
      <c r="AZ44" s="81">
        <f>C44+1</f>
        <v>168</v>
      </c>
      <c r="BA44" s="59">
        <f t="shared" si="6"/>
        <v>42.269461077844312</v>
      </c>
      <c r="BB44" s="59">
        <f t="shared" si="7"/>
        <v>6.0598802395209583</v>
      </c>
      <c r="BC44" s="59">
        <f t="shared" si="8"/>
        <v>5.0479041916167668</v>
      </c>
      <c r="BD44" s="59">
        <f t="shared" si="9"/>
        <v>1.0179640718562875</v>
      </c>
      <c r="BE44" s="59">
        <f t="shared" si="10"/>
        <v>54.395209580838326</v>
      </c>
      <c r="BF44" s="74">
        <f t="shared" si="11"/>
        <v>3963.1475190419164</v>
      </c>
      <c r="BG44" s="74">
        <f t="shared" si="12"/>
        <v>0</v>
      </c>
      <c r="BH44" s="74">
        <f t="shared" si="13"/>
        <v>55.373526075602101</v>
      </c>
      <c r="BI44" s="74">
        <f t="shared" si="14"/>
        <v>4018.5210451175185</v>
      </c>
      <c r="BK44" s="71"/>
      <c r="BL44" s="71"/>
      <c r="BM44" s="81"/>
      <c r="BN44" s="59"/>
      <c r="BO44" s="59"/>
      <c r="BP44" s="59"/>
      <c r="BQ44" s="59"/>
      <c r="BR44" s="59"/>
      <c r="BS44" s="74"/>
      <c r="BT44" s="74"/>
      <c r="BU44" s="74"/>
      <c r="BV44" s="74"/>
      <c r="BX44" s="71" t="str">
        <f t="shared" si="27"/>
        <v>TT -Industrial Landfills</v>
      </c>
      <c r="BY44" s="71" t="str">
        <f t="shared" si="44"/>
        <v>GWP changes in the 2024 rule added 1 reporter.</v>
      </c>
      <c r="BZ44" s="81">
        <f>161+1</f>
        <v>162</v>
      </c>
      <c r="CA44" s="78">
        <f t="shared" si="84"/>
        <v>6847.6526946107788</v>
      </c>
      <c r="CB44" s="78">
        <f t="shared" si="29"/>
        <v>981.70059880239523</v>
      </c>
      <c r="CC44" s="78">
        <f t="shared" si="30"/>
        <v>817.76047904191626</v>
      </c>
      <c r="CD44" s="78">
        <f t="shared" si="31"/>
        <v>164.91017964071858</v>
      </c>
      <c r="CE44" s="78">
        <f t="shared" si="32"/>
        <v>8812.0239520958094</v>
      </c>
      <c r="CF44" s="74" cm="1">
        <f t="array" ref="CF44">CA44*Engineer+CB44*Manager+CC44*Admin+CD44*Lawyer</f>
        <v>716149.94658682635</v>
      </c>
      <c r="CG44" s="74">
        <f t="shared" si="33"/>
        <v>0</v>
      </c>
      <c r="CH44" s="74">
        <f t="shared" si="85"/>
        <v>10088.024063200412</v>
      </c>
      <c r="CI44" s="74">
        <f t="shared" si="34"/>
        <v>726237.97065002681</v>
      </c>
    </row>
    <row r="45" spans="1:87" ht="45" x14ac:dyDescent="0.25">
      <c r="A45" s="2">
        <v>2</v>
      </c>
      <c r="B45" s="8" t="s">
        <v>109</v>
      </c>
      <c r="C45" s="4">
        <v>87</v>
      </c>
      <c r="D45" s="4">
        <v>62</v>
      </c>
      <c r="E45" s="4">
        <v>5394</v>
      </c>
      <c r="F45" s="4">
        <v>783</v>
      </c>
      <c r="G45" s="4">
        <v>217.5</v>
      </c>
      <c r="H45" s="4">
        <v>130.5</v>
      </c>
      <c r="I45" s="4">
        <v>0</v>
      </c>
      <c r="J45" s="4">
        <v>1131</v>
      </c>
      <c r="K45" s="5">
        <v>82121.909999999989</v>
      </c>
      <c r="L45" s="5">
        <v>0</v>
      </c>
      <c r="M45" s="5">
        <v>4785</v>
      </c>
      <c r="N45" s="5">
        <v>86906.909999999989</v>
      </c>
      <c r="P45" s="71" t="str">
        <f t="shared" si="17"/>
        <v>UU. Injection of Carbon Dioxide</v>
      </c>
      <c r="Q45" s="59">
        <f t="shared" si="18"/>
        <v>9</v>
      </c>
      <c r="R45" s="59">
        <f t="shared" si="19"/>
        <v>2.5</v>
      </c>
      <c r="S45" s="59">
        <f t="shared" si="20"/>
        <v>1.5</v>
      </c>
      <c r="T45" s="59">
        <f t="shared" si="21"/>
        <v>0</v>
      </c>
      <c r="U45" s="59">
        <f t="shared" si="22"/>
        <v>13</v>
      </c>
      <c r="V45" s="74">
        <f t="shared" si="23"/>
        <v>943.92999999999984</v>
      </c>
      <c r="W45" s="74">
        <f t="shared" si="24"/>
        <v>0</v>
      </c>
      <c r="X45" s="74">
        <f t="shared" si="25"/>
        <v>55</v>
      </c>
      <c r="Y45" s="74">
        <f t="shared" si="26"/>
        <v>998.92999999999984</v>
      </c>
      <c r="AA45" s="71" t="s">
        <v>109</v>
      </c>
      <c r="AB45" s="58">
        <v>2</v>
      </c>
      <c r="AC45" s="58">
        <v>-18</v>
      </c>
      <c r="AD45" s="58">
        <v>-5</v>
      </c>
      <c r="AE45" s="58">
        <v>-3</v>
      </c>
      <c r="AF45" s="58">
        <v>0</v>
      </c>
      <c r="AG45" s="58">
        <v>-26</v>
      </c>
      <c r="AH45" s="74">
        <v>-1886.34403</v>
      </c>
      <c r="AI45" s="74">
        <v>0</v>
      </c>
      <c r="AJ45" s="74">
        <v>-124.75770925110132</v>
      </c>
      <c r="AK45" s="74">
        <v>-2011.1017392511012</v>
      </c>
      <c r="AM45" s="71" t="str">
        <f t="shared" si="114"/>
        <v>UU. Injection of Carbon Dioxide</v>
      </c>
      <c r="AN45" s="59">
        <f t="shared" si="115"/>
        <v>-0.20689655172413793</v>
      </c>
      <c r="AO45" s="59">
        <f t="shared" si="116"/>
        <v>-5.7471264367816091E-2</v>
      </c>
      <c r="AP45" s="59">
        <f t="shared" si="117"/>
        <v>-3.4482758620689655E-2</v>
      </c>
      <c r="AQ45" s="59">
        <f t="shared" si="118"/>
        <v>0</v>
      </c>
      <c r="AR45" s="59">
        <f t="shared" si="119"/>
        <v>-0.2988505747126437</v>
      </c>
      <c r="AS45" s="74">
        <f t="shared" si="120"/>
        <v>-21.682115287356321</v>
      </c>
      <c r="AT45" s="74">
        <f t="shared" si="121"/>
        <v>0</v>
      </c>
      <c r="AU45" s="74">
        <f t="shared" si="122"/>
        <v>-1.4339966580586359</v>
      </c>
      <c r="AV45" s="74">
        <f t="shared" si="123"/>
        <v>-23.116111945414957</v>
      </c>
      <c r="AX45" s="71" t="str">
        <f t="shared" si="4"/>
        <v>UU. Injection of Carbon Dioxide</v>
      </c>
      <c r="AY45" s="71" t="s">
        <v>110</v>
      </c>
      <c r="AZ45" s="81">
        <f>C45-2</f>
        <v>85</v>
      </c>
      <c r="BA45" s="59">
        <f t="shared" si="6"/>
        <v>8.7931034482758612</v>
      </c>
      <c r="BB45" s="59">
        <f t="shared" si="7"/>
        <v>2.4425287356321839</v>
      </c>
      <c r="BC45" s="59">
        <f t="shared" si="8"/>
        <v>1.4655172413793103</v>
      </c>
      <c r="BD45" s="59">
        <f t="shared" si="9"/>
        <v>0</v>
      </c>
      <c r="BE45" s="59">
        <f t="shared" si="10"/>
        <v>12.701149425287356</v>
      </c>
      <c r="BF45" s="74">
        <f t="shared" si="11"/>
        <v>922.24788471264355</v>
      </c>
      <c r="BG45" s="74">
        <f t="shared" si="12"/>
        <v>0</v>
      </c>
      <c r="BH45" s="74">
        <f t="shared" si="13"/>
        <v>53.566003341941361</v>
      </c>
      <c r="BI45" s="74">
        <f t="shared" si="14"/>
        <v>975.81388805458482</v>
      </c>
      <c r="BK45" s="71"/>
      <c r="BL45" s="71"/>
      <c r="BM45" s="81"/>
      <c r="BN45" s="59"/>
      <c r="BO45" s="59"/>
      <c r="BP45" s="59"/>
      <c r="BQ45" s="59"/>
      <c r="BR45" s="59"/>
      <c r="BS45" s="74"/>
      <c r="BT45" s="74"/>
      <c r="BU45" s="74"/>
      <c r="BV45" s="74"/>
      <c r="BX45" s="71" t="str">
        <f t="shared" si="27"/>
        <v>UU. Injection of Carbon Dioxide</v>
      </c>
      <c r="BY45" s="71" t="str">
        <f t="shared" si="44"/>
        <v>2024 rule moved 2 reporters to subpart VV.</v>
      </c>
      <c r="BZ45" s="81">
        <f>81-2</f>
        <v>79</v>
      </c>
      <c r="CA45" s="78">
        <f t="shared" si="84"/>
        <v>694.65517241379303</v>
      </c>
      <c r="CB45" s="78">
        <f t="shared" si="29"/>
        <v>192.95977011494253</v>
      </c>
      <c r="CC45" s="78">
        <f t="shared" si="30"/>
        <v>115.77586206896551</v>
      </c>
      <c r="CD45" s="78">
        <f t="shared" si="31"/>
        <v>0</v>
      </c>
      <c r="CE45" s="78">
        <f t="shared" si="32"/>
        <v>1003.390804597701</v>
      </c>
      <c r="CF45" s="74" cm="1">
        <f t="array" ref="CF45">CA45*Engineer+CB45*Manager+CC45*Admin+CD45*Lawyer</f>
        <v>80754.821551724119</v>
      </c>
      <c r="CG45" s="74">
        <f t="shared" si="33"/>
        <v>0</v>
      </c>
      <c r="CH45" s="74">
        <f t="shared" si="85"/>
        <v>4758.8854477506266</v>
      </c>
      <c r="CI45" s="74">
        <f t="shared" si="34"/>
        <v>85513.706999474743</v>
      </c>
    </row>
    <row r="46" spans="1:87" ht="60" x14ac:dyDescent="0.25">
      <c r="A46" s="2"/>
      <c r="AA46" s="71" t="s">
        <v>111</v>
      </c>
      <c r="AB46" s="58">
        <v>2</v>
      </c>
      <c r="AC46" s="58">
        <v>17</v>
      </c>
      <c r="AD46" s="58">
        <v>5</v>
      </c>
      <c r="AE46" s="58">
        <v>5</v>
      </c>
      <c r="AF46" s="58">
        <v>0</v>
      </c>
      <c r="AG46" s="58">
        <v>27</v>
      </c>
      <c r="AH46" s="74">
        <v>1882.14822</v>
      </c>
      <c r="AI46" s="74">
        <v>0</v>
      </c>
      <c r="AJ46" s="74">
        <v>124.75770925110132</v>
      </c>
      <c r="AK46" s="74">
        <v>2006.9059292511013</v>
      </c>
      <c r="AM46" s="71" t="str">
        <f>AA46</f>
        <v>VV. Geologic Sequestration of CO2 with EOR</v>
      </c>
      <c r="AN46" s="59">
        <f t="shared" ref="AN46:AN48" si="124">AC46/$AB46</f>
        <v>8.5</v>
      </c>
      <c r="AO46" s="59">
        <f t="shared" ref="AO46:AO48" si="125">AD46/$AB46</f>
        <v>2.5</v>
      </c>
      <c r="AP46" s="59">
        <f t="shared" ref="AP46:AP48" si="126">AE46/$AB46</f>
        <v>2.5</v>
      </c>
      <c r="AQ46" s="59">
        <f t="shared" ref="AQ46:AQ48" si="127">AF46/$AB46</f>
        <v>0</v>
      </c>
      <c r="AR46" s="59">
        <f t="shared" ref="AR46:AR48" si="128">AG46/$AB46</f>
        <v>13.5</v>
      </c>
      <c r="AS46" s="74">
        <f t="shared" ref="AS46:AS48" si="129">AH46/$AB46</f>
        <v>941.07411000000002</v>
      </c>
      <c r="AT46" s="74">
        <f t="shared" ref="AT46:AT48" si="130">AI46/$AB46</f>
        <v>0</v>
      </c>
      <c r="AU46" s="74">
        <f t="shared" ref="AU46:AU48" si="131">AJ46/$AB46</f>
        <v>62.378854625550659</v>
      </c>
      <c r="AV46" s="74">
        <f t="shared" ref="AV46:AV48" si="132">AK46/$AB46</f>
        <v>1003.4529646255506</v>
      </c>
      <c r="AX46" s="71" t="str">
        <f>AM46</f>
        <v>VV. Geologic Sequestration of CO2 with EOR</v>
      </c>
      <c r="AY46" s="71"/>
      <c r="AZ46" s="81">
        <f>AB46</f>
        <v>2</v>
      </c>
      <c r="BA46" s="59">
        <f t="shared" si="6"/>
        <v>8.5</v>
      </c>
      <c r="BB46" s="59">
        <f t="shared" si="7"/>
        <v>2.5</v>
      </c>
      <c r="BC46" s="59">
        <f t="shared" si="8"/>
        <v>2.5</v>
      </c>
      <c r="BD46" s="59">
        <f t="shared" si="9"/>
        <v>0</v>
      </c>
      <c r="BE46" s="59">
        <f t="shared" si="10"/>
        <v>13.5</v>
      </c>
      <c r="BF46" s="74">
        <f t="shared" si="11"/>
        <v>941.07411000000002</v>
      </c>
      <c r="BG46" s="74">
        <f t="shared" si="12"/>
        <v>0</v>
      </c>
      <c r="BH46" s="74">
        <f t="shared" si="13"/>
        <v>62.378854625550659</v>
      </c>
      <c r="BI46" s="74">
        <f t="shared" si="14"/>
        <v>1003.4529646255506</v>
      </c>
      <c r="BK46" s="71"/>
      <c r="BL46" s="71"/>
      <c r="BM46" s="81"/>
      <c r="BN46" s="59"/>
      <c r="BO46" s="59"/>
      <c r="BP46" s="59"/>
      <c r="BQ46" s="59"/>
      <c r="BR46" s="59"/>
      <c r="BS46" s="74"/>
      <c r="BT46" s="74"/>
      <c r="BU46" s="74"/>
      <c r="BV46" s="74"/>
      <c r="BX46" s="71" t="str">
        <f t="shared" si="27"/>
        <v>VV. Geologic Sequestration of CO2 with EOR</v>
      </c>
      <c r="BY46" s="71"/>
      <c r="BZ46" s="81">
        <v>2</v>
      </c>
      <c r="CA46" s="78">
        <f t="shared" si="84"/>
        <v>17</v>
      </c>
      <c r="CB46" s="78">
        <f t="shared" si="29"/>
        <v>5</v>
      </c>
      <c r="CC46" s="78">
        <f t="shared" si="30"/>
        <v>5</v>
      </c>
      <c r="CD46" s="78">
        <f t="shared" si="31"/>
        <v>0</v>
      </c>
      <c r="CE46" s="78">
        <f t="shared" si="32"/>
        <v>27</v>
      </c>
      <c r="CF46" s="74" cm="1">
        <f t="array" ref="CF46">CA46*Engineer+CB46*Manager+CC46*Admin+CD46*Lawyer</f>
        <v>2083.56</v>
      </c>
      <c r="CG46" s="74">
        <f t="shared" si="33"/>
        <v>0</v>
      </c>
      <c r="CH46" s="74">
        <f t="shared" si="85"/>
        <v>140.29955947136563</v>
      </c>
      <c r="CI46" s="74">
        <f t="shared" si="34"/>
        <v>2223.8595594713656</v>
      </c>
    </row>
    <row r="47" spans="1:87" ht="30" x14ac:dyDescent="0.25">
      <c r="A47" s="2"/>
      <c r="AA47" s="71" t="s">
        <v>112</v>
      </c>
      <c r="AB47" s="58">
        <v>15</v>
      </c>
      <c r="AC47" s="58">
        <v>390</v>
      </c>
      <c r="AD47" s="58">
        <v>48</v>
      </c>
      <c r="AE47" s="58">
        <v>36</v>
      </c>
      <c r="AF47" s="58">
        <v>30</v>
      </c>
      <c r="AG47" s="58">
        <v>504</v>
      </c>
      <c r="AH47" s="74">
        <v>37847.428079999998</v>
      </c>
      <c r="AI47" s="74">
        <v>0</v>
      </c>
      <c r="AJ47" s="74">
        <v>19649.339207048459</v>
      </c>
      <c r="AK47" s="74">
        <v>57496.767287048453</v>
      </c>
      <c r="AM47" s="71" t="str">
        <f t="shared" ref="AM47:AM48" si="133">AA47</f>
        <v>WW. Coke Calciners</v>
      </c>
      <c r="AN47" s="59">
        <f t="shared" si="124"/>
        <v>26</v>
      </c>
      <c r="AO47" s="59">
        <f t="shared" si="125"/>
        <v>3.2</v>
      </c>
      <c r="AP47" s="59">
        <f t="shared" si="126"/>
        <v>2.4</v>
      </c>
      <c r="AQ47" s="59">
        <f t="shared" si="127"/>
        <v>2</v>
      </c>
      <c r="AR47" s="59">
        <f t="shared" si="128"/>
        <v>33.6</v>
      </c>
      <c r="AS47" s="74">
        <f t="shared" si="129"/>
        <v>2523.1618719999997</v>
      </c>
      <c r="AT47" s="74">
        <f t="shared" si="130"/>
        <v>0</v>
      </c>
      <c r="AU47" s="74">
        <f t="shared" si="131"/>
        <v>1309.955947136564</v>
      </c>
      <c r="AV47" s="74">
        <f t="shared" si="132"/>
        <v>3833.1178191365634</v>
      </c>
      <c r="AX47" s="71" t="str">
        <f>AM47</f>
        <v>WW. Coke Calciners</v>
      </c>
      <c r="AY47" s="71"/>
      <c r="AZ47" s="81">
        <f>AB47</f>
        <v>15</v>
      </c>
      <c r="BA47" s="59">
        <f t="shared" si="6"/>
        <v>26</v>
      </c>
      <c r="BB47" s="59">
        <f t="shared" si="7"/>
        <v>3.2</v>
      </c>
      <c r="BC47" s="59">
        <f t="shared" si="8"/>
        <v>2.4</v>
      </c>
      <c r="BD47" s="59">
        <f t="shared" si="9"/>
        <v>2</v>
      </c>
      <c r="BE47" s="59">
        <f t="shared" si="10"/>
        <v>33.6</v>
      </c>
      <c r="BF47" s="74">
        <f t="shared" si="11"/>
        <v>2523.1618719999997</v>
      </c>
      <c r="BG47" s="74">
        <f t="shared" si="12"/>
        <v>0</v>
      </c>
      <c r="BH47" s="74">
        <f t="shared" si="13"/>
        <v>1309.955947136564</v>
      </c>
      <c r="BI47" s="74">
        <f t="shared" si="14"/>
        <v>3833.1178191365634</v>
      </c>
      <c r="BK47" s="71"/>
      <c r="BL47" s="71"/>
      <c r="BM47" s="81"/>
      <c r="BN47" s="59"/>
      <c r="BO47" s="59"/>
      <c r="BP47" s="59"/>
      <c r="BQ47" s="59"/>
      <c r="BR47" s="59"/>
      <c r="BS47" s="74"/>
      <c r="BT47" s="74"/>
      <c r="BU47" s="74"/>
      <c r="BV47" s="74"/>
      <c r="BX47" s="71" t="str">
        <f t="shared" si="27"/>
        <v>WW. Coke Calciners</v>
      </c>
      <c r="BY47" s="71"/>
      <c r="BZ47" s="81">
        <v>15</v>
      </c>
      <c r="CA47" s="78">
        <f t="shared" si="84"/>
        <v>390</v>
      </c>
      <c r="CB47" s="78">
        <f t="shared" si="29"/>
        <v>48</v>
      </c>
      <c r="CC47" s="78">
        <f t="shared" si="30"/>
        <v>36</v>
      </c>
      <c r="CD47" s="78">
        <f t="shared" si="31"/>
        <v>30</v>
      </c>
      <c r="CE47" s="78">
        <f t="shared" si="32"/>
        <v>504</v>
      </c>
      <c r="CF47" s="74" cm="1">
        <f t="array" ref="CF47">CA47*Engineer+CB47*Manager+CC47*Admin+CD47*Lawyer</f>
        <v>42499.5</v>
      </c>
      <c r="CG47" s="74">
        <f t="shared" si="33"/>
        <v>0</v>
      </c>
      <c r="CH47" s="74">
        <f t="shared" si="85"/>
        <v>22097.18061674009</v>
      </c>
      <c r="CI47" s="74">
        <f t="shared" si="34"/>
        <v>64596.680616740094</v>
      </c>
    </row>
    <row r="48" spans="1:87" ht="30" x14ac:dyDescent="0.25">
      <c r="A48" s="2"/>
      <c r="B48" s="13"/>
      <c r="C48" s="13"/>
      <c r="D48" s="13"/>
      <c r="E48" s="13"/>
      <c r="F48" s="13"/>
      <c r="G48" s="13"/>
      <c r="H48" s="13"/>
      <c r="I48" s="13"/>
      <c r="J48" s="13"/>
      <c r="K48" s="13"/>
      <c r="L48" s="13"/>
      <c r="M48" s="13"/>
      <c r="N48" s="13"/>
      <c r="AA48" s="71" t="s">
        <v>113</v>
      </c>
      <c r="AB48" s="58">
        <v>1</v>
      </c>
      <c r="AC48" s="58">
        <v>31</v>
      </c>
      <c r="AD48" s="58">
        <v>2.8</v>
      </c>
      <c r="AE48" s="58">
        <v>2.2000000000000002</v>
      </c>
      <c r="AF48" s="58">
        <v>2</v>
      </c>
      <c r="AG48" s="58">
        <v>38</v>
      </c>
      <c r="AH48" s="74">
        <v>2848.947748</v>
      </c>
      <c r="AI48" s="74">
        <v>0</v>
      </c>
      <c r="AJ48" s="74">
        <v>62.378854625550659</v>
      </c>
      <c r="AK48" s="74">
        <v>2911.3266026255505</v>
      </c>
      <c r="AM48" s="71" t="str">
        <f t="shared" si="133"/>
        <v>XX. Calcium Carbide</v>
      </c>
      <c r="AN48" s="59">
        <f t="shared" si="124"/>
        <v>31</v>
      </c>
      <c r="AO48" s="59">
        <f t="shared" si="125"/>
        <v>2.8</v>
      </c>
      <c r="AP48" s="59">
        <f t="shared" si="126"/>
        <v>2.2000000000000002</v>
      </c>
      <c r="AQ48" s="59">
        <f t="shared" si="127"/>
        <v>2</v>
      </c>
      <c r="AR48" s="59">
        <f t="shared" si="128"/>
        <v>38</v>
      </c>
      <c r="AS48" s="74">
        <f t="shared" si="129"/>
        <v>2848.947748</v>
      </c>
      <c r="AT48" s="74">
        <f t="shared" si="130"/>
        <v>0</v>
      </c>
      <c r="AU48" s="74">
        <f t="shared" si="131"/>
        <v>62.378854625550659</v>
      </c>
      <c r="AV48" s="74">
        <f t="shared" si="132"/>
        <v>2911.3266026255505</v>
      </c>
      <c r="AX48" s="71" t="str">
        <f>AM48</f>
        <v>XX. Calcium Carbide</v>
      </c>
      <c r="AY48" s="71"/>
      <c r="AZ48" s="81">
        <f>AB48</f>
        <v>1</v>
      </c>
      <c r="BA48" s="59">
        <f t="shared" si="6"/>
        <v>31</v>
      </c>
      <c r="BB48" s="59">
        <f t="shared" si="7"/>
        <v>2.8</v>
      </c>
      <c r="BC48" s="59">
        <f t="shared" si="8"/>
        <v>2.2000000000000002</v>
      </c>
      <c r="BD48" s="59">
        <f t="shared" si="9"/>
        <v>2</v>
      </c>
      <c r="BE48" s="59">
        <f t="shared" si="10"/>
        <v>38</v>
      </c>
      <c r="BF48" s="74">
        <f t="shared" si="11"/>
        <v>2848.947748</v>
      </c>
      <c r="BG48" s="74">
        <f t="shared" si="12"/>
        <v>0</v>
      </c>
      <c r="BH48" s="74">
        <f t="shared" si="13"/>
        <v>62.378854625550659</v>
      </c>
      <c r="BI48" s="74">
        <f t="shared" si="14"/>
        <v>2911.3266026255505</v>
      </c>
      <c r="BK48" s="71"/>
      <c r="BL48" s="71"/>
      <c r="BM48" s="81"/>
      <c r="BN48" s="59"/>
      <c r="BO48" s="59"/>
      <c r="BP48" s="59"/>
      <c r="BQ48" s="59"/>
      <c r="BR48" s="59"/>
      <c r="BS48" s="74"/>
      <c r="BT48" s="74"/>
      <c r="BU48" s="74"/>
      <c r="BV48" s="74"/>
      <c r="BX48" s="71" t="str">
        <f t="shared" si="27"/>
        <v>XX. Calcium Carbide</v>
      </c>
      <c r="BY48" s="71"/>
      <c r="BZ48" s="81">
        <v>1</v>
      </c>
      <c r="CA48" s="78">
        <f t="shared" si="84"/>
        <v>31</v>
      </c>
      <c r="CB48" s="78">
        <f t="shared" si="29"/>
        <v>2.8</v>
      </c>
      <c r="CC48" s="78">
        <f t="shared" si="30"/>
        <v>2.2000000000000002</v>
      </c>
      <c r="CD48" s="78">
        <f t="shared" si="31"/>
        <v>2</v>
      </c>
      <c r="CE48" s="78">
        <f t="shared" si="32"/>
        <v>38</v>
      </c>
      <c r="CF48" s="74" cm="1">
        <f t="array" ref="CF48">CA48*Engineer+CB48*Manager+CC48*Admin+CD48*Lawyer</f>
        <v>3199.5079999999998</v>
      </c>
      <c r="CG48" s="74">
        <f t="shared" si="33"/>
        <v>0</v>
      </c>
      <c r="CH48" s="74">
        <f t="shared" si="85"/>
        <v>70.149779735682813</v>
      </c>
      <c r="CI48" s="74">
        <f t="shared" si="34"/>
        <v>3269.6577797356827</v>
      </c>
    </row>
    <row r="49" spans="1:87" ht="105" x14ac:dyDescent="0.25">
      <c r="A49" s="2"/>
      <c r="B49" s="2"/>
      <c r="C49" s="2"/>
      <c r="D49" s="2"/>
      <c r="E49" s="14"/>
      <c r="F49" s="14"/>
      <c r="G49" s="14"/>
      <c r="H49" s="14"/>
      <c r="I49" s="14"/>
      <c r="J49" s="15"/>
      <c r="K49" s="14"/>
      <c r="L49" s="16"/>
      <c r="M49" s="6"/>
      <c r="N49" s="17"/>
      <c r="AA49" s="58" t="s">
        <v>114</v>
      </c>
      <c r="AB49" s="58">
        <v>6</v>
      </c>
      <c r="AC49" s="58">
        <v>130.20000000000002</v>
      </c>
      <c r="AD49" s="58">
        <v>16.799999999999997</v>
      </c>
      <c r="AE49" s="58">
        <v>13.200000000000001</v>
      </c>
      <c r="AF49" s="58">
        <v>6</v>
      </c>
      <c r="AG49" s="58">
        <v>166.2</v>
      </c>
      <c r="AH49" s="74">
        <v>12285.35607</v>
      </c>
      <c r="AI49" s="74">
        <v>0</v>
      </c>
      <c r="AJ49" s="74">
        <v>374.27312775330392</v>
      </c>
      <c r="AK49" s="74">
        <v>12659.629197753304</v>
      </c>
      <c r="AM49" s="71" t="str">
        <f t="shared" ref="AM49:AM50" si="134">AA49</f>
        <v>YY. Caprolactam, Glyoxal, and Glyoxalic Acid Production</v>
      </c>
      <c r="AN49" s="59">
        <f t="shared" ref="AN49:AN50" si="135">AC49/$AB49</f>
        <v>21.700000000000003</v>
      </c>
      <c r="AO49" s="59">
        <f t="shared" ref="AO49:AO50" si="136">AD49/$AB49</f>
        <v>2.7999999999999994</v>
      </c>
      <c r="AP49" s="59">
        <f t="shared" ref="AP49:AP50" si="137">AE49/$AB49</f>
        <v>2.2000000000000002</v>
      </c>
      <c r="AQ49" s="59">
        <f t="shared" ref="AQ49:AQ50" si="138">AF49/$AB49</f>
        <v>1</v>
      </c>
      <c r="AR49" s="59">
        <f t="shared" ref="AR49:AR50" si="139">AG49/$AB49</f>
        <v>27.7</v>
      </c>
      <c r="AS49" s="74">
        <f t="shared" ref="AS49:AS50" si="140">AH49/$AB49</f>
        <v>2047.5593449999999</v>
      </c>
      <c r="AT49" s="74">
        <f t="shared" ref="AT49:AT50" si="141">AI49/$AB49</f>
        <v>0</v>
      </c>
      <c r="AU49" s="74">
        <f t="shared" ref="AU49:AU50" si="142">AJ49/$AB49</f>
        <v>62.378854625550652</v>
      </c>
      <c r="AV49" s="74">
        <f t="shared" ref="AV49:AV50" si="143">AK49/$AB49</f>
        <v>2109.9381996255506</v>
      </c>
      <c r="AX49" s="71" t="str">
        <f>AM49</f>
        <v>YY. Caprolactam, Glyoxal, and Glyoxalic Acid Production</v>
      </c>
      <c r="AY49" s="71"/>
      <c r="AZ49" s="81">
        <f>AB49</f>
        <v>6</v>
      </c>
      <c r="BA49" s="59">
        <f t="shared" si="6"/>
        <v>21.700000000000003</v>
      </c>
      <c r="BB49" s="59">
        <f t="shared" si="7"/>
        <v>2.7999999999999994</v>
      </c>
      <c r="BC49" s="59">
        <f t="shared" si="8"/>
        <v>2.2000000000000002</v>
      </c>
      <c r="BD49" s="59">
        <f t="shared" si="9"/>
        <v>1</v>
      </c>
      <c r="BE49" s="59">
        <f t="shared" si="10"/>
        <v>27.7</v>
      </c>
      <c r="BF49" s="74">
        <f t="shared" si="11"/>
        <v>2047.5593449999999</v>
      </c>
      <c r="BG49" s="74">
        <f t="shared" si="12"/>
        <v>0</v>
      </c>
      <c r="BH49" s="74">
        <f t="shared" si="13"/>
        <v>62.378854625550652</v>
      </c>
      <c r="BI49" s="74">
        <f t="shared" si="14"/>
        <v>2109.9381996255506</v>
      </c>
      <c r="BK49" s="71"/>
      <c r="BL49" s="71"/>
      <c r="BM49" s="81"/>
      <c r="BN49" s="59"/>
      <c r="BO49" s="59"/>
      <c r="BP49" s="59"/>
      <c r="BQ49" s="59"/>
      <c r="BR49" s="59"/>
      <c r="BS49" s="74"/>
      <c r="BT49" s="74"/>
      <c r="BU49" s="74"/>
      <c r="BV49" s="74"/>
      <c r="BX49" s="71" t="str">
        <f t="shared" si="27"/>
        <v>YY. Caprolactam, Glyoxal, and Glyoxalic Acid Production</v>
      </c>
      <c r="BY49" s="71"/>
      <c r="BZ49" s="81">
        <v>6</v>
      </c>
      <c r="CA49" s="78">
        <f t="shared" si="84"/>
        <v>130.20000000000002</v>
      </c>
      <c r="CB49" s="78">
        <f t="shared" si="29"/>
        <v>16.799999999999997</v>
      </c>
      <c r="CC49" s="78">
        <f t="shared" si="30"/>
        <v>13.200000000000001</v>
      </c>
      <c r="CD49" s="78">
        <f t="shared" si="31"/>
        <v>6</v>
      </c>
      <c r="CE49" s="78">
        <f t="shared" si="32"/>
        <v>166.2</v>
      </c>
      <c r="CF49" s="74" cm="1">
        <f t="array" ref="CF49">CA49*Engineer+CB49*Manager+CC49*Admin+CD49*Lawyer</f>
        <v>13746.534000000001</v>
      </c>
      <c r="CG49" s="74">
        <f t="shared" si="33"/>
        <v>0</v>
      </c>
      <c r="CH49" s="74">
        <f t="shared" si="85"/>
        <v>420.89867841409688</v>
      </c>
      <c r="CI49" s="74">
        <f t="shared" si="34"/>
        <v>14167.432678414098</v>
      </c>
    </row>
    <row r="50" spans="1:87" ht="30" x14ac:dyDescent="0.25">
      <c r="A50" s="2"/>
      <c r="B50" s="2"/>
      <c r="C50" s="2"/>
      <c r="D50" s="2"/>
      <c r="E50" s="14"/>
      <c r="F50" s="14"/>
      <c r="G50" s="14"/>
      <c r="H50" s="14"/>
      <c r="I50" s="14"/>
      <c r="K50" s="14"/>
      <c r="L50" s="14"/>
      <c r="M50" s="14"/>
      <c r="N50" s="14"/>
      <c r="AA50" s="58" t="s">
        <v>115</v>
      </c>
      <c r="AB50" s="58">
        <v>25</v>
      </c>
      <c r="AC50" s="58">
        <v>600</v>
      </c>
      <c r="AD50" s="58">
        <v>55.000000000000007</v>
      </c>
      <c r="AE50" s="58">
        <v>47.5</v>
      </c>
      <c r="AF50" s="58">
        <v>50</v>
      </c>
      <c r="AG50" s="58">
        <v>752.5</v>
      </c>
      <c r="AH50" s="74">
        <v>56678.372925000011</v>
      </c>
      <c r="AI50" s="74">
        <v>0</v>
      </c>
      <c r="AJ50" s="74">
        <v>1559.4713656387664</v>
      </c>
      <c r="AK50" s="74">
        <v>58237.844290638779</v>
      </c>
      <c r="AM50" s="71" t="str">
        <f t="shared" si="134"/>
        <v>ZZ. Ceramics Production</v>
      </c>
      <c r="AN50" s="59">
        <f t="shared" si="135"/>
        <v>24</v>
      </c>
      <c r="AO50" s="59">
        <f t="shared" si="136"/>
        <v>2.2000000000000002</v>
      </c>
      <c r="AP50" s="59">
        <f t="shared" si="137"/>
        <v>1.9</v>
      </c>
      <c r="AQ50" s="59">
        <f t="shared" si="138"/>
        <v>2</v>
      </c>
      <c r="AR50" s="59">
        <f t="shared" si="139"/>
        <v>30.1</v>
      </c>
      <c r="AS50" s="74">
        <f t="shared" si="140"/>
        <v>2267.1349170000003</v>
      </c>
      <c r="AT50" s="74">
        <f t="shared" si="141"/>
        <v>0</v>
      </c>
      <c r="AU50" s="74">
        <f t="shared" si="142"/>
        <v>62.378854625550659</v>
      </c>
      <c r="AV50" s="74">
        <f t="shared" si="143"/>
        <v>2329.5137716255513</v>
      </c>
      <c r="AX50" s="71" t="str">
        <f>AM50</f>
        <v>ZZ. Ceramics Production</v>
      </c>
      <c r="AY50" s="71"/>
      <c r="AZ50" s="81">
        <f>AB50</f>
        <v>25</v>
      </c>
      <c r="BA50" s="59">
        <f t="shared" si="6"/>
        <v>24</v>
      </c>
      <c r="BB50" s="59">
        <f t="shared" si="7"/>
        <v>2.2000000000000002</v>
      </c>
      <c r="BC50" s="59">
        <f t="shared" si="8"/>
        <v>1.9</v>
      </c>
      <c r="BD50" s="59">
        <f t="shared" si="9"/>
        <v>2</v>
      </c>
      <c r="BE50" s="59">
        <f t="shared" si="10"/>
        <v>30.1</v>
      </c>
      <c r="BF50" s="74">
        <f t="shared" si="11"/>
        <v>2267.1349170000003</v>
      </c>
      <c r="BG50" s="74">
        <f t="shared" si="12"/>
        <v>0</v>
      </c>
      <c r="BH50" s="74">
        <f t="shared" si="13"/>
        <v>62.378854625550659</v>
      </c>
      <c r="BI50" s="74">
        <f t="shared" si="14"/>
        <v>2329.5137716255513</v>
      </c>
      <c r="BK50" s="71"/>
      <c r="BL50" s="71"/>
      <c r="BM50" s="81"/>
      <c r="BN50" s="59"/>
      <c r="BO50" s="59"/>
      <c r="BP50" s="59"/>
      <c r="BQ50" s="59"/>
      <c r="BR50" s="59"/>
      <c r="BS50" s="74"/>
      <c r="BT50" s="74"/>
      <c r="BU50" s="74"/>
      <c r="BV50" s="74"/>
      <c r="BX50" s="71" t="str">
        <f t="shared" si="27"/>
        <v>ZZ. Ceramics Production</v>
      </c>
      <c r="BY50" s="71"/>
      <c r="BZ50" s="81">
        <v>25</v>
      </c>
      <c r="CA50" s="78">
        <f t="shared" si="84"/>
        <v>600</v>
      </c>
      <c r="CB50" s="78">
        <f t="shared" si="29"/>
        <v>55.000000000000007</v>
      </c>
      <c r="CC50" s="78">
        <f t="shared" si="30"/>
        <v>47.5</v>
      </c>
      <c r="CD50" s="78">
        <f t="shared" si="31"/>
        <v>50</v>
      </c>
      <c r="CE50" s="78">
        <f t="shared" si="32"/>
        <v>752.5</v>
      </c>
      <c r="CF50" s="74" cm="1">
        <f t="array" ref="CF50">CA50*Engineer+CB50*Manager+CC50*Admin+CD50*Lawyer</f>
        <v>63767.125</v>
      </c>
      <c r="CG50" s="74">
        <f t="shared" si="33"/>
        <v>0</v>
      </c>
      <c r="CH50" s="74">
        <f t="shared" si="85"/>
        <v>1753.7444933920704</v>
      </c>
      <c r="CI50" s="74">
        <f t="shared" si="34"/>
        <v>65520.869493392071</v>
      </c>
    </row>
    <row r="51" spans="1:87" ht="15.75" x14ac:dyDescent="0.25">
      <c r="A51" s="2"/>
      <c r="B51" s="2"/>
      <c r="C51" s="2"/>
      <c r="D51" s="2"/>
      <c r="E51" s="14"/>
      <c r="F51" s="14"/>
      <c r="G51" s="14"/>
      <c r="H51" s="14"/>
      <c r="I51" s="14"/>
      <c r="J51" s="18"/>
      <c r="K51" s="19"/>
      <c r="L51" s="14"/>
      <c r="M51" s="14"/>
      <c r="N51" s="20"/>
    </row>
    <row r="52" spans="1:87" ht="15.75" x14ac:dyDescent="0.25">
      <c r="A52" s="2"/>
      <c r="B52" s="2"/>
      <c r="C52" s="2"/>
      <c r="D52" s="2"/>
      <c r="E52" s="14"/>
      <c r="F52" s="14"/>
      <c r="G52" s="14"/>
      <c r="H52" s="14"/>
      <c r="I52" s="14"/>
      <c r="J52" s="21"/>
      <c r="K52" s="14"/>
      <c r="L52" s="14"/>
      <c r="M52" s="14"/>
      <c r="N52" s="22"/>
      <c r="AB52" s="58"/>
      <c r="AC52" s="58"/>
      <c r="AD52" s="58"/>
      <c r="AE52" s="58"/>
      <c r="AF52" s="58"/>
      <c r="AG52" s="58"/>
    </row>
    <row r="53" spans="1:87" ht="29.25" customHeight="1" x14ac:dyDescent="0.25">
      <c r="A53" s="2"/>
      <c r="B53" s="2"/>
      <c r="C53" s="2"/>
      <c r="D53" s="2"/>
      <c r="E53" s="14"/>
      <c r="F53" s="14"/>
      <c r="G53" s="14"/>
      <c r="H53" s="14"/>
      <c r="I53" s="14"/>
      <c r="J53" s="14"/>
      <c r="K53" s="14"/>
      <c r="L53" s="14"/>
      <c r="M53" s="14"/>
      <c r="N53" s="14"/>
    </row>
    <row r="54" spans="1:87" ht="15.75" hidden="1" x14ac:dyDescent="0.25">
      <c r="B54" s="2" t="s">
        <v>116</v>
      </c>
      <c r="C54" s="10">
        <f>SUM(C4:C45)</f>
        <v>12434</v>
      </c>
      <c r="D54" s="10">
        <f>E54/C54</f>
        <v>824.26700981180636</v>
      </c>
      <c r="E54" s="10">
        <f>SUM(E4:E45)</f>
        <v>10248936</v>
      </c>
      <c r="F54" s="2"/>
      <c r="G54" s="2"/>
      <c r="H54" s="2"/>
      <c r="I54" s="2"/>
      <c r="J54" s="10">
        <f>SUM(J4:J45)</f>
        <v>705553.75</v>
      </c>
      <c r="K54" s="11">
        <f>SUM(K4:K45)</f>
        <v>61893263.611500002</v>
      </c>
      <c r="L54" s="12">
        <f>SUM(L4:L45)</f>
        <v>0</v>
      </c>
      <c r="M54" s="12">
        <f>SUM(M4:M45)</f>
        <v>33282257</v>
      </c>
      <c r="N54" s="12">
        <f>SUM(N4:N45)</f>
        <v>95175520.611499995</v>
      </c>
      <c r="AA54" s="58" t="s">
        <v>117</v>
      </c>
      <c r="AB54" s="58">
        <v>2701.3</v>
      </c>
      <c r="AC54" s="58">
        <v>21682.679556858697</v>
      </c>
      <c r="AD54" s="58">
        <v>2506.8558752649265</v>
      </c>
      <c r="AE54" s="58">
        <v>1206.6213504359489</v>
      </c>
      <c r="AF54" s="58">
        <v>481.2</v>
      </c>
      <c r="AG54" s="58">
        <v>25899.55899999999</v>
      </c>
      <c r="AH54" s="74">
        <v>2684681.1424591797</v>
      </c>
      <c r="AI54" s="74">
        <v>0</v>
      </c>
      <c r="AJ54" s="74">
        <v>2733812.6254992504</v>
      </c>
      <c r="AK54" s="74">
        <v>5418493.7679584324</v>
      </c>
      <c r="BX54" s="2" t="s">
        <v>116</v>
      </c>
      <c r="BY54" s="2"/>
      <c r="BZ54" s="81">
        <f>SUM(BZ4:BZ50)</f>
        <v>13337</v>
      </c>
      <c r="CA54" s="81">
        <f t="shared" ref="CA54:CI54" si="144">SUM(CA4:CA50)</f>
        <v>2483537.2197526284</v>
      </c>
      <c r="CB54" s="81">
        <f t="shared" si="144"/>
        <v>104322.91147935977</v>
      </c>
      <c r="CC54" s="81">
        <f t="shared" si="144"/>
        <v>26542.437397375685</v>
      </c>
      <c r="CD54" s="81">
        <f t="shared" si="144"/>
        <v>4669.0403134329481</v>
      </c>
      <c r="CE54" s="81">
        <f>SUM(CE4:CE50)</f>
        <v>2619071.608942796</v>
      </c>
      <c r="CF54" s="157">
        <f>SUM(CF4:CF50)</f>
        <v>215639767.94214681</v>
      </c>
      <c r="CG54" s="74">
        <f t="shared" si="144"/>
        <v>0</v>
      </c>
      <c r="CH54" s="157">
        <f t="shared" si="144"/>
        <v>45258832.688963205</v>
      </c>
      <c r="CI54" s="157">
        <f t="shared" si="144"/>
        <v>260898600.63111001</v>
      </c>
    </row>
    <row r="55" spans="1:87" ht="15.75" x14ac:dyDescent="0.25">
      <c r="B55" s="2"/>
      <c r="C55" s="10"/>
      <c r="D55" s="10"/>
      <c r="E55" s="10"/>
      <c r="F55" s="2"/>
      <c r="G55" s="2"/>
      <c r="H55" s="2"/>
      <c r="I55" s="2"/>
      <c r="J55" s="10"/>
      <c r="K55" s="11"/>
      <c r="L55" s="12"/>
      <c r="M55" s="12"/>
      <c r="N55" s="12"/>
      <c r="AA55" s="58"/>
      <c r="AB55" s="58"/>
      <c r="AC55" s="58"/>
      <c r="AD55" s="58"/>
      <c r="AE55" s="58"/>
      <c r="AF55" s="58"/>
      <c r="AG55" s="58"/>
      <c r="BX55" s="2"/>
      <c r="BY55" s="2"/>
      <c r="BZ55" s="81"/>
      <c r="CA55" s="81"/>
      <c r="CB55" s="81"/>
      <c r="CC55" s="81"/>
      <c r="CD55" s="81"/>
      <c r="CE55" s="81"/>
      <c r="CF55" s="74"/>
      <c r="CG55" s="74"/>
      <c r="CH55" s="74"/>
      <c r="CI55" s="74"/>
    </row>
    <row r="56" spans="1:87" ht="15.75" x14ac:dyDescent="0.25">
      <c r="B56" s="2" t="s">
        <v>118</v>
      </c>
      <c r="C56" s="88">
        <f t="shared" ref="C56:N56" si="145">C54-C23</f>
        <v>10096</v>
      </c>
      <c r="D56" s="88">
        <f t="shared" si="145"/>
        <v>-2469.7329901881935</v>
      </c>
      <c r="E56" s="88">
        <f t="shared" si="145"/>
        <v>2547564</v>
      </c>
      <c r="F56" s="88">
        <f t="shared" si="145"/>
        <v>-240991.2</v>
      </c>
      <c r="G56" s="88">
        <f t="shared" si="145"/>
        <v>-27985.599999999999</v>
      </c>
      <c r="H56" s="88">
        <f t="shared" si="145"/>
        <v>0</v>
      </c>
      <c r="I56" s="88">
        <f t="shared" si="145"/>
        <v>0</v>
      </c>
      <c r="J56" s="88">
        <f t="shared" si="145"/>
        <v>431900.95</v>
      </c>
      <c r="K56" s="88">
        <f t="shared" si="145"/>
        <v>31670092.202500001</v>
      </c>
      <c r="L56" s="88">
        <f t="shared" si="145"/>
        <v>0</v>
      </c>
      <c r="M56" s="88">
        <f t="shared" si="145"/>
        <v>8871914</v>
      </c>
      <c r="N56" s="88">
        <f t="shared" si="145"/>
        <v>40542006.202499993</v>
      </c>
      <c r="AA56" t="s">
        <v>118</v>
      </c>
      <c r="AB56" s="58">
        <f t="shared" ref="AB56:AK56" si="146">AB54-AB23</f>
        <v>2513.3000000000002</v>
      </c>
      <c r="AC56" s="58">
        <f t="shared" si="146"/>
        <v>3209.4900000000016</v>
      </c>
      <c r="AD56" s="58">
        <f t="shared" si="146"/>
        <v>258.27300000000059</v>
      </c>
      <c r="AE56" s="58">
        <f t="shared" si="146"/>
        <v>281.60599999999999</v>
      </c>
      <c r="AF56" s="58">
        <f t="shared" si="146"/>
        <v>105.19999999999999</v>
      </c>
      <c r="AG56" s="58">
        <f t="shared" si="146"/>
        <v>3854.5589999999902</v>
      </c>
      <c r="AH56" s="74">
        <f t="shared" si="146"/>
        <v>251623.30231641978</v>
      </c>
      <c r="AI56" s="74">
        <f t="shared" si="146"/>
        <v>0</v>
      </c>
      <c r="AJ56" s="74">
        <f t="shared" si="146"/>
        <v>15949.046696034726</v>
      </c>
      <c r="AK56" s="74">
        <f t="shared" si="146"/>
        <v>267572.34901245683</v>
      </c>
      <c r="BX56" s="89" t="s">
        <v>290</v>
      </c>
      <c r="BY56" s="89"/>
      <c r="BZ56" s="90">
        <f>BZ54-BZ23</f>
        <v>10337</v>
      </c>
      <c r="CA56" s="90">
        <f t="shared" ref="CA56:CG56" si="147">CA54-CA23</f>
        <v>387829.89381354838</v>
      </c>
      <c r="CB56" s="90">
        <f t="shared" si="147"/>
        <v>28261.415733568094</v>
      </c>
      <c r="CC56" s="90">
        <f t="shared" si="147"/>
        <v>26542.437397375685</v>
      </c>
      <c r="CD56" s="90">
        <f t="shared" si="147"/>
        <v>4669.0403134329481</v>
      </c>
      <c r="CE56" s="90">
        <f t="shared" si="147"/>
        <v>447302.78725792421</v>
      </c>
      <c r="CF56" s="91">
        <f t="shared" si="147"/>
        <v>36847947.000593871</v>
      </c>
      <c r="CG56" s="91">
        <f t="shared" si="147"/>
        <v>0</v>
      </c>
      <c r="CH56" s="91">
        <f>CH54-CH23</f>
        <v>10034761.890004218</v>
      </c>
      <c r="CI56" s="91">
        <f>CI54-CI23</f>
        <v>46882708.890598089</v>
      </c>
    </row>
    <row r="57" spans="1:87" x14ac:dyDescent="0.25">
      <c r="AA57" s="58" t="s">
        <v>119</v>
      </c>
      <c r="CF57" s="84"/>
      <c r="CH57" s="84"/>
      <c r="CI57" s="105"/>
    </row>
    <row r="58" spans="1:87" ht="165" x14ac:dyDescent="0.25">
      <c r="BX58" s="72" t="s">
        <v>120</v>
      </c>
      <c r="BZ58" s="78">
        <v>5971</v>
      </c>
      <c r="CA58" s="260" t="s">
        <v>121</v>
      </c>
      <c r="CB58" s="260"/>
      <c r="CC58" s="260"/>
    </row>
    <row r="59" spans="1:87" x14ac:dyDescent="0.25">
      <c r="BX59" s="218" t="s">
        <v>291</v>
      </c>
      <c r="BY59" s="218"/>
      <c r="BZ59" s="218">
        <f>'Baseline 2025 W-bysegment'!E21</f>
        <v>3000</v>
      </c>
      <c r="CA59" s="218"/>
      <c r="CB59" s="218"/>
      <c r="CC59" s="218"/>
      <c r="CD59" s="218"/>
      <c r="CE59" s="219">
        <f>'Baseline 2025 W-bysegment'!AE21</f>
        <v>2148941.5049313479</v>
      </c>
      <c r="CF59" s="220">
        <f>'Baseline 2025 W-bysegment'!AG21</f>
        <v>210845767.82643223</v>
      </c>
      <c r="CG59" s="218"/>
      <c r="CH59" s="220">
        <f>'Baseline 2025 W-bysegment'!AJ21</f>
        <v>44955344.168793067</v>
      </c>
      <c r="CI59" s="220">
        <f>'Baseline 2025 W-bysegment'!AL21</f>
        <v>255801111.99522531</v>
      </c>
    </row>
    <row r="61" spans="1:87" ht="15" customHeight="1" x14ac:dyDescent="0.25">
      <c r="BX61" s="218" t="s">
        <v>301</v>
      </c>
      <c r="BY61" s="218"/>
      <c r="BZ61" s="221">
        <f>SUM(BZ58:BZ59)</f>
        <v>8971</v>
      </c>
      <c r="CA61" s="218"/>
      <c r="CB61" s="218"/>
      <c r="CC61" s="218"/>
      <c r="CD61" s="218"/>
      <c r="CE61" s="222">
        <f>SUM(CE56,CE59)</f>
        <v>2596244.2921892721</v>
      </c>
      <c r="CF61" s="220">
        <f t="shared" ref="CF61:CI61" si="148">SUM(CF56,CF59)</f>
        <v>247693714.8270261</v>
      </c>
      <c r="CG61" s="220"/>
      <c r="CH61" s="220">
        <f>SUM(CH56,CH59)</f>
        <v>54990106.058797285</v>
      </c>
      <c r="CI61" s="220">
        <f t="shared" si="148"/>
        <v>302683820.88582337</v>
      </c>
    </row>
    <row r="63" spans="1:87" x14ac:dyDescent="0.25">
      <c r="BZ63" s="214"/>
      <c r="CE63" s="214"/>
      <c r="CF63" s="214"/>
      <c r="CG63" s="214"/>
      <c r="CH63" s="214"/>
      <c r="CI63" s="214"/>
    </row>
  </sheetData>
  <sheetProtection algorithmName="SHA-512" hashValue="pavOUsOAdkbi1jdohANp0n3IDzLHrc6l+riM/QSHZiYPXuhPPwiVJJ5WTvJA5cOQGcEtHI0F7K/1kjzzTk2Ygw==" saltValue="Ogig1K/TwLj7z1eH0kEzMQ==" spinCount="100000" sheet="1" objects="1" scenarios="1"/>
  <autoFilter ref="A3:N47" xr:uid="{B9A27220-3210-43E6-A9CF-999C9D6899D3}"/>
  <mergeCells count="11">
    <mergeCell ref="CA58:CC58"/>
    <mergeCell ref="B1:N1"/>
    <mergeCell ref="AA1:AJ1"/>
    <mergeCell ref="P1:Y1"/>
    <mergeCell ref="AM1:AV1"/>
    <mergeCell ref="AX1:BI1"/>
    <mergeCell ref="BX1:CI1"/>
    <mergeCell ref="B2:B3"/>
    <mergeCell ref="C2:N2"/>
    <mergeCell ref="AA2:AK2"/>
    <mergeCell ref="BK1:BV1"/>
  </mergeCells>
  <printOptions gridLines="1"/>
  <pageMargins left="0.25" right="0.25" top="0.75" bottom="0.75" header="0.3" footer="0.3"/>
  <pageSetup fitToHeight="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F51398-AEDF-4684-A43E-43C5D9521365}">
  <dimension ref="A1:M36"/>
  <sheetViews>
    <sheetView topLeftCell="A12" workbookViewId="0">
      <selection activeCell="A13" sqref="A13:XFD13"/>
    </sheetView>
  </sheetViews>
  <sheetFormatPr defaultRowHeight="15" x14ac:dyDescent="0.25"/>
  <sheetData>
    <row r="1" spans="1:13" ht="15.75" thickBot="1" x14ac:dyDescent="0.3">
      <c r="A1" s="291" t="s">
        <v>230</v>
      </c>
      <c r="B1" s="291"/>
      <c r="C1" s="291"/>
      <c r="D1" s="291"/>
      <c r="E1" s="291"/>
      <c r="F1" s="291"/>
      <c r="G1" s="291"/>
      <c r="H1" s="291"/>
      <c r="I1" s="291"/>
      <c r="J1" s="291"/>
      <c r="K1" s="291"/>
    </row>
    <row r="2" spans="1:13" ht="15.75" thickBot="1" x14ac:dyDescent="0.3">
      <c r="A2" s="268" t="s">
        <v>231</v>
      </c>
      <c r="B2" s="269"/>
      <c r="C2" s="269"/>
      <c r="D2" s="269"/>
      <c r="E2" s="269"/>
      <c r="F2" s="269"/>
      <c r="G2" s="269"/>
      <c r="H2" s="269"/>
      <c r="I2" s="269"/>
      <c r="J2" s="269"/>
      <c r="K2" s="270"/>
    </row>
    <row r="3" spans="1:13" ht="34.5" thickBot="1" x14ac:dyDescent="0.3">
      <c r="A3" s="33" t="s">
        <v>24</v>
      </c>
      <c r="B3" s="34" t="s">
        <v>34</v>
      </c>
      <c r="C3" s="35" t="s">
        <v>15</v>
      </c>
      <c r="D3" s="35" t="s">
        <v>16</v>
      </c>
      <c r="E3" s="35" t="s">
        <v>17</v>
      </c>
      <c r="F3" s="35" t="s">
        <v>18</v>
      </c>
      <c r="G3" s="36" t="s">
        <v>19</v>
      </c>
      <c r="H3" s="37" t="s">
        <v>20</v>
      </c>
      <c r="I3" s="35" t="s">
        <v>21</v>
      </c>
      <c r="J3" s="35" t="s">
        <v>22</v>
      </c>
      <c r="K3" s="38" t="s">
        <v>23</v>
      </c>
    </row>
    <row r="4" spans="1:13" ht="68.25" x14ac:dyDescent="0.25">
      <c r="A4" s="39" t="s">
        <v>49</v>
      </c>
      <c r="B4" s="40">
        <v>310</v>
      </c>
      <c r="C4" s="41">
        <v>-4.3000000000000043</v>
      </c>
      <c r="D4" s="41">
        <v>-1.2950000000000002</v>
      </c>
      <c r="E4" s="41">
        <v>-2.5900000000000003</v>
      </c>
      <c r="F4" s="41">
        <v>0</v>
      </c>
      <c r="G4" s="41">
        <v>-8.1850000000000041</v>
      </c>
      <c r="H4" s="42">
        <v>-2424.9576542000004</v>
      </c>
      <c r="I4" s="42">
        <v>0</v>
      </c>
      <c r="J4" s="42">
        <v>0</v>
      </c>
      <c r="K4" s="43">
        <v>-2424.9576542000004</v>
      </c>
      <c r="M4" s="60"/>
    </row>
    <row r="5" spans="1:13" ht="34.5" x14ac:dyDescent="0.25">
      <c r="A5" s="39" t="s">
        <v>54</v>
      </c>
      <c r="B5" s="40">
        <v>29</v>
      </c>
      <c r="C5" s="44">
        <v>1.4500000000000002</v>
      </c>
      <c r="D5" s="45">
        <v>7.2500000000000009E-2</v>
      </c>
      <c r="E5" s="45">
        <v>0.14500000000000002</v>
      </c>
      <c r="F5" s="41">
        <v>0</v>
      </c>
      <c r="G5" s="44">
        <v>1.6675000000000002</v>
      </c>
      <c r="H5" s="42">
        <v>118.61346260000002</v>
      </c>
      <c r="I5" s="42">
        <v>0</v>
      </c>
      <c r="J5" s="42">
        <v>0</v>
      </c>
      <c r="K5" s="43">
        <v>118.61346260000002</v>
      </c>
    </row>
    <row r="6" spans="1:13" ht="23.25" x14ac:dyDescent="0.25">
      <c r="A6" s="39" t="s">
        <v>55</v>
      </c>
      <c r="B6" s="40">
        <v>94</v>
      </c>
      <c r="C6" s="41">
        <v>23.5</v>
      </c>
      <c r="D6" s="41">
        <v>1.175</v>
      </c>
      <c r="E6" s="41">
        <v>2.35</v>
      </c>
      <c r="F6" s="41">
        <v>0</v>
      </c>
      <c r="G6" s="41">
        <v>27.025000000000002</v>
      </c>
      <c r="H6" s="42">
        <v>1999.4547300000002</v>
      </c>
      <c r="I6" s="42">
        <v>0</v>
      </c>
      <c r="J6" s="42">
        <v>0</v>
      </c>
      <c r="K6" s="43">
        <v>1999.4547300000002</v>
      </c>
    </row>
    <row r="7" spans="1:13" ht="45.75" x14ac:dyDescent="0.25">
      <c r="A7" s="39" t="s">
        <v>56</v>
      </c>
      <c r="B7" s="40">
        <v>48</v>
      </c>
      <c r="C7" s="41">
        <v>235.38</v>
      </c>
      <c r="D7" s="41">
        <v>18.622499999999999</v>
      </c>
      <c r="E7" s="41">
        <v>13.204999999999998</v>
      </c>
      <c r="F7" s="41">
        <v>1.2</v>
      </c>
      <c r="G7" s="41">
        <v>268.40749999999997</v>
      </c>
      <c r="H7" s="42">
        <v>19651.446955480853</v>
      </c>
      <c r="I7" s="42">
        <v>0</v>
      </c>
      <c r="J7" s="42">
        <v>62.378854625550659</v>
      </c>
      <c r="K7" s="43">
        <v>19713.825810106402</v>
      </c>
    </row>
    <row r="8" spans="1:13" ht="23.25" x14ac:dyDescent="0.25">
      <c r="A8" s="46" t="s">
        <v>61</v>
      </c>
      <c r="B8" s="40">
        <v>101</v>
      </c>
      <c r="C8" s="41">
        <v>35.350000000000009</v>
      </c>
      <c r="D8" s="41">
        <v>1.7675000000000005</v>
      </c>
      <c r="E8" s="41">
        <v>3.535000000000001</v>
      </c>
      <c r="F8" s="41">
        <v>0</v>
      </c>
      <c r="G8" s="41">
        <v>40.652500000000011</v>
      </c>
      <c r="H8" s="42">
        <v>2073.6905357999999</v>
      </c>
      <c r="I8" s="42">
        <v>0</v>
      </c>
      <c r="J8" s="42">
        <v>0</v>
      </c>
      <c r="K8" s="43">
        <v>2073.6905357999999</v>
      </c>
    </row>
    <row r="9" spans="1:13" ht="23.25" x14ac:dyDescent="0.25">
      <c r="A9" s="39" t="s">
        <v>63</v>
      </c>
      <c r="B9" s="40">
        <v>114</v>
      </c>
      <c r="C9" s="41">
        <v>106.15</v>
      </c>
      <c r="D9" s="41">
        <v>7.5075000000000003</v>
      </c>
      <c r="E9" s="41">
        <v>10.615000000000002</v>
      </c>
      <c r="F9" s="41">
        <v>0</v>
      </c>
      <c r="G9" s="41">
        <v>124.27250000000001</v>
      </c>
      <c r="H9" s="42">
        <v>7496.5364776991155</v>
      </c>
      <c r="I9" s="42">
        <v>0</v>
      </c>
      <c r="J9" s="42">
        <v>2561.2969162995596</v>
      </c>
      <c r="K9" s="43">
        <v>10057.833393998675</v>
      </c>
    </row>
    <row r="10" spans="1:13" ht="23.25" x14ac:dyDescent="0.25">
      <c r="A10" s="39" t="s">
        <v>66</v>
      </c>
      <c r="B10" s="40">
        <v>121</v>
      </c>
      <c r="C10" s="41">
        <v>18.150000000000002</v>
      </c>
      <c r="D10" s="44">
        <v>0.9075000000000002</v>
      </c>
      <c r="E10" s="44">
        <v>1.8150000000000004</v>
      </c>
      <c r="F10" s="41">
        <v>0</v>
      </c>
      <c r="G10" s="41">
        <v>20.872500000000002</v>
      </c>
      <c r="H10" s="42">
        <v>1484.7133421999999</v>
      </c>
      <c r="I10" s="42">
        <v>0</v>
      </c>
      <c r="J10" s="42">
        <v>0</v>
      </c>
      <c r="K10" s="43">
        <v>1484.7133421999999</v>
      </c>
    </row>
    <row r="11" spans="1:13" ht="34.5" x14ac:dyDescent="0.25">
      <c r="A11" s="39" t="s">
        <v>68</v>
      </c>
      <c r="B11" s="40">
        <v>71</v>
      </c>
      <c r="C11" s="41">
        <v>35.5</v>
      </c>
      <c r="D11" s="44">
        <v>1.7750000000000004</v>
      </c>
      <c r="E11" s="44">
        <v>3.5500000000000007</v>
      </c>
      <c r="F11" s="41">
        <v>0</v>
      </c>
      <c r="G11" s="41">
        <v>40.825000000000003</v>
      </c>
      <c r="H11" s="42">
        <v>1186.1346260000003</v>
      </c>
      <c r="I11" s="42">
        <v>0</v>
      </c>
      <c r="J11" s="42">
        <v>0</v>
      </c>
      <c r="K11" s="43">
        <v>1186.1346260000003</v>
      </c>
    </row>
    <row r="12" spans="1:13" ht="34.5" x14ac:dyDescent="0.25">
      <c r="A12" s="39" t="s">
        <v>71</v>
      </c>
      <c r="B12" s="40">
        <v>1</v>
      </c>
      <c r="C12" s="41">
        <v>-78</v>
      </c>
      <c r="D12" s="44">
        <v>-3.8</v>
      </c>
      <c r="E12" s="41">
        <v>-12</v>
      </c>
      <c r="F12" s="41">
        <v>-1</v>
      </c>
      <c r="G12" s="41">
        <v>-94.8</v>
      </c>
      <c r="H12" s="42">
        <v>-2680.1040509999998</v>
      </c>
      <c r="I12" s="42">
        <v>0</v>
      </c>
      <c r="J12" s="42">
        <v>-11084.722466960353</v>
      </c>
      <c r="K12" s="43">
        <v>-13764.826517960353</v>
      </c>
    </row>
    <row r="13" spans="1:13" ht="57" x14ac:dyDescent="0.25">
      <c r="A13" s="61" t="s">
        <v>74</v>
      </c>
      <c r="B13" s="62">
        <v>188</v>
      </c>
      <c r="C13" s="63">
        <v>18473.189556858695</v>
      </c>
      <c r="D13" s="63">
        <v>2248.5828752649259</v>
      </c>
      <c r="E13" s="63">
        <v>925.0153504359489</v>
      </c>
      <c r="F13" s="63">
        <v>376</v>
      </c>
      <c r="G13" s="63">
        <v>22045</v>
      </c>
      <c r="H13" s="64">
        <v>2433057.84014276</v>
      </c>
      <c r="I13" s="65">
        <v>0</v>
      </c>
      <c r="J13" s="64">
        <v>2717863.5788032156</v>
      </c>
      <c r="K13" s="66">
        <v>5150921.4189459756</v>
      </c>
    </row>
    <row r="14" spans="1:13" ht="45.75" x14ac:dyDescent="0.25">
      <c r="A14" s="47" t="s">
        <v>76</v>
      </c>
      <c r="B14" s="40">
        <v>31</v>
      </c>
      <c r="C14" s="41">
        <v>12.4</v>
      </c>
      <c r="D14" s="41">
        <v>0.62000000000000011</v>
      </c>
      <c r="E14" s="41">
        <v>1.2400000000000002</v>
      </c>
      <c r="F14" s="41">
        <v>0</v>
      </c>
      <c r="G14" s="41">
        <v>14.26</v>
      </c>
      <c r="H14" s="42">
        <v>617.60802939999996</v>
      </c>
      <c r="I14" s="48">
        <v>0</v>
      </c>
      <c r="J14" s="42">
        <v>0</v>
      </c>
      <c r="K14" s="43">
        <v>617.60802939999996</v>
      </c>
    </row>
    <row r="15" spans="1:13" ht="34.5" x14ac:dyDescent="0.25">
      <c r="A15" s="39" t="s">
        <v>77</v>
      </c>
      <c r="B15" s="40">
        <v>57</v>
      </c>
      <c r="C15" s="41">
        <v>-55.2</v>
      </c>
      <c r="D15" s="44">
        <v>-8.91</v>
      </c>
      <c r="E15" s="41">
        <v>-5.8199999999999985</v>
      </c>
      <c r="F15" s="41">
        <v>-6</v>
      </c>
      <c r="G15" s="41">
        <v>-75.929999999999993</v>
      </c>
      <c r="H15" s="42">
        <v>-6132.7775595999992</v>
      </c>
      <c r="I15" s="42">
        <v>0</v>
      </c>
      <c r="J15" s="42">
        <v>-3929.8678414096921</v>
      </c>
      <c r="K15" s="43">
        <v>-10062.645401009691</v>
      </c>
    </row>
    <row r="16" spans="1:13" ht="34.5" x14ac:dyDescent="0.25">
      <c r="A16" s="39" t="s">
        <v>80</v>
      </c>
      <c r="B16" s="40">
        <v>1</v>
      </c>
      <c r="C16" s="44">
        <v>1.4000000000000001</v>
      </c>
      <c r="D16" s="45">
        <v>5.0000000000000001E-3</v>
      </c>
      <c r="E16" s="41">
        <v>1.0000000000000002E-2</v>
      </c>
      <c r="F16" s="41">
        <v>0</v>
      </c>
      <c r="G16" s="44">
        <v>1.4050000000000002</v>
      </c>
      <c r="H16" s="42">
        <v>104.15535180000001</v>
      </c>
      <c r="I16" s="42">
        <v>0</v>
      </c>
      <c r="J16" s="42">
        <v>0</v>
      </c>
      <c r="K16" s="43">
        <v>104.15535180000001</v>
      </c>
    </row>
    <row r="17" spans="1:11" ht="34.5" x14ac:dyDescent="0.25">
      <c r="A17" s="39" t="s">
        <v>81</v>
      </c>
      <c r="B17" s="40">
        <v>1</v>
      </c>
      <c r="C17" s="45">
        <v>0.25</v>
      </c>
      <c r="D17" s="45">
        <v>1.2500000000000001E-2</v>
      </c>
      <c r="E17" s="45">
        <v>2.5000000000000001E-2</v>
      </c>
      <c r="F17" s="41">
        <v>0</v>
      </c>
      <c r="G17" s="45">
        <v>0.28750000000000003</v>
      </c>
      <c r="H17" s="42">
        <v>20.450597000000002</v>
      </c>
      <c r="I17" s="42">
        <v>0</v>
      </c>
      <c r="J17" s="42">
        <v>0</v>
      </c>
      <c r="K17" s="43">
        <v>20.450597000000002</v>
      </c>
    </row>
    <row r="18" spans="1:11" ht="68.25" x14ac:dyDescent="0.25">
      <c r="A18" s="39" t="s">
        <v>83</v>
      </c>
      <c r="B18" s="40">
        <v>95</v>
      </c>
      <c r="C18" s="41">
        <v>187.55</v>
      </c>
      <c r="D18" s="41">
        <v>15.2775</v>
      </c>
      <c r="E18" s="41">
        <v>23.555</v>
      </c>
      <c r="F18" s="41">
        <v>2</v>
      </c>
      <c r="G18" s="41">
        <v>228.38250000000002</v>
      </c>
      <c r="H18" s="42">
        <v>15277.745557560003</v>
      </c>
      <c r="I18" s="42">
        <v>0</v>
      </c>
      <c r="J18" s="42">
        <v>3118.9427312775333</v>
      </c>
      <c r="K18" s="43">
        <v>18396.688288837537</v>
      </c>
    </row>
    <row r="19" spans="1:11" ht="45.75" x14ac:dyDescent="0.25">
      <c r="A19" s="39" t="s">
        <v>86</v>
      </c>
      <c r="B19" s="40">
        <v>61</v>
      </c>
      <c r="C19" s="41">
        <v>0</v>
      </c>
      <c r="D19" s="41">
        <v>0</v>
      </c>
      <c r="E19" s="41">
        <v>0</v>
      </c>
      <c r="F19" s="41">
        <v>0</v>
      </c>
      <c r="G19" s="41">
        <v>0</v>
      </c>
      <c r="H19" s="42">
        <v>0</v>
      </c>
      <c r="I19" s="42">
        <v>0</v>
      </c>
      <c r="J19" s="42">
        <v>0</v>
      </c>
      <c r="K19" s="43">
        <v>0</v>
      </c>
    </row>
    <row r="20" spans="1:11" ht="23.25" x14ac:dyDescent="0.25">
      <c r="A20" s="39" t="s">
        <v>87</v>
      </c>
      <c r="B20" s="40">
        <v>5</v>
      </c>
      <c r="C20" s="45">
        <v>0.5</v>
      </c>
      <c r="D20" s="45">
        <v>2.5000000000000005E-2</v>
      </c>
      <c r="E20" s="45">
        <v>5.000000000000001E-2</v>
      </c>
      <c r="F20" s="41">
        <v>0</v>
      </c>
      <c r="G20" s="41">
        <v>0.57500000000000007</v>
      </c>
      <c r="H20" s="49">
        <v>20.450597000000002</v>
      </c>
      <c r="I20" s="42">
        <v>0</v>
      </c>
      <c r="J20" s="42">
        <v>0</v>
      </c>
      <c r="K20" s="43">
        <v>20.450597000000002</v>
      </c>
    </row>
    <row r="21" spans="1:11" ht="23.25" x14ac:dyDescent="0.25">
      <c r="A21" s="39" t="s">
        <v>89</v>
      </c>
      <c r="B21" s="40">
        <v>1129</v>
      </c>
      <c r="C21" s="40">
        <v>1347.95</v>
      </c>
      <c r="D21" s="41">
        <v>72.497500000000002</v>
      </c>
      <c r="E21" s="41">
        <v>120.995</v>
      </c>
      <c r="F21" s="41">
        <v>12</v>
      </c>
      <c r="G21" s="41">
        <v>1553.4425000000001</v>
      </c>
      <c r="H21" s="49">
        <v>84650.753655600012</v>
      </c>
      <c r="I21" s="42">
        <v>0</v>
      </c>
      <c r="J21" s="42">
        <v>374.27312775330392</v>
      </c>
      <c r="K21" s="43">
        <v>85025.026783353314</v>
      </c>
    </row>
    <row r="22" spans="1:11" ht="34.5" x14ac:dyDescent="0.25">
      <c r="A22" s="39" t="s">
        <v>92</v>
      </c>
      <c r="B22" s="40">
        <v>2</v>
      </c>
      <c r="C22" s="41">
        <v>54</v>
      </c>
      <c r="D22" s="41">
        <v>7.8</v>
      </c>
      <c r="E22" s="41">
        <v>3.8</v>
      </c>
      <c r="F22" s="41">
        <v>4</v>
      </c>
      <c r="G22" s="41">
        <v>69.599999999999994</v>
      </c>
      <c r="H22" s="49">
        <v>5287.7472980000002</v>
      </c>
      <c r="I22" s="42">
        <v>0</v>
      </c>
      <c r="J22" s="42">
        <v>3076.5251101321587</v>
      </c>
      <c r="K22" s="43">
        <v>8364.2724081321594</v>
      </c>
    </row>
    <row r="23" spans="1:11" ht="45.75" x14ac:dyDescent="0.25">
      <c r="A23" s="39" t="s">
        <v>97</v>
      </c>
      <c r="B23" s="40">
        <v>121</v>
      </c>
      <c r="C23" s="41">
        <v>73.8</v>
      </c>
      <c r="D23" s="41">
        <v>10.69</v>
      </c>
      <c r="E23" s="41">
        <v>6.38</v>
      </c>
      <c r="F23" s="41">
        <v>2</v>
      </c>
      <c r="G23" s="41">
        <v>92.86999999999999</v>
      </c>
      <c r="H23" s="42">
        <v>6884.0876826000003</v>
      </c>
      <c r="I23" s="42">
        <v>0</v>
      </c>
      <c r="J23" s="42">
        <v>62.378854625550659</v>
      </c>
      <c r="K23" s="43">
        <v>6946.4665372255513</v>
      </c>
    </row>
    <row r="24" spans="1:11" ht="45.75" x14ac:dyDescent="0.25">
      <c r="A24" s="46" t="s">
        <v>100</v>
      </c>
      <c r="B24" s="40">
        <v>22.3</v>
      </c>
      <c r="C24" s="44">
        <v>10.66</v>
      </c>
      <c r="D24" s="44">
        <v>0.53300000000000014</v>
      </c>
      <c r="E24" s="44">
        <v>1.0660000000000003</v>
      </c>
      <c r="F24" s="41">
        <v>0</v>
      </c>
      <c r="G24" s="41">
        <v>12.259</v>
      </c>
      <c r="H24" s="42">
        <v>872.01345607999997</v>
      </c>
      <c r="I24" s="42">
        <v>0</v>
      </c>
      <c r="J24" s="42">
        <v>0</v>
      </c>
      <c r="K24" s="43">
        <v>872.01345607999997</v>
      </c>
    </row>
    <row r="25" spans="1:11" ht="90.75" x14ac:dyDescent="0.25">
      <c r="A25" s="46" t="s">
        <v>102</v>
      </c>
      <c r="B25" s="40">
        <v>33</v>
      </c>
      <c r="C25" s="44">
        <v>3.3000000000000003</v>
      </c>
      <c r="D25" s="45">
        <v>0.16500000000000004</v>
      </c>
      <c r="E25" s="45">
        <v>0.33000000000000007</v>
      </c>
      <c r="F25" s="41">
        <v>0</v>
      </c>
      <c r="G25" s="44">
        <v>3.7950000000000004</v>
      </c>
      <c r="H25" s="42">
        <v>249.49728340000004</v>
      </c>
      <c r="I25" s="42">
        <v>0</v>
      </c>
      <c r="J25" s="42">
        <v>0</v>
      </c>
      <c r="K25" s="43">
        <v>249.49728340000004</v>
      </c>
    </row>
    <row r="26" spans="1:11" ht="68.25" x14ac:dyDescent="0.25">
      <c r="A26" s="46" t="s">
        <v>103</v>
      </c>
      <c r="B26" s="40">
        <v>9</v>
      </c>
      <c r="C26" s="41">
        <v>0</v>
      </c>
      <c r="D26" s="41">
        <v>0</v>
      </c>
      <c r="E26" s="41">
        <v>0</v>
      </c>
      <c r="F26" s="41">
        <v>0</v>
      </c>
      <c r="G26" s="41">
        <v>0</v>
      </c>
      <c r="H26" s="42">
        <v>0</v>
      </c>
      <c r="I26" s="42">
        <v>0</v>
      </c>
      <c r="J26" s="42">
        <v>0</v>
      </c>
      <c r="K26" s="43">
        <v>0</v>
      </c>
    </row>
    <row r="27" spans="1:11" ht="79.5" x14ac:dyDescent="0.25">
      <c r="A27" s="46" t="s">
        <v>105</v>
      </c>
      <c r="B27" s="40">
        <v>5</v>
      </c>
      <c r="C27" s="44">
        <v>4.5</v>
      </c>
      <c r="D27" s="45">
        <v>0.22500000000000003</v>
      </c>
      <c r="E27" s="45">
        <v>0.45000000000000007</v>
      </c>
      <c r="F27" s="41">
        <v>0</v>
      </c>
      <c r="G27" s="44">
        <v>5.1749999999999998</v>
      </c>
      <c r="H27" s="42">
        <v>357.52725000000004</v>
      </c>
      <c r="I27" s="42">
        <v>0</v>
      </c>
      <c r="J27" s="42">
        <v>0</v>
      </c>
      <c r="K27" s="43">
        <v>357.52725000000004</v>
      </c>
    </row>
    <row r="28" spans="1:11" ht="45.75" x14ac:dyDescent="0.25">
      <c r="A28" s="46" t="s">
        <v>107</v>
      </c>
      <c r="B28" s="40">
        <v>1</v>
      </c>
      <c r="C28" s="41">
        <v>45</v>
      </c>
      <c r="D28" s="41">
        <v>10</v>
      </c>
      <c r="E28" s="41">
        <v>8</v>
      </c>
      <c r="F28" s="41">
        <v>3</v>
      </c>
      <c r="G28" s="41">
        <v>66</v>
      </c>
      <c r="H28" s="42">
        <v>4852.6056800000006</v>
      </c>
      <c r="I28" s="42">
        <v>0</v>
      </c>
      <c r="J28" s="42">
        <v>62.378854625550659</v>
      </c>
      <c r="K28" s="43">
        <v>4914.9845346255515</v>
      </c>
    </row>
    <row r="29" spans="1:11" ht="45.75" x14ac:dyDescent="0.25">
      <c r="A29" s="46" t="s">
        <v>109</v>
      </c>
      <c r="B29" s="40">
        <v>2</v>
      </c>
      <c r="C29" s="41">
        <v>-18</v>
      </c>
      <c r="D29" s="41">
        <v>-5</v>
      </c>
      <c r="E29" s="41">
        <v>-3</v>
      </c>
      <c r="F29" s="41">
        <v>0</v>
      </c>
      <c r="G29" s="41">
        <v>-26</v>
      </c>
      <c r="H29" s="42">
        <v>-1886.34403</v>
      </c>
      <c r="I29" s="42">
        <v>0</v>
      </c>
      <c r="J29" s="42">
        <v>-124.75770925110132</v>
      </c>
      <c r="K29" s="43">
        <v>-2011.1017392511012</v>
      </c>
    </row>
    <row r="30" spans="1:11" ht="57" x14ac:dyDescent="0.25">
      <c r="A30" s="46" t="s">
        <v>111</v>
      </c>
      <c r="B30" s="40">
        <v>2</v>
      </c>
      <c r="C30" s="41">
        <v>17</v>
      </c>
      <c r="D30" s="41">
        <v>5</v>
      </c>
      <c r="E30" s="41">
        <v>5</v>
      </c>
      <c r="F30" s="41">
        <v>0</v>
      </c>
      <c r="G30" s="41">
        <v>27</v>
      </c>
      <c r="H30" s="42">
        <v>1882.14822</v>
      </c>
      <c r="I30" s="42">
        <v>0</v>
      </c>
      <c r="J30" s="42">
        <v>124.75770925110132</v>
      </c>
      <c r="K30" s="43">
        <v>2006.9059292511013</v>
      </c>
    </row>
    <row r="31" spans="1:11" ht="23.25" x14ac:dyDescent="0.25">
      <c r="A31" s="46" t="s">
        <v>112</v>
      </c>
      <c r="B31" s="40">
        <v>15</v>
      </c>
      <c r="C31" s="41">
        <v>390</v>
      </c>
      <c r="D31" s="41">
        <v>48</v>
      </c>
      <c r="E31" s="41">
        <v>36</v>
      </c>
      <c r="F31" s="41">
        <v>30</v>
      </c>
      <c r="G31" s="41">
        <v>504</v>
      </c>
      <c r="H31" s="42">
        <v>37847.428079999998</v>
      </c>
      <c r="I31" s="42">
        <v>0</v>
      </c>
      <c r="J31" s="42">
        <v>19649.339207048459</v>
      </c>
      <c r="K31" s="43">
        <v>57496.767287048453</v>
      </c>
    </row>
    <row r="32" spans="1:11" ht="23.25" x14ac:dyDescent="0.25">
      <c r="A32" s="46" t="s">
        <v>113</v>
      </c>
      <c r="B32" s="40">
        <v>1</v>
      </c>
      <c r="C32" s="41">
        <v>31</v>
      </c>
      <c r="D32" s="44">
        <v>2.8</v>
      </c>
      <c r="E32" s="44">
        <v>2.2000000000000002</v>
      </c>
      <c r="F32" s="44">
        <v>2</v>
      </c>
      <c r="G32" s="41">
        <v>38</v>
      </c>
      <c r="H32" s="42">
        <v>2848.947748</v>
      </c>
      <c r="I32" s="42">
        <v>0</v>
      </c>
      <c r="J32" s="42">
        <v>62.378854625550659</v>
      </c>
      <c r="K32" s="43">
        <v>2911.3266026255505</v>
      </c>
    </row>
    <row r="33" spans="1:11" ht="79.5" x14ac:dyDescent="0.25">
      <c r="A33" s="46" t="s">
        <v>232</v>
      </c>
      <c r="B33" s="40">
        <v>6</v>
      </c>
      <c r="C33" s="41">
        <v>130.20000000000002</v>
      </c>
      <c r="D33" s="41">
        <v>16.799999999999997</v>
      </c>
      <c r="E33" s="41">
        <v>13.200000000000001</v>
      </c>
      <c r="F33" s="41">
        <v>6</v>
      </c>
      <c r="G33" s="41">
        <v>166.2</v>
      </c>
      <c r="H33" s="42">
        <v>12285.35607</v>
      </c>
      <c r="I33" s="42">
        <v>0</v>
      </c>
      <c r="J33" s="42">
        <v>374.27312775330392</v>
      </c>
      <c r="K33" s="43">
        <v>12659.629197753304</v>
      </c>
    </row>
    <row r="34" spans="1:11" ht="35.25" thickBot="1" x14ac:dyDescent="0.3">
      <c r="A34" s="46" t="s">
        <v>115</v>
      </c>
      <c r="B34" s="50">
        <v>25</v>
      </c>
      <c r="C34" s="41">
        <v>600</v>
      </c>
      <c r="D34" s="41">
        <v>55.000000000000007</v>
      </c>
      <c r="E34" s="41">
        <v>47.5</v>
      </c>
      <c r="F34" s="41">
        <v>50</v>
      </c>
      <c r="G34" s="41">
        <v>752.5</v>
      </c>
      <c r="H34" s="42">
        <v>56678.372925000011</v>
      </c>
      <c r="I34" s="42">
        <v>0</v>
      </c>
      <c r="J34" s="42">
        <v>1559.4713656387664</v>
      </c>
      <c r="K34" s="43">
        <v>58237.844290638779</v>
      </c>
    </row>
    <row r="35" spans="1:11" ht="15.75" thickBot="1" x14ac:dyDescent="0.3">
      <c r="A35" s="51" t="s">
        <v>117</v>
      </c>
      <c r="B35" s="52">
        <f>SUM(B4:B34)</f>
        <v>2701.3</v>
      </c>
      <c r="C35" s="53">
        <f t="shared" ref="C35:K35" si="0">SUM(C4:C34)</f>
        <v>21682.679556858697</v>
      </c>
      <c r="D35" s="54">
        <f t="shared" si="0"/>
        <v>2506.8558752649265</v>
      </c>
      <c r="E35" s="54">
        <f t="shared" si="0"/>
        <v>1206.6213504359489</v>
      </c>
      <c r="F35" s="54">
        <f t="shared" si="0"/>
        <v>481.2</v>
      </c>
      <c r="G35" s="55">
        <f t="shared" si="0"/>
        <v>25899.55899999999</v>
      </c>
      <c r="H35" s="56">
        <f t="shared" si="0"/>
        <v>2684681.1424591797</v>
      </c>
      <c r="I35" s="56">
        <f t="shared" si="0"/>
        <v>0</v>
      </c>
      <c r="J35" s="56">
        <f t="shared" si="0"/>
        <v>2733812.6254992504</v>
      </c>
      <c r="K35" s="56">
        <f t="shared" si="0"/>
        <v>5418493.7679584324</v>
      </c>
    </row>
    <row r="36" spans="1:11" x14ac:dyDescent="0.25">
      <c r="A36" s="57" t="s">
        <v>119</v>
      </c>
    </row>
  </sheetData>
  <mergeCells count="2">
    <mergeCell ref="A1:K1"/>
    <mergeCell ref="A2:K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4C540-8029-44A1-AAF9-33F42A8FB32D}">
  <sheetPr>
    <tabColor theme="3" tint="0.499984740745262"/>
  </sheetPr>
  <dimension ref="A2:AR79"/>
  <sheetViews>
    <sheetView workbookViewId="0">
      <pane xSplit="1" topLeftCell="B1" activePane="topRight" state="frozen"/>
      <selection pane="topRight" activeCell="AG11" sqref="AG11"/>
    </sheetView>
  </sheetViews>
  <sheetFormatPr defaultRowHeight="13.5" x14ac:dyDescent="0.25"/>
  <cols>
    <col min="1" max="1" width="38.7109375" style="182" customWidth="1"/>
    <col min="2" max="2" width="11.140625" style="182" customWidth="1"/>
    <col min="3" max="3" width="15" style="182" customWidth="1"/>
    <col min="4" max="4" width="13.85546875" style="182" customWidth="1"/>
    <col min="5" max="5" width="14.7109375" style="182" customWidth="1"/>
    <col min="6" max="6" width="9.140625" style="182"/>
    <col min="7" max="7" width="9.85546875" style="182" customWidth="1"/>
    <col min="8" max="8" width="12" style="182" customWidth="1"/>
    <col min="9" max="9" width="15.5703125" style="182" customWidth="1"/>
    <col min="10" max="11" width="9.85546875" style="182" customWidth="1"/>
    <col min="12" max="12" width="12.140625" style="182" customWidth="1"/>
    <col min="13" max="19" width="9.140625" style="182"/>
    <col min="20" max="20" width="12.140625" style="182" customWidth="1"/>
    <col min="21" max="26" width="9.140625" style="182"/>
    <col min="27" max="27" width="12.42578125" style="182" bestFit="1" customWidth="1"/>
    <col min="28" max="30" width="9.140625" style="182"/>
    <col min="31" max="31" width="12.5703125" style="182" customWidth="1"/>
    <col min="32" max="32" width="9.140625" style="182"/>
    <col min="33" max="33" width="17.140625" style="182" customWidth="1"/>
    <col min="34" max="34" width="6" style="182" hidden="1" customWidth="1"/>
    <col min="35" max="35" width="10.5703125" style="182" customWidth="1"/>
    <col min="36" max="36" width="14.7109375" style="182" customWidth="1"/>
    <col min="37" max="37" width="5" style="182" hidden="1" customWidth="1"/>
    <col min="38" max="38" width="16" style="182" customWidth="1"/>
    <col min="39" max="39" width="9.140625" style="182"/>
    <col min="40" max="40" width="23.7109375" style="182" hidden="1" customWidth="1"/>
    <col min="41" max="41" width="13.28515625" style="182" hidden="1" customWidth="1"/>
    <col min="42" max="42" width="11.7109375" style="182" hidden="1" customWidth="1"/>
    <col min="43" max="43" width="13.140625" style="182" hidden="1" customWidth="1"/>
    <col min="44" max="44" width="15.28515625" style="182" hidden="1" customWidth="1"/>
    <col min="45" max="16384" width="9.140625" style="182"/>
  </cols>
  <sheetData>
    <row r="2" spans="1:44" hidden="1" x14ac:dyDescent="0.25">
      <c r="F2" s="183" t="s">
        <v>233</v>
      </c>
      <c r="G2" s="182">
        <v>1.1245762711864407</v>
      </c>
    </row>
    <row r="4" spans="1:44" ht="33.75" x14ac:dyDescent="0.25">
      <c r="G4" s="1" t="s">
        <v>234</v>
      </c>
      <c r="H4" s="1" t="s">
        <v>235</v>
      </c>
      <c r="I4" s="1" t="s">
        <v>236</v>
      </c>
      <c r="J4" s="1" t="s">
        <v>237</v>
      </c>
      <c r="K4" s="1" t="s">
        <v>238</v>
      </c>
    </row>
    <row r="5" spans="1:44" x14ac:dyDescent="0.25">
      <c r="F5" s="183" t="s">
        <v>239</v>
      </c>
      <c r="G5" s="184">
        <v>49.49</v>
      </c>
      <c r="H5" s="184">
        <v>81.44</v>
      </c>
      <c r="I5" s="184">
        <v>93.71</v>
      </c>
      <c r="J5" s="184">
        <v>87.5</v>
      </c>
      <c r="K5" s="184">
        <v>104.35</v>
      </c>
    </row>
    <row r="6" spans="1:44" x14ac:dyDescent="0.25">
      <c r="F6" s="183" t="s">
        <v>240</v>
      </c>
      <c r="G6" s="184">
        <f>G5*1.613</f>
        <v>79.827370000000002</v>
      </c>
      <c r="H6" s="184">
        <f>H5*1.612</f>
        <v>131.28128000000001</v>
      </c>
      <c r="I6" s="184">
        <f>I5*1.613</f>
        <v>151.15422999999998</v>
      </c>
      <c r="J6" s="184">
        <f>J5*1.613</f>
        <v>141.13749999999999</v>
      </c>
      <c r="K6" s="184">
        <f>K5*1.6</f>
        <v>166.96</v>
      </c>
    </row>
    <row r="8" spans="1:44" x14ac:dyDescent="0.25">
      <c r="G8" s="185" t="s">
        <v>295</v>
      </c>
      <c r="N8" s="185" t="s">
        <v>296</v>
      </c>
      <c r="U8" s="182" t="s">
        <v>294</v>
      </c>
      <c r="AA8" s="182" t="s">
        <v>306</v>
      </c>
      <c r="AG8" s="185" t="s">
        <v>302</v>
      </c>
      <c r="AN8" s="185" t="s">
        <v>241</v>
      </c>
    </row>
    <row r="9" spans="1:44" ht="13.5" customHeight="1" x14ac:dyDescent="0.25">
      <c r="G9" s="182" t="s">
        <v>297</v>
      </c>
      <c r="N9" s="182" t="s">
        <v>298</v>
      </c>
    </row>
    <row r="10" spans="1:44" ht="45" x14ac:dyDescent="0.25">
      <c r="A10" s="1" t="s">
        <v>242</v>
      </c>
      <c r="B10" s="1" t="s">
        <v>243</v>
      </c>
      <c r="C10" s="1" t="s">
        <v>299</v>
      </c>
      <c r="D10" s="1" t="s">
        <v>300</v>
      </c>
      <c r="E10" s="1" t="s">
        <v>244</v>
      </c>
      <c r="G10" s="1" t="s">
        <v>245</v>
      </c>
      <c r="H10" s="1" t="s">
        <v>246</v>
      </c>
      <c r="I10" s="1" t="s">
        <v>247</v>
      </c>
      <c r="J10" s="1" t="s">
        <v>248</v>
      </c>
      <c r="K10" s="1" t="s">
        <v>249</v>
      </c>
      <c r="L10" s="1" t="s">
        <v>250</v>
      </c>
      <c r="N10" s="1" t="s">
        <v>245</v>
      </c>
      <c r="O10" s="1" t="s">
        <v>246</v>
      </c>
      <c r="P10" s="1" t="s">
        <v>247</v>
      </c>
      <c r="Q10" s="1" t="s">
        <v>248</v>
      </c>
      <c r="R10" s="1" t="s">
        <v>249</v>
      </c>
      <c r="S10" s="1" t="s">
        <v>250</v>
      </c>
      <c r="U10" s="1" t="s">
        <v>245</v>
      </c>
      <c r="V10" s="1" t="s">
        <v>246</v>
      </c>
      <c r="W10" s="1" t="s">
        <v>247</v>
      </c>
      <c r="X10" s="1" t="s">
        <v>248</v>
      </c>
      <c r="Y10" s="1" t="s">
        <v>249</v>
      </c>
      <c r="AA10" s="1" t="s">
        <v>285</v>
      </c>
      <c r="AB10" s="1" t="s">
        <v>286</v>
      </c>
      <c r="AC10" s="1" t="s">
        <v>287</v>
      </c>
      <c r="AD10" s="1" t="s">
        <v>288</v>
      </c>
      <c r="AE10" s="1" t="s">
        <v>289</v>
      </c>
      <c r="AG10" s="1" t="s">
        <v>251</v>
      </c>
      <c r="AI10" s="187" t="s">
        <v>252</v>
      </c>
      <c r="AJ10" s="187" t="s">
        <v>253</v>
      </c>
      <c r="AL10" s="187" t="s">
        <v>254</v>
      </c>
      <c r="AN10" s="186" t="s">
        <v>242</v>
      </c>
      <c r="AO10" s="186" t="s">
        <v>255</v>
      </c>
      <c r="AP10" s="186" t="s">
        <v>256</v>
      </c>
      <c r="AQ10" s="186" t="s">
        <v>257</v>
      </c>
      <c r="AR10" s="188" t="s">
        <v>258</v>
      </c>
    </row>
    <row r="11" spans="1:44" ht="15.75" x14ac:dyDescent="0.25">
      <c r="A11" s="189" t="s">
        <v>259</v>
      </c>
      <c r="B11" s="190">
        <v>445</v>
      </c>
      <c r="C11" s="190">
        <v>40</v>
      </c>
      <c r="D11" s="190">
        <v>269</v>
      </c>
      <c r="E11" s="191">
        <f t="shared" ref="E11:E21" si="0">SUM(B11:D11)</f>
        <v>754</v>
      </c>
      <c r="G11" s="192">
        <v>12.1</v>
      </c>
      <c r="H11" s="182">
        <v>251.4</v>
      </c>
      <c r="I11" s="182">
        <v>24.2</v>
      </c>
      <c r="J11" s="182">
        <v>10.6</v>
      </c>
      <c r="K11" s="182">
        <v>2</v>
      </c>
      <c r="L11" s="193">
        <v>182</v>
      </c>
      <c r="N11" s="225">
        <v>1657.7467752849002</v>
      </c>
      <c r="O11" s="225">
        <v>296.77552706552706</v>
      </c>
      <c r="P11" s="225">
        <v>29.67755270655271</v>
      </c>
      <c r="Q11" s="225">
        <v>11.008648148148149</v>
      </c>
      <c r="R11" s="225">
        <v>0</v>
      </c>
      <c r="S11" s="250">
        <v>4721.5978791765738</v>
      </c>
      <c r="U11" s="249">
        <f t="shared" ref="U11:Y20" si="1">SUM(G11,N11)</f>
        <v>1669.8467752849001</v>
      </c>
      <c r="V11" s="249">
        <f t="shared" si="1"/>
        <v>548.17552706552704</v>
      </c>
      <c r="W11" s="249">
        <f t="shared" si="1"/>
        <v>53.877552706552706</v>
      </c>
      <c r="X11" s="249">
        <f t="shared" si="1"/>
        <v>21.608648148148148</v>
      </c>
      <c r="Y11" s="249">
        <f t="shared" si="1"/>
        <v>2</v>
      </c>
      <c r="AA11" s="212">
        <f>U11*$E11</f>
        <v>1259064.4685648147</v>
      </c>
      <c r="AB11" s="212">
        <f t="shared" ref="AB11:AB20" si="2">V11*$E11</f>
        <v>413324.34740740736</v>
      </c>
      <c r="AC11" s="212">
        <f t="shared" ref="AC11:AC20" si="3">W11*$E11</f>
        <v>40623.674740740738</v>
      </c>
      <c r="AD11" s="212">
        <f t="shared" ref="AD11:AD20" si="4">X11*$E11</f>
        <v>16292.920703703703</v>
      </c>
      <c r="AE11" s="212">
        <f t="shared" ref="AE11:AE20" si="5">Y11*$E11</f>
        <v>1508</v>
      </c>
      <c r="AG11" s="251">
        <f>SUMPRODUCT($G$6:$K$6,$U11:$Y11)*$E11</f>
        <v>163461312.61981207</v>
      </c>
      <c r="AH11" s="251"/>
      <c r="AI11" s="251">
        <f t="shared" ref="AI11:AI20" si="6">(L11+S11)*$G$2</f>
        <v>5514.4698183621294</v>
      </c>
      <c r="AJ11" s="251">
        <f t="shared" ref="AJ11:AJ20" si="7">AI11*E11</f>
        <v>4157910.2430450455</v>
      </c>
      <c r="AK11" s="251"/>
      <c r="AL11" s="251">
        <f t="shared" ref="AL11:AL21" si="8">SUM(AG11,AJ11)</f>
        <v>167619222.8628571</v>
      </c>
      <c r="AN11" s="194" t="s">
        <v>259</v>
      </c>
      <c r="AO11" s="195">
        <f t="shared" ref="AO11:AO20" si="9">SUMPRODUCT($G$6:$K$6,$U11:$Y11)</f>
        <v>216792.19180346429</v>
      </c>
      <c r="AP11" s="195">
        <f t="shared" ref="AP11:AP20" si="10">AI11</f>
        <v>5514.4698183621294</v>
      </c>
      <c r="AQ11" s="195">
        <f t="shared" ref="AQ11:AQ20" si="11">AO11+AP11</f>
        <v>222306.66162182641</v>
      </c>
      <c r="AR11" s="196">
        <f t="shared" ref="AR11:AR21" si="12">AL11/E11</f>
        <v>222306.66162182641</v>
      </c>
    </row>
    <row r="12" spans="1:44" ht="15.75" x14ac:dyDescent="0.25">
      <c r="A12" s="189" t="s">
        <v>260</v>
      </c>
      <c r="B12" s="190">
        <v>109</v>
      </c>
      <c r="C12" s="190">
        <v>7</v>
      </c>
      <c r="D12" s="190">
        <v>0</v>
      </c>
      <c r="E12" s="191">
        <f t="shared" si="0"/>
        <v>116</v>
      </c>
      <c r="G12" s="192">
        <v>2</v>
      </c>
      <c r="H12" s="182">
        <v>25.5</v>
      </c>
      <c r="I12" s="182">
        <v>2.6</v>
      </c>
      <c r="J12" s="182">
        <v>0.3</v>
      </c>
      <c r="K12" s="182">
        <v>2</v>
      </c>
      <c r="L12" s="193">
        <v>55</v>
      </c>
      <c r="N12" s="225">
        <v>0</v>
      </c>
      <c r="O12" s="225">
        <v>0.20895522388059701</v>
      </c>
      <c r="P12" s="225">
        <v>2.0895522388059702E-2</v>
      </c>
      <c r="Q12" s="225">
        <v>1.0447761194029851E-2</v>
      </c>
      <c r="R12" s="225">
        <v>0</v>
      </c>
      <c r="S12" s="250">
        <v>0</v>
      </c>
      <c r="U12" s="249">
        <f t="shared" si="1"/>
        <v>2</v>
      </c>
      <c r="V12" s="249">
        <f t="shared" si="1"/>
        <v>25.708955223880597</v>
      </c>
      <c r="W12" s="249">
        <f t="shared" si="1"/>
        <v>2.6208955223880599</v>
      </c>
      <c r="X12" s="249">
        <f t="shared" si="1"/>
        <v>0.31044776119402984</v>
      </c>
      <c r="Y12" s="249">
        <f t="shared" si="1"/>
        <v>2</v>
      </c>
      <c r="AA12" s="212">
        <f t="shared" ref="AA12:AA20" si="13">U12*$E12</f>
        <v>232</v>
      </c>
      <c r="AB12" s="212">
        <f t="shared" si="2"/>
        <v>2982.2388059701493</v>
      </c>
      <c r="AC12" s="212">
        <f t="shared" si="3"/>
        <v>304.02388059701497</v>
      </c>
      <c r="AD12" s="212">
        <f t="shared" si="4"/>
        <v>36.011940298507461</v>
      </c>
      <c r="AE12" s="212">
        <f t="shared" si="5"/>
        <v>232</v>
      </c>
      <c r="AG12" s="251">
        <f t="shared" ref="AG12:AG20" si="14">SUMPRODUCT($G$6:$K$6,$U12:$Y12)*$E12</f>
        <v>499803.92835056712</v>
      </c>
      <c r="AH12" s="251"/>
      <c r="AI12" s="251">
        <f t="shared" si="6"/>
        <v>61.851694915254235</v>
      </c>
      <c r="AJ12" s="251">
        <f t="shared" si="7"/>
        <v>7174.796610169491</v>
      </c>
      <c r="AK12" s="251"/>
      <c r="AL12" s="251">
        <f t="shared" si="8"/>
        <v>506978.72496073658</v>
      </c>
      <c r="AN12" s="194" t="s">
        <v>260</v>
      </c>
      <c r="AO12" s="195">
        <f t="shared" si="9"/>
        <v>4308.6545547462683</v>
      </c>
      <c r="AP12" s="195">
        <f t="shared" si="10"/>
        <v>61.851694915254235</v>
      </c>
      <c r="AQ12" s="195">
        <f t="shared" si="11"/>
        <v>4370.5062496615228</v>
      </c>
      <c r="AR12" s="196">
        <f t="shared" si="12"/>
        <v>4370.5062496615219</v>
      </c>
    </row>
    <row r="13" spans="1:44" ht="15.75" x14ac:dyDescent="0.25">
      <c r="A13" s="189" t="s">
        <v>261</v>
      </c>
      <c r="B13" s="190">
        <v>349</v>
      </c>
      <c r="C13" s="190">
        <v>0</v>
      </c>
      <c r="D13" s="190">
        <v>0</v>
      </c>
      <c r="E13" s="191">
        <f t="shared" si="0"/>
        <v>349</v>
      </c>
      <c r="G13" s="192">
        <v>4.7</v>
      </c>
      <c r="H13" s="182">
        <v>82.2</v>
      </c>
      <c r="I13" s="182">
        <v>7.3</v>
      </c>
      <c r="J13" s="182">
        <v>2.2000000000000002</v>
      </c>
      <c r="K13" s="182">
        <v>2</v>
      </c>
      <c r="L13" s="193">
        <v>203</v>
      </c>
      <c r="N13" s="225">
        <v>227.70143120960293</v>
      </c>
      <c r="O13" s="225">
        <v>87.717174515235456</v>
      </c>
      <c r="P13" s="225">
        <v>8.7717174515235463</v>
      </c>
      <c r="Q13" s="225">
        <v>2.6207617728531858</v>
      </c>
      <c r="R13" s="225">
        <v>0</v>
      </c>
      <c r="S13" s="250">
        <v>3656.2856763833083</v>
      </c>
      <c r="U13" s="249">
        <f t="shared" si="1"/>
        <v>232.40143120960292</v>
      </c>
      <c r="V13" s="249">
        <f t="shared" si="1"/>
        <v>169.91717451523544</v>
      </c>
      <c r="W13" s="249">
        <f t="shared" si="1"/>
        <v>16.071717451523547</v>
      </c>
      <c r="X13" s="249">
        <f t="shared" si="1"/>
        <v>4.820761772853186</v>
      </c>
      <c r="Y13" s="249">
        <f t="shared" si="1"/>
        <v>2</v>
      </c>
      <c r="AA13" s="212">
        <f t="shared" si="13"/>
        <v>81108.099492151421</v>
      </c>
      <c r="AB13" s="212">
        <f t="shared" si="2"/>
        <v>59301.093905817172</v>
      </c>
      <c r="AC13" s="212">
        <f t="shared" si="3"/>
        <v>5609.029390581718</v>
      </c>
      <c r="AD13" s="212">
        <f t="shared" si="4"/>
        <v>1682.4458587257618</v>
      </c>
      <c r="AE13" s="212">
        <f t="shared" si="5"/>
        <v>698</v>
      </c>
      <c r="AG13" s="251">
        <f t="shared" si="14"/>
        <v>15461592.582479317</v>
      </c>
      <c r="AH13" s="251"/>
      <c r="AI13" s="251">
        <f t="shared" si="6"/>
        <v>4340.0610953903815</v>
      </c>
      <c r="AJ13" s="251">
        <f t="shared" si="7"/>
        <v>1514681.3222912431</v>
      </c>
      <c r="AK13" s="251"/>
      <c r="AL13" s="251">
        <f t="shared" si="8"/>
        <v>16976273.904770561</v>
      </c>
      <c r="AN13" s="194" t="s">
        <v>261</v>
      </c>
      <c r="AO13" s="195">
        <f t="shared" si="9"/>
        <v>44302.55754292068</v>
      </c>
      <c r="AP13" s="195">
        <f t="shared" si="10"/>
        <v>4340.0610953903815</v>
      </c>
      <c r="AQ13" s="195">
        <f t="shared" si="11"/>
        <v>48642.618638311062</v>
      </c>
      <c r="AR13" s="196">
        <f t="shared" si="12"/>
        <v>48642.618638311062</v>
      </c>
    </row>
    <row r="14" spans="1:44" ht="15.75" x14ac:dyDescent="0.25">
      <c r="A14" s="189" t="s">
        <v>262</v>
      </c>
      <c r="B14" s="190">
        <v>445</v>
      </c>
      <c r="C14" s="190">
        <v>0</v>
      </c>
      <c r="D14" s="190">
        <v>53</v>
      </c>
      <c r="E14" s="191">
        <f t="shared" si="0"/>
        <v>498</v>
      </c>
      <c r="G14" s="192">
        <v>3.1</v>
      </c>
      <c r="H14" s="182">
        <v>58.2</v>
      </c>
      <c r="I14" s="182">
        <v>4.9000000000000004</v>
      </c>
      <c r="J14" s="182">
        <v>1</v>
      </c>
      <c r="K14" s="182">
        <v>2</v>
      </c>
      <c r="L14" s="193">
        <v>23648</v>
      </c>
      <c r="N14" s="225">
        <v>121.29815747757571</v>
      </c>
      <c r="O14" s="225">
        <v>93.287389944998637</v>
      </c>
      <c r="P14" s="225">
        <v>9.3287389944998669</v>
      </c>
      <c r="Q14" s="225">
        <v>4.6643694972499334</v>
      </c>
      <c r="R14" s="225">
        <v>0</v>
      </c>
      <c r="S14" s="250">
        <v>2640.5791522435106</v>
      </c>
      <c r="U14" s="249">
        <f t="shared" si="1"/>
        <v>124.39815747757571</v>
      </c>
      <c r="V14" s="249">
        <f t="shared" si="1"/>
        <v>151.48738994499865</v>
      </c>
      <c r="W14" s="249">
        <f t="shared" si="1"/>
        <v>14.228738994499867</v>
      </c>
      <c r="X14" s="249">
        <f t="shared" si="1"/>
        <v>5.6643694972499334</v>
      </c>
      <c r="Y14" s="249">
        <f t="shared" si="1"/>
        <v>2</v>
      </c>
      <c r="AA14" s="212">
        <f t="shared" si="13"/>
        <v>61950.282423832701</v>
      </c>
      <c r="AB14" s="212">
        <f t="shared" si="2"/>
        <v>75440.720192609326</v>
      </c>
      <c r="AC14" s="212">
        <f t="shared" si="3"/>
        <v>7085.9120192609334</v>
      </c>
      <c r="AD14" s="212">
        <f t="shared" si="4"/>
        <v>2820.8560096304668</v>
      </c>
      <c r="AE14" s="212">
        <f t="shared" si="5"/>
        <v>996</v>
      </c>
      <c r="AG14" s="251">
        <f t="shared" si="14"/>
        <v>16484768.727837741</v>
      </c>
      <c r="AH14" s="251"/>
      <c r="AI14" s="251">
        <f t="shared" si="6"/>
        <v>29563.512317819608</v>
      </c>
      <c r="AJ14" s="251">
        <f t="shared" si="7"/>
        <v>14722629.134274164</v>
      </c>
      <c r="AK14" s="251"/>
      <c r="AL14" s="251">
        <f t="shared" si="8"/>
        <v>31207397.862111904</v>
      </c>
      <c r="AN14" s="194" t="s">
        <v>262</v>
      </c>
      <c r="AO14" s="195">
        <f t="shared" si="9"/>
        <v>33101.94523662197</v>
      </c>
      <c r="AP14" s="195">
        <f t="shared" si="10"/>
        <v>29563.512317819608</v>
      </c>
      <c r="AQ14" s="195">
        <f t="shared" si="11"/>
        <v>62665.457554441578</v>
      </c>
      <c r="AR14" s="196">
        <f t="shared" si="12"/>
        <v>62665.457554441571</v>
      </c>
    </row>
    <row r="15" spans="1:44" ht="15.75" x14ac:dyDescent="0.25">
      <c r="A15" s="189" t="s">
        <v>263</v>
      </c>
      <c r="B15" s="190">
        <v>653</v>
      </c>
      <c r="C15" s="190">
        <v>130</v>
      </c>
      <c r="D15" s="190">
        <v>234</v>
      </c>
      <c r="E15" s="191">
        <f t="shared" si="0"/>
        <v>1017</v>
      </c>
      <c r="G15" s="192">
        <v>3</v>
      </c>
      <c r="H15" s="182">
        <v>58.6</v>
      </c>
      <c r="I15" s="182">
        <v>5</v>
      </c>
      <c r="J15" s="182">
        <v>1</v>
      </c>
      <c r="K15" s="182">
        <v>2</v>
      </c>
      <c r="L15" s="193">
        <v>16305</v>
      </c>
      <c r="N15" s="225">
        <v>9.0125776397515533</v>
      </c>
      <c r="O15" s="225">
        <v>11.210559006211179</v>
      </c>
      <c r="P15" s="225">
        <v>1.121055900621118</v>
      </c>
      <c r="Q15" s="225">
        <v>0.56052795031055902</v>
      </c>
      <c r="R15" s="225">
        <v>0</v>
      </c>
      <c r="S15" s="250">
        <v>1555.4547121122596</v>
      </c>
      <c r="U15" s="249">
        <f t="shared" si="1"/>
        <v>12.012577639751553</v>
      </c>
      <c r="V15" s="249">
        <f t="shared" si="1"/>
        <v>69.810559006211179</v>
      </c>
      <c r="W15" s="249">
        <f t="shared" si="1"/>
        <v>6.1210559006211183</v>
      </c>
      <c r="X15" s="249">
        <f t="shared" si="1"/>
        <v>1.5605279503105591</v>
      </c>
      <c r="Y15" s="249">
        <f t="shared" si="1"/>
        <v>2</v>
      </c>
      <c r="AA15" s="212">
        <f t="shared" si="13"/>
        <v>12216.791459627329</v>
      </c>
      <c r="AB15" s="212">
        <f t="shared" si="2"/>
        <v>70997.338509316774</v>
      </c>
      <c r="AC15" s="212">
        <f t="shared" si="3"/>
        <v>6225.113850931677</v>
      </c>
      <c r="AD15" s="212">
        <f t="shared" si="4"/>
        <v>1587.0569254658387</v>
      </c>
      <c r="AE15" s="212">
        <f t="shared" si="5"/>
        <v>2034</v>
      </c>
      <c r="AG15" s="251">
        <f t="shared" si="14"/>
        <v>11800397.985774755</v>
      </c>
      <c r="AH15" s="251"/>
      <c r="AI15" s="251">
        <f t="shared" si="6"/>
        <v>20085.443561841497</v>
      </c>
      <c r="AJ15" s="251">
        <f t="shared" si="7"/>
        <v>20426896.102392804</v>
      </c>
      <c r="AK15" s="251"/>
      <c r="AL15" s="251">
        <f t="shared" si="8"/>
        <v>32227294.088167559</v>
      </c>
      <c r="AN15" s="194" t="s">
        <v>263</v>
      </c>
      <c r="AO15" s="195">
        <f t="shared" si="9"/>
        <v>11603.144528785404</v>
      </c>
      <c r="AP15" s="195">
        <f t="shared" si="10"/>
        <v>20085.443561841497</v>
      </c>
      <c r="AQ15" s="195">
        <f t="shared" si="11"/>
        <v>31688.588090626901</v>
      </c>
      <c r="AR15" s="196">
        <f t="shared" si="12"/>
        <v>31688.588090626901</v>
      </c>
    </row>
    <row r="16" spans="1:44" ht="15.75" x14ac:dyDescent="0.25">
      <c r="A16" s="189" t="s">
        <v>264</v>
      </c>
      <c r="B16" s="190">
        <v>42</v>
      </c>
      <c r="C16" s="190">
        <v>1</v>
      </c>
      <c r="D16" s="190">
        <v>3</v>
      </c>
      <c r="E16" s="191">
        <f t="shared" si="0"/>
        <v>46</v>
      </c>
      <c r="G16" s="192">
        <v>3</v>
      </c>
      <c r="H16" s="182">
        <v>53</v>
      </c>
      <c r="I16" s="182">
        <v>4.4000000000000004</v>
      </c>
      <c r="J16" s="182">
        <v>0.7</v>
      </c>
      <c r="K16" s="182">
        <v>2</v>
      </c>
      <c r="L16" s="193">
        <v>55</v>
      </c>
      <c r="N16" s="225">
        <v>5.9234693877551017</v>
      </c>
      <c r="O16" s="225">
        <v>6.0816326530612246</v>
      </c>
      <c r="P16" s="225">
        <v>0.60816326530612241</v>
      </c>
      <c r="Q16" s="225">
        <v>0.30408163265306121</v>
      </c>
      <c r="R16" s="225">
        <v>0</v>
      </c>
      <c r="S16" s="250">
        <v>0</v>
      </c>
      <c r="U16" s="249">
        <f t="shared" si="1"/>
        <v>8.9234693877551017</v>
      </c>
      <c r="V16" s="249">
        <f t="shared" si="1"/>
        <v>59.081632653061227</v>
      </c>
      <c r="W16" s="249">
        <f t="shared" si="1"/>
        <v>5.0081632653061225</v>
      </c>
      <c r="X16" s="249">
        <f t="shared" si="1"/>
        <v>1.0040816326530613</v>
      </c>
      <c r="Y16" s="249">
        <f t="shared" si="1"/>
        <v>2</v>
      </c>
      <c r="AA16" s="212">
        <f t="shared" si="13"/>
        <v>410.4795918367347</v>
      </c>
      <c r="AB16" s="212">
        <f t="shared" si="2"/>
        <v>2717.7551020408164</v>
      </c>
      <c r="AC16" s="212">
        <f t="shared" si="3"/>
        <v>230.37551020408165</v>
      </c>
      <c r="AD16" s="212">
        <f t="shared" si="4"/>
        <v>46.187755102040818</v>
      </c>
      <c r="AE16" s="212">
        <f t="shared" si="5"/>
        <v>92</v>
      </c>
      <c r="AG16" s="251">
        <f t="shared" si="14"/>
        <v>446259.25191891851</v>
      </c>
      <c r="AH16" s="251"/>
      <c r="AI16" s="251">
        <f t="shared" si="6"/>
        <v>61.851694915254235</v>
      </c>
      <c r="AJ16" s="251">
        <f t="shared" si="7"/>
        <v>2845.1779661016949</v>
      </c>
      <c r="AK16" s="251"/>
      <c r="AL16" s="251">
        <f t="shared" si="8"/>
        <v>449104.42988502019</v>
      </c>
      <c r="AN16" s="194" t="s">
        <v>264</v>
      </c>
      <c r="AO16" s="195">
        <f t="shared" si="9"/>
        <v>9701.2880851938808</v>
      </c>
      <c r="AP16" s="195">
        <f t="shared" si="10"/>
        <v>61.851694915254235</v>
      </c>
      <c r="AQ16" s="195">
        <f t="shared" si="11"/>
        <v>9763.1397801091352</v>
      </c>
      <c r="AR16" s="196">
        <f t="shared" si="12"/>
        <v>9763.1397801091352</v>
      </c>
    </row>
    <row r="17" spans="1:44" ht="15.75" x14ac:dyDescent="0.25">
      <c r="A17" s="189" t="s">
        <v>265</v>
      </c>
      <c r="B17" s="190">
        <v>51</v>
      </c>
      <c r="C17" s="190">
        <v>9</v>
      </c>
      <c r="D17" s="190">
        <v>7</v>
      </c>
      <c r="E17" s="191">
        <f t="shared" si="0"/>
        <v>67</v>
      </c>
      <c r="G17" s="192">
        <v>3.4</v>
      </c>
      <c r="H17" s="182">
        <v>54.9</v>
      </c>
      <c r="I17" s="182">
        <v>4.5999999999999996</v>
      </c>
      <c r="J17" s="182">
        <v>0.8</v>
      </c>
      <c r="K17" s="182">
        <v>2</v>
      </c>
      <c r="L17" s="193">
        <v>30536</v>
      </c>
      <c r="N17" s="225">
        <v>17.449038461538461</v>
      </c>
      <c r="O17" s="225">
        <v>18.640593403515826</v>
      </c>
      <c r="P17" s="225">
        <v>1.8640593403515828</v>
      </c>
      <c r="Q17" s="225">
        <v>0.93202967017579141</v>
      </c>
      <c r="R17" s="225">
        <v>0</v>
      </c>
      <c r="S17" s="250">
        <v>1870.8027330765892</v>
      </c>
      <c r="U17" s="249">
        <f t="shared" si="1"/>
        <v>20.849038461538459</v>
      </c>
      <c r="V17" s="249">
        <f t="shared" si="1"/>
        <v>73.540593403515828</v>
      </c>
      <c r="W17" s="249">
        <f t="shared" si="1"/>
        <v>6.4640593403515823</v>
      </c>
      <c r="X17" s="249">
        <f t="shared" si="1"/>
        <v>1.7320296701757916</v>
      </c>
      <c r="Y17" s="249">
        <f t="shared" si="1"/>
        <v>2</v>
      </c>
      <c r="AA17" s="212">
        <f t="shared" si="13"/>
        <v>1396.8855769230768</v>
      </c>
      <c r="AB17" s="212">
        <f t="shared" si="2"/>
        <v>4927.2197580355605</v>
      </c>
      <c r="AC17" s="212">
        <f t="shared" si="3"/>
        <v>433.09197580355601</v>
      </c>
      <c r="AD17" s="212">
        <f t="shared" si="4"/>
        <v>116.04598790177803</v>
      </c>
      <c r="AE17" s="212">
        <f t="shared" si="5"/>
        <v>134</v>
      </c>
      <c r="AG17" s="251">
        <f t="shared" si="14"/>
        <v>862576.18321215303</v>
      </c>
      <c r="AH17" s="251"/>
      <c r="AI17" s="251">
        <f t="shared" si="6"/>
        <v>36443.921378637824</v>
      </c>
      <c r="AJ17" s="251">
        <f t="shared" si="7"/>
        <v>2441742.7323687342</v>
      </c>
      <c r="AK17" s="251"/>
      <c r="AL17" s="251">
        <f t="shared" si="8"/>
        <v>3304318.9155808873</v>
      </c>
      <c r="AN17" s="194" t="s">
        <v>265</v>
      </c>
      <c r="AO17" s="195">
        <f t="shared" si="9"/>
        <v>12874.271391226164</v>
      </c>
      <c r="AP17" s="195">
        <f t="shared" si="10"/>
        <v>36443.921378637824</v>
      </c>
      <c r="AQ17" s="195">
        <f t="shared" si="11"/>
        <v>49318.192769863992</v>
      </c>
      <c r="AR17" s="196">
        <f t="shared" si="12"/>
        <v>49318.192769863992</v>
      </c>
    </row>
    <row r="18" spans="1:44" ht="15.75" x14ac:dyDescent="0.25">
      <c r="A18" s="189" t="s">
        <v>266</v>
      </c>
      <c r="B18" s="190">
        <v>13</v>
      </c>
      <c r="C18" s="190">
        <v>0</v>
      </c>
      <c r="D18" s="190">
        <v>0</v>
      </c>
      <c r="E18" s="191">
        <f t="shared" si="0"/>
        <v>13</v>
      </c>
      <c r="G18" s="192">
        <v>3.5</v>
      </c>
      <c r="H18" s="182">
        <v>56</v>
      </c>
      <c r="I18" s="182">
        <v>4.7</v>
      </c>
      <c r="J18" s="182">
        <v>0.9</v>
      </c>
      <c r="K18" s="182">
        <v>2</v>
      </c>
      <c r="L18" s="193">
        <v>21640</v>
      </c>
      <c r="N18" s="225">
        <v>34.909090909090907</v>
      </c>
      <c r="O18" s="225">
        <v>14.143939393939394</v>
      </c>
      <c r="P18" s="225">
        <v>1.4143939393939398</v>
      </c>
      <c r="Q18" s="225">
        <v>0.70719696969696988</v>
      </c>
      <c r="R18" s="225">
        <v>0</v>
      </c>
      <c r="S18" s="250">
        <v>2395.45682749757</v>
      </c>
      <c r="U18" s="249">
        <f t="shared" si="1"/>
        <v>38.409090909090907</v>
      </c>
      <c r="V18" s="249">
        <f t="shared" si="1"/>
        <v>70.143939393939391</v>
      </c>
      <c r="W18" s="249">
        <f t="shared" si="1"/>
        <v>6.1143939393939402</v>
      </c>
      <c r="X18" s="249">
        <f t="shared" si="1"/>
        <v>1.6071969696969699</v>
      </c>
      <c r="Y18" s="249">
        <f t="shared" si="1"/>
        <v>2</v>
      </c>
      <c r="AA18" s="212">
        <f t="shared" si="13"/>
        <v>499.31818181818176</v>
      </c>
      <c r="AB18" s="212">
        <f t="shared" si="2"/>
        <v>911.87121212121212</v>
      </c>
      <c r="AC18" s="212">
        <f t="shared" si="3"/>
        <v>79.487121212121224</v>
      </c>
      <c r="AD18" s="212">
        <f t="shared" si="4"/>
        <v>20.89356060606061</v>
      </c>
      <c r="AE18" s="212">
        <f t="shared" si="5"/>
        <v>26</v>
      </c>
      <c r="AG18" s="251">
        <f t="shared" si="14"/>
        <v>178875.51668192423</v>
      </c>
      <c r="AH18" s="251"/>
      <c r="AI18" s="251">
        <f t="shared" si="6"/>
        <v>27029.704415329892</v>
      </c>
      <c r="AJ18" s="251">
        <f t="shared" si="7"/>
        <v>351386.15739928861</v>
      </c>
      <c r="AK18" s="251"/>
      <c r="AL18" s="251">
        <f t="shared" si="8"/>
        <v>530261.67408121284</v>
      </c>
      <c r="AN18" s="194" t="s">
        <v>266</v>
      </c>
      <c r="AO18" s="195">
        <f t="shared" si="9"/>
        <v>13759.655129378787</v>
      </c>
      <c r="AP18" s="195">
        <f t="shared" si="10"/>
        <v>27029.704415329892</v>
      </c>
      <c r="AQ18" s="195">
        <f t="shared" si="11"/>
        <v>40789.359544708677</v>
      </c>
      <c r="AR18" s="196">
        <f t="shared" si="12"/>
        <v>40789.359544708677</v>
      </c>
    </row>
    <row r="19" spans="1:44" ht="15.75" x14ac:dyDescent="0.25">
      <c r="A19" s="189" t="s">
        <v>267</v>
      </c>
      <c r="B19" s="190">
        <v>6</v>
      </c>
      <c r="C19" s="190">
        <v>1</v>
      </c>
      <c r="D19" s="190">
        <v>1</v>
      </c>
      <c r="E19" s="191">
        <f t="shared" si="0"/>
        <v>8</v>
      </c>
      <c r="G19" s="192">
        <v>3.4</v>
      </c>
      <c r="H19" s="182">
        <v>53.3</v>
      </c>
      <c r="I19" s="182">
        <v>4.4000000000000004</v>
      </c>
      <c r="J19" s="182">
        <v>0.7</v>
      </c>
      <c r="K19" s="182">
        <v>2</v>
      </c>
      <c r="L19" s="193">
        <v>6111</v>
      </c>
      <c r="N19" s="225">
        <v>0</v>
      </c>
      <c r="O19" s="225">
        <v>24.536666666666669</v>
      </c>
      <c r="P19" s="225">
        <v>2.4536666666666669</v>
      </c>
      <c r="Q19" s="225">
        <v>1.2268333333333334</v>
      </c>
      <c r="R19" s="225">
        <v>0</v>
      </c>
      <c r="S19" s="250">
        <v>2570.3097104085959</v>
      </c>
      <c r="U19" s="249">
        <f t="shared" si="1"/>
        <v>3.4</v>
      </c>
      <c r="V19" s="249">
        <f t="shared" si="1"/>
        <v>77.836666666666673</v>
      </c>
      <c r="W19" s="249">
        <f t="shared" si="1"/>
        <v>6.8536666666666672</v>
      </c>
      <c r="X19" s="249">
        <f t="shared" si="1"/>
        <v>1.9268333333333334</v>
      </c>
      <c r="Y19" s="249">
        <f t="shared" si="1"/>
        <v>2</v>
      </c>
      <c r="AA19" s="212">
        <f t="shared" si="13"/>
        <v>27.2</v>
      </c>
      <c r="AB19" s="212">
        <f t="shared" si="2"/>
        <v>622.69333333333338</v>
      </c>
      <c r="AC19" s="212">
        <f t="shared" si="3"/>
        <v>54.829333333333338</v>
      </c>
      <c r="AD19" s="212">
        <f t="shared" si="4"/>
        <v>15.414666666666667</v>
      </c>
      <c r="AE19" s="212">
        <f t="shared" si="5"/>
        <v>16</v>
      </c>
      <c r="AG19" s="251">
        <f t="shared" si="14"/>
        <v>97053.915489546678</v>
      </c>
      <c r="AH19" s="251"/>
      <c r="AI19" s="251">
        <f t="shared" si="6"/>
        <v>9762.7949031459375</v>
      </c>
      <c r="AJ19" s="251">
        <f t="shared" si="7"/>
        <v>78102.3592251675</v>
      </c>
      <c r="AK19" s="251"/>
      <c r="AL19" s="251">
        <f t="shared" si="8"/>
        <v>175156.27471471418</v>
      </c>
      <c r="AN19" s="194" t="s">
        <v>267</v>
      </c>
      <c r="AO19" s="195">
        <f t="shared" si="9"/>
        <v>12131.739436193335</v>
      </c>
      <c r="AP19" s="195">
        <f t="shared" si="10"/>
        <v>9762.7949031459375</v>
      </c>
      <c r="AQ19" s="195">
        <f t="shared" si="11"/>
        <v>21894.534339339272</v>
      </c>
      <c r="AR19" s="196">
        <f t="shared" si="12"/>
        <v>21894.534339339272</v>
      </c>
    </row>
    <row r="20" spans="1:44" ht="16.5" thickBot="1" x14ac:dyDescent="0.3">
      <c r="A20" s="189" t="s">
        <v>268</v>
      </c>
      <c r="B20" s="190">
        <v>157</v>
      </c>
      <c r="C20" s="190">
        <v>0</v>
      </c>
      <c r="D20" s="190">
        <v>0</v>
      </c>
      <c r="E20" s="191">
        <f t="shared" si="0"/>
        <v>157</v>
      </c>
      <c r="G20" s="192">
        <v>3.4</v>
      </c>
      <c r="H20" s="182">
        <v>55</v>
      </c>
      <c r="I20" s="182">
        <v>4.5999999999999996</v>
      </c>
      <c r="J20" s="182">
        <v>0.8</v>
      </c>
      <c r="K20" s="182">
        <v>2</v>
      </c>
      <c r="L20" s="193">
        <v>7091</v>
      </c>
      <c r="N20" s="225">
        <v>0</v>
      </c>
      <c r="O20" s="225">
        <v>8.2012195121951219</v>
      </c>
      <c r="P20" s="225">
        <v>0.82012195121951215</v>
      </c>
      <c r="Q20" s="225">
        <v>0.41006097560975607</v>
      </c>
      <c r="R20" s="225">
        <v>0</v>
      </c>
      <c r="S20" s="250">
        <v>0</v>
      </c>
      <c r="U20" s="249">
        <f t="shared" si="1"/>
        <v>3.4</v>
      </c>
      <c r="V20" s="249">
        <f t="shared" si="1"/>
        <v>63.201219512195124</v>
      </c>
      <c r="W20" s="249">
        <f t="shared" si="1"/>
        <v>5.420121951219512</v>
      </c>
      <c r="X20" s="249">
        <f t="shared" si="1"/>
        <v>1.210060975609756</v>
      </c>
      <c r="Y20" s="249">
        <f t="shared" si="1"/>
        <v>2</v>
      </c>
      <c r="AA20" s="212">
        <f t="shared" si="13"/>
        <v>533.79999999999995</v>
      </c>
      <c r="AB20" s="212">
        <f t="shared" si="2"/>
        <v>9922.5914634146338</v>
      </c>
      <c r="AC20" s="212">
        <f t="shared" si="3"/>
        <v>850.95914634146334</v>
      </c>
      <c r="AD20" s="212">
        <f t="shared" si="4"/>
        <v>189.9795731707317</v>
      </c>
      <c r="AE20" s="212">
        <f t="shared" si="5"/>
        <v>314</v>
      </c>
      <c r="AG20" s="251">
        <f t="shared" si="14"/>
        <v>1553127.1148752316</v>
      </c>
      <c r="AH20" s="251"/>
      <c r="AI20" s="251">
        <f t="shared" si="6"/>
        <v>7974.3703389830507</v>
      </c>
      <c r="AJ20" s="251">
        <f t="shared" si="7"/>
        <v>1251976.143220339</v>
      </c>
      <c r="AK20" s="251"/>
      <c r="AL20" s="251">
        <f t="shared" si="8"/>
        <v>2805103.2580955708</v>
      </c>
      <c r="AN20" s="194" t="s">
        <v>268</v>
      </c>
      <c r="AO20" s="195">
        <f t="shared" si="9"/>
        <v>9892.5293941097552</v>
      </c>
      <c r="AP20" s="195">
        <f t="shared" si="10"/>
        <v>7974.3703389830507</v>
      </c>
      <c r="AQ20" s="195">
        <f t="shared" si="11"/>
        <v>17866.899733092807</v>
      </c>
      <c r="AR20" s="196">
        <f t="shared" si="12"/>
        <v>17866.899733092807</v>
      </c>
    </row>
    <row r="21" spans="1:44" ht="16.5" thickBot="1" x14ac:dyDescent="0.3">
      <c r="A21" s="197" t="s">
        <v>129</v>
      </c>
      <c r="B21" s="198">
        <f>2298-53</f>
        <v>2245</v>
      </c>
      <c r="C21" s="198">
        <f>SUM(C11:C20)</f>
        <v>188</v>
      </c>
      <c r="D21" s="198">
        <f>SUM(D11:D20)</f>
        <v>567</v>
      </c>
      <c r="E21" s="199">
        <f t="shared" si="0"/>
        <v>3000</v>
      </c>
      <c r="G21" s="200"/>
      <c r="H21" s="201"/>
      <c r="I21" s="201"/>
      <c r="J21" s="201"/>
      <c r="K21" s="201"/>
      <c r="L21" s="202"/>
      <c r="N21" s="226"/>
      <c r="O21" s="226"/>
      <c r="P21" s="226"/>
      <c r="Q21" s="226"/>
      <c r="R21" s="226"/>
      <c r="S21" s="226"/>
      <c r="AE21" s="213">
        <f>SUM(AA11:AE20)</f>
        <v>2148941.5049313479</v>
      </c>
      <c r="AG21" s="252">
        <f>SUM(AG11:AG20)</f>
        <v>210845767.82643223</v>
      </c>
      <c r="AH21" s="251"/>
      <c r="AI21" s="251"/>
      <c r="AJ21" s="252">
        <f>SUM(AJ11:AJ20)</f>
        <v>44955344.168793067</v>
      </c>
      <c r="AK21" s="251"/>
      <c r="AL21" s="253">
        <f t="shared" si="8"/>
        <v>255801111.99522531</v>
      </c>
      <c r="AN21" s="203" t="s">
        <v>269</v>
      </c>
      <c r="AO21" s="204">
        <f>SUMPRODUCT($E$11:$E$20, AO$11:AO$20)/SUM($E$11:$E$20)</f>
        <v>69701.080273200743</v>
      </c>
      <c r="AP21" s="204">
        <f>SUMPRODUCT($E$11:$E$20, AP$11:AP$20)/SUM($E$11:$E$20)</f>
        <v>14861.270799601014</v>
      </c>
      <c r="AQ21" s="204">
        <f>SUMPRODUCT($E$11:$E$20, AQ$11:AQ$20)/SUM($E$11:$E$20)</f>
        <v>84562.351072801743</v>
      </c>
      <c r="AR21" s="196">
        <f t="shared" si="12"/>
        <v>85267.037331741769</v>
      </c>
    </row>
    <row r="23" spans="1:44" x14ac:dyDescent="0.25">
      <c r="A23" s="182" t="s">
        <v>270</v>
      </c>
      <c r="AR23" s="182" t="s">
        <v>271</v>
      </c>
    </row>
    <row r="24" spans="1:44" x14ac:dyDescent="0.25">
      <c r="A24" s="182" t="s">
        <v>272</v>
      </c>
    </row>
    <row r="25" spans="1:44" x14ac:dyDescent="0.25">
      <c r="A25" s="182" t="s">
        <v>273</v>
      </c>
    </row>
    <row r="30" spans="1:44" s="206" customFormat="1" ht="18.75" hidden="1" x14ac:dyDescent="0.3">
      <c r="A30" s="205" t="s">
        <v>274</v>
      </c>
      <c r="C30" s="206" t="s">
        <v>275</v>
      </c>
      <c r="D30" s="206" t="s">
        <v>276</v>
      </c>
    </row>
    <row r="31" spans="1:44" s="206" customFormat="1" hidden="1" x14ac:dyDescent="0.25">
      <c r="C31" s="206" t="s">
        <v>277</v>
      </c>
      <c r="G31" s="206" t="s">
        <v>278</v>
      </c>
    </row>
    <row r="32" spans="1:44" s="206" customFormat="1" ht="15.75" hidden="1" x14ac:dyDescent="0.25">
      <c r="A32" s="207" t="s">
        <v>242</v>
      </c>
      <c r="C32" s="206" t="s">
        <v>279</v>
      </c>
      <c r="D32" s="206" t="s">
        <v>280</v>
      </c>
      <c r="E32" s="206" t="s">
        <v>129</v>
      </c>
      <c r="G32" s="206" t="s">
        <v>281</v>
      </c>
      <c r="H32" s="206" t="s">
        <v>280</v>
      </c>
      <c r="I32" s="206" t="s">
        <v>129</v>
      </c>
    </row>
    <row r="33" spans="1:9" s="206" customFormat="1" ht="15.75" hidden="1" x14ac:dyDescent="0.25">
      <c r="A33" s="208" t="s">
        <v>259</v>
      </c>
      <c r="C33" s="206">
        <v>462</v>
      </c>
      <c r="D33" s="209">
        <v>33442.235000000001</v>
      </c>
      <c r="E33" s="209">
        <f>C33*D33</f>
        <v>15450312.57</v>
      </c>
      <c r="G33" s="206">
        <f t="shared" ref="G33:G43" si="15">B11</f>
        <v>445</v>
      </c>
      <c r="H33" s="209">
        <f t="shared" ref="H33:H42" si="16">SUMPRODUCT($G$6:$K$6,$G11:$K11)+L11*$G$2</f>
        <v>39662.607716355938</v>
      </c>
      <c r="I33" s="209">
        <f t="shared" ref="I33:I42" si="17">G33*H33</f>
        <v>17649860.433778394</v>
      </c>
    </row>
    <row r="34" spans="1:9" s="206" customFormat="1" ht="15.75" hidden="1" x14ac:dyDescent="0.25">
      <c r="A34" s="208" t="s">
        <v>260</v>
      </c>
      <c r="C34" s="206">
        <v>129</v>
      </c>
      <c r="D34" s="209">
        <v>3610.6040000000003</v>
      </c>
      <c r="E34" s="209">
        <f t="shared" ref="E34:E42" si="18">C34*D34</f>
        <v>465767.91600000003</v>
      </c>
      <c r="G34" s="206">
        <f t="shared" si="15"/>
        <v>109</v>
      </c>
      <c r="H34" s="209">
        <f t="shared" si="16"/>
        <v>4338.4413229152542</v>
      </c>
      <c r="I34" s="209">
        <f t="shared" si="17"/>
        <v>472890.10419776273</v>
      </c>
    </row>
    <row r="35" spans="1:9" s="206" customFormat="1" ht="15.75" hidden="1" x14ac:dyDescent="0.25">
      <c r="A35" s="208" t="s">
        <v>261</v>
      </c>
      <c r="C35" s="206">
        <v>365</v>
      </c>
      <c r="D35" s="209">
        <v>11047.467000000001</v>
      </c>
      <c r="E35" s="209">
        <f t="shared" si="18"/>
        <v>4032325.4550000001</v>
      </c>
      <c r="G35" s="206">
        <f t="shared" si="15"/>
        <v>349</v>
      </c>
      <c r="H35" s="209">
        <f t="shared" si="16"/>
        <v>13142.647217050848</v>
      </c>
      <c r="I35" s="209">
        <f t="shared" si="17"/>
        <v>4586783.8787507461</v>
      </c>
    </row>
    <row r="36" spans="1:9" s="206" customFormat="1" ht="15.75" hidden="1" x14ac:dyDescent="0.25">
      <c r="A36" s="208" t="s">
        <v>262</v>
      </c>
      <c r="C36" s="206">
        <v>451</v>
      </c>
      <c r="D36" s="209">
        <v>31268.527000000002</v>
      </c>
      <c r="E36" s="209">
        <f t="shared" si="18"/>
        <v>14102105.677000001</v>
      </c>
      <c r="G36" s="206">
        <f t="shared" si="15"/>
        <v>445</v>
      </c>
      <c r="H36" s="209">
        <f t="shared" si="16"/>
        <v>35697.728231016947</v>
      </c>
      <c r="I36" s="209">
        <f t="shared" si="17"/>
        <v>15885489.062802542</v>
      </c>
    </row>
    <row r="37" spans="1:9" s="206" customFormat="1" ht="15.75" hidden="1" x14ac:dyDescent="0.25">
      <c r="A37" s="208" t="s">
        <v>263</v>
      </c>
      <c r="C37" s="206">
        <v>654</v>
      </c>
      <c r="D37" s="209">
        <v>23974.142</v>
      </c>
      <c r="E37" s="209">
        <f t="shared" si="18"/>
        <v>15679088.868000001</v>
      </c>
      <c r="G37" s="206">
        <f t="shared" si="15"/>
        <v>653</v>
      </c>
      <c r="H37" s="209">
        <f t="shared" si="16"/>
        <v>27499.609869694916</v>
      </c>
      <c r="I37" s="209">
        <f t="shared" si="17"/>
        <v>17957245.24491078</v>
      </c>
    </row>
    <row r="38" spans="1:9" s="206" customFormat="1" ht="15.75" hidden="1" x14ac:dyDescent="0.25">
      <c r="A38" s="208" t="s">
        <v>264</v>
      </c>
      <c r="C38" s="206">
        <v>50</v>
      </c>
      <c r="D38" s="209">
        <v>6993.4210000000012</v>
      </c>
      <c r="E38" s="209">
        <f t="shared" si="18"/>
        <v>349671.05000000005</v>
      </c>
      <c r="G38" s="206">
        <f t="shared" si="15"/>
        <v>42</v>
      </c>
      <c r="H38" s="209">
        <f t="shared" si="16"/>
        <v>8357.0365069152558</v>
      </c>
      <c r="I38" s="209">
        <f t="shared" si="17"/>
        <v>350995.53329044074</v>
      </c>
    </row>
    <row r="39" spans="1:9" s="206" customFormat="1" ht="15.75" hidden="1" x14ac:dyDescent="0.25">
      <c r="A39" s="208" t="s">
        <v>265</v>
      </c>
      <c r="C39" s="206">
        <v>49</v>
      </c>
      <c r="D39" s="209">
        <v>37752.862999999998</v>
      </c>
      <c r="E39" s="209">
        <f t="shared" si="18"/>
        <v>1849890.2869999998</v>
      </c>
      <c r="G39" s="206">
        <f t="shared" si="15"/>
        <v>51</v>
      </c>
      <c r="H39" s="209">
        <f t="shared" si="16"/>
        <v>42960.955804949146</v>
      </c>
      <c r="I39" s="209">
        <f t="shared" si="17"/>
        <v>2191008.7460524063</v>
      </c>
    </row>
    <row r="40" spans="1:9" s="206" customFormat="1" ht="15.75" hidden="1" x14ac:dyDescent="0.25">
      <c r="A40" s="208" t="s">
        <v>266</v>
      </c>
      <c r="C40" s="206">
        <v>11</v>
      </c>
      <c r="D40" s="209">
        <v>29011.425999999999</v>
      </c>
      <c r="E40" s="209">
        <f t="shared" si="18"/>
        <v>319125.68599999999</v>
      </c>
      <c r="G40" s="206">
        <f t="shared" si="15"/>
        <v>13</v>
      </c>
      <c r="H40" s="209">
        <f t="shared" si="16"/>
        <v>33138.346614474576</v>
      </c>
      <c r="I40" s="209">
        <f t="shared" si="17"/>
        <v>430798.50598816946</v>
      </c>
    </row>
    <row r="41" spans="1:9" s="206" customFormat="1" ht="15.75" hidden="1" x14ac:dyDescent="0.25">
      <c r="A41" s="208" t="s">
        <v>267</v>
      </c>
      <c r="C41" s="206">
        <v>5</v>
      </c>
      <c r="D41" s="209">
        <v>13113.668000000001</v>
      </c>
      <c r="E41" s="209">
        <f t="shared" si="18"/>
        <v>65568.340000000011</v>
      </c>
      <c r="G41" s="206">
        <f t="shared" si="15"/>
        <v>6</v>
      </c>
      <c r="H41" s="209">
        <f t="shared" si="16"/>
        <v>15238.78573722034</v>
      </c>
      <c r="I41" s="209">
        <f t="shared" si="17"/>
        <v>91432.714423322032</v>
      </c>
    </row>
    <row r="42" spans="1:9" s="206" customFormat="1" ht="15.75" hidden="1" x14ac:dyDescent="0.25">
      <c r="A42" s="208" t="s">
        <v>268</v>
      </c>
      <c r="C42" s="206">
        <v>162</v>
      </c>
      <c r="D42" s="209">
        <v>14318.880000000001</v>
      </c>
      <c r="E42" s="209">
        <f t="shared" si="18"/>
        <v>2319658.56</v>
      </c>
      <c r="G42" s="206">
        <f t="shared" si="15"/>
        <v>157</v>
      </c>
      <c r="H42" s="209">
        <f t="shared" si="16"/>
        <v>16608.39325498305</v>
      </c>
      <c r="I42" s="209">
        <f t="shared" si="17"/>
        <v>2607517.7410323387</v>
      </c>
    </row>
    <row r="43" spans="1:9" s="206" customFormat="1" ht="15.75" hidden="1" x14ac:dyDescent="0.25">
      <c r="A43" s="210" t="s">
        <v>129</v>
      </c>
      <c r="C43" s="206">
        <f>SUM(C33:C42)</f>
        <v>2338</v>
      </c>
      <c r="D43" s="209"/>
      <c r="E43" s="209">
        <f>SUM(E33:E42)</f>
        <v>54633514.409000002</v>
      </c>
      <c r="G43" s="206">
        <f t="shared" si="15"/>
        <v>2245</v>
      </c>
      <c r="H43" s="209"/>
      <c r="I43" s="209">
        <f>SUM(I33:I42)</f>
        <v>62224021.965226889</v>
      </c>
    </row>
    <row r="44" spans="1:9" s="206" customFormat="1" hidden="1" x14ac:dyDescent="0.25"/>
    <row r="45" spans="1:9" s="206" customFormat="1" hidden="1" x14ac:dyDescent="0.25">
      <c r="C45" s="206" t="s">
        <v>282</v>
      </c>
      <c r="D45" s="206" t="s">
        <v>283</v>
      </c>
    </row>
    <row r="46" spans="1:9" s="206" customFormat="1" hidden="1" x14ac:dyDescent="0.25">
      <c r="C46" s="206" t="s">
        <v>277</v>
      </c>
      <c r="G46" s="206" t="s">
        <v>278</v>
      </c>
    </row>
    <row r="47" spans="1:9" s="206" customFormat="1" ht="15.75" hidden="1" x14ac:dyDescent="0.25">
      <c r="A47" s="207" t="s">
        <v>242</v>
      </c>
      <c r="C47" s="206" t="s">
        <v>279</v>
      </c>
      <c r="D47" s="206" t="s">
        <v>280</v>
      </c>
      <c r="E47" s="206" t="s">
        <v>129</v>
      </c>
      <c r="G47" s="206" t="s">
        <v>281</v>
      </c>
      <c r="H47" s="206" t="s">
        <v>280</v>
      </c>
      <c r="I47" s="206" t="s">
        <v>129</v>
      </c>
    </row>
    <row r="48" spans="1:9" s="206" customFormat="1" ht="15.75" hidden="1" x14ac:dyDescent="0.25">
      <c r="A48" s="208" t="s">
        <v>259</v>
      </c>
      <c r="C48" s="206">
        <v>468</v>
      </c>
      <c r="D48" s="211">
        <v>171822.56587662027</v>
      </c>
      <c r="E48" s="211">
        <f t="shared" ref="E48:E57" si="19">C48*D48</f>
        <v>80412960.83025828</v>
      </c>
      <c r="G48" s="206">
        <f t="shared" ref="G48:G58" si="20">B11</f>
        <v>445</v>
      </c>
      <c r="H48" s="209">
        <f t="shared" ref="H48:H57" si="21">SUMPRODUCT($G$6:$K$6,$N11:$R11)+$S11*$G$2</f>
        <v>182644.05390547044</v>
      </c>
      <c r="I48" s="209">
        <f t="shared" ref="I48:I57" si="22">G48*H48</f>
        <v>81276603.987934351</v>
      </c>
    </row>
    <row r="49" spans="1:9" s="206" customFormat="1" ht="15.75" hidden="1" x14ac:dyDescent="0.25">
      <c r="A49" s="208" t="s">
        <v>260</v>
      </c>
      <c r="C49" s="206">
        <v>134</v>
      </c>
      <c r="D49" s="211">
        <v>26.982288074626865</v>
      </c>
      <c r="E49" s="211">
        <f t="shared" si="19"/>
        <v>3615.6266019999998</v>
      </c>
      <c r="G49" s="206">
        <f t="shared" si="20"/>
        <v>109</v>
      </c>
      <c r="H49" s="209">
        <f t="shared" si="21"/>
        <v>32.064926746268661</v>
      </c>
      <c r="I49" s="209">
        <f t="shared" si="22"/>
        <v>3495.0770153432841</v>
      </c>
    </row>
    <row r="50" spans="1:9" s="206" customFormat="1" ht="15.75" hidden="1" x14ac:dyDescent="0.25">
      <c r="A50" s="208" t="s">
        <v>261</v>
      </c>
      <c r="C50" s="206">
        <v>361</v>
      </c>
      <c r="D50" s="211">
        <v>32507.719175214377</v>
      </c>
      <c r="E50" s="211">
        <f t="shared" si="19"/>
        <v>11735286.62225239</v>
      </c>
      <c r="G50" s="206">
        <f t="shared" si="20"/>
        <v>349</v>
      </c>
      <c r="H50" s="209">
        <f t="shared" si="21"/>
        <v>35499.971421260219</v>
      </c>
      <c r="I50" s="209">
        <f t="shared" si="22"/>
        <v>12389490.026019817</v>
      </c>
    </row>
    <row r="51" spans="1:9" s="206" customFormat="1" ht="15.75" hidden="1" x14ac:dyDescent="0.25">
      <c r="A51" s="208" t="s">
        <v>262</v>
      </c>
      <c r="C51" s="206">
        <v>462</v>
      </c>
      <c r="D51" s="211">
        <v>24146.602597172881</v>
      </c>
      <c r="E51" s="211">
        <f t="shared" si="19"/>
        <v>11155730.399893871</v>
      </c>
      <c r="G51" s="206">
        <f t="shared" si="20"/>
        <v>445</v>
      </c>
      <c r="H51" s="209">
        <f t="shared" si="21"/>
        <v>26967.729323424628</v>
      </c>
      <c r="I51" s="209">
        <f t="shared" si="22"/>
        <v>12000639.54892396</v>
      </c>
    </row>
    <row r="52" spans="1:9" s="206" customFormat="1" ht="15.75" hidden="1" x14ac:dyDescent="0.25">
      <c r="A52" s="208" t="s">
        <v>263</v>
      </c>
      <c r="C52" s="206">
        <v>644</v>
      </c>
      <c r="D52" s="211">
        <v>3705.9466942184713</v>
      </c>
      <c r="E52" s="211">
        <f t="shared" si="19"/>
        <v>2386629.6710766954</v>
      </c>
      <c r="G52" s="206">
        <f t="shared" si="20"/>
        <v>653</v>
      </c>
      <c r="H52" s="209">
        <f t="shared" si="21"/>
        <v>4188.9782209319874</v>
      </c>
      <c r="I52" s="209">
        <f t="shared" si="22"/>
        <v>2735402.7782685878</v>
      </c>
    </row>
    <row r="53" spans="1:9" s="206" customFormat="1" ht="15.75" hidden="1" x14ac:dyDescent="0.25">
      <c r="A53" s="208" t="s">
        <v>264</v>
      </c>
      <c r="C53" s="206">
        <v>49</v>
      </c>
      <c r="D53" s="211">
        <v>1247.2811029489794</v>
      </c>
      <c r="E53" s="211">
        <f t="shared" si="19"/>
        <v>61116.774044499994</v>
      </c>
      <c r="G53" s="206">
        <f t="shared" si="20"/>
        <v>42</v>
      </c>
      <c r="H53" s="209">
        <f t="shared" si="21"/>
        <v>1406.1032731938774</v>
      </c>
      <c r="I53" s="209">
        <f t="shared" si="22"/>
        <v>59056.337474142849</v>
      </c>
    </row>
    <row r="54" spans="1:9" s="206" customFormat="1" ht="15.75" hidden="1" x14ac:dyDescent="0.25">
      <c r="A54" s="208" t="s">
        <v>265</v>
      </c>
      <c r="C54" s="206">
        <v>52</v>
      </c>
      <c r="D54" s="211">
        <v>5638.6788482582597</v>
      </c>
      <c r="E54" s="211">
        <f t="shared" si="19"/>
        <v>293211.30010942952</v>
      </c>
      <c r="G54" s="206">
        <f t="shared" si="20"/>
        <v>51</v>
      </c>
      <c r="H54" s="209">
        <f t="shared" si="21"/>
        <v>6357.236964914835</v>
      </c>
      <c r="I54" s="209">
        <f t="shared" si="22"/>
        <v>324219.08521065657</v>
      </c>
    </row>
    <row r="55" spans="1:9" s="206" customFormat="1" ht="15.75" hidden="1" x14ac:dyDescent="0.25">
      <c r="A55" s="208" t="s">
        <v>266</v>
      </c>
      <c r="C55" s="206">
        <v>11</v>
      </c>
      <c r="D55" s="211">
        <v>6944.3663353801448</v>
      </c>
      <c r="E55" s="211">
        <f t="shared" si="19"/>
        <v>76388.029689181596</v>
      </c>
      <c r="G55" s="206">
        <f t="shared" si="20"/>
        <v>13</v>
      </c>
      <c r="H55" s="209">
        <f t="shared" si="21"/>
        <v>7651.0129302341065</v>
      </c>
      <c r="I55" s="209">
        <f t="shared" si="22"/>
        <v>99463.168093043379</v>
      </c>
    </row>
    <row r="56" spans="1:9" s="206" customFormat="1" ht="15.75" hidden="1" x14ac:dyDescent="0.25">
      <c r="A56" s="208" t="s">
        <v>267</v>
      </c>
      <c r="C56" s="206">
        <v>5</v>
      </c>
      <c r="D56" s="211">
        <v>5738.7177362802631</v>
      </c>
      <c r="E56" s="211">
        <f t="shared" si="19"/>
        <v>28693.588681401314</v>
      </c>
      <c r="G56" s="206">
        <f t="shared" si="20"/>
        <v>6</v>
      </c>
      <c r="H56" s="209">
        <f t="shared" si="21"/>
        <v>6655.7486021189334</v>
      </c>
      <c r="I56" s="209">
        <f t="shared" si="22"/>
        <v>39934.491612713602</v>
      </c>
    </row>
    <row r="57" spans="1:9" s="206" customFormat="1" ht="15.75" hidden="1" x14ac:dyDescent="0.25">
      <c r="A57" s="208" t="s">
        <v>268</v>
      </c>
      <c r="C57" s="206">
        <v>164</v>
      </c>
      <c r="D57" s="211">
        <v>1059.0195513262195</v>
      </c>
      <c r="E57" s="211">
        <f t="shared" si="19"/>
        <v>173679.20641749998</v>
      </c>
      <c r="G57" s="206">
        <f t="shared" si="20"/>
        <v>157</v>
      </c>
      <c r="H57" s="209">
        <f t="shared" si="21"/>
        <v>1258.5064781097562</v>
      </c>
      <c r="I57" s="209">
        <f t="shared" si="22"/>
        <v>197585.51706323173</v>
      </c>
    </row>
    <row r="58" spans="1:9" s="206" customFormat="1" ht="15.75" hidden="1" x14ac:dyDescent="0.25">
      <c r="A58" s="210" t="s">
        <v>129</v>
      </c>
      <c r="C58" s="206">
        <v>2322</v>
      </c>
      <c r="D58" s="211"/>
      <c r="E58" s="211">
        <f>SUM(E48:E57)</f>
        <v>106327312.04902524</v>
      </c>
      <c r="G58" s="206">
        <f t="shared" si="20"/>
        <v>2245</v>
      </c>
      <c r="I58" s="209">
        <f>SUM(I48:I57)</f>
        <v>109125890.01761582</v>
      </c>
    </row>
    <row r="59" spans="1:9" s="206" customFormat="1" hidden="1" x14ac:dyDescent="0.25"/>
    <row r="60" spans="1:9" s="206" customFormat="1" hidden="1" x14ac:dyDescent="0.25">
      <c r="C60" s="206" t="s">
        <v>282</v>
      </c>
      <c r="D60" s="206" t="s">
        <v>284</v>
      </c>
    </row>
    <row r="61" spans="1:9" s="206" customFormat="1" hidden="1" x14ac:dyDescent="0.25">
      <c r="C61" s="206" t="s">
        <v>277</v>
      </c>
      <c r="G61" s="206" t="s">
        <v>278</v>
      </c>
    </row>
    <row r="62" spans="1:9" s="206" customFormat="1" hidden="1" x14ac:dyDescent="0.25">
      <c r="C62" s="206" t="s">
        <v>279</v>
      </c>
      <c r="D62" s="206" t="s">
        <v>280</v>
      </c>
      <c r="E62" s="206" t="s">
        <v>129</v>
      </c>
      <c r="G62" s="206" t="s">
        <v>281</v>
      </c>
      <c r="H62" s="206" t="s">
        <v>280</v>
      </c>
      <c r="I62" s="206" t="s">
        <v>129</v>
      </c>
    </row>
    <row r="63" spans="1:9" s="206" customFormat="1" ht="15.75" hidden="1" x14ac:dyDescent="0.25">
      <c r="A63" s="207" t="s">
        <v>242</v>
      </c>
      <c r="C63" s="206" t="s">
        <v>293</v>
      </c>
    </row>
    <row r="64" spans="1:9" s="206" customFormat="1" ht="15.75" hidden="1" x14ac:dyDescent="0.25">
      <c r="A64" s="208" t="s">
        <v>259</v>
      </c>
      <c r="C64" s="206">
        <v>309</v>
      </c>
      <c r="D64" s="211">
        <v>202907.74123651086</v>
      </c>
      <c r="E64" s="211">
        <f t="shared" ref="E64:E73" si="23">C64*D64</f>
        <v>62698492.042081855</v>
      </c>
      <c r="G64" s="206">
        <f t="shared" ref="G64:G74" si="24">C64</f>
        <v>309</v>
      </c>
      <c r="H64" s="209">
        <f t="shared" ref="H64:H73" si="25">SUMPRODUCT($G$6:$K$6,$U11:$Y11)+$AI11</f>
        <v>222306.66162182641</v>
      </c>
      <c r="I64" s="209">
        <f t="shared" ref="I64:I73" si="26">G64*H64</f>
        <v>68692758.441144362</v>
      </c>
    </row>
    <row r="65" spans="1:9" s="206" customFormat="1" ht="15.75" hidden="1" x14ac:dyDescent="0.25">
      <c r="A65" s="208" t="s">
        <v>260</v>
      </c>
      <c r="C65" s="206">
        <v>7</v>
      </c>
      <c r="D65" s="211">
        <v>26.500830729544873</v>
      </c>
      <c r="E65" s="211">
        <f t="shared" si="23"/>
        <v>185.50581510681411</v>
      </c>
      <c r="G65" s="206">
        <f t="shared" si="24"/>
        <v>7</v>
      </c>
      <c r="H65" s="209">
        <f t="shared" si="25"/>
        <v>4370.5062496615228</v>
      </c>
      <c r="I65" s="209">
        <f t="shared" si="26"/>
        <v>30593.543747630662</v>
      </c>
    </row>
    <row r="66" spans="1:9" s="206" customFormat="1" ht="15.75" hidden="1" x14ac:dyDescent="0.25">
      <c r="A66" s="208" t="s">
        <v>261</v>
      </c>
      <c r="C66" s="206">
        <v>0</v>
      </c>
      <c r="D66" s="211">
        <v>0</v>
      </c>
      <c r="E66" s="211">
        <f t="shared" si="23"/>
        <v>0</v>
      </c>
      <c r="G66" s="206">
        <f t="shared" si="24"/>
        <v>0</v>
      </c>
      <c r="H66" s="209">
        <f t="shared" si="25"/>
        <v>48642.618638311062</v>
      </c>
      <c r="I66" s="209">
        <f t="shared" si="26"/>
        <v>0</v>
      </c>
    </row>
    <row r="67" spans="1:9" s="206" customFormat="1" ht="15.75" hidden="1" x14ac:dyDescent="0.25">
      <c r="A67" s="208" t="s">
        <v>262</v>
      </c>
      <c r="C67" s="206">
        <v>53</v>
      </c>
      <c r="D67" s="211">
        <v>59613.320320453422</v>
      </c>
      <c r="E67" s="211">
        <f t="shared" si="23"/>
        <v>3159505.9769840315</v>
      </c>
      <c r="G67" s="206">
        <f t="shared" si="24"/>
        <v>53</v>
      </c>
      <c r="H67" s="209">
        <f t="shared" si="25"/>
        <v>62665.457554441578</v>
      </c>
      <c r="I67" s="209">
        <f t="shared" si="26"/>
        <v>3321269.2503854036</v>
      </c>
    </row>
    <row r="68" spans="1:9" s="206" customFormat="1" ht="15.75" hidden="1" x14ac:dyDescent="0.25">
      <c r="A68" s="208" t="s">
        <v>263</v>
      </c>
      <c r="C68" s="206">
        <v>364</v>
      </c>
      <c r="D68" s="211">
        <v>20667.33578628855</v>
      </c>
      <c r="E68" s="211">
        <f t="shared" si="23"/>
        <v>7522910.2262090323</v>
      </c>
      <c r="G68" s="206">
        <f t="shared" si="24"/>
        <v>364</v>
      </c>
      <c r="H68" s="209">
        <f t="shared" si="25"/>
        <v>31688.588090626901</v>
      </c>
      <c r="I68" s="209">
        <f t="shared" si="26"/>
        <v>11534646.064988192</v>
      </c>
    </row>
    <row r="69" spans="1:9" s="206" customFormat="1" ht="15.75" hidden="1" x14ac:dyDescent="0.25">
      <c r="A69" s="208" t="s">
        <v>264</v>
      </c>
      <c r="C69" s="206">
        <v>4</v>
      </c>
      <c r="D69" s="211">
        <v>6719.978952522526</v>
      </c>
      <c r="E69" s="211">
        <f t="shared" si="23"/>
        <v>26879.915810090104</v>
      </c>
      <c r="G69" s="206">
        <f t="shared" si="24"/>
        <v>4</v>
      </c>
      <c r="H69" s="209">
        <f t="shared" si="25"/>
        <v>9763.1397801091352</v>
      </c>
      <c r="I69" s="209">
        <f t="shared" si="26"/>
        <v>39052.559120436541</v>
      </c>
    </row>
    <row r="70" spans="1:9" s="206" customFormat="1" ht="15.75" hidden="1" x14ac:dyDescent="0.25">
      <c r="A70" s="208" t="s">
        <v>265</v>
      </c>
      <c r="C70" s="206">
        <v>16</v>
      </c>
      <c r="D70" s="211">
        <v>24352.608712004359</v>
      </c>
      <c r="E70" s="211">
        <f t="shared" si="23"/>
        <v>389641.73939206975</v>
      </c>
      <c r="G70" s="206">
        <f t="shared" si="24"/>
        <v>16</v>
      </c>
      <c r="H70" s="209">
        <f t="shared" si="25"/>
        <v>49318.192769863992</v>
      </c>
      <c r="I70" s="209">
        <f t="shared" si="26"/>
        <v>789091.08431782387</v>
      </c>
    </row>
    <row r="71" spans="1:9" s="206" customFormat="1" ht="15.75" hidden="1" x14ac:dyDescent="0.25">
      <c r="A71" s="208" t="s">
        <v>266</v>
      </c>
      <c r="C71" s="206">
        <v>0</v>
      </c>
      <c r="D71" s="211">
        <v>0</v>
      </c>
      <c r="E71" s="211">
        <f t="shared" si="23"/>
        <v>0</v>
      </c>
      <c r="G71" s="206">
        <f t="shared" si="24"/>
        <v>0</v>
      </c>
      <c r="H71" s="209">
        <f t="shared" si="25"/>
        <v>40789.359544708677</v>
      </c>
      <c r="I71" s="209">
        <f t="shared" si="26"/>
        <v>0</v>
      </c>
    </row>
    <row r="72" spans="1:9" s="206" customFormat="1" ht="15.75" hidden="1" x14ac:dyDescent="0.25">
      <c r="A72" s="208" t="s">
        <v>267</v>
      </c>
      <c r="C72" s="206">
        <v>2</v>
      </c>
      <c r="D72" s="211">
        <v>12794.123582990978</v>
      </c>
      <c r="E72" s="211">
        <f t="shared" si="23"/>
        <v>25588.247165981957</v>
      </c>
      <c r="G72" s="206">
        <f t="shared" si="24"/>
        <v>2</v>
      </c>
      <c r="H72" s="209">
        <f t="shared" si="25"/>
        <v>21894.534339339272</v>
      </c>
      <c r="I72" s="209">
        <f t="shared" si="26"/>
        <v>43789.068678678545</v>
      </c>
    </row>
    <row r="73" spans="1:9" s="206" customFormat="1" ht="15.75" hidden="1" x14ac:dyDescent="0.25">
      <c r="A73" s="208" t="s">
        <v>268</v>
      </c>
      <c r="C73" s="206">
        <v>0</v>
      </c>
      <c r="D73" s="211">
        <v>0</v>
      </c>
      <c r="E73" s="211">
        <f t="shared" si="23"/>
        <v>0</v>
      </c>
      <c r="G73" s="206">
        <f t="shared" si="24"/>
        <v>0</v>
      </c>
      <c r="H73" s="209">
        <f t="shared" si="25"/>
        <v>17866.899733092807</v>
      </c>
      <c r="I73" s="209">
        <f t="shared" si="26"/>
        <v>0</v>
      </c>
    </row>
    <row r="74" spans="1:9" s="206" customFormat="1" ht="15.75" hidden="1" x14ac:dyDescent="0.25">
      <c r="A74" s="210" t="s">
        <v>129</v>
      </c>
      <c r="C74" s="206">
        <v>755</v>
      </c>
      <c r="D74" s="211"/>
      <c r="E74" s="211">
        <f>SUM(E64:E73)</f>
        <v>73823203.653458163</v>
      </c>
      <c r="G74" s="206">
        <f t="shared" si="24"/>
        <v>755</v>
      </c>
      <c r="I74" s="209">
        <f>SUM(I64:I73)</f>
        <v>84451200.012382522</v>
      </c>
    </row>
    <row r="75" spans="1:9" s="206" customFormat="1" hidden="1" x14ac:dyDescent="0.25"/>
    <row r="76" spans="1:9" s="206" customFormat="1" hidden="1" x14ac:dyDescent="0.25">
      <c r="E76" s="209">
        <f>SUM(E43,E58,E74)</f>
        <v>234784030.1114834</v>
      </c>
      <c r="I76" s="209">
        <f>SUM(I43,I58,I74)</f>
        <v>255801111.99522525</v>
      </c>
    </row>
    <row r="77" spans="1:9" s="206" customFormat="1" hidden="1" x14ac:dyDescent="0.25"/>
    <row r="78" spans="1:9" s="206" customFormat="1" hidden="1" x14ac:dyDescent="0.25"/>
    <row r="79" spans="1:9" hidden="1" x14ac:dyDescent="0.25"/>
  </sheetData>
  <sheetProtection algorithmName="SHA-512" hashValue="c2WaCaeyxm5JV3E3wOruB+K4sPV+ytmZFoof5iDLbZGgzUucIEimUiLFbuaxskEetMbkw0SgP2RuTQkIERbN5Q==" saltValue="OAk99WnDrx+zruqJfl+6Rw=="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46AC7-AF26-471D-B7C7-D2BABBF9F8D6}">
  <sheetPr>
    <tabColor theme="4" tint="0.79998168889431442"/>
  </sheetPr>
  <dimension ref="B2:G21"/>
  <sheetViews>
    <sheetView topLeftCell="A4" zoomScale="140" zoomScaleNormal="140" workbookViewId="0">
      <selection activeCell="C14" sqref="C14:D18"/>
    </sheetView>
  </sheetViews>
  <sheetFormatPr defaultRowHeight="15" x14ac:dyDescent="0.25"/>
  <cols>
    <col min="2" max="2" width="24" customWidth="1"/>
    <col min="3" max="3" width="14.85546875" customWidth="1"/>
    <col min="4" max="4" width="10.7109375" customWidth="1"/>
    <col min="5" max="5" width="15.5703125" customWidth="1"/>
    <col min="6" max="6" width="24.140625" customWidth="1"/>
    <col min="7" max="7" width="18.85546875" customWidth="1"/>
  </cols>
  <sheetData>
    <row r="2" spans="2:7" x14ac:dyDescent="0.25">
      <c r="B2" s="128" t="s">
        <v>122</v>
      </c>
    </row>
    <row r="3" spans="2:7" ht="15.75" thickBot="1" x14ac:dyDescent="0.3">
      <c r="B3" s="271"/>
      <c r="C3" s="271"/>
      <c r="D3" s="271"/>
      <c r="E3" s="271"/>
      <c r="F3" s="271"/>
      <c r="G3" s="271"/>
    </row>
    <row r="4" spans="2:7" ht="46.5" thickTop="1" thickBot="1" x14ac:dyDescent="0.3">
      <c r="B4" s="129" t="s">
        <v>123</v>
      </c>
      <c r="C4" s="130" t="s">
        <v>124</v>
      </c>
      <c r="D4" s="130" t="s">
        <v>125</v>
      </c>
      <c r="E4" s="130" t="s">
        <v>126</v>
      </c>
      <c r="F4" s="130" t="s">
        <v>127</v>
      </c>
      <c r="G4" s="131" t="s">
        <v>128</v>
      </c>
    </row>
    <row r="5" spans="2:7" ht="16.5" thickTop="1" thickBot="1" x14ac:dyDescent="0.3">
      <c r="B5" s="160">
        <v>1</v>
      </c>
      <c r="C5" s="161">
        <v>0</v>
      </c>
      <c r="D5" s="162">
        <v>0</v>
      </c>
      <c r="E5" s="163">
        <v>0</v>
      </c>
      <c r="F5" s="163">
        <v>0</v>
      </c>
      <c r="G5" s="164">
        <v>0</v>
      </c>
    </row>
    <row r="6" spans="2:7" ht="15.75" thickBot="1" x14ac:dyDescent="0.3">
      <c r="B6" s="160">
        <v>2</v>
      </c>
      <c r="C6" s="161">
        <v>0</v>
      </c>
      <c r="D6" s="162">
        <v>0</v>
      </c>
      <c r="E6" s="163">
        <v>0</v>
      </c>
      <c r="F6" s="163">
        <v>0</v>
      </c>
      <c r="G6" s="164">
        <v>0</v>
      </c>
    </row>
    <row r="7" spans="2:7" ht="15.75" thickBot="1" x14ac:dyDescent="0.3">
      <c r="B7" s="165">
        <v>3</v>
      </c>
      <c r="C7" s="166">
        <v>0</v>
      </c>
      <c r="D7" s="167">
        <v>0</v>
      </c>
      <c r="E7" s="168">
        <v>0</v>
      </c>
      <c r="F7" s="168">
        <v>0</v>
      </c>
      <c r="G7" s="169">
        <v>0</v>
      </c>
    </row>
    <row r="8" spans="2:7" ht="16.5" thickTop="1" thickBot="1" x14ac:dyDescent="0.3">
      <c r="B8" s="160" t="s">
        <v>129</v>
      </c>
      <c r="C8" s="161">
        <v>0</v>
      </c>
      <c r="D8" s="161">
        <v>0</v>
      </c>
      <c r="E8" s="163">
        <v>0</v>
      </c>
      <c r="F8" s="163">
        <v>0</v>
      </c>
      <c r="G8" s="164">
        <v>0</v>
      </c>
    </row>
    <row r="9" spans="2:7" ht="15.75" thickBot="1" x14ac:dyDescent="0.3">
      <c r="B9" s="170" t="s">
        <v>130</v>
      </c>
      <c r="C9" s="171">
        <v>0</v>
      </c>
      <c r="D9" s="171">
        <v>0</v>
      </c>
      <c r="E9" s="172">
        <v>0</v>
      </c>
      <c r="F9" s="172">
        <v>0</v>
      </c>
      <c r="G9" s="173">
        <v>0</v>
      </c>
    </row>
    <row r="10" spans="2:7" ht="15.75" thickTop="1" x14ac:dyDescent="0.25">
      <c r="B10" s="174"/>
    </row>
    <row r="11" spans="2:7" x14ac:dyDescent="0.25">
      <c r="B11" s="128" t="s">
        <v>131</v>
      </c>
    </row>
    <row r="12" spans="2:7" ht="15.75" thickBot="1" x14ac:dyDescent="0.3">
      <c r="B12" s="271"/>
      <c r="C12" s="271"/>
      <c r="D12" s="271"/>
      <c r="E12" s="271"/>
      <c r="F12" s="271"/>
      <c r="G12" s="271"/>
    </row>
    <row r="13" spans="2:7" ht="35.25" thickTop="1" thickBot="1" x14ac:dyDescent="0.3">
      <c r="B13" s="129" t="s">
        <v>123</v>
      </c>
      <c r="C13" s="130" t="s">
        <v>124</v>
      </c>
      <c r="D13" s="130" t="s">
        <v>125</v>
      </c>
      <c r="E13" s="130" t="s">
        <v>126</v>
      </c>
      <c r="F13" s="130" t="s">
        <v>127</v>
      </c>
      <c r="G13" s="131" t="s">
        <v>128</v>
      </c>
    </row>
    <row r="14" spans="2:7" ht="16.5" thickTop="1" thickBot="1" x14ac:dyDescent="0.3">
      <c r="B14" s="160">
        <v>1</v>
      </c>
      <c r="C14" s="257">
        <v>-8971</v>
      </c>
      <c r="D14" s="258">
        <v>-2596244.2921892721</v>
      </c>
      <c r="E14" s="150">
        <v>-247693714.8270261</v>
      </c>
      <c r="F14" s="150">
        <v>-54990106.058797285</v>
      </c>
      <c r="G14" s="151">
        <f>SUM(E14:F14)</f>
        <v>-302683820.88582337</v>
      </c>
    </row>
    <row r="15" spans="2:7" ht="15.75" thickBot="1" x14ac:dyDescent="0.3">
      <c r="B15" s="160">
        <v>2</v>
      </c>
      <c r="C15" s="257">
        <v>-8971</v>
      </c>
      <c r="D15" s="258">
        <v>-2596244.2921892721</v>
      </c>
      <c r="E15" s="150">
        <v>-247693714.8270261</v>
      </c>
      <c r="F15" s="150">
        <v>-54990106.058797285</v>
      </c>
      <c r="G15" s="151">
        <f t="shared" ref="G15:G16" si="0">SUM(E15:F15)</f>
        <v>-302683820.88582337</v>
      </c>
    </row>
    <row r="16" spans="2:7" ht="15.75" thickBot="1" x14ac:dyDescent="0.3">
      <c r="B16" s="165">
        <v>3</v>
      </c>
      <c r="C16" s="257">
        <v>-8971</v>
      </c>
      <c r="D16" s="258">
        <v>-2596244.2921892721</v>
      </c>
      <c r="E16" s="150">
        <v>-247693714.8270261</v>
      </c>
      <c r="F16" s="150">
        <v>-54990106.058797285</v>
      </c>
      <c r="G16" s="151">
        <f t="shared" si="0"/>
        <v>-302683820.88582337</v>
      </c>
    </row>
    <row r="17" spans="2:7" ht="16.5" thickTop="1" thickBot="1" x14ac:dyDescent="0.3">
      <c r="B17" s="160" t="s">
        <v>304</v>
      </c>
      <c r="C17" s="257">
        <f>ROUND(SUM(C14:C16),-2)</f>
        <v>-26900</v>
      </c>
      <c r="D17" s="257">
        <f>ROUND(SUM(D14:D16),-4)</f>
        <v>-7790000</v>
      </c>
      <c r="E17" s="150">
        <f>ROUND(SUM(E14:E16),-6)</f>
        <v>-743000000</v>
      </c>
      <c r="F17" s="150">
        <f>ROUND(SUM(F14:F16),-6)</f>
        <v>-165000000</v>
      </c>
      <c r="G17" s="150">
        <f>ROUND(SUM(G14:G16),-6)</f>
        <v>-908000000</v>
      </c>
    </row>
    <row r="18" spans="2:7" ht="15.75" thickBot="1" x14ac:dyDescent="0.3">
      <c r="B18" s="170" t="s">
        <v>305</v>
      </c>
      <c r="C18" s="259">
        <f>ROUND(AVERAGE(C14:C16),-1)</f>
        <v>-8970</v>
      </c>
      <c r="D18" s="259">
        <f>ROUND(AVERAGE(D14:D16),-4)</f>
        <v>-2600000</v>
      </c>
      <c r="E18" s="150">
        <f>ROUND(AVERAGE(E14:E16),-6)</f>
        <v>-248000000</v>
      </c>
      <c r="F18" s="150">
        <f>ROUND(AVERAGE(F14:F16),-6)</f>
        <v>-55000000</v>
      </c>
      <c r="G18" s="150">
        <f>ROUND(AVERAGE(G14:G16),-6)</f>
        <v>-303000000</v>
      </c>
    </row>
    <row r="19" spans="2:7" ht="15.75" thickTop="1" x14ac:dyDescent="0.25">
      <c r="B19" s="174"/>
    </row>
    <row r="20" spans="2:7" x14ac:dyDescent="0.25">
      <c r="B20" s="174"/>
    </row>
    <row r="21" spans="2:7" x14ac:dyDescent="0.25">
      <c r="B21" s="141"/>
    </row>
  </sheetData>
  <sheetProtection algorithmName="SHA-512" hashValue="1kHvWtIQ/tFucrKAKqAmzvhxDkvA9VKETRa2TkwQKMapwEoolYO1piT4BAxKI6lZWBTZ2j3dr5aFLRIpbmT08A==" saltValue="CGtmxt9Sf8DZhAuKc/5FCQ==" spinCount="100000" sheet="1" objects="1" scenarios="1"/>
  <mergeCells count="2">
    <mergeCell ref="B3:G3"/>
    <mergeCell ref="B12:G12"/>
  </mergeCells>
  <pageMargins left="0.7" right="0.7" top="0.75" bottom="0.75" header="0.3" footer="0.3"/>
  <ignoredErrors>
    <ignoredError sqref="G14:G16" formulaRange="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7C8673-1612-4B6E-A852-B7DED8F4EAB8}">
  <sheetPr>
    <tabColor theme="4" tint="0.79998168889431442"/>
  </sheetPr>
  <dimension ref="B2:P53"/>
  <sheetViews>
    <sheetView topLeftCell="A28" workbookViewId="0">
      <selection activeCell="D23" sqref="D23"/>
    </sheetView>
  </sheetViews>
  <sheetFormatPr defaultRowHeight="15" x14ac:dyDescent="0.25"/>
  <cols>
    <col min="2" max="2" width="22.7109375" customWidth="1"/>
    <col min="3" max="3" width="19.140625" customWidth="1"/>
    <col min="4" max="4" width="16.42578125" customWidth="1"/>
    <col min="5" max="5" width="17.28515625" customWidth="1"/>
    <col min="6" max="6" width="17.7109375" customWidth="1"/>
    <col min="7" max="7" width="14.85546875" customWidth="1"/>
    <col min="14" max="14" width="15.28515625" bestFit="1" customWidth="1"/>
    <col min="15" max="15" width="14.140625" bestFit="1" customWidth="1"/>
    <col min="16" max="16" width="15.28515625" bestFit="1" customWidth="1"/>
  </cols>
  <sheetData>
    <row r="2" spans="2:16" ht="15.75" thickBot="1" x14ac:dyDescent="0.3">
      <c r="B2" s="128" t="s">
        <v>132</v>
      </c>
    </row>
    <row r="3" spans="2:16" ht="120.75" thickBot="1" x14ac:dyDescent="0.3">
      <c r="B3" s="132" t="s">
        <v>24</v>
      </c>
      <c r="C3" s="133" t="s">
        <v>133</v>
      </c>
      <c r="D3" s="133" t="s">
        <v>134</v>
      </c>
      <c r="E3" s="133" t="s">
        <v>135</v>
      </c>
      <c r="F3" s="133" t="s">
        <v>136</v>
      </c>
      <c r="G3" s="133" t="s">
        <v>137</v>
      </c>
    </row>
    <row r="4" spans="2:16" ht="30.75" thickBot="1" x14ac:dyDescent="0.3">
      <c r="B4" s="134" t="s">
        <v>48</v>
      </c>
      <c r="C4" s="215">
        <f>VLOOKUP(B4,'Baseline 2025 Non-W sectors'!$BX$4:$CI$50,3,FALSE)</f>
        <v>1813</v>
      </c>
      <c r="D4" s="215">
        <f>VLOOKUP(B4,'Baseline 2025 Non-W sectors'!$BX$4:$CI$50,8,FALSE)</f>
        <v>76006.98142498605</v>
      </c>
      <c r="E4" s="216">
        <f>VLOOKUP(B4,'Baseline 2025 Non-W sectors'!$BX$4:$CI$50,9,FALSE)</f>
        <v>6200357.4082654752</v>
      </c>
      <c r="F4" s="216">
        <f>VLOOKUP(B4,'Baseline 2025 Non-W sectors'!$BX$4:$CI$50,11,FALSE)</f>
        <v>2151529.486225151</v>
      </c>
      <c r="G4" s="216">
        <f>VLOOKUP(B4,'Baseline 2025 Non-W sectors'!$BX$4:$CI$50,12,FALSE)</f>
        <v>8351886.8944906257</v>
      </c>
      <c r="N4" s="241"/>
      <c r="O4" s="241"/>
      <c r="P4" s="241"/>
    </row>
    <row r="5" spans="2:16" ht="30.75" thickBot="1" x14ac:dyDescent="0.3">
      <c r="B5" s="134" t="s">
        <v>50</v>
      </c>
      <c r="C5" s="135">
        <f>VLOOKUP(B5,'Baseline 2025 Non-W sectors'!$BX$4:$CI$50,3,FALSE)</f>
        <v>3587</v>
      </c>
      <c r="D5" s="215">
        <f>VLOOKUP(B5,'Baseline 2025 Non-W sectors'!$BX$4:$CI$50,8,FALSE)</f>
        <v>155899.74541062803</v>
      </c>
      <c r="E5" s="216">
        <f>VLOOKUP(B5,'Baseline 2025 Non-W sectors'!$BX$4:$CI$50,9,FALSE)</f>
        <v>12723325.018280193</v>
      </c>
      <c r="F5" s="216">
        <f>VLOOKUP(B5,'Baseline 2025 Non-W sectors'!$BX$4:$CI$50,11,FALSE)</f>
        <v>3878496.0680831899</v>
      </c>
      <c r="G5" s="216">
        <f>VLOOKUP(B5,'Baseline 2025 Non-W sectors'!$BX$4:$CI$50,12,FALSE)</f>
        <v>16601821.086363383</v>
      </c>
      <c r="N5" s="241"/>
      <c r="O5" s="241"/>
      <c r="P5" s="241"/>
    </row>
    <row r="6" spans="2:16" ht="30.75" thickBot="1" x14ac:dyDescent="0.3">
      <c r="B6" s="134" t="s">
        <v>51</v>
      </c>
      <c r="C6" s="135">
        <f>VLOOKUP(B6,'Baseline 2025 Non-W sectors'!$BX$4:$CI$50,3,FALSE)</f>
        <v>1086</v>
      </c>
      <c r="D6" s="215">
        <f>VLOOKUP(B6,'Baseline 2025 Non-W sectors'!$BX$4:$CI$50,8,FALSE)</f>
        <v>4995.6000000000004</v>
      </c>
      <c r="E6" s="216">
        <f>VLOOKUP(B6,'Baseline 2025 Non-W sectors'!$BX$4:$CI$50,9,FALSE)</f>
        <v>387165.51599999995</v>
      </c>
      <c r="F6" s="216">
        <f>VLOOKUP(B6,'Baseline 2025 Non-W sectors'!$BX$4:$CI$50,11,FALSE)</f>
        <v>67170.940677966108</v>
      </c>
      <c r="G6" s="216">
        <f>VLOOKUP(B6,'Baseline 2025 Non-W sectors'!$BX$4:$CI$50,12,FALSE)</f>
        <v>454336.45667796605</v>
      </c>
      <c r="N6" s="241"/>
      <c r="O6" s="241"/>
      <c r="P6" s="241"/>
    </row>
    <row r="7" spans="2:16" ht="15.75" thickBot="1" x14ac:dyDescent="0.3">
      <c r="B7" s="134" t="s">
        <v>52</v>
      </c>
      <c r="C7" s="135">
        <f>VLOOKUP(B7,'Baseline 2025 Non-W sectors'!$BX$4:$CI$50,3,FALSE)</f>
        <v>2</v>
      </c>
      <c r="D7" s="215">
        <f>VLOOKUP(B7,'Baseline 2025 Non-W sectors'!$BX$4:$CI$50,8,FALSE)</f>
        <v>44.15</v>
      </c>
      <c r="E7" s="216">
        <f>VLOOKUP(B7,'Baseline 2025 Non-W sectors'!$BX$4:$CI$50,9,FALSE)</f>
        <v>3660.4655000000002</v>
      </c>
      <c r="F7" s="216">
        <f>VLOOKUP(B7,'Baseline 2025 Non-W sectors'!$BX$4:$CI$50,11,FALSE)</f>
        <v>6880.1576271186441</v>
      </c>
      <c r="G7" s="216">
        <f>VLOOKUP(B7,'Baseline 2025 Non-W sectors'!$BX$4:$CI$50,12,FALSE)</f>
        <v>10540.623127118644</v>
      </c>
      <c r="N7" s="241"/>
      <c r="O7" s="241"/>
      <c r="P7" s="241"/>
    </row>
    <row r="8" spans="2:16" ht="30.75" thickBot="1" x14ac:dyDescent="0.3">
      <c r="B8" s="134" t="s">
        <v>53</v>
      </c>
      <c r="C8" s="135">
        <f>VLOOKUP(B8,'Baseline 2025 Non-W sectors'!$BX$4:$CI$50,3,FALSE)</f>
        <v>7</v>
      </c>
      <c r="D8" s="215">
        <f>VLOOKUP(B8,'Baseline 2025 Non-W sectors'!$BX$4:$CI$50,8,FALSE)</f>
        <v>446.34999999999997</v>
      </c>
      <c r="E8" s="216">
        <f>VLOOKUP(B8,'Baseline 2025 Non-W sectors'!$BX$4:$CI$50,9,FALSE)</f>
        <v>37440.294499999996</v>
      </c>
      <c r="F8" s="216">
        <f>VLOOKUP(B8,'Baseline 2025 Non-W sectors'!$BX$4:$CI$50,11,FALSE)</f>
        <v>5027.9805084745758</v>
      </c>
      <c r="G8" s="216">
        <f>VLOOKUP(B8,'Baseline 2025 Non-W sectors'!$BX$4:$CI$50,12,FALSE)</f>
        <v>42468.275008474571</v>
      </c>
      <c r="N8" s="241"/>
      <c r="O8" s="241"/>
      <c r="P8" s="241"/>
    </row>
    <row r="9" spans="2:16" ht="30.75" thickBot="1" x14ac:dyDescent="0.3">
      <c r="B9" s="134" t="s">
        <v>54</v>
      </c>
      <c r="C9" s="135">
        <f>VLOOKUP(B9,'Baseline 2025 Non-W sectors'!$BX$4:$CI$50,3,FALSE)</f>
        <v>29</v>
      </c>
      <c r="D9" s="215">
        <f>VLOOKUP(B9,'Baseline 2025 Non-W sectors'!$BX$4:$CI$50,8,FALSE)</f>
        <v>1236.8674999999998</v>
      </c>
      <c r="E9" s="216">
        <f>VLOOKUP(B9,'Baseline 2025 Non-W sectors'!$BX$4:$CI$50,9,FALSE)</f>
        <v>102205.16299999999</v>
      </c>
      <c r="F9" s="216">
        <f>VLOOKUP(B9,'Baseline 2025 Non-W sectors'!$BX$4:$CI$50,11,FALSE)</f>
        <v>160853.76694915254</v>
      </c>
      <c r="G9" s="216">
        <f>VLOOKUP(B9,'Baseline 2025 Non-W sectors'!$BX$4:$CI$50,12,FALSE)</f>
        <v>263058.92994915252</v>
      </c>
      <c r="N9" s="241"/>
      <c r="O9" s="241"/>
      <c r="P9" s="241"/>
    </row>
    <row r="10" spans="2:16" ht="15.75" thickBot="1" x14ac:dyDescent="0.3">
      <c r="B10" s="134" t="s">
        <v>55</v>
      </c>
      <c r="C10" s="135">
        <f>VLOOKUP(B10,'Baseline 2025 Non-W sectors'!$BX$4:$CI$50,3,FALSE)</f>
        <v>90</v>
      </c>
      <c r="D10" s="215">
        <f>VLOOKUP(B10,'Baseline 2025 Non-W sectors'!$BX$4:$CI$50,8,FALSE)</f>
        <v>2208.9375</v>
      </c>
      <c r="E10" s="216">
        <f>VLOOKUP(B10,'Baseline 2025 Non-W sectors'!$BX$4:$CI$50,9,FALSE)</f>
        <v>172970.63804347822</v>
      </c>
      <c r="F10" s="216">
        <f>VLOOKUP(B10,'Baseline 2025 Non-W sectors'!$BX$4:$CI$50,11,FALSE)</f>
        <v>5566.6525423728808</v>
      </c>
      <c r="G10" s="216">
        <f>VLOOKUP(B10,'Baseline 2025 Non-W sectors'!$BX$4:$CI$50,12,FALSE)</f>
        <v>178537.29058585109</v>
      </c>
      <c r="N10" s="241"/>
      <c r="O10" s="241"/>
      <c r="P10" s="241"/>
    </row>
    <row r="11" spans="2:16" ht="30.75" thickBot="1" x14ac:dyDescent="0.3">
      <c r="B11" s="134" t="s">
        <v>56</v>
      </c>
      <c r="C11" s="135">
        <f>VLOOKUP(B11,'Baseline 2025 Non-W sectors'!$BX$4:$CI$50,3,FALSE)</f>
        <v>47</v>
      </c>
      <c r="D11" s="215">
        <f>VLOOKUP(B11,'Baseline 2025 Non-W sectors'!$BX$4:$CI$50,8,FALSE)</f>
        <v>11454.035931372549</v>
      </c>
      <c r="E11" s="216">
        <f>VLOOKUP(B11,'Baseline 2025 Non-W sectors'!$BX$4:$CI$50,9,FALSE)</f>
        <v>939465.76795686269</v>
      </c>
      <c r="F11" s="216">
        <f>VLOOKUP(B11,'Baseline 2025 Non-W sectors'!$BX$4:$CI$50,11,FALSE)</f>
        <v>299344.64690568525</v>
      </c>
      <c r="G11" s="216">
        <f>VLOOKUP(B11,'Baseline 2025 Non-W sectors'!$BX$4:$CI$50,12,FALSE)</f>
        <v>1238810.414862548</v>
      </c>
      <c r="N11" s="241"/>
      <c r="O11" s="241"/>
      <c r="P11" s="241"/>
    </row>
    <row r="12" spans="2:16" ht="15.75" thickBot="1" x14ac:dyDescent="0.3">
      <c r="B12" s="134" t="s">
        <v>58</v>
      </c>
      <c r="C12" s="135">
        <f>VLOOKUP(B12,'Baseline 2025 Non-W sectors'!$BX$4:$CI$50,3,FALSE)</f>
        <v>8</v>
      </c>
      <c r="D12" s="215">
        <f>VLOOKUP(B12,'Baseline 2025 Non-W sectors'!$BX$4:$CI$50,8,FALSE)</f>
        <v>316.40000000000003</v>
      </c>
      <c r="E12" s="216">
        <f>VLOOKUP(B12,'Baseline 2025 Non-W sectors'!$BX$4:$CI$50,9,FALSE)</f>
        <v>26617.907999999999</v>
      </c>
      <c r="F12" s="216">
        <f>VLOOKUP(B12,'Baseline 2025 Non-W sectors'!$BX$4:$CI$50,11,FALSE)</f>
        <v>494.81355932203388</v>
      </c>
      <c r="G12" s="216">
        <f>VLOOKUP(B12,'Baseline 2025 Non-W sectors'!$BX$4:$CI$50,12,FALSE)</f>
        <v>27112.721559322032</v>
      </c>
      <c r="N12" s="241"/>
      <c r="O12" s="241"/>
      <c r="P12" s="241"/>
    </row>
    <row r="13" spans="2:16" ht="30.75" thickBot="1" x14ac:dyDescent="0.3">
      <c r="B13" s="134" t="s">
        <v>60</v>
      </c>
      <c r="C13" s="135">
        <f>VLOOKUP(B13,'Baseline 2025 Non-W sectors'!$BX$4:$CI$50,3,FALSE)</f>
        <v>15</v>
      </c>
      <c r="D13" s="215">
        <f>VLOOKUP(B13,'Baseline 2025 Non-W sectors'!$BX$4:$CI$50,8,FALSE)</f>
        <v>12593.828571428568</v>
      </c>
      <c r="E13" s="216">
        <f>VLOOKUP(B13,'Baseline 2025 Non-W sectors'!$BX$4:$CI$50,9,FALSE)</f>
        <v>1006509.4135714285</v>
      </c>
      <c r="F13" s="216">
        <f>VLOOKUP(B13,'Baseline 2025 Non-W sectors'!$BX$4:$CI$50,11,FALSE)</f>
        <v>927.77542372881351</v>
      </c>
      <c r="G13" s="216">
        <f>VLOOKUP(B13,'Baseline 2025 Non-W sectors'!$BX$4:$CI$50,12,FALSE)</f>
        <v>1007437.1889951574</v>
      </c>
      <c r="N13" s="241"/>
      <c r="O13" s="241"/>
      <c r="P13" s="241"/>
    </row>
    <row r="14" spans="2:16" ht="15.75" thickBot="1" x14ac:dyDescent="0.3">
      <c r="B14" s="134" t="s">
        <v>61</v>
      </c>
      <c r="C14" s="135">
        <f>VLOOKUP(B14,'Baseline 2025 Non-W sectors'!$BX$4:$CI$50,3,FALSE)</f>
        <v>102</v>
      </c>
      <c r="D14" s="215">
        <f>VLOOKUP(B14,'Baseline 2025 Non-W sectors'!$BX$4:$CI$50,8,FALSE)</f>
        <v>4940.4886633663364</v>
      </c>
      <c r="E14" s="216">
        <f>VLOOKUP(B14,'Baseline 2025 Non-W sectors'!$BX$4:$CI$50,9,FALSE)</f>
        <v>406936.45205940591</v>
      </c>
      <c r="F14" s="216">
        <f>VLOOKUP(B14,'Baseline 2025 Non-W sectors'!$BX$4:$CI$50,11,FALSE)</f>
        <v>12930.06620238295</v>
      </c>
      <c r="G14" s="216">
        <f>VLOOKUP(B14,'Baseline 2025 Non-W sectors'!$BX$4:$CI$50,12,FALSE)</f>
        <v>419866.51826178888</v>
      </c>
      <c r="N14" s="241"/>
      <c r="O14" s="241"/>
      <c r="P14" s="241"/>
    </row>
    <row r="15" spans="2:16" ht="30.75" thickBot="1" x14ac:dyDescent="0.3">
      <c r="B15" s="134" t="s">
        <v>62</v>
      </c>
      <c r="C15" s="135">
        <f>VLOOKUP(B15,'Baseline 2025 Non-W sectors'!$BX$4:$CI$50,3,FALSE)</f>
        <v>5</v>
      </c>
      <c r="D15" s="215">
        <f>VLOOKUP(B15,'Baseline 2025 Non-W sectors'!$BX$4:$CI$50,8,FALSE)</f>
        <v>570</v>
      </c>
      <c r="E15" s="216">
        <f>VLOOKUP(B15,'Baseline 2025 Non-W sectors'!$BX$4:$CI$50,9,FALSE)</f>
        <v>46026.974999999999</v>
      </c>
      <c r="F15" s="216">
        <f>VLOOKUP(B15,'Baseline 2025 Non-W sectors'!$BX$4:$CI$50,11,FALSE)</f>
        <v>309.25847457627117</v>
      </c>
      <c r="G15" s="216">
        <f>VLOOKUP(B15,'Baseline 2025 Non-W sectors'!$BX$4:$CI$50,12,FALSE)</f>
        <v>46336.233474576271</v>
      </c>
      <c r="N15" s="241"/>
      <c r="O15" s="241"/>
      <c r="P15" s="241"/>
    </row>
    <row r="16" spans="2:16" ht="15.75" thickBot="1" x14ac:dyDescent="0.3">
      <c r="B16" s="134" t="s">
        <v>63</v>
      </c>
      <c r="C16" s="135">
        <f>VLOOKUP(B16,'Baseline 2025 Non-W sectors'!$BX$4:$CI$50,3,FALSE)</f>
        <v>115</v>
      </c>
      <c r="D16" s="215">
        <f>VLOOKUP(B16,'Baseline 2025 Non-W sectors'!$BX$4:$CI$50,8,FALSE)</f>
        <v>4900.4012387387384</v>
      </c>
      <c r="E16" s="216">
        <f>VLOOKUP(B16,'Baseline 2025 Non-W sectors'!$BX$4:$CI$50,9,FALSE)</f>
        <v>398515.66109909909</v>
      </c>
      <c r="F16" s="216">
        <f>VLOOKUP(B16,'Baseline 2025 Non-W sectors'!$BX$4:$CI$50,11,FALSE)</f>
        <v>58906.714810748927</v>
      </c>
      <c r="G16" s="216">
        <f>VLOOKUP(B16,'Baseline 2025 Non-W sectors'!$BX$4:$CI$50,12,FALSE)</f>
        <v>457422.37590984802</v>
      </c>
      <c r="N16" s="241"/>
      <c r="O16" s="241"/>
      <c r="P16" s="241"/>
    </row>
    <row r="17" spans="2:16" ht="30.75" thickBot="1" x14ac:dyDescent="0.3">
      <c r="B17" s="134" t="s">
        <v>65</v>
      </c>
      <c r="C17" s="135">
        <f>VLOOKUP(B17,'Baseline 2025 Non-W sectors'!$BX$4:$CI$50,3,FALSE)</f>
        <v>121</v>
      </c>
      <c r="D17" s="215">
        <f>VLOOKUP(B17,'Baseline 2025 Non-W sectors'!$BX$4:$CI$50,8,FALSE)</f>
        <v>2934.4706762295082</v>
      </c>
      <c r="E17" s="216">
        <f>VLOOKUP(B17,'Baseline 2025 Non-W sectors'!$BX$4:$CI$50,9,FALSE)</f>
        <v>245312.84461885242</v>
      </c>
      <c r="F17" s="216">
        <f>VLOOKUP(B17,'Baseline 2025 Non-W sectors'!$BX$4:$CI$50,11,FALSE)</f>
        <v>143055.87260350096</v>
      </c>
      <c r="G17" s="216">
        <f>VLOOKUP(B17,'Baseline 2025 Non-W sectors'!$BX$4:$CI$50,12,FALSE)</f>
        <v>388368.71722235339</v>
      </c>
      <c r="N17" s="241"/>
      <c r="O17" s="241"/>
      <c r="P17" s="241"/>
    </row>
    <row r="18" spans="2:16" ht="15.75" thickBot="1" x14ac:dyDescent="0.3">
      <c r="B18" s="134" t="s">
        <v>67</v>
      </c>
      <c r="C18" s="135">
        <f>VLOOKUP(B18,'Baseline 2025 Non-W sectors'!$BX$4:$CI$50,3,FALSE)</f>
        <v>11</v>
      </c>
      <c r="D18" s="215">
        <f>VLOOKUP(B18,'Baseline 2025 Non-W sectors'!$BX$4:$CI$50,8,FALSE)</f>
        <v>272.79999999999995</v>
      </c>
      <c r="E18" s="216">
        <f>VLOOKUP(B18,'Baseline 2025 Non-W sectors'!$BX$4:$CI$50,9,FALSE)</f>
        <v>23229.151000000002</v>
      </c>
      <c r="F18" s="216">
        <f>VLOOKUP(B18,'Baseline 2025 Non-W sectors'!$BX$4:$CI$50,11,FALSE)</f>
        <v>14349.593220338982</v>
      </c>
      <c r="G18" s="216">
        <f>VLOOKUP(B18,'Baseline 2025 Non-W sectors'!$BX$4:$CI$50,12,FALSE)</f>
        <v>37578.74422033898</v>
      </c>
      <c r="N18" s="241"/>
      <c r="O18" s="241"/>
      <c r="P18" s="241"/>
    </row>
    <row r="19" spans="2:16" ht="15.75" thickBot="1" x14ac:dyDescent="0.3">
      <c r="B19" s="134" t="s">
        <v>68</v>
      </c>
      <c r="C19" s="135">
        <f>VLOOKUP(B19,'Baseline 2025 Non-W sectors'!$BX$4:$CI$50,3,FALSE)</f>
        <v>68</v>
      </c>
      <c r="D19" s="215">
        <f>VLOOKUP(B19,'Baseline 2025 Non-W sectors'!$BX$4:$CI$50,8,FALSE)</f>
        <v>1909.5</v>
      </c>
      <c r="E19" s="216">
        <f>VLOOKUP(B19,'Baseline 2025 Non-W sectors'!$BX$4:$CI$50,9,FALSE)</f>
        <v>161542.46000000002</v>
      </c>
      <c r="F19" s="216">
        <f>VLOOKUP(B19,'Baseline 2025 Non-W sectors'!$BX$4:$CI$50,11,FALSE)</f>
        <v>4205.9152542372876</v>
      </c>
      <c r="G19" s="216">
        <f>VLOOKUP(B19,'Baseline 2025 Non-W sectors'!$BX$4:$CI$50,12,FALSE)</f>
        <v>165748.3752542373</v>
      </c>
      <c r="N19" s="241"/>
      <c r="O19" s="241"/>
      <c r="P19" s="241"/>
    </row>
    <row r="20" spans="2:16" ht="30.75" thickBot="1" x14ac:dyDescent="0.3">
      <c r="B20" s="134" t="s">
        <v>69</v>
      </c>
      <c r="C20" s="135">
        <f>VLOOKUP(B20,'Baseline 2025 Non-W sectors'!$BX$4:$CI$50,3,FALSE)</f>
        <v>8</v>
      </c>
      <c r="D20" s="215">
        <f>VLOOKUP(B20,'Baseline 2025 Non-W sectors'!$BX$4:$CI$50,8,FALSE)</f>
        <v>144.4</v>
      </c>
      <c r="E20" s="216">
        <f>VLOOKUP(B20,'Baseline 2025 Non-W sectors'!$BX$4:$CI$50,9,FALSE)</f>
        <v>11931.356</v>
      </c>
      <c r="F20" s="216">
        <f>VLOOKUP(B20,'Baseline 2025 Non-W sectors'!$BX$4:$CI$50,11,FALSE)</f>
        <v>494.81355932203388</v>
      </c>
      <c r="G20" s="216">
        <f>VLOOKUP(B20,'Baseline 2025 Non-W sectors'!$BX$4:$CI$50,12,FALSE)</f>
        <v>12426.169559322034</v>
      </c>
      <c r="N20" s="241"/>
      <c r="O20" s="241"/>
      <c r="P20" s="241"/>
    </row>
    <row r="21" spans="2:16" ht="30.75" thickBot="1" x14ac:dyDescent="0.3">
      <c r="B21" s="134" t="s">
        <v>70</v>
      </c>
      <c r="C21" s="135">
        <f>VLOOKUP(B21,'Baseline 2025 Non-W sectors'!$BX$4:$CI$50,3,FALSE)</f>
        <v>6</v>
      </c>
      <c r="D21" s="215">
        <f>VLOOKUP(B21,'Baseline 2025 Non-W sectors'!$BX$4:$CI$50,8,FALSE)</f>
        <v>54</v>
      </c>
      <c r="E21" s="216">
        <f>VLOOKUP(B21,'Baseline 2025 Non-W sectors'!$BX$4:$CI$50,9,FALSE)</f>
        <v>4196.6099999999997</v>
      </c>
      <c r="F21" s="216">
        <f>VLOOKUP(B21,'Baseline 2025 Non-W sectors'!$BX$4:$CI$50,11,FALSE)</f>
        <v>371.11016949152543</v>
      </c>
      <c r="G21" s="216">
        <f>VLOOKUP(B21,'Baseline 2025 Non-W sectors'!$BX$4:$CI$50,12,FALSE)</f>
        <v>4567.7201694915248</v>
      </c>
      <c r="N21" s="241"/>
      <c r="O21" s="241"/>
      <c r="P21" s="241"/>
    </row>
    <row r="22" spans="2:16" ht="30.75" thickBot="1" x14ac:dyDescent="0.3">
      <c r="B22" s="134" t="s">
        <v>71</v>
      </c>
      <c r="C22" s="135">
        <f>VLOOKUP(B22,'Baseline 2025 Non-W sectors'!$BX$4:$CI$50,3,FALSE)</f>
        <v>28</v>
      </c>
      <c r="D22" s="215">
        <f>VLOOKUP(B22,'Baseline 2025 Non-W sectors'!$BX$4:$CI$50,8,FALSE)</f>
        <v>907.01935483870966</v>
      </c>
      <c r="E22" s="216">
        <f>VLOOKUP(B22,'Baseline 2025 Non-W sectors'!$BX$4:$CI$50,9,FALSE)</f>
        <v>75317.34270967741</v>
      </c>
      <c r="F22" s="216">
        <f>VLOOKUP(B22,'Baseline 2025 Non-W sectors'!$BX$4:$CI$50,11,FALSE)</f>
        <v>258224.32444006618</v>
      </c>
      <c r="G22" s="216">
        <f>VLOOKUP(B22,'Baseline 2025 Non-W sectors'!$BX$4:$CI$50,12,FALSE)</f>
        <v>333541.66714974359</v>
      </c>
      <c r="N22" s="241"/>
      <c r="O22" s="241"/>
      <c r="P22" s="241"/>
    </row>
    <row r="23" spans="2:16" ht="30.75" thickBot="1" x14ac:dyDescent="0.3">
      <c r="B23" s="134" t="s">
        <v>74</v>
      </c>
      <c r="C23" s="135">
        <f>VLOOKUP(B23,'Baseline 2025 Non-W sectors'!$BX$4:$CI$50,3,FALSE)</f>
        <v>3000</v>
      </c>
      <c r="D23" s="135">
        <f>'Baseline 2025 Non-W sectors'!CE59</f>
        <v>2148941.5049313479</v>
      </c>
      <c r="E23" s="223">
        <f>'Baseline 2025 Non-W sectors'!CF59</f>
        <v>210845767.82643223</v>
      </c>
      <c r="F23" s="224">
        <f>'Baseline 2025 Non-W sectors'!CH59</f>
        <v>44955344.168793067</v>
      </c>
      <c r="G23" s="224">
        <f>'Baseline 2025 Non-W sectors'!CI59</f>
        <v>255801111.99522531</v>
      </c>
      <c r="I23" s="254" t="s">
        <v>292</v>
      </c>
      <c r="N23" s="241"/>
      <c r="O23" s="241"/>
      <c r="P23" s="241"/>
    </row>
    <row r="24" spans="2:16" ht="15.75" thickBot="1" x14ac:dyDescent="0.3">
      <c r="B24" s="134" t="s">
        <v>75</v>
      </c>
      <c r="C24" s="135">
        <f>VLOOKUP(B24,'Baseline 2025 Non-W sectors'!$BX$4:$CI$50,3,FALSE)</f>
        <v>74</v>
      </c>
      <c r="D24" s="215">
        <f>VLOOKUP(B24,'Baseline 2025 Non-W sectors'!$BX$4:$CI$50,8,FALSE)</f>
        <v>11065.402823529415</v>
      </c>
      <c r="E24" s="216">
        <f>VLOOKUP(B24,'Baseline 2025 Non-W sectors'!$BX$4:$CI$50,9,FALSE)</f>
        <v>892178.20889411774</v>
      </c>
      <c r="F24" s="216">
        <f>VLOOKUP(B24,'Baseline 2025 Non-W sectors'!$BX$4:$CI$50,11,FALSE)</f>
        <v>145727.59427716851</v>
      </c>
      <c r="G24" s="216">
        <f>VLOOKUP(B24,'Baseline 2025 Non-W sectors'!$BX$4:$CI$50,12,FALSE)</f>
        <v>1037905.8031712862</v>
      </c>
      <c r="N24" s="241"/>
      <c r="O24" s="241"/>
      <c r="P24" s="241"/>
    </row>
    <row r="25" spans="2:16" ht="15.75" thickBot="1" x14ac:dyDescent="0.3">
      <c r="B25" s="134" t="s">
        <v>77</v>
      </c>
      <c r="C25" s="135">
        <f>VLOOKUP(B25,'Baseline 2025 Non-W sectors'!$BX$4:$CI$50,3,FALSE)</f>
        <v>122</v>
      </c>
      <c r="D25" s="215">
        <f>VLOOKUP(B25,'Baseline 2025 Non-W sectors'!$BX$4:$CI$50,8,FALSE)</f>
        <v>6725.5550000000012</v>
      </c>
      <c r="E25" s="216">
        <f>VLOOKUP(B25,'Baseline 2025 Non-W sectors'!$BX$4:$CI$50,9,FALSE)</f>
        <v>553408.33129328373</v>
      </c>
      <c r="F25" s="216">
        <f>VLOOKUP(B25,'Baseline 2025 Non-W sectors'!$BX$4:$CI$50,11,FALSE)</f>
        <v>3522.2410554187913</v>
      </c>
      <c r="G25" s="216">
        <f>VLOOKUP(B25,'Baseline 2025 Non-W sectors'!$BX$4:$CI$50,12,FALSE)</f>
        <v>556930.57234870247</v>
      </c>
      <c r="N25" s="241"/>
      <c r="O25" s="241"/>
      <c r="P25" s="241"/>
    </row>
    <row r="26" spans="2:16" ht="15.75" thickBot="1" x14ac:dyDescent="0.3">
      <c r="B26" s="134" t="s">
        <v>79</v>
      </c>
      <c r="C26" s="135">
        <f>VLOOKUP(B26,'Baseline 2025 Non-W sectors'!$BX$4:$CI$50,3,FALSE)</f>
        <v>9</v>
      </c>
      <c r="D26" s="215">
        <f>VLOOKUP(B26,'Baseline 2025 Non-W sectors'!$BX$4:$CI$50,8,FALSE)</f>
        <v>90</v>
      </c>
      <c r="E26" s="216">
        <f>VLOOKUP(B26,'Baseline 2025 Non-W sectors'!$BX$4:$CI$50,9,FALSE)</f>
        <v>7554.5549999999994</v>
      </c>
      <c r="F26" s="216">
        <f>VLOOKUP(B26,'Baseline 2025 Non-W sectors'!$BX$4:$CI$50,11,FALSE)</f>
        <v>556.66525423728808</v>
      </c>
      <c r="G26" s="216">
        <f>VLOOKUP(B26,'Baseline 2025 Non-W sectors'!$BX$4:$CI$50,12,FALSE)</f>
        <v>8111.220254237287</v>
      </c>
      <c r="N26" s="241"/>
      <c r="O26" s="241"/>
      <c r="P26" s="241"/>
    </row>
    <row r="27" spans="2:16" ht="30.75" thickBot="1" x14ac:dyDescent="0.3">
      <c r="B27" s="134" t="s">
        <v>138</v>
      </c>
      <c r="C27" s="135">
        <f>VLOOKUP(B27,'Baseline 2025 Non-W sectors'!$BX$4:$CI$50,3,FALSE)</f>
        <v>98</v>
      </c>
      <c r="D27" s="215">
        <f>VLOOKUP(B27,'Baseline 2025 Non-W sectors'!$BX$4:$CI$50,8,FALSE)</f>
        <v>2784.5463106796119</v>
      </c>
      <c r="E27" s="216">
        <f>VLOOKUP(B27,'Baseline 2025 Non-W sectors'!$BX$4:$CI$50,9,FALSE)</f>
        <v>231468.60147572815</v>
      </c>
      <c r="F27" s="216">
        <f>VLOOKUP(B27,'Baseline 2025 Non-W sectors'!$BX$4:$CI$50,11,FALSE)</f>
        <v>29425.662711864406</v>
      </c>
      <c r="G27" s="216">
        <f>VLOOKUP(B27,'Baseline 2025 Non-W sectors'!$BX$4:$CI$50,12,FALSE)</f>
        <v>260894.26418759255</v>
      </c>
      <c r="N27" s="241"/>
      <c r="O27" s="241"/>
      <c r="P27" s="241"/>
    </row>
    <row r="28" spans="2:16" ht="30.75" thickBot="1" x14ac:dyDescent="0.3">
      <c r="B28" s="134" t="s">
        <v>81</v>
      </c>
      <c r="C28" s="135">
        <f>VLOOKUP(B28,'Baseline 2025 Non-W sectors'!$BX$4:$CI$50,3,FALSE)</f>
        <v>1</v>
      </c>
      <c r="D28" s="215">
        <f>VLOOKUP(B28,'Baseline 2025 Non-W sectors'!$BX$4:$CI$50,8,FALSE)</f>
        <v>15.5375</v>
      </c>
      <c r="E28" s="216">
        <f>VLOOKUP(B28,'Baseline 2025 Non-W sectors'!$BX$4:$CI$50,9,FALSE)</f>
        <v>1177.73</v>
      </c>
      <c r="F28" s="216">
        <f>VLOOKUP(B28,'Baseline 2025 Non-W sectors'!$BX$4:$CI$50,11,FALSE)</f>
        <v>284.51779661016951</v>
      </c>
      <c r="G28" s="216">
        <f>VLOOKUP(B28,'Baseline 2025 Non-W sectors'!$BX$4:$CI$50,12,FALSE)</f>
        <v>1462.2477966101696</v>
      </c>
      <c r="N28" s="241"/>
      <c r="O28" s="241"/>
      <c r="P28" s="241"/>
    </row>
    <row r="29" spans="2:16" ht="30.75" thickBot="1" x14ac:dyDescent="0.3">
      <c r="B29" s="134" t="s">
        <v>82</v>
      </c>
      <c r="C29" s="135">
        <f>VLOOKUP(B29,'Baseline 2025 Non-W sectors'!$BX$4:$CI$50,3,FALSE)</f>
        <v>4</v>
      </c>
      <c r="D29" s="215">
        <f>VLOOKUP(B29,'Baseline 2025 Non-W sectors'!$BX$4:$CI$50,8,FALSE)</f>
        <v>36.600000000000009</v>
      </c>
      <c r="E29" s="216">
        <f>VLOOKUP(B29,'Baseline 2025 Non-W sectors'!$BX$4:$CI$50,9,FALSE)</f>
        <v>2855.4730000000004</v>
      </c>
      <c r="F29" s="216">
        <f>VLOOKUP(B29,'Baseline 2025 Non-W sectors'!$BX$4:$CI$50,11,FALSE)</f>
        <v>2505.5559322033896</v>
      </c>
      <c r="G29" s="216">
        <f>VLOOKUP(B29,'Baseline 2025 Non-W sectors'!$BX$4:$CI$50,12,FALSE)</f>
        <v>5361.0289322033896</v>
      </c>
      <c r="N29" s="241"/>
      <c r="O29" s="241"/>
      <c r="P29" s="241"/>
    </row>
    <row r="30" spans="2:16" ht="45.75" thickBot="1" x14ac:dyDescent="0.3">
      <c r="B30" s="134" t="s">
        <v>83</v>
      </c>
      <c r="C30" s="135">
        <f>VLOOKUP(B30,'Baseline 2025 Non-W sectors'!$BX$4:$CI$50,3,FALSE)</f>
        <v>82</v>
      </c>
      <c r="D30" s="215">
        <f>VLOOKUP(B30,'Baseline 2025 Non-W sectors'!$BX$4:$CI$50,8,FALSE)</f>
        <v>3652.0818333333327</v>
      </c>
      <c r="E30" s="216">
        <f>VLOOKUP(B30,'Baseline 2025 Non-W sectors'!$BX$4:$CI$50,9,FALSE)</f>
        <v>291183.7429555555</v>
      </c>
      <c r="F30" s="216">
        <f>VLOOKUP(B30,'Baseline 2025 Non-W sectors'!$BX$4:$CI$50,11,FALSE)</f>
        <v>130544.97828965381</v>
      </c>
      <c r="G30" s="216">
        <f>VLOOKUP(B30,'Baseline 2025 Non-W sectors'!$BX$4:$CI$50,12,FALSE)</f>
        <v>421728.72124520934</v>
      </c>
      <c r="N30" s="241"/>
      <c r="O30" s="241"/>
      <c r="P30" s="241"/>
    </row>
    <row r="31" spans="2:16" ht="30.75" thickBot="1" x14ac:dyDescent="0.3">
      <c r="B31" s="134" t="s">
        <v>85</v>
      </c>
      <c r="C31" s="135">
        <f>VLOOKUP(B31,'Baseline 2025 Non-W sectors'!$BX$4:$CI$50,3,FALSE)</f>
        <v>6</v>
      </c>
      <c r="D31" s="215">
        <f>VLOOKUP(B31,'Baseline 2025 Non-W sectors'!$BX$4:$CI$50,8,FALSE)</f>
        <v>91.5</v>
      </c>
      <c r="E31" s="216">
        <f>VLOOKUP(B31,'Baseline 2025 Non-W sectors'!$BX$4:$CI$50,9,FALSE)</f>
        <v>6929.4899999999989</v>
      </c>
      <c r="F31" s="216">
        <f>VLOOKUP(B31,'Baseline 2025 Non-W sectors'!$BX$4:$CI$50,11,FALSE)</f>
        <v>3043.1033898305086</v>
      </c>
      <c r="G31" s="216">
        <f>VLOOKUP(B31,'Baseline 2025 Non-W sectors'!$BX$4:$CI$50,12,FALSE)</f>
        <v>9972.5933898305084</v>
      </c>
      <c r="N31" s="241"/>
      <c r="O31" s="241"/>
      <c r="P31" s="241"/>
    </row>
    <row r="32" spans="2:16" ht="30.75" thickBot="1" x14ac:dyDescent="0.3">
      <c r="B32" s="134" t="s">
        <v>86</v>
      </c>
      <c r="C32" s="135">
        <f>VLOOKUP(B32,'Baseline 2025 Non-W sectors'!$BX$4:$CI$50,3,FALSE)</f>
        <v>58</v>
      </c>
      <c r="D32" s="215">
        <f>VLOOKUP(B32,'Baseline 2025 Non-W sectors'!$BX$4:$CI$50,8,FALSE)</f>
        <v>4022.8205128205127</v>
      </c>
      <c r="E32" s="216">
        <f>VLOOKUP(B32,'Baseline 2025 Non-W sectors'!$BX$4:$CI$50,9,FALSE)</f>
        <v>329186.21282051277</v>
      </c>
      <c r="F32" s="216">
        <f>VLOOKUP(B32,'Baseline 2025 Non-W sectors'!$BX$4:$CI$50,11,FALSE)</f>
        <v>55429.066818774438</v>
      </c>
      <c r="G32" s="216">
        <f>VLOOKUP(B32,'Baseline 2025 Non-W sectors'!$BX$4:$CI$50,12,FALSE)</f>
        <v>384615.27963928721</v>
      </c>
      <c r="N32" s="241"/>
      <c r="O32" s="241"/>
      <c r="P32" s="241"/>
    </row>
    <row r="33" spans="2:16" ht="15.75" thickBot="1" x14ac:dyDescent="0.3">
      <c r="B33" s="134" t="s">
        <v>87</v>
      </c>
      <c r="C33" s="135">
        <f>VLOOKUP(B33,'Baseline 2025 Non-W sectors'!$BX$4:$CI$50,3,FALSE)</f>
        <v>6</v>
      </c>
      <c r="D33" s="215">
        <f>VLOOKUP(B33,'Baseline 2025 Non-W sectors'!$BX$4:$CI$50,8,FALSE)</f>
        <v>190.89000000000001</v>
      </c>
      <c r="E33" s="216">
        <f>VLOOKUP(B33,'Baseline 2025 Non-W sectors'!$BX$4:$CI$50,9,FALSE)</f>
        <v>16122.36</v>
      </c>
      <c r="F33" s="216">
        <f>VLOOKUP(B33,'Baseline 2025 Non-W sectors'!$BX$4:$CI$50,11,FALSE)</f>
        <v>10438.316949152542</v>
      </c>
      <c r="G33" s="216">
        <f>VLOOKUP(B33,'Baseline 2025 Non-W sectors'!$BX$4:$CI$50,12,FALSE)</f>
        <v>26560.676949152541</v>
      </c>
      <c r="N33" s="241"/>
      <c r="O33" s="241"/>
      <c r="P33" s="241"/>
    </row>
    <row r="34" spans="2:16" ht="15.75" thickBot="1" x14ac:dyDescent="0.3">
      <c r="B34" s="134" t="s">
        <v>88</v>
      </c>
      <c r="C34" s="135">
        <f>VLOOKUP(B34,'Baseline 2025 Non-W sectors'!$BX$4:$CI$50,3,FALSE)</f>
        <v>1131</v>
      </c>
      <c r="D34" s="215">
        <f>VLOOKUP(B34,'Baseline 2025 Non-W sectors'!$BX$4:$CI$50,8,FALSE)</f>
        <v>74146.676546140196</v>
      </c>
      <c r="E34" s="216">
        <f>VLOOKUP(B34,'Baseline 2025 Non-W sectors'!$BX$4:$CI$50,9,FALSE)</f>
        <v>5969330.1563238679</v>
      </c>
      <c r="F34" s="216">
        <f>VLOOKUP(B34,'Baseline 2025 Non-W sectors'!$BX$4:$CI$50,11,FALSE)</f>
        <v>2243666.1906706253</v>
      </c>
      <c r="G34" s="216">
        <f>VLOOKUP(B34,'Baseline 2025 Non-W sectors'!$BX$4:$CI$50,12,FALSE)</f>
        <v>8212996.3469944932</v>
      </c>
      <c r="N34" s="241"/>
      <c r="O34" s="241"/>
      <c r="P34" s="241"/>
    </row>
    <row r="35" spans="2:16" ht="15.75" thickBot="1" x14ac:dyDescent="0.3">
      <c r="B35" s="134" t="s">
        <v>91</v>
      </c>
      <c r="C35" s="135">
        <f>VLOOKUP(B35,'Baseline 2025 Non-W sectors'!$BX$4:$CI$50,3,FALSE)</f>
        <v>120</v>
      </c>
      <c r="D35" s="215">
        <f>VLOOKUP(B35,'Baseline 2025 Non-W sectors'!$BX$4:$CI$50,8,FALSE)</f>
        <v>3841.2631578947371</v>
      </c>
      <c r="E35" s="216">
        <f>VLOOKUP(B35,'Baseline 2025 Non-W sectors'!$BX$4:$CI$50,9,FALSE)</f>
        <v>322373.71789473685</v>
      </c>
      <c r="F35" s="216">
        <f>VLOOKUP(B35,'Baseline 2025 Non-W sectors'!$BX$4:$CI$50,11,FALSE)</f>
        <v>186767.88119638304</v>
      </c>
      <c r="G35" s="216">
        <f>VLOOKUP(B35,'Baseline 2025 Non-W sectors'!$BX$4:$CI$50,12,FALSE)</f>
        <v>509141.59909111989</v>
      </c>
      <c r="N35" s="241"/>
      <c r="O35" s="241"/>
      <c r="P35" s="241"/>
    </row>
    <row r="36" spans="2:16" ht="30.75" thickBot="1" x14ac:dyDescent="0.3">
      <c r="B36" s="134" t="s">
        <v>139</v>
      </c>
      <c r="C36" s="135">
        <f>VLOOKUP(B36,'Baseline 2025 Non-W sectors'!$BX$4:$CI$50,3,FALSE)</f>
        <v>1</v>
      </c>
      <c r="D36" s="215">
        <f>VLOOKUP(B36,'Baseline 2025 Non-W sectors'!$BX$4:$CI$50,8,FALSE)</f>
        <v>21.65</v>
      </c>
      <c r="E36" s="216">
        <f>VLOOKUP(B36,'Baseline 2025 Non-W sectors'!$BX$4:$CI$50,9,FALSE)</f>
        <v>1824.4362000000001</v>
      </c>
      <c r="F36" s="216">
        <f>VLOOKUP(B36,'Baseline 2025 Non-W sectors'!$BX$4:$CI$50,11,FALSE)</f>
        <v>61.851694915254235</v>
      </c>
      <c r="G36" s="216">
        <f>VLOOKUP(B36,'Baseline 2025 Non-W sectors'!$BX$4:$CI$50,12,FALSE)</f>
        <v>1886.2878949152544</v>
      </c>
      <c r="N36" s="241"/>
      <c r="O36" s="241"/>
      <c r="P36" s="241"/>
    </row>
    <row r="37" spans="2:16" ht="30.75" thickBot="1" x14ac:dyDescent="0.3">
      <c r="B37" s="134" t="s">
        <v>95</v>
      </c>
      <c r="C37" s="135">
        <f>VLOOKUP(B37,'Baseline 2025 Non-W sectors'!$BX$4:$CI$50,3,FALSE)</f>
        <v>274</v>
      </c>
      <c r="D37" s="215">
        <f>VLOOKUP(B37,'Baseline 2025 Non-W sectors'!$BX$4:$CI$50,8,FALSE)</f>
        <v>10576.4</v>
      </c>
      <c r="E37" s="216">
        <f>VLOOKUP(B37,'Baseline 2025 Non-W sectors'!$BX$4:$CI$50,9,FALSE)</f>
        <v>876514.51939999987</v>
      </c>
      <c r="F37" s="216">
        <f>VLOOKUP(B37,'Baseline 2025 Non-W sectors'!$BX$4:$CI$50,11,FALSE)</f>
        <v>16947.364406779659</v>
      </c>
      <c r="G37" s="216">
        <f>VLOOKUP(B37,'Baseline 2025 Non-W sectors'!$BX$4:$CI$50,12,FALSE)</f>
        <v>893461.88380677951</v>
      </c>
      <c r="N37" s="241"/>
      <c r="O37" s="241"/>
      <c r="P37" s="241"/>
    </row>
    <row r="38" spans="2:16" ht="30.75" thickBot="1" x14ac:dyDescent="0.3">
      <c r="B38" s="134" t="s">
        <v>96</v>
      </c>
      <c r="C38" s="135">
        <f>VLOOKUP(B38,'Baseline 2025 Non-W sectors'!$BX$4:$CI$50,3,FALSE)</f>
        <v>522</v>
      </c>
      <c r="D38" s="215">
        <f>VLOOKUP(B38,'Baseline 2025 Non-W sectors'!$BX$4:$CI$50,8,FALSE)</f>
        <v>8785.6320867768609</v>
      </c>
      <c r="E38" s="216">
        <f>VLOOKUP(B38,'Baseline 2025 Non-W sectors'!$BX$4:$CI$50,9,FALSE)</f>
        <v>735286.94154111575</v>
      </c>
      <c r="F38" s="216">
        <f>VLOOKUP(B38,'Baseline 2025 Non-W sectors'!$BX$4:$CI$50,11,FALSE)</f>
        <v>32286.58474576271</v>
      </c>
      <c r="G38" s="216">
        <f>VLOOKUP(B38,'Baseline 2025 Non-W sectors'!$BX$4:$CI$50,12,FALSE)</f>
        <v>767573.52628687851</v>
      </c>
      <c r="N38" s="241"/>
      <c r="O38" s="241"/>
      <c r="P38" s="241"/>
    </row>
    <row r="39" spans="2:16" ht="30.75" thickBot="1" x14ac:dyDescent="0.3">
      <c r="B39" s="134" t="s">
        <v>97</v>
      </c>
      <c r="C39" s="135">
        <f>VLOOKUP(B39,'Baseline 2025 Non-W sectors'!$BX$4:$CI$50,3,FALSE)</f>
        <v>150</v>
      </c>
      <c r="D39" s="215">
        <f>VLOOKUP(B39,'Baseline 2025 Non-W sectors'!$BX$4:$CI$50,8,FALSE)</f>
        <v>14309.169902912621</v>
      </c>
      <c r="E39" s="216">
        <f>VLOOKUP(B39,'Baseline 2025 Non-W sectors'!$BX$4:$CI$50,9,FALSE)</f>
        <v>1187657.9737864076</v>
      </c>
      <c r="F39" s="216">
        <f>VLOOKUP(B39,'Baseline 2025 Non-W sectors'!$BX$4:$CI$50,11,FALSE)</f>
        <v>9379.914110689615</v>
      </c>
      <c r="G39" s="216">
        <f>VLOOKUP(B39,'Baseline 2025 Non-W sectors'!$BX$4:$CI$50,12,FALSE)</f>
        <v>1197037.8878970973</v>
      </c>
      <c r="N39" s="241"/>
      <c r="O39" s="241"/>
      <c r="P39" s="241"/>
    </row>
    <row r="40" spans="2:16" ht="15.75" thickBot="1" x14ac:dyDescent="0.3">
      <c r="B40" s="134" t="s">
        <v>99</v>
      </c>
      <c r="C40" s="135">
        <f>VLOOKUP(B40,'Baseline 2025 Non-W sectors'!$BX$4:$CI$50,3,FALSE)</f>
        <v>160</v>
      </c>
      <c r="D40" s="215">
        <f>VLOOKUP(B40,'Baseline 2025 Non-W sectors'!$BX$4:$CI$50,8,FALSE)</f>
        <v>2095.32375</v>
      </c>
      <c r="E40" s="216">
        <f>VLOOKUP(B40,'Baseline 2025 Non-W sectors'!$BX$4:$CI$50,9,FALSE)</f>
        <v>168618.43949999998</v>
      </c>
      <c r="F40" s="216">
        <f>VLOOKUP(B40,'Baseline 2025 Non-W sectors'!$BX$4:$CI$50,11,FALSE)</f>
        <v>9896.2711864406774</v>
      </c>
      <c r="G40" s="216">
        <f>VLOOKUP(B40,'Baseline 2025 Non-W sectors'!$BX$4:$CI$50,12,FALSE)</f>
        <v>178514.71068644067</v>
      </c>
      <c r="N40" s="241"/>
      <c r="O40" s="241"/>
      <c r="P40" s="241"/>
    </row>
    <row r="41" spans="2:16" ht="45.75" thickBot="1" x14ac:dyDescent="0.3">
      <c r="B41" s="134" t="s">
        <v>101</v>
      </c>
      <c r="C41" s="135">
        <f>VLOOKUP(B41,'Baseline 2025 Non-W sectors'!$BX$4:$CI$50,3,FALSE)</f>
        <v>57</v>
      </c>
      <c r="D41" s="215">
        <f>VLOOKUP(B41,'Baseline 2025 Non-W sectors'!$BX$4:$CI$50,8,FALSE)</f>
        <v>3652.9162500000002</v>
      </c>
      <c r="E41" s="216">
        <f>VLOOKUP(B41,'Baseline 2025 Non-W sectors'!$BX$4:$CI$50,9,FALSE)</f>
        <v>296776.7415</v>
      </c>
      <c r="F41" s="216">
        <f>VLOOKUP(B41,'Baseline 2025 Non-W sectors'!$BX$4:$CI$50,11,FALSE)</f>
        <v>3525.5466101694915</v>
      </c>
      <c r="G41" s="216">
        <f>VLOOKUP(B41,'Baseline 2025 Non-W sectors'!$BX$4:$CI$50,12,FALSE)</f>
        <v>300302.28811016952</v>
      </c>
      <c r="N41" s="241"/>
      <c r="O41" s="241"/>
      <c r="P41" s="241"/>
    </row>
    <row r="42" spans="2:16" ht="45.75" thickBot="1" x14ac:dyDescent="0.3">
      <c r="B42" s="134" t="s">
        <v>103</v>
      </c>
      <c r="C42" s="135">
        <f>VLOOKUP(B42,'Baseline 2025 Non-W sectors'!$BX$4:$CI$50,3,FALSE)</f>
        <v>19</v>
      </c>
      <c r="D42" s="215">
        <f>VLOOKUP(B42,'Baseline 2025 Non-W sectors'!$BX$4:$CI$50,8,FALSE)</f>
        <v>7819.5555555555557</v>
      </c>
      <c r="E42" s="216">
        <f>VLOOKUP(B42,'Baseline 2025 Non-W sectors'!$BX$4:$CI$50,9,FALSE)</f>
        <v>1042964.8082655556</v>
      </c>
      <c r="F42" s="216">
        <f>VLOOKUP(B42,'Baseline 2025 Non-W sectors'!$BX$4:$CI$50,11,FALSE)</f>
        <v>41974.184557438792</v>
      </c>
      <c r="G42" s="216">
        <f>VLOOKUP(B42,'Baseline 2025 Non-W sectors'!$BX$4:$CI$50,12,FALSE)</f>
        <v>1084938.9928229945</v>
      </c>
      <c r="N42" s="241"/>
      <c r="O42" s="241"/>
      <c r="P42" s="241"/>
    </row>
    <row r="43" spans="2:16" ht="30.75" thickBot="1" x14ac:dyDescent="0.3">
      <c r="B43" s="134" t="s">
        <v>104</v>
      </c>
      <c r="C43" s="135">
        <f>VLOOKUP(B43,'Baseline 2025 Non-W sectors'!$BX$4:$CI$50,3,FALSE)</f>
        <v>5</v>
      </c>
      <c r="D43" s="215">
        <f>VLOOKUP(B43,'Baseline 2025 Non-W sectors'!$BX$4:$CI$50,8,FALSE)</f>
        <v>240.17499999999998</v>
      </c>
      <c r="E43" s="216">
        <f>VLOOKUP(B43,'Baseline 2025 Non-W sectors'!$BX$4:$CI$50,9,FALSE)</f>
        <v>19607.12</v>
      </c>
      <c r="F43" s="216">
        <f>VLOOKUP(B43,'Baseline 2025 Non-W sectors'!$BX$4:$CI$50,11,FALSE)</f>
        <v>309.25847457627117</v>
      </c>
      <c r="G43" s="216">
        <f>VLOOKUP(B43,'Baseline 2025 Non-W sectors'!$BX$4:$CI$50,12,FALSE)</f>
        <v>19916.378474576271</v>
      </c>
      <c r="N43" s="241"/>
      <c r="O43" s="241"/>
      <c r="P43" s="241"/>
    </row>
    <row r="44" spans="2:16" ht="15.75" thickBot="1" x14ac:dyDescent="0.3">
      <c r="B44" s="134" t="s">
        <v>106</v>
      </c>
      <c r="C44" s="135">
        <f>VLOOKUP(B44,'Baseline 2025 Non-W sectors'!$BX$4:$CI$50,3,FALSE)</f>
        <v>162</v>
      </c>
      <c r="D44" s="215">
        <f>VLOOKUP(B44,'Baseline 2025 Non-W sectors'!$BX$4:$CI$50,8,FALSE)</f>
        <v>8812.0239520958094</v>
      </c>
      <c r="E44" s="216">
        <f>VLOOKUP(B44,'Baseline 2025 Non-W sectors'!$BX$4:$CI$50,9,FALSE)</f>
        <v>716149.94658682635</v>
      </c>
      <c r="F44" s="216">
        <f>VLOOKUP(B44,'Baseline 2025 Non-W sectors'!$BX$4:$CI$50,11,FALSE)</f>
        <v>10088.024063200412</v>
      </c>
      <c r="G44" s="216">
        <f>VLOOKUP(B44,'Baseline 2025 Non-W sectors'!$BX$4:$CI$50,12,FALSE)</f>
        <v>726237.97065002681</v>
      </c>
      <c r="N44" s="241"/>
      <c r="O44" s="241"/>
      <c r="P44" s="241"/>
    </row>
    <row r="45" spans="2:16" ht="30.75" thickBot="1" x14ac:dyDescent="0.3">
      <c r="B45" s="134" t="s">
        <v>109</v>
      </c>
      <c r="C45" s="135">
        <f>VLOOKUP(B45,'Baseline 2025 Non-W sectors'!$BX$4:$CI$50,3,FALSE)</f>
        <v>79</v>
      </c>
      <c r="D45" s="215">
        <f>VLOOKUP(B45,'Baseline 2025 Non-W sectors'!$BX$4:$CI$50,8,FALSE)</f>
        <v>1003.390804597701</v>
      </c>
      <c r="E45" s="216">
        <f>VLOOKUP(B45,'Baseline 2025 Non-W sectors'!$BX$4:$CI$50,9,FALSE)</f>
        <v>80754.821551724119</v>
      </c>
      <c r="F45" s="216">
        <f>VLOOKUP(B45,'Baseline 2025 Non-W sectors'!$BX$4:$CI$50,11,FALSE)</f>
        <v>4758.8854477506266</v>
      </c>
      <c r="G45" s="216">
        <f>VLOOKUP(B45,'Baseline 2025 Non-W sectors'!$BX$4:$CI$50,12,FALSE)</f>
        <v>85513.706999474743</v>
      </c>
      <c r="N45" s="241"/>
      <c r="O45" s="241"/>
      <c r="P45" s="241"/>
    </row>
    <row r="46" spans="2:16" ht="45.75" thickBot="1" x14ac:dyDescent="0.3">
      <c r="B46" s="134" t="s">
        <v>111</v>
      </c>
      <c r="C46" s="135">
        <f>VLOOKUP(B46,'Baseline 2025 Non-W sectors'!$BX$4:$CI$50,3,FALSE)</f>
        <v>2</v>
      </c>
      <c r="D46" s="215">
        <f>VLOOKUP(B46,'Baseline 2025 Non-W sectors'!$BX$4:$CI$50,8,FALSE)</f>
        <v>27</v>
      </c>
      <c r="E46" s="216">
        <f>VLOOKUP(B46,'Baseline 2025 Non-W sectors'!$BX$4:$CI$50,9,FALSE)</f>
        <v>2083.56</v>
      </c>
      <c r="F46" s="216">
        <f>VLOOKUP(B46,'Baseline 2025 Non-W sectors'!$BX$4:$CI$50,11,FALSE)</f>
        <v>140.29955947136563</v>
      </c>
      <c r="G46" s="216">
        <f>VLOOKUP(B46,'Baseline 2025 Non-W sectors'!$BX$4:$CI$50,12,FALSE)</f>
        <v>2223.8595594713656</v>
      </c>
      <c r="N46" s="241"/>
      <c r="O46" s="241"/>
      <c r="P46" s="241"/>
    </row>
    <row r="47" spans="2:16" ht="15.75" thickBot="1" x14ac:dyDescent="0.3">
      <c r="B47" s="134" t="s">
        <v>112</v>
      </c>
      <c r="C47" s="135">
        <f>VLOOKUP(B47,'Baseline 2025 Non-W sectors'!$BX$4:$CI$50,3,FALSE)</f>
        <v>15</v>
      </c>
      <c r="D47" s="215">
        <f>VLOOKUP(B47,'Baseline 2025 Non-W sectors'!$BX$4:$CI$50,8,FALSE)</f>
        <v>504</v>
      </c>
      <c r="E47" s="216">
        <f>VLOOKUP(B47,'Baseline 2025 Non-W sectors'!$BX$4:$CI$50,9,FALSE)</f>
        <v>42499.5</v>
      </c>
      <c r="F47" s="216">
        <f>VLOOKUP(B47,'Baseline 2025 Non-W sectors'!$BX$4:$CI$50,11,FALSE)</f>
        <v>22097.18061674009</v>
      </c>
      <c r="G47" s="216">
        <f>VLOOKUP(B47,'Baseline 2025 Non-W sectors'!$BX$4:$CI$50,12,FALSE)</f>
        <v>64596.680616740094</v>
      </c>
      <c r="N47" s="241"/>
      <c r="O47" s="241"/>
      <c r="P47" s="241"/>
    </row>
    <row r="48" spans="2:16" ht="15.75" thickBot="1" x14ac:dyDescent="0.3">
      <c r="B48" s="134" t="s">
        <v>113</v>
      </c>
      <c r="C48" s="135">
        <f>VLOOKUP(B48,'Baseline 2025 Non-W sectors'!$BX$4:$CI$50,3,FALSE)</f>
        <v>1</v>
      </c>
      <c r="D48" s="215">
        <f>VLOOKUP(B48,'Baseline 2025 Non-W sectors'!$BX$4:$CI$50,8,FALSE)</f>
        <v>38</v>
      </c>
      <c r="E48" s="216">
        <f>VLOOKUP(B48,'Baseline 2025 Non-W sectors'!$BX$4:$CI$50,9,FALSE)</f>
        <v>3199.5079999999998</v>
      </c>
      <c r="F48" s="216">
        <f>VLOOKUP(B48,'Baseline 2025 Non-W sectors'!$BX$4:$CI$50,11,FALSE)</f>
        <v>70.149779735682813</v>
      </c>
      <c r="G48" s="216">
        <f>VLOOKUP(B48,'Baseline 2025 Non-W sectors'!$BX$4:$CI$50,12,FALSE)</f>
        <v>3269.6577797356827</v>
      </c>
      <c r="N48" s="241"/>
      <c r="O48" s="241"/>
      <c r="P48" s="241"/>
    </row>
    <row r="49" spans="2:16" ht="45.75" thickBot="1" x14ac:dyDescent="0.3">
      <c r="B49" s="134" t="s">
        <v>114</v>
      </c>
      <c r="C49" s="135">
        <f>VLOOKUP(B49,'Baseline 2025 Non-W sectors'!$BX$4:$CI$50,3,FALSE)</f>
        <v>6</v>
      </c>
      <c r="D49" s="215">
        <f>VLOOKUP(B49,'Baseline 2025 Non-W sectors'!$BX$4:$CI$50,8,FALSE)</f>
        <v>166.2</v>
      </c>
      <c r="E49" s="216">
        <f>VLOOKUP(B49,'Baseline 2025 Non-W sectors'!$BX$4:$CI$50,9,FALSE)</f>
        <v>13746.534000000001</v>
      </c>
      <c r="F49" s="216">
        <f>VLOOKUP(B49,'Baseline 2025 Non-W sectors'!$BX$4:$CI$50,11,FALSE)</f>
        <v>420.89867841409688</v>
      </c>
      <c r="G49" s="216">
        <f>VLOOKUP(B49,'Baseline 2025 Non-W sectors'!$BX$4:$CI$50,12,FALSE)</f>
        <v>14167.432678414098</v>
      </c>
      <c r="N49" s="241"/>
      <c r="O49" s="241"/>
      <c r="P49" s="241"/>
    </row>
    <row r="50" spans="2:16" ht="15.75" thickBot="1" x14ac:dyDescent="0.3">
      <c r="B50" s="134" t="s">
        <v>115</v>
      </c>
      <c r="C50" s="135">
        <f>VLOOKUP(B50,'Baseline 2025 Non-W sectors'!$BX$4:$CI$50,3,FALSE)</f>
        <v>25</v>
      </c>
      <c r="D50" s="215">
        <f>VLOOKUP(B50,'Baseline 2025 Non-W sectors'!$BX$4:$CI$50,8,FALSE)</f>
        <v>752.5</v>
      </c>
      <c r="E50" s="216">
        <f>VLOOKUP(B50,'Baseline 2025 Non-W sectors'!$BX$4:$CI$50,9,FALSE)</f>
        <v>63767.125</v>
      </c>
      <c r="F50" s="216">
        <f>VLOOKUP(B50,'Baseline 2025 Non-W sectors'!$BX$4:$CI$50,11,FALSE)</f>
        <v>1753.7444933920704</v>
      </c>
      <c r="G50" s="216">
        <f>VLOOKUP(B50,'Baseline 2025 Non-W sectors'!$BX$4:$CI$50,12,FALSE)</f>
        <v>65520.869493392071</v>
      </c>
      <c r="N50" s="241"/>
      <c r="O50" s="241"/>
      <c r="P50" s="241"/>
    </row>
    <row r="51" spans="2:16" ht="15.75" thickBot="1" x14ac:dyDescent="0.3">
      <c r="B51" s="136" t="s">
        <v>140</v>
      </c>
      <c r="C51" s="135">
        <f>'Baseline 2025 Non-W sectors'!BZ61</f>
        <v>8971</v>
      </c>
      <c r="D51" s="242">
        <f>SUM(D4:D50)</f>
        <v>2596244.2921892721</v>
      </c>
      <c r="E51" s="243">
        <f>SUM(E4:E50)</f>
        <v>247693714.8270261</v>
      </c>
      <c r="F51" s="243">
        <f>SUM(F4:F50)</f>
        <v>54990106.058797285</v>
      </c>
      <c r="G51" s="243">
        <f>SUM(G4:G50)</f>
        <v>302683820.88582343</v>
      </c>
    </row>
    <row r="52" spans="2:16" ht="15.75" thickBot="1" x14ac:dyDescent="0.3">
      <c r="B52" s="272" t="s">
        <v>303</v>
      </c>
      <c r="C52" s="273"/>
      <c r="D52" s="242">
        <f>ROUND(SUM(D4:D50),-4)</f>
        <v>2600000</v>
      </c>
      <c r="E52" s="243">
        <f>ROUND(SUM(E4:E50),-6)</f>
        <v>248000000</v>
      </c>
      <c r="F52" s="243">
        <f t="shared" ref="F52:G52" si="0">ROUND(SUM(F4:F50),-6)</f>
        <v>55000000</v>
      </c>
      <c r="G52" s="243">
        <f t="shared" si="0"/>
        <v>303000000</v>
      </c>
    </row>
    <row r="53" spans="2:16" x14ac:dyDescent="0.25">
      <c r="B53" s="174" t="s">
        <v>141</v>
      </c>
    </row>
  </sheetData>
  <sheetProtection algorithmName="SHA-512" hashValue="s1vej0F2ua7CaF73NxjQNCrNLN5VawSnQUPrroQH6hFT1H39TtvKDY/RA2Cg0Lv5nLi5V+FLSs0ZaZmsvo3MEg==" saltValue="26UskPq4C7DQvrfF8zlg2A==" spinCount="100000" sheet="1" objects="1" scenarios="1"/>
  <mergeCells count="1">
    <mergeCell ref="B52:C5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E24B82-30C8-4788-B7EF-742FBB2E089B}">
  <sheetPr>
    <tabColor theme="4" tint="0.79998168889431442"/>
  </sheetPr>
  <dimension ref="B2:H19"/>
  <sheetViews>
    <sheetView topLeftCell="A3" workbookViewId="0">
      <selection activeCell="C15" sqref="C15:G15"/>
    </sheetView>
  </sheetViews>
  <sheetFormatPr defaultRowHeight="15" x14ac:dyDescent="0.25"/>
  <cols>
    <col min="2" max="2" width="25" customWidth="1"/>
    <col min="3" max="3" width="12.85546875" customWidth="1"/>
    <col min="4" max="4" width="13.140625" customWidth="1"/>
    <col min="5" max="5" width="15.7109375" customWidth="1"/>
    <col min="6" max="6" width="12.5703125" customWidth="1"/>
    <col min="7" max="7" width="20.28515625" customWidth="1"/>
  </cols>
  <sheetData>
    <row r="2" spans="2:7" x14ac:dyDescent="0.25">
      <c r="B2" s="128" t="s">
        <v>142</v>
      </c>
    </row>
    <row r="3" spans="2:7" ht="15.75" thickBot="1" x14ac:dyDescent="0.3"/>
    <row r="4" spans="2:7" x14ac:dyDescent="0.25">
      <c r="B4" s="115"/>
      <c r="C4" s="116" t="s">
        <v>143</v>
      </c>
      <c r="D4" s="116" t="s">
        <v>144</v>
      </c>
      <c r="E4" s="116" t="s">
        <v>145</v>
      </c>
      <c r="F4" s="116" t="s">
        <v>129</v>
      </c>
      <c r="G4" s="116" t="s">
        <v>146</v>
      </c>
    </row>
    <row r="5" spans="2:7" x14ac:dyDescent="0.25">
      <c r="B5" s="117" t="s">
        <v>147</v>
      </c>
      <c r="C5" s="118"/>
      <c r="D5" s="119"/>
      <c r="E5" s="118"/>
      <c r="F5" s="120"/>
      <c r="G5" s="120"/>
    </row>
    <row r="6" spans="2:7" x14ac:dyDescent="0.25">
      <c r="B6" s="121" t="s">
        <v>124</v>
      </c>
      <c r="C6" s="238">
        <f>'Baseline 2025 Non-W sectors'!BZ61</f>
        <v>8971</v>
      </c>
      <c r="D6" s="238">
        <f t="shared" ref="D6:D16" si="0">C6</f>
        <v>8971</v>
      </c>
      <c r="E6" s="238">
        <f t="shared" ref="E6:E16" si="1">C6</f>
        <v>8971</v>
      </c>
      <c r="F6" s="239" t="s">
        <v>148</v>
      </c>
      <c r="G6" s="238">
        <f>C6</f>
        <v>8971</v>
      </c>
    </row>
    <row r="7" spans="2:7" x14ac:dyDescent="0.25">
      <c r="B7" s="121" t="s">
        <v>149</v>
      </c>
      <c r="C7" s="256">
        <f>-'Baseline 2025 Non-W sectors'!CE61</f>
        <v>-2596244.2921892721</v>
      </c>
      <c r="D7" s="256">
        <f t="shared" si="0"/>
        <v>-2596244.2921892721</v>
      </c>
      <c r="E7" s="256">
        <f t="shared" si="1"/>
        <v>-2596244.2921892721</v>
      </c>
      <c r="F7" s="256">
        <f>SUM(C7:E7)</f>
        <v>-7788732.8765678164</v>
      </c>
      <c r="G7" s="256">
        <f>AVERAGE(C7:E7)</f>
        <v>-2596244.2921892721</v>
      </c>
    </row>
    <row r="8" spans="2:7" x14ac:dyDescent="0.25">
      <c r="B8" s="121" t="s">
        <v>150</v>
      </c>
      <c r="C8" s="152">
        <f>-'Baseline 2025 Non-W sectors'!CF61</f>
        <v>-247693714.8270261</v>
      </c>
      <c r="D8" s="152">
        <f t="shared" si="0"/>
        <v>-247693714.8270261</v>
      </c>
      <c r="E8" s="152">
        <f t="shared" si="1"/>
        <v>-247693714.8270261</v>
      </c>
      <c r="F8" s="152">
        <f>SUM(C8:E8)</f>
        <v>-743081144.48107827</v>
      </c>
      <c r="G8" s="152">
        <f>AVERAGE(C8:E8)</f>
        <v>-247693714.8270261</v>
      </c>
    </row>
    <row r="9" spans="2:7" ht="22.5" x14ac:dyDescent="0.25">
      <c r="B9" s="122" t="s">
        <v>151</v>
      </c>
      <c r="C9" s="152">
        <f>-'Baseline 2025 Non-W sectors'!CH61</f>
        <v>-54990106.058797285</v>
      </c>
      <c r="D9" s="152">
        <f t="shared" si="0"/>
        <v>-54990106.058797285</v>
      </c>
      <c r="E9" s="152">
        <f t="shared" si="1"/>
        <v>-54990106.058797285</v>
      </c>
      <c r="F9" s="152">
        <f>SUM(C9:E9)</f>
        <v>-164970318.17639184</v>
      </c>
      <c r="G9" s="152">
        <f>AVERAGE(C9:E9)</f>
        <v>-54990106.058797278</v>
      </c>
    </row>
    <row r="10" spans="2:7" x14ac:dyDescent="0.25">
      <c r="B10" s="122" t="s">
        <v>152</v>
      </c>
      <c r="C10" s="152">
        <f>SUM(C8:C9)</f>
        <v>-302683820.88582337</v>
      </c>
      <c r="D10" s="152">
        <f t="shared" si="0"/>
        <v>-302683820.88582337</v>
      </c>
      <c r="E10" s="152">
        <f t="shared" si="1"/>
        <v>-302683820.88582337</v>
      </c>
      <c r="F10" s="152">
        <f>SUM(F8:F9)</f>
        <v>-908051462.65747011</v>
      </c>
      <c r="G10" s="152">
        <f>AVERAGE(C10:E10)</f>
        <v>-302683820.88582337</v>
      </c>
    </row>
    <row r="11" spans="2:7" x14ac:dyDescent="0.25">
      <c r="B11" s="123" t="s">
        <v>153</v>
      </c>
      <c r="C11" s="124"/>
      <c r="D11" s="124">
        <f t="shared" si="0"/>
        <v>0</v>
      </c>
      <c r="E11" s="124">
        <f t="shared" si="1"/>
        <v>0</v>
      </c>
      <c r="F11" s="125"/>
      <c r="G11" s="125"/>
    </row>
    <row r="12" spans="2:7" x14ac:dyDescent="0.25">
      <c r="B12" s="121" t="s">
        <v>154</v>
      </c>
      <c r="C12" s="256">
        <v>-10400</v>
      </c>
      <c r="D12" s="256">
        <f t="shared" si="0"/>
        <v>-10400</v>
      </c>
      <c r="E12" s="256">
        <f t="shared" si="1"/>
        <v>-10400</v>
      </c>
      <c r="F12" s="256">
        <v>-31200</v>
      </c>
      <c r="G12" s="256">
        <f>AVERAGE(C12:E12)</f>
        <v>-10400</v>
      </c>
    </row>
    <row r="13" spans="2:7" x14ac:dyDescent="0.25">
      <c r="B13" s="121" t="s">
        <v>155</v>
      </c>
      <c r="C13" s="152">
        <v>-705744</v>
      </c>
      <c r="D13" s="152">
        <f t="shared" si="0"/>
        <v>-705744</v>
      </c>
      <c r="E13" s="152">
        <f t="shared" si="1"/>
        <v>-705744</v>
      </c>
      <c r="F13" s="152">
        <v>-2117232</v>
      </c>
      <c r="G13" s="152">
        <f>AVERAGE(C13:E13)</f>
        <v>-705744</v>
      </c>
    </row>
    <row r="14" spans="2:7" ht="22.5" x14ac:dyDescent="0.25">
      <c r="B14" s="122" t="s">
        <v>156</v>
      </c>
      <c r="C14" s="152">
        <v>-3900000</v>
      </c>
      <c r="D14" s="152">
        <f t="shared" si="0"/>
        <v>-3900000</v>
      </c>
      <c r="E14" s="152">
        <f t="shared" si="1"/>
        <v>-3900000</v>
      </c>
      <c r="F14" s="152">
        <v>-11700000</v>
      </c>
      <c r="G14" s="152">
        <f>AVERAGE(C14:E14)</f>
        <v>-3900000</v>
      </c>
    </row>
    <row r="15" spans="2:7" ht="22.5" x14ac:dyDescent="0.25">
      <c r="B15" s="126" t="s">
        <v>157</v>
      </c>
      <c r="C15" s="256">
        <f>SUM(C7,C12)</f>
        <v>-2606644.2921892721</v>
      </c>
      <c r="D15" s="256">
        <f t="shared" si="0"/>
        <v>-2606644.2921892721</v>
      </c>
      <c r="E15" s="256">
        <f t="shared" si="1"/>
        <v>-2606644.2921892721</v>
      </c>
      <c r="F15" s="256">
        <f>SUM(F7,F12)</f>
        <v>-7819932.8765678164</v>
      </c>
      <c r="G15" s="256">
        <f>AVERAGE(C15:E15)</f>
        <v>-2606644.2921892721</v>
      </c>
    </row>
    <row r="16" spans="2:7" ht="23.25" thickBot="1" x14ac:dyDescent="0.3">
      <c r="B16" s="127" t="s">
        <v>158</v>
      </c>
      <c r="C16" s="153">
        <f>SUM(C10,C13,C14)</f>
        <v>-307289564.88582337</v>
      </c>
      <c r="D16" s="153">
        <f t="shared" si="0"/>
        <v>-307289564.88582337</v>
      </c>
      <c r="E16" s="153">
        <f t="shared" si="1"/>
        <v>-307289564.88582337</v>
      </c>
      <c r="F16" s="153">
        <f>SUM(F10,F13,F14)</f>
        <v>-921868694.65747011</v>
      </c>
      <c r="G16" s="153">
        <f>SUM(G10,G13,G14)</f>
        <v>-307289564.88582337</v>
      </c>
    </row>
    <row r="19" spans="7:8" x14ac:dyDescent="0.25">
      <c r="G19" s="154">
        <f>SUM(G9,G14)</f>
        <v>-58890106.058797278</v>
      </c>
      <c r="H19" t="s">
        <v>159</v>
      </c>
    </row>
  </sheetData>
  <sheetProtection algorithmName="SHA-512" hashValue="3HWIj+TUDUZfifsZGNufFJrriuCT7EjRFqJAhg+C48LdUgTnlPhLZpQ5Ue6WsCjAsT+d/Hsp2asinOOKliwinw==" saltValue="1TnP5JolsAuS7Cb9uAH/Yw==" spinCount="100000" sheet="1" objects="1" scenarios="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E561A9-85BC-4A03-B030-D57A8F4FFBC8}">
  <sheetPr>
    <tabColor theme="4" tint="0.79998168889431442"/>
  </sheetPr>
  <dimension ref="B2:V11"/>
  <sheetViews>
    <sheetView topLeftCell="H1" workbookViewId="0">
      <selection activeCell="M5" sqref="M5"/>
    </sheetView>
  </sheetViews>
  <sheetFormatPr defaultRowHeight="15" x14ac:dyDescent="0.25"/>
  <cols>
    <col min="1" max="1" width="0" hidden="1" customWidth="1"/>
    <col min="2" max="2" width="9.140625" hidden="1" customWidth="1"/>
    <col min="3" max="5" width="0" hidden="1" customWidth="1"/>
    <col min="6" max="6" width="24" hidden="1" customWidth="1"/>
    <col min="7" max="7" width="0" hidden="1" customWidth="1"/>
    <col min="9" max="9" width="28.85546875" customWidth="1"/>
    <col min="10" max="10" width="12.85546875" customWidth="1"/>
    <col min="12" max="12" width="13.7109375" customWidth="1"/>
    <col min="13" max="13" width="12.85546875" customWidth="1"/>
    <col min="14" max="14" width="19.140625" customWidth="1"/>
  </cols>
  <sheetData>
    <row r="2" spans="2:22" x14ac:dyDescent="0.25">
      <c r="B2" t="s">
        <v>160</v>
      </c>
    </row>
    <row r="3" spans="2:22" x14ac:dyDescent="0.25">
      <c r="B3" t="s">
        <v>161</v>
      </c>
      <c r="I3" s="128" t="s">
        <v>162</v>
      </c>
    </row>
    <row r="4" spans="2:22" ht="75.75" thickBot="1" x14ac:dyDescent="0.3">
      <c r="B4" s="108" t="s">
        <v>163</v>
      </c>
      <c r="C4" s="109" t="s">
        <v>164</v>
      </c>
      <c r="D4" s="109" t="s">
        <v>165</v>
      </c>
      <c r="E4" s="109" t="s">
        <v>166</v>
      </c>
      <c r="F4" s="109" t="s">
        <v>167</v>
      </c>
      <c r="G4" s="110" t="s">
        <v>168</v>
      </c>
      <c r="I4" s="137" t="s">
        <v>163</v>
      </c>
      <c r="J4" s="137" t="s">
        <v>164</v>
      </c>
      <c r="K4" s="137" t="s">
        <v>165</v>
      </c>
      <c r="L4" s="137" t="s">
        <v>169</v>
      </c>
      <c r="M4" s="137" t="s">
        <v>170</v>
      </c>
      <c r="N4" s="137" t="s">
        <v>171</v>
      </c>
    </row>
    <row r="5" spans="2:22" ht="108" x14ac:dyDescent="0.25">
      <c r="B5" s="114" t="s">
        <v>172</v>
      </c>
      <c r="C5" s="111">
        <v>1</v>
      </c>
      <c r="D5" s="113">
        <v>24960</v>
      </c>
      <c r="E5" s="111" t="s">
        <v>173</v>
      </c>
      <c r="F5" s="74">
        <v>8400000</v>
      </c>
      <c r="G5" s="112" t="s">
        <v>174</v>
      </c>
      <c r="I5" s="137" t="s">
        <v>172</v>
      </c>
      <c r="J5" s="175">
        <v>1</v>
      </c>
      <c r="K5" s="176">
        <f>-D5*5/12</f>
        <v>-10400</v>
      </c>
      <c r="L5" s="177">
        <f>K5*67.86</f>
        <v>-705744</v>
      </c>
      <c r="M5" s="177">
        <f>-F5*5/12*CEPCI_Ratio</f>
        <v>-3936016.9491525423</v>
      </c>
      <c r="N5" s="178">
        <f>SUM(L5:M5)</f>
        <v>-4641760.9491525423</v>
      </c>
    </row>
    <row r="6" spans="2:22" x14ac:dyDescent="0.25">
      <c r="B6" s="244"/>
      <c r="C6" s="245"/>
      <c r="D6" s="246"/>
      <c r="E6" s="245"/>
      <c r="F6" s="74"/>
      <c r="G6" s="245"/>
      <c r="I6" s="245" t="s">
        <v>303</v>
      </c>
      <c r="J6" s="119"/>
      <c r="K6" s="247"/>
      <c r="L6" s="248">
        <f>ROUND(L5,-3)</f>
        <v>-706000</v>
      </c>
      <c r="M6" s="248">
        <f>ROUND(M5,-4)</f>
        <v>-3940000</v>
      </c>
      <c r="N6" s="248">
        <f>ROUND(N5,-4)</f>
        <v>-4640000</v>
      </c>
    </row>
    <row r="7" spans="2:22" ht="30.75" customHeight="1" x14ac:dyDescent="0.25">
      <c r="B7" s="276" t="s">
        <v>175</v>
      </c>
      <c r="C7" s="276"/>
      <c r="D7" s="276"/>
      <c r="E7" s="276"/>
      <c r="F7" s="276"/>
      <c r="G7" s="276"/>
      <c r="I7" s="255" t="s">
        <v>308</v>
      </c>
    </row>
    <row r="8" spans="2:22" ht="30.75" customHeight="1" x14ac:dyDescent="0.25">
      <c r="B8" s="277" t="s">
        <v>176</v>
      </c>
      <c r="C8" s="277"/>
      <c r="D8" s="277"/>
      <c r="E8" s="277"/>
      <c r="F8" s="277"/>
      <c r="G8" s="277"/>
      <c r="I8" s="255" t="s">
        <v>309</v>
      </c>
    </row>
    <row r="9" spans="2:22" ht="47.25" customHeight="1" x14ac:dyDescent="0.25">
      <c r="B9" s="277" t="s">
        <v>177</v>
      </c>
      <c r="C9" s="277"/>
      <c r="D9" s="277"/>
      <c r="E9" s="277"/>
      <c r="F9" s="277"/>
      <c r="G9" s="277"/>
      <c r="I9" s="275" t="s">
        <v>310</v>
      </c>
      <c r="J9" s="275"/>
      <c r="K9" s="275"/>
      <c r="L9" s="275"/>
      <c r="M9" s="275"/>
      <c r="N9" s="275"/>
      <c r="O9" s="275"/>
      <c r="P9" s="275"/>
      <c r="Q9" s="275"/>
      <c r="R9" s="275"/>
      <c r="S9" s="275"/>
      <c r="T9" s="275"/>
      <c r="U9" s="275"/>
      <c r="V9" s="275"/>
    </row>
    <row r="10" spans="2:22" ht="30.75" customHeight="1" x14ac:dyDescent="0.25">
      <c r="B10" s="277" t="s">
        <v>178</v>
      </c>
      <c r="C10" s="277"/>
      <c r="D10" s="277"/>
      <c r="E10" s="277"/>
      <c r="F10" s="277"/>
      <c r="G10" s="277"/>
      <c r="I10" s="255" t="s">
        <v>311</v>
      </c>
    </row>
    <row r="11" spans="2:22" ht="30.75" customHeight="1" x14ac:dyDescent="0.25">
      <c r="B11" s="274" t="s">
        <v>179</v>
      </c>
      <c r="C11" s="274"/>
      <c r="D11" s="274"/>
      <c r="E11" s="274"/>
      <c r="F11" s="274"/>
      <c r="G11" s="274"/>
    </row>
  </sheetData>
  <sheetProtection algorithmName="SHA-512" hashValue="h/9lD6h7dyzzUsy0y6p3K027DEtkt8qj38+mW0anhf/Cq5SJUqIyyhIeAWzl9bMcpRHxincpEzaAVMLUdTt9dA==" saltValue="I5DnQF+G97/GhJz2r/V95Q==" spinCount="100000" sheet="1" objects="1" scenarios="1"/>
  <mergeCells count="6">
    <mergeCell ref="B11:G11"/>
    <mergeCell ref="I9:V9"/>
    <mergeCell ref="B7:G7"/>
    <mergeCell ref="B8:G8"/>
    <mergeCell ref="B9:G9"/>
    <mergeCell ref="B10:G10"/>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0BCE-36A8-416F-AEED-7B5A39E01E7A}">
  <sheetPr>
    <tabColor theme="4" tint="0.39997558519241921"/>
  </sheetPr>
  <dimension ref="A1"/>
  <sheetViews>
    <sheetView topLeftCell="A37" workbookViewId="0"/>
  </sheetViews>
  <sheetFormatPr defaultRowHeight="15" x14ac:dyDescent="0.25"/>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10ED4-2B25-4FD4-A9DE-E84610E19BBE}">
  <dimension ref="B2:O59"/>
  <sheetViews>
    <sheetView topLeftCell="A3" workbookViewId="0">
      <selection activeCell="F12" sqref="F12"/>
    </sheetView>
  </sheetViews>
  <sheetFormatPr defaultRowHeight="15" x14ac:dyDescent="0.25"/>
  <cols>
    <col min="2" max="2" width="13" customWidth="1"/>
    <col min="3" max="3" width="18.5703125" customWidth="1"/>
    <col min="4" max="4" width="18" customWidth="1"/>
    <col min="5" max="5" width="19.28515625" customWidth="1"/>
    <col min="6" max="6" width="15" customWidth="1"/>
    <col min="7" max="7" width="12.5703125" bestFit="1" customWidth="1"/>
    <col min="8" max="8" width="13.42578125" customWidth="1"/>
    <col min="9" max="9" width="43.42578125" customWidth="1"/>
    <col min="10" max="10" width="29.140625" hidden="1" customWidth="1"/>
    <col min="12" max="12" width="13.42578125" bestFit="1" customWidth="1"/>
    <col min="13" max="13" width="15" bestFit="1" customWidth="1"/>
  </cols>
  <sheetData>
    <row r="2" spans="2:15" ht="15.75" thickBot="1" x14ac:dyDescent="0.3">
      <c r="L2" t="s">
        <v>180</v>
      </c>
    </row>
    <row r="3" spans="2:15" ht="15.75" thickBot="1" x14ac:dyDescent="0.3">
      <c r="B3" s="280" t="s">
        <v>181</v>
      </c>
      <c r="C3" s="280" t="s">
        <v>182</v>
      </c>
      <c r="D3" s="282" t="s">
        <v>183</v>
      </c>
      <c r="E3" s="283"/>
      <c r="F3" s="283"/>
      <c r="G3" s="283"/>
      <c r="H3" s="284"/>
      <c r="L3" s="102">
        <v>2021</v>
      </c>
      <c r="M3" s="103">
        <v>708</v>
      </c>
    </row>
    <row r="4" spans="2:15" ht="34.5" thickBot="1" x14ac:dyDescent="0.3">
      <c r="B4" s="281"/>
      <c r="C4" s="281"/>
      <c r="D4" s="92" t="s">
        <v>184</v>
      </c>
      <c r="E4" s="92" t="s">
        <v>185</v>
      </c>
      <c r="F4" s="92" t="s">
        <v>186</v>
      </c>
      <c r="G4" s="92" t="s">
        <v>187</v>
      </c>
      <c r="H4" s="92" t="s">
        <v>188</v>
      </c>
      <c r="L4" s="102">
        <v>2022</v>
      </c>
      <c r="M4" s="103">
        <v>816</v>
      </c>
    </row>
    <row r="5" spans="2:15" ht="23.25" thickBot="1" x14ac:dyDescent="0.3">
      <c r="B5" s="285" t="s">
        <v>189</v>
      </c>
      <c r="C5" s="93" t="s">
        <v>190</v>
      </c>
      <c r="D5" s="94" t="s">
        <v>191</v>
      </c>
      <c r="E5" s="101">
        <v>51.87</v>
      </c>
      <c r="F5" s="95">
        <v>0.42299999999999999</v>
      </c>
      <c r="G5" s="96">
        <v>0.17</v>
      </c>
      <c r="H5" s="179">
        <v>82.63</v>
      </c>
      <c r="I5" s="180"/>
      <c r="J5" t="s">
        <v>192</v>
      </c>
      <c r="L5" s="102">
        <v>2023</v>
      </c>
      <c r="M5" s="103">
        <v>797.9</v>
      </c>
      <c r="O5" t="s">
        <v>193</v>
      </c>
    </row>
    <row r="6" spans="2:15" ht="34.5" thickBot="1" x14ac:dyDescent="0.3">
      <c r="B6" s="286"/>
      <c r="C6" s="93" t="s">
        <v>194</v>
      </c>
      <c r="D6" s="94" t="s">
        <v>195</v>
      </c>
      <c r="E6" s="101">
        <v>62.11</v>
      </c>
      <c r="F6" s="95">
        <v>0.42299999999999999</v>
      </c>
      <c r="G6" s="96">
        <v>0.17</v>
      </c>
      <c r="H6" s="179">
        <v>98.94</v>
      </c>
      <c r="I6" s="105"/>
      <c r="L6" s="102">
        <v>2024</v>
      </c>
      <c r="M6" s="103">
        <v>796.2</v>
      </c>
      <c r="O6">
        <f>M6/M3</f>
        <v>1.1245762711864407</v>
      </c>
    </row>
    <row r="7" spans="2:15" ht="23.25" thickBot="1" x14ac:dyDescent="0.3">
      <c r="B7" s="286"/>
      <c r="C7" s="93" t="s">
        <v>196</v>
      </c>
      <c r="D7" s="98" t="s">
        <v>197</v>
      </c>
      <c r="E7" s="101">
        <v>23.12</v>
      </c>
      <c r="F7" s="95">
        <v>0.42299999999999999</v>
      </c>
      <c r="G7" s="96">
        <v>0.17</v>
      </c>
      <c r="H7" s="179">
        <v>36.83</v>
      </c>
      <c r="I7" s="105"/>
      <c r="J7" t="s">
        <v>198</v>
      </c>
    </row>
    <row r="8" spans="2:15" ht="15.75" thickBot="1" x14ac:dyDescent="0.3">
      <c r="B8" s="281"/>
      <c r="C8" s="93" t="s">
        <v>199</v>
      </c>
      <c r="D8" s="94" t="s">
        <v>200</v>
      </c>
      <c r="E8" s="101">
        <v>87.86</v>
      </c>
      <c r="F8" s="95">
        <v>0.42299999999999999</v>
      </c>
      <c r="G8" s="96">
        <v>0.17</v>
      </c>
      <c r="H8" s="179">
        <v>139.96</v>
      </c>
      <c r="I8" s="105"/>
    </row>
    <row r="9" spans="2:15" ht="15.75" thickBot="1" x14ac:dyDescent="0.3">
      <c r="B9" s="285" t="s">
        <v>201</v>
      </c>
      <c r="C9" s="93" t="s">
        <v>199</v>
      </c>
      <c r="D9" s="94" t="s">
        <v>200</v>
      </c>
      <c r="E9" s="101">
        <v>104.35</v>
      </c>
      <c r="F9" s="95">
        <v>0.42299999999999999</v>
      </c>
      <c r="G9" s="96">
        <v>0.17</v>
      </c>
      <c r="H9" s="97">
        <f>E9*1.6</f>
        <v>166.96</v>
      </c>
      <c r="I9" s="105"/>
    </row>
    <row r="10" spans="2:15" ht="45.75" thickBot="1" x14ac:dyDescent="0.3">
      <c r="B10" s="286"/>
      <c r="C10" s="93" t="s">
        <v>202</v>
      </c>
      <c r="D10" s="94" t="s">
        <v>203</v>
      </c>
      <c r="E10" s="106">
        <v>93.71</v>
      </c>
      <c r="F10" s="95">
        <v>0.42299999999999999</v>
      </c>
      <c r="G10" s="96">
        <v>0.17</v>
      </c>
      <c r="H10" s="97">
        <f t="shared" ref="H10" si="0">E10*1.613</f>
        <v>151.15422999999998</v>
      </c>
      <c r="I10" s="105"/>
      <c r="J10" t="s">
        <v>204</v>
      </c>
    </row>
    <row r="11" spans="2:15" ht="45.75" thickBot="1" x14ac:dyDescent="0.3">
      <c r="B11" s="286"/>
      <c r="C11" s="93" t="s">
        <v>205</v>
      </c>
      <c r="D11" s="94" t="s">
        <v>206</v>
      </c>
      <c r="E11" s="106">
        <v>87.5</v>
      </c>
      <c r="F11" s="95">
        <v>0.42299999999999999</v>
      </c>
      <c r="G11" s="96">
        <v>0.17</v>
      </c>
      <c r="H11" s="97">
        <f>E11*1.613</f>
        <v>141.13749999999999</v>
      </c>
      <c r="I11" s="105"/>
    </row>
    <row r="12" spans="2:15" ht="45.75" thickBot="1" x14ac:dyDescent="0.3">
      <c r="B12" s="286"/>
      <c r="C12" s="99" t="s">
        <v>207</v>
      </c>
      <c r="D12" s="94" t="s">
        <v>208</v>
      </c>
      <c r="E12" s="106">
        <v>81.44</v>
      </c>
      <c r="F12" s="95">
        <v>0.42299999999999999</v>
      </c>
      <c r="G12" s="96">
        <v>0.17</v>
      </c>
      <c r="H12" s="97">
        <f>E12*1.612</f>
        <v>131.28128000000001</v>
      </c>
      <c r="I12" s="105"/>
    </row>
    <row r="13" spans="2:15" ht="79.5" thickBot="1" x14ac:dyDescent="0.3">
      <c r="B13" s="287"/>
      <c r="C13" s="100" t="s">
        <v>209</v>
      </c>
      <c r="D13" s="94" t="s">
        <v>210</v>
      </c>
      <c r="E13" s="106">
        <v>49.49</v>
      </c>
      <c r="F13" s="95">
        <v>0.42299999999999999</v>
      </c>
      <c r="G13" s="96">
        <v>0.17</v>
      </c>
      <c r="H13" s="97">
        <f>E13*1.613</f>
        <v>79.827370000000002</v>
      </c>
      <c r="I13" s="105"/>
    </row>
    <row r="14" spans="2:15" ht="33.75" customHeight="1" x14ac:dyDescent="0.25">
      <c r="B14" s="279" t="s">
        <v>211</v>
      </c>
      <c r="C14" s="279"/>
      <c r="D14" s="279"/>
      <c r="E14" s="279"/>
      <c r="F14" s="279"/>
      <c r="G14" s="279"/>
      <c r="H14" s="279"/>
    </row>
    <row r="15" spans="2:15" ht="52.5" customHeight="1" x14ac:dyDescent="0.25">
      <c r="B15" s="278" t="s">
        <v>212</v>
      </c>
      <c r="C15" s="278"/>
      <c r="D15" s="278"/>
      <c r="E15" s="278"/>
      <c r="F15" s="278"/>
      <c r="G15" s="278"/>
      <c r="H15" s="278"/>
      <c r="I15" s="107"/>
    </row>
    <row r="16" spans="2:15" ht="49.5" customHeight="1" x14ac:dyDescent="0.25">
      <c r="B16" s="278" t="s">
        <v>213</v>
      </c>
      <c r="C16" s="278"/>
      <c r="D16" s="278"/>
      <c r="E16" s="278"/>
      <c r="F16" s="278"/>
      <c r="G16" s="278"/>
      <c r="H16" s="278"/>
    </row>
    <row r="17" spans="2:10" ht="30.75" customHeight="1" x14ac:dyDescent="0.25">
      <c r="B17" s="278" t="s">
        <v>214</v>
      </c>
      <c r="C17" s="278"/>
      <c r="D17" s="278"/>
      <c r="E17" s="278"/>
      <c r="F17" s="278"/>
      <c r="G17" s="278"/>
      <c r="H17" s="278"/>
    </row>
    <row r="18" spans="2:10" ht="42" customHeight="1" x14ac:dyDescent="0.25">
      <c r="B18" s="278" t="s">
        <v>215</v>
      </c>
      <c r="C18" s="278"/>
      <c r="D18" s="278"/>
      <c r="E18" s="278"/>
      <c r="F18" s="278"/>
      <c r="G18" s="278"/>
      <c r="H18" s="278"/>
      <c r="I18" s="107"/>
    </row>
    <row r="19" spans="2:10" ht="66.75" customHeight="1" x14ac:dyDescent="0.25">
      <c r="B19" s="278" t="s">
        <v>216</v>
      </c>
      <c r="C19" s="278"/>
      <c r="D19" s="278"/>
      <c r="E19" s="278"/>
      <c r="F19" s="278"/>
      <c r="G19" s="278"/>
      <c r="H19" s="278"/>
      <c r="I19" s="240"/>
      <c r="J19" s="72" t="s">
        <v>217</v>
      </c>
    </row>
    <row r="20" spans="2:10" ht="43.5" customHeight="1" x14ac:dyDescent="0.25">
      <c r="B20" s="278" t="s">
        <v>218</v>
      </c>
      <c r="C20" s="278"/>
      <c r="D20" s="278"/>
      <c r="E20" s="278"/>
      <c r="F20" s="278"/>
      <c r="G20" s="278"/>
      <c r="H20" s="278"/>
      <c r="I20" s="240"/>
      <c r="J20" t="s">
        <v>219</v>
      </c>
    </row>
    <row r="21" spans="2:10" ht="27" customHeight="1" x14ac:dyDescent="0.25">
      <c r="B21" s="278" t="s">
        <v>220</v>
      </c>
      <c r="C21" s="278"/>
      <c r="D21" s="278"/>
      <c r="E21" s="278"/>
      <c r="F21" s="278"/>
      <c r="G21" s="278"/>
      <c r="H21" s="278"/>
      <c r="I21" s="107"/>
    </row>
    <row r="22" spans="2:10" ht="15" customHeight="1" x14ac:dyDescent="0.25">
      <c r="B22" s="278" t="s">
        <v>221</v>
      </c>
      <c r="C22" s="278"/>
      <c r="D22" s="278"/>
      <c r="E22" s="278"/>
      <c r="F22" s="278"/>
      <c r="G22" s="278"/>
      <c r="H22" s="278"/>
    </row>
    <row r="31" spans="2:10" ht="33.75" customHeight="1" x14ac:dyDescent="0.25"/>
    <row r="32" spans="2:10" ht="33" customHeight="1" x14ac:dyDescent="0.25"/>
    <row r="33" spans="2:7" ht="33.75" customHeight="1" x14ac:dyDescent="0.25"/>
    <row r="35" spans="2:7" ht="61.5" customHeight="1" x14ac:dyDescent="0.25"/>
    <row r="44" spans="2:7" x14ac:dyDescent="0.25">
      <c r="B44" s="138"/>
      <c r="C44" s="139"/>
      <c r="D44" s="139"/>
      <c r="E44" s="139"/>
      <c r="F44" s="139"/>
      <c r="G44" s="139"/>
    </row>
    <row r="45" spans="2:7" x14ac:dyDescent="0.25">
      <c r="B45" s="138"/>
      <c r="C45" s="140"/>
      <c r="D45" s="119"/>
      <c r="E45" s="140"/>
      <c r="F45" s="141"/>
      <c r="G45" s="141"/>
    </row>
    <row r="46" spans="2:7" x14ac:dyDescent="0.25">
      <c r="B46" s="142"/>
      <c r="C46" s="143"/>
      <c r="D46" s="143"/>
      <c r="E46" s="143"/>
      <c r="F46" s="139"/>
      <c r="G46" s="143"/>
    </row>
    <row r="47" spans="2:7" x14ac:dyDescent="0.25">
      <c r="B47" s="142"/>
      <c r="C47" s="144"/>
      <c r="D47" s="144"/>
      <c r="E47" s="144"/>
      <c r="F47" s="144"/>
      <c r="G47" s="144"/>
    </row>
    <row r="48" spans="2:7" x14ac:dyDescent="0.25">
      <c r="B48" s="142"/>
      <c r="C48" s="145"/>
      <c r="D48" s="145"/>
      <c r="E48" s="145"/>
      <c r="F48" s="145"/>
      <c r="G48" s="145"/>
    </row>
    <row r="49" spans="2:7" x14ac:dyDescent="0.25">
      <c r="B49" s="146"/>
      <c r="C49" s="145"/>
      <c r="D49" s="145"/>
      <c r="E49" s="145"/>
      <c r="F49" s="145"/>
      <c r="G49" s="145"/>
    </row>
    <row r="50" spans="2:7" x14ac:dyDescent="0.25">
      <c r="B50" s="146"/>
      <c r="C50" s="145"/>
      <c r="D50" s="145"/>
      <c r="E50" s="145"/>
      <c r="F50" s="145"/>
      <c r="G50" s="145"/>
    </row>
    <row r="51" spans="2:7" x14ac:dyDescent="0.25">
      <c r="B51" s="138"/>
      <c r="C51" s="147"/>
      <c r="D51" s="147"/>
      <c r="E51" s="147"/>
      <c r="F51" s="140"/>
      <c r="G51" s="140"/>
    </row>
    <row r="52" spans="2:7" x14ac:dyDescent="0.25">
      <c r="B52" s="142"/>
      <c r="C52" s="144"/>
      <c r="D52" s="144"/>
      <c r="E52" s="144"/>
      <c r="F52" s="144"/>
      <c r="G52" s="144"/>
    </row>
    <row r="53" spans="2:7" x14ac:dyDescent="0.25">
      <c r="B53" s="142"/>
      <c r="C53" s="145"/>
      <c r="D53" s="145"/>
      <c r="E53" s="145"/>
      <c r="F53" s="145"/>
      <c r="G53" s="145"/>
    </row>
    <row r="54" spans="2:7" x14ac:dyDescent="0.25">
      <c r="B54" s="146"/>
      <c r="C54" s="145"/>
      <c r="D54" s="145"/>
      <c r="E54" s="145"/>
      <c r="F54" s="145"/>
      <c r="G54" s="145"/>
    </row>
    <row r="55" spans="2:7" x14ac:dyDescent="0.25">
      <c r="B55" s="148"/>
      <c r="C55" s="144"/>
      <c r="D55" s="144"/>
      <c r="E55" s="144"/>
      <c r="F55" s="144"/>
      <c r="G55" s="144"/>
    </row>
    <row r="56" spans="2:7" x14ac:dyDescent="0.25">
      <c r="B56" s="148"/>
      <c r="C56" s="145"/>
      <c r="D56" s="145"/>
      <c r="E56" s="145"/>
      <c r="F56" s="145"/>
      <c r="G56" s="145"/>
    </row>
    <row r="59" spans="2:7" x14ac:dyDescent="0.25">
      <c r="G59" s="149"/>
    </row>
  </sheetData>
  <sheetProtection algorithmName="SHA-512" hashValue="MZUyfLcMU9j/QZSC0Gd5O8mf4PkEt9NnFh7b/dFKhbRGlJ+vXeOFGVZIdiFrvpPdww9QzABZRA+ZNvI5xaYDJw==" saltValue="eUO62IdN3/hkqybzZVp01Q==" spinCount="100000" sheet="1" objects="1" scenarios="1"/>
  <mergeCells count="14">
    <mergeCell ref="B22:H22"/>
    <mergeCell ref="B14:H14"/>
    <mergeCell ref="B3:B4"/>
    <mergeCell ref="C3:C4"/>
    <mergeCell ref="D3:H3"/>
    <mergeCell ref="B5:B8"/>
    <mergeCell ref="B9:B13"/>
    <mergeCell ref="B20:H20"/>
    <mergeCell ref="B21:H21"/>
    <mergeCell ref="B15:H15"/>
    <mergeCell ref="B17:H17"/>
    <mergeCell ref="B18:H18"/>
    <mergeCell ref="B19:H19"/>
    <mergeCell ref="B16:H16"/>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6776D0-2259-4908-91FF-6C8A012F1170}">
  <sheetPr>
    <pageSetUpPr fitToPage="1"/>
  </sheetPr>
  <dimension ref="A1:AL58"/>
  <sheetViews>
    <sheetView topLeftCell="A40" workbookViewId="0">
      <selection activeCell="H49" sqref="H49"/>
    </sheetView>
  </sheetViews>
  <sheetFormatPr defaultRowHeight="15" x14ac:dyDescent="0.25"/>
  <cols>
    <col min="1" max="1" width="4.85546875" customWidth="1"/>
    <col min="2" max="2" width="18.5703125" customWidth="1"/>
    <col min="3" max="3" width="11.5703125" customWidth="1"/>
    <col min="4" max="4" width="10.85546875" bestFit="1" customWidth="1"/>
    <col min="5" max="5" width="12.85546875" customWidth="1"/>
    <col min="6" max="6" width="14.140625" customWidth="1"/>
    <col min="7" max="7" width="9.42578125" bestFit="1" customWidth="1"/>
    <col min="8" max="8" width="9.85546875" bestFit="1" customWidth="1"/>
    <col min="10" max="10" width="23.85546875" bestFit="1" customWidth="1"/>
    <col min="11" max="11" width="16.28515625" customWidth="1"/>
    <col min="12" max="12" width="18.7109375" bestFit="1" customWidth="1"/>
    <col min="13" max="13" width="16.7109375" bestFit="1" customWidth="1"/>
    <col min="14" max="14" width="19.140625" customWidth="1"/>
    <col min="16" max="16" width="21.42578125" customWidth="1"/>
    <col min="17" max="22" width="12.7109375" customWidth="1"/>
    <col min="23" max="26" width="12.7109375" style="82" customWidth="1"/>
    <col min="28" max="28" width="15.140625" customWidth="1"/>
    <col min="29" max="29" width="12.7109375" customWidth="1"/>
    <col min="30" max="34" width="12.7109375" style="83" customWidth="1"/>
    <col min="35" max="38" width="12.7109375" customWidth="1"/>
  </cols>
  <sheetData>
    <row r="1" spans="1:38" x14ac:dyDescent="0.25">
      <c r="C1" t="s">
        <v>222</v>
      </c>
    </row>
    <row r="2" spans="1:38" x14ac:dyDescent="0.25">
      <c r="B2" s="288" t="s">
        <v>6</v>
      </c>
      <c r="C2" s="289" t="s">
        <v>7</v>
      </c>
      <c r="D2" s="289"/>
      <c r="E2" s="289"/>
      <c r="F2" s="289"/>
      <c r="G2" s="289"/>
      <c r="H2" s="289"/>
      <c r="I2" s="289"/>
      <c r="J2" s="289"/>
      <c r="K2" s="289"/>
      <c r="L2" s="289"/>
      <c r="M2" s="289"/>
      <c r="N2" s="290"/>
      <c r="W2"/>
      <c r="X2"/>
      <c r="Y2"/>
      <c r="Z2"/>
    </row>
    <row r="3" spans="1:38" ht="33.75" x14ac:dyDescent="0.25">
      <c r="B3" s="288"/>
      <c r="C3" s="1" t="s">
        <v>12</v>
      </c>
      <c r="D3" s="1" t="s">
        <v>13</v>
      </c>
      <c r="E3" s="1" t="s">
        <v>14</v>
      </c>
      <c r="F3" s="1" t="s">
        <v>15</v>
      </c>
      <c r="G3" s="1" t="s">
        <v>16</v>
      </c>
      <c r="H3" s="1" t="s">
        <v>17</v>
      </c>
      <c r="I3" s="1" t="s">
        <v>18</v>
      </c>
      <c r="J3" s="1" t="s">
        <v>19</v>
      </c>
      <c r="K3" s="1" t="s">
        <v>20</v>
      </c>
      <c r="L3" s="1" t="s">
        <v>21</v>
      </c>
      <c r="M3" s="1" t="s">
        <v>22</v>
      </c>
      <c r="N3" s="1" t="s">
        <v>23</v>
      </c>
      <c r="W3"/>
      <c r="X3"/>
      <c r="Y3"/>
      <c r="Z3"/>
      <c r="AD3"/>
      <c r="AE3"/>
      <c r="AF3"/>
      <c r="AG3"/>
      <c r="AH3"/>
    </row>
    <row r="4" spans="1:38" ht="47.25" x14ac:dyDescent="0.25">
      <c r="A4" s="2">
        <v>1</v>
      </c>
      <c r="B4" s="3" t="s">
        <v>48</v>
      </c>
      <c r="C4" s="4">
        <v>1793</v>
      </c>
      <c r="D4" s="4">
        <v>111</v>
      </c>
      <c r="E4" s="4">
        <v>199023</v>
      </c>
      <c r="F4" s="4">
        <v>69797.7</v>
      </c>
      <c r="G4" s="4">
        <v>2689.5</v>
      </c>
      <c r="H4" s="4">
        <v>2689.5</v>
      </c>
      <c r="I4" s="4">
        <v>0</v>
      </c>
      <c r="J4" s="4">
        <v>75176.7</v>
      </c>
      <c r="K4" s="5">
        <v>5490481.2809999995</v>
      </c>
      <c r="L4" s="5">
        <v>0</v>
      </c>
      <c r="M4" s="5">
        <v>1892086</v>
      </c>
      <c r="N4" s="5">
        <v>7382567.2809999995</v>
      </c>
      <c r="W4"/>
      <c r="X4"/>
      <c r="Y4"/>
      <c r="Z4"/>
      <c r="AB4" s="71"/>
      <c r="AC4" s="81"/>
      <c r="AI4" s="84"/>
      <c r="AJ4" s="84"/>
      <c r="AK4" s="84"/>
      <c r="AL4" s="84"/>
    </row>
    <row r="5" spans="1:38" ht="47.25" x14ac:dyDescent="0.25">
      <c r="A5" s="2">
        <v>1</v>
      </c>
      <c r="B5" s="7" t="s">
        <v>50</v>
      </c>
      <c r="C5" s="4">
        <v>3519</v>
      </c>
      <c r="D5" s="4">
        <v>111</v>
      </c>
      <c r="E5" s="4">
        <v>390609</v>
      </c>
      <c r="F5" s="4">
        <v>142387.30000000002</v>
      </c>
      <c r="G5" s="4">
        <v>5278.5</v>
      </c>
      <c r="H5" s="4">
        <v>5278.5</v>
      </c>
      <c r="I5" s="4">
        <v>0</v>
      </c>
      <c r="J5" s="4">
        <v>152944.30000000002</v>
      </c>
      <c r="K5" s="5">
        <v>11170106.640000001</v>
      </c>
      <c r="L5" s="5">
        <v>0</v>
      </c>
      <c r="M5" s="5">
        <v>3383470</v>
      </c>
      <c r="N5" s="5">
        <v>14553576.640000001</v>
      </c>
      <c r="P5" s="72"/>
      <c r="AB5" s="71"/>
      <c r="AC5" s="81"/>
      <c r="AI5" s="84"/>
      <c r="AJ5" s="84"/>
      <c r="AK5" s="84"/>
      <c r="AL5" s="84"/>
    </row>
    <row r="6" spans="1:38" ht="31.5" x14ac:dyDescent="0.25">
      <c r="A6" s="2">
        <v>1</v>
      </c>
      <c r="B6" s="8" t="s">
        <v>51</v>
      </c>
      <c r="C6" s="4">
        <v>1096</v>
      </c>
      <c r="D6" s="4">
        <v>61</v>
      </c>
      <c r="E6" s="4">
        <v>66856</v>
      </c>
      <c r="F6" s="4">
        <v>3288</v>
      </c>
      <c r="G6" s="4">
        <v>876.80000000000007</v>
      </c>
      <c r="H6" s="4">
        <v>876.80000000000007</v>
      </c>
      <c r="I6" s="4">
        <v>0</v>
      </c>
      <c r="J6" s="4">
        <v>5041.6000000000004</v>
      </c>
      <c r="K6" s="5">
        <v>352721.29600000003</v>
      </c>
      <c r="L6" s="5">
        <v>0</v>
      </c>
      <c r="M6" s="5">
        <v>60280</v>
      </c>
      <c r="N6" s="5">
        <v>413001.29600000003</v>
      </c>
      <c r="P6" s="72"/>
      <c r="AB6" s="71"/>
      <c r="AC6" s="81"/>
      <c r="AI6" s="84"/>
      <c r="AJ6" s="84"/>
      <c r="AK6" s="84"/>
      <c r="AL6" s="84"/>
    </row>
    <row r="7" spans="1:38" ht="31.5" x14ac:dyDescent="0.25">
      <c r="A7" s="2">
        <v>1</v>
      </c>
      <c r="B7" s="8" t="s">
        <v>52</v>
      </c>
      <c r="C7" s="4">
        <v>2</v>
      </c>
      <c r="D7" s="4">
        <v>31</v>
      </c>
      <c r="E7" s="4">
        <v>62</v>
      </c>
      <c r="F7" s="4">
        <v>33</v>
      </c>
      <c r="G7" s="4">
        <v>5.0999999999999996</v>
      </c>
      <c r="H7" s="4">
        <v>4.05</v>
      </c>
      <c r="I7" s="4">
        <v>2</v>
      </c>
      <c r="J7" s="4">
        <v>44.15</v>
      </c>
      <c r="K7" s="5">
        <v>3269.8374999999996</v>
      </c>
      <c r="L7" s="5">
        <v>0</v>
      </c>
      <c r="M7" s="5">
        <v>6118</v>
      </c>
      <c r="N7" s="5">
        <v>9387.8374999999996</v>
      </c>
      <c r="P7" s="72"/>
      <c r="AB7" s="71"/>
      <c r="AC7" s="81"/>
      <c r="AI7" s="84"/>
      <c r="AJ7" s="84"/>
      <c r="AK7" s="84"/>
      <c r="AL7" s="84"/>
    </row>
    <row r="8" spans="1:38" ht="31.5" x14ac:dyDescent="0.25">
      <c r="A8" s="2">
        <v>1</v>
      </c>
      <c r="B8" s="8" t="s">
        <v>53</v>
      </c>
      <c r="C8" s="4">
        <v>7</v>
      </c>
      <c r="D8" s="4">
        <v>23</v>
      </c>
      <c r="E8" s="4">
        <v>161</v>
      </c>
      <c r="F8" s="4">
        <v>378.5</v>
      </c>
      <c r="G8" s="4">
        <v>47.4</v>
      </c>
      <c r="H8" s="4">
        <v>13.449999999999998</v>
      </c>
      <c r="I8" s="4">
        <v>7</v>
      </c>
      <c r="J8" s="4">
        <v>446.34999999999997</v>
      </c>
      <c r="K8" s="5">
        <v>33535.807500000003</v>
      </c>
      <c r="L8" s="5">
        <v>0</v>
      </c>
      <c r="M8" s="5">
        <v>4471</v>
      </c>
      <c r="N8" s="5">
        <v>38006.807500000003</v>
      </c>
      <c r="P8" s="72"/>
      <c r="AB8" s="71"/>
      <c r="AC8" s="81"/>
      <c r="AI8" s="84"/>
      <c r="AJ8" s="84"/>
      <c r="AK8" s="84"/>
      <c r="AL8" s="84"/>
    </row>
    <row r="9" spans="1:38" ht="31.5" x14ac:dyDescent="0.25">
      <c r="A9" s="2">
        <v>1</v>
      </c>
      <c r="B9" s="8" t="s">
        <v>54</v>
      </c>
      <c r="C9" s="4">
        <v>29</v>
      </c>
      <c r="D9" s="4">
        <v>134</v>
      </c>
      <c r="E9" s="4">
        <v>3886</v>
      </c>
      <c r="F9" s="4">
        <v>1030.4000000000001</v>
      </c>
      <c r="G9" s="4">
        <v>103</v>
      </c>
      <c r="H9" s="4">
        <v>72.8</v>
      </c>
      <c r="I9" s="4">
        <v>29</v>
      </c>
      <c r="J9" s="4">
        <v>1235.2</v>
      </c>
      <c r="K9" s="5">
        <v>91292.373999999996</v>
      </c>
      <c r="L9" s="5">
        <v>0</v>
      </c>
      <c r="M9" s="5">
        <v>143035</v>
      </c>
      <c r="N9" s="5">
        <v>234327.37399999998</v>
      </c>
      <c r="P9" s="71"/>
      <c r="Q9" s="58"/>
      <c r="R9" s="58"/>
      <c r="S9" s="58"/>
      <c r="T9" s="58"/>
      <c r="U9" s="58"/>
      <c r="V9" s="58"/>
      <c r="AB9" s="71"/>
      <c r="AC9" s="81"/>
      <c r="AI9" s="84"/>
      <c r="AJ9" s="84"/>
      <c r="AK9" s="84"/>
      <c r="AL9" s="84"/>
    </row>
    <row r="10" spans="1:38" ht="31.5" x14ac:dyDescent="0.25">
      <c r="A10" s="2">
        <v>1</v>
      </c>
      <c r="B10" s="8" t="s">
        <v>55</v>
      </c>
      <c r="C10" s="4">
        <v>92</v>
      </c>
      <c r="D10" s="4">
        <v>112</v>
      </c>
      <c r="E10" s="4">
        <v>10304</v>
      </c>
      <c r="F10" s="4">
        <v>1656</v>
      </c>
      <c r="G10" s="4">
        <v>230</v>
      </c>
      <c r="H10" s="4">
        <v>322</v>
      </c>
      <c r="I10" s="4">
        <v>23</v>
      </c>
      <c r="J10" s="4">
        <v>2231</v>
      </c>
      <c r="K10" s="5">
        <v>156885.76000000001</v>
      </c>
      <c r="L10" s="5">
        <v>0</v>
      </c>
      <c r="M10" s="5">
        <v>5060</v>
      </c>
      <c r="N10" s="5">
        <v>161945.76</v>
      </c>
      <c r="P10" s="71"/>
      <c r="Q10" s="58"/>
      <c r="R10" s="58"/>
      <c r="S10" s="58"/>
      <c r="T10" s="58"/>
      <c r="U10" s="58"/>
      <c r="V10" s="58"/>
      <c r="AB10" s="71"/>
      <c r="AC10" s="81"/>
      <c r="AI10" s="84"/>
      <c r="AJ10" s="84"/>
      <c r="AK10" s="84"/>
      <c r="AL10" s="84"/>
    </row>
    <row r="11" spans="1:38" ht="31.5" x14ac:dyDescent="0.25">
      <c r="A11" s="2">
        <v>1</v>
      </c>
      <c r="B11" s="8" t="s">
        <v>56</v>
      </c>
      <c r="C11" s="4">
        <v>51</v>
      </c>
      <c r="D11" s="4">
        <v>379</v>
      </c>
      <c r="E11" s="4">
        <v>19329</v>
      </c>
      <c r="F11" s="4">
        <v>10655.43</v>
      </c>
      <c r="G11" s="4">
        <v>889.94999999999993</v>
      </c>
      <c r="H11" s="4">
        <v>553.86</v>
      </c>
      <c r="I11" s="4">
        <v>61.199999999999996</v>
      </c>
      <c r="J11" s="4">
        <v>12160.440000000002</v>
      </c>
      <c r="K11" s="5">
        <v>893876.37780000002</v>
      </c>
      <c r="L11" s="5">
        <v>0</v>
      </c>
      <c r="M11" s="5">
        <v>288776</v>
      </c>
      <c r="N11" s="5">
        <v>1182652.3777999999</v>
      </c>
      <c r="P11" s="71"/>
      <c r="Q11" s="58"/>
      <c r="R11" s="58"/>
      <c r="S11" s="58"/>
      <c r="T11" s="58"/>
      <c r="U11" s="58"/>
      <c r="V11" s="58"/>
      <c r="AB11" s="71"/>
      <c r="AC11" s="81"/>
      <c r="AI11" s="84"/>
      <c r="AJ11" s="84"/>
      <c r="AK11" s="84"/>
      <c r="AL11" s="84"/>
    </row>
    <row r="12" spans="1:38" ht="31.5" x14ac:dyDescent="0.25">
      <c r="A12" s="2">
        <v>1</v>
      </c>
      <c r="B12" s="8" t="s">
        <v>58</v>
      </c>
      <c r="C12" s="4">
        <v>8</v>
      </c>
      <c r="D12" s="4">
        <v>179</v>
      </c>
      <c r="E12" s="4">
        <v>1432</v>
      </c>
      <c r="F12" s="4">
        <v>256</v>
      </c>
      <c r="G12" s="4">
        <v>25.600000000000005</v>
      </c>
      <c r="H12" s="4">
        <v>18.8</v>
      </c>
      <c r="I12" s="4">
        <v>16</v>
      </c>
      <c r="J12" s="4">
        <v>316.40000000000003</v>
      </c>
      <c r="K12" s="5">
        <v>23716.219999999998</v>
      </c>
      <c r="L12" s="5">
        <v>0</v>
      </c>
      <c r="M12" s="5">
        <v>440</v>
      </c>
      <c r="N12" s="5">
        <v>24156.219999999998</v>
      </c>
      <c r="P12" s="72"/>
      <c r="AB12" s="71"/>
      <c r="AC12" s="81"/>
      <c r="AI12" s="84"/>
      <c r="AJ12" s="84"/>
      <c r="AK12" s="84"/>
      <c r="AL12" s="84"/>
    </row>
    <row r="13" spans="1:38" ht="47.25" x14ac:dyDescent="0.25">
      <c r="A13" s="2">
        <v>1</v>
      </c>
      <c r="B13" s="8" t="s">
        <v>60</v>
      </c>
      <c r="C13" s="4">
        <v>14</v>
      </c>
      <c r="D13" s="4">
        <v>363</v>
      </c>
      <c r="E13" s="4">
        <v>5082</v>
      </c>
      <c r="F13" s="4">
        <v>10048.199999999999</v>
      </c>
      <c r="G13" s="4">
        <v>670.28000000000009</v>
      </c>
      <c r="H13" s="4">
        <v>990.55999999999983</v>
      </c>
      <c r="I13" s="4">
        <v>45.20000000000001</v>
      </c>
      <c r="J13" s="4">
        <v>11754.24</v>
      </c>
      <c r="K13" s="5">
        <v>842032.42879999988</v>
      </c>
      <c r="L13" s="5">
        <v>0</v>
      </c>
      <c r="M13" s="5">
        <v>770</v>
      </c>
      <c r="N13" s="5">
        <v>842802.42879999988</v>
      </c>
      <c r="P13" s="72"/>
      <c r="AB13" s="71"/>
      <c r="AC13" s="81"/>
      <c r="AI13" s="84"/>
      <c r="AJ13" s="84"/>
      <c r="AK13" s="84"/>
      <c r="AL13" s="84"/>
    </row>
    <row r="14" spans="1:38" ht="31.5" x14ac:dyDescent="0.25">
      <c r="A14" s="2">
        <v>1</v>
      </c>
      <c r="B14" s="8" t="s">
        <v>61</v>
      </c>
      <c r="C14" s="4">
        <v>101</v>
      </c>
      <c r="D14" s="4">
        <v>60</v>
      </c>
      <c r="E14" s="4">
        <v>6060</v>
      </c>
      <c r="F14" s="4">
        <v>3948.8999999999996</v>
      </c>
      <c r="G14" s="4">
        <v>482.59999999999997</v>
      </c>
      <c r="H14" s="4">
        <v>320.90000000000003</v>
      </c>
      <c r="I14" s="4">
        <v>99</v>
      </c>
      <c r="J14" s="4">
        <v>4851.3999999999996</v>
      </c>
      <c r="K14" s="5">
        <v>357927.82600000006</v>
      </c>
      <c r="L14" s="5">
        <v>0</v>
      </c>
      <c r="M14" s="5">
        <v>11385</v>
      </c>
      <c r="N14" s="5">
        <v>369312.82600000006</v>
      </c>
      <c r="P14" s="71"/>
      <c r="Q14" s="58"/>
      <c r="R14" s="58"/>
      <c r="S14" s="58"/>
      <c r="T14" s="58"/>
      <c r="U14" s="58"/>
      <c r="V14" s="58"/>
      <c r="AB14" s="71"/>
      <c r="AC14" s="81"/>
      <c r="AI14" s="84"/>
      <c r="AJ14" s="84"/>
      <c r="AK14" s="84"/>
      <c r="AL14" s="84"/>
    </row>
    <row r="15" spans="1:38" ht="63" x14ac:dyDescent="0.25">
      <c r="A15" s="2">
        <v>1</v>
      </c>
      <c r="B15" s="9" t="s">
        <v>62</v>
      </c>
      <c r="C15" s="4">
        <v>4</v>
      </c>
      <c r="D15" s="4">
        <v>32</v>
      </c>
      <c r="E15" s="4">
        <v>128</v>
      </c>
      <c r="F15" s="4">
        <v>384</v>
      </c>
      <c r="G15" s="4">
        <v>26</v>
      </c>
      <c r="H15" s="4">
        <v>38</v>
      </c>
      <c r="I15" s="4">
        <v>8</v>
      </c>
      <c r="J15" s="4">
        <v>456</v>
      </c>
      <c r="K15" s="5">
        <v>32939.120000000003</v>
      </c>
      <c r="L15" s="5">
        <v>0</v>
      </c>
      <c r="M15" s="5">
        <v>220</v>
      </c>
      <c r="N15" s="5">
        <v>33159.120000000003</v>
      </c>
      <c r="P15" s="72"/>
      <c r="AB15" s="71"/>
      <c r="AC15" s="81"/>
      <c r="AI15" s="84"/>
      <c r="AJ15" s="84"/>
      <c r="AK15" s="84"/>
      <c r="AL15" s="84"/>
    </row>
    <row r="16" spans="1:38" ht="31.5" x14ac:dyDescent="0.25">
      <c r="A16" s="2">
        <v>1</v>
      </c>
      <c r="B16" s="8" t="s">
        <v>63</v>
      </c>
      <c r="C16" s="4">
        <v>111</v>
      </c>
      <c r="D16" s="4">
        <v>137</v>
      </c>
      <c r="E16" s="4">
        <v>15207</v>
      </c>
      <c r="F16" s="4">
        <v>3761.3999999999996</v>
      </c>
      <c r="G16" s="4">
        <v>376.14000000000004</v>
      </c>
      <c r="H16" s="4">
        <v>376.14000000000004</v>
      </c>
      <c r="I16" s="4">
        <v>92</v>
      </c>
      <c r="J16" s="4">
        <v>4605.68</v>
      </c>
      <c r="K16" s="5">
        <v>335441.24079999991</v>
      </c>
      <c r="L16" s="5">
        <v>0</v>
      </c>
      <c r="M16" s="5">
        <v>47998</v>
      </c>
      <c r="N16" s="5">
        <v>383439.24079999997</v>
      </c>
      <c r="P16" s="71"/>
      <c r="Q16" s="58"/>
      <c r="R16" s="58"/>
      <c r="S16" s="58"/>
      <c r="T16" s="58"/>
      <c r="U16" s="58"/>
      <c r="V16" s="58"/>
      <c r="AB16" s="71"/>
      <c r="AC16" s="81"/>
      <c r="AI16" s="84"/>
      <c r="AJ16" s="84"/>
      <c r="AK16" s="84"/>
      <c r="AL16" s="84"/>
    </row>
    <row r="17" spans="1:38" ht="31.5" x14ac:dyDescent="0.25">
      <c r="A17" s="2">
        <v>1</v>
      </c>
      <c r="B17" s="8" t="s">
        <v>65</v>
      </c>
      <c r="C17" s="4">
        <v>122</v>
      </c>
      <c r="D17" s="4">
        <v>61</v>
      </c>
      <c r="E17" s="4">
        <v>7442</v>
      </c>
      <c r="F17" s="4">
        <v>2191</v>
      </c>
      <c r="G17" s="4">
        <v>328.90000000000003</v>
      </c>
      <c r="H17" s="4">
        <v>255.94999999999996</v>
      </c>
      <c r="I17" s="4">
        <v>162</v>
      </c>
      <c r="J17" s="4">
        <v>2937.85</v>
      </c>
      <c r="K17" s="5">
        <v>219122.9025</v>
      </c>
      <c r="L17" s="5">
        <v>0</v>
      </c>
      <c r="M17" s="5">
        <v>128260</v>
      </c>
      <c r="N17" s="5">
        <v>347382.90249999997</v>
      </c>
      <c r="P17" s="71"/>
      <c r="Q17" s="58"/>
      <c r="R17" s="58"/>
      <c r="S17" s="58"/>
      <c r="T17" s="58"/>
      <c r="U17" s="58"/>
      <c r="V17" s="58"/>
      <c r="AB17" s="71"/>
      <c r="AC17" s="81"/>
      <c r="AI17" s="84"/>
      <c r="AJ17" s="84"/>
      <c r="AK17" s="84"/>
      <c r="AL17" s="84"/>
    </row>
    <row r="18" spans="1:38" ht="15.75" x14ac:dyDescent="0.25">
      <c r="A18" s="2">
        <v>1</v>
      </c>
      <c r="B18" s="8" t="s">
        <v>67</v>
      </c>
      <c r="C18" s="4">
        <v>11</v>
      </c>
      <c r="D18" s="4">
        <v>79</v>
      </c>
      <c r="E18" s="4">
        <v>869</v>
      </c>
      <c r="F18" s="4">
        <v>198</v>
      </c>
      <c r="G18" s="4">
        <v>29.700000000000003</v>
      </c>
      <c r="H18" s="4">
        <v>23.100000000000005</v>
      </c>
      <c r="I18" s="4">
        <v>22</v>
      </c>
      <c r="J18" s="4">
        <v>272.79999999999995</v>
      </c>
      <c r="K18" s="5">
        <v>20643.919999999998</v>
      </c>
      <c r="L18" s="5">
        <v>0</v>
      </c>
      <c r="M18" s="5">
        <v>12760</v>
      </c>
      <c r="N18" s="5">
        <v>33403.919999999998</v>
      </c>
      <c r="P18" s="72"/>
      <c r="AB18" s="71"/>
      <c r="AC18" s="81"/>
      <c r="AI18" s="84"/>
      <c r="AJ18" s="84"/>
      <c r="AK18" s="84"/>
      <c r="AL18" s="84"/>
    </row>
    <row r="19" spans="1:38" ht="31.5" x14ac:dyDescent="0.25">
      <c r="A19" s="2">
        <v>1</v>
      </c>
      <c r="B19" s="8" t="s">
        <v>68</v>
      </c>
      <c r="C19" s="4">
        <v>68</v>
      </c>
      <c r="D19" s="4">
        <v>268</v>
      </c>
      <c r="E19" s="4">
        <v>18224</v>
      </c>
      <c r="F19" s="4">
        <v>1468</v>
      </c>
      <c r="G19" s="4">
        <v>146.80000000000001</v>
      </c>
      <c r="H19" s="4">
        <v>127.59999999999998</v>
      </c>
      <c r="I19" s="4">
        <v>128</v>
      </c>
      <c r="J19" s="4">
        <v>1870.3999999999999</v>
      </c>
      <c r="K19" s="5">
        <v>140833.96800000002</v>
      </c>
      <c r="L19" s="5">
        <v>0</v>
      </c>
      <c r="M19" s="5">
        <v>3740</v>
      </c>
      <c r="N19" s="5">
        <v>144573.96800000002</v>
      </c>
      <c r="P19" s="71"/>
      <c r="Q19" s="58"/>
      <c r="R19" s="58"/>
      <c r="S19" s="58"/>
      <c r="T19" s="58"/>
      <c r="U19" s="58"/>
      <c r="V19" s="58"/>
      <c r="AB19" s="71"/>
      <c r="AC19" s="81"/>
      <c r="AI19" s="84"/>
      <c r="AJ19" s="84"/>
      <c r="AK19" s="84"/>
      <c r="AL19" s="84"/>
    </row>
    <row r="20" spans="1:38" ht="31.5" x14ac:dyDescent="0.25">
      <c r="A20" s="2">
        <v>1</v>
      </c>
      <c r="B20" s="8" t="s">
        <v>69</v>
      </c>
      <c r="C20" s="4">
        <v>10</v>
      </c>
      <c r="D20" s="4">
        <v>83</v>
      </c>
      <c r="E20" s="4">
        <v>830</v>
      </c>
      <c r="F20" s="4">
        <v>120</v>
      </c>
      <c r="G20" s="4">
        <v>28</v>
      </c>
      <c r="H20" s="4">
        <v>22.5</v>
      </c>
      <c r="I20" s="4">
        <v>10</v>
      </c>
      <c r="J20" s="4">
        <v>180.5</v>
      </c>
      <c r="K20" s="5">
        <v>13331.865</v>
      </c>
      <c r="L20" s="5">
        <v>0</v>
      </c>
      <c r="M20" s="5">
        <v>550</v>
      </c>
      <c r="N20" s="5">
        <v>13881.865</v>
      </c>
      <c r="P20" s="72"/>
      <c r="AB20" s="71"/>
      <c r="AC20" s="81"/>
      <c r="AI20" s="84"/>
      <c r="AJ20" s="84"/>
      <c r="AK20" s="84"/>
      <c r="AL20" s="84"/>
    </row>
    <row r="21" spans="1:38" ht="31.5" x14ac:dyDescent="0.25">
      <c r="A21" s="2">
        <v>1</v>
      </c>
      <c r="B21" s="8" t="s">
        <v>70</v>
      </c>
      <c r="C21" s="4">
        <v>5</v>
      </c>
      <c r="D21" s="4">
        <v>7</v>
      </c>
      <c r="E21" s="4">
        <v>35</v>
      </c>
      <c r="F21" s="4">
        <v>30</v>
      </c>
      <c r="G21" s="4">
        <v>7.5</v>
      </c>
      <c r="H21" s="4">
        <v>7.5</v>
      </c>
      <c r="I21" s="4">
        <v>0</v>
      </c>
      <c r="J21" s="4">
        <v>45</v>
      </c>
      <c r="K21" s="5">
        <v>3155.5500000000006</v>
      </c>
      <c r="L21" s="5">
        <v>0</v>
      </c>
      <c r="M21" s="5">
        <v>275</v>
      </c>
      <c r="N21" s="5">
        <v>3430.5500000000006</v>
      </c>
      <c r="P21" s="72"/>
      <c r="AB21" s="71"/>
      <c r="AC21" s="81"/>
      <c r="AI21" s="84"/>
      <c r="AJ21" s="84"/>
      <c r="AK21" s="84"/>
      <c r="AL21" s="84"/>
    </row>
    <row r="22" spans="1:38" ht="31.5" x14ac:dyDescent="0.25">
      <c r="A22" s="2">
        <v>1</v>
      </c>
      <c r="B22" s="8" t="s">
        <v>71</v>
      </c>
      <c r="C22" s="4">
        <v>31</v>
      </c>
      <c r="D22" s="4">
        <v>23</v>
      </c>
      <c r="E22" s="4">
        <v>713</v>
      </c>
      <c r="F22" s="4">
        <v>872.79999999999984</v>
      </c>
      <c r="G22" s="4">
        <v>115</v>
      </c>
      <c r="H22" s="4">
        <v>80.2</v>
      </c>
      <c r="I22" s="4">
        <v>31</v>
      </c>
      <c r="J22" s="4">
        <v>1099</v>
      </c>
      <c r="K22" s="5">
        <v>81234.59199999999</v>
      </c>
      <c r="L22" s="5">
        <v>0</v>
      </c>
      <c r="M22" s="5">
        <v>265306</v>
      </c>
      <c r="N22" s="5">
        <v>346540.592</v>
      </c>
      <c r="P22" s="71"/>
      <c r="Q22" s="58"/>
      <c r="R22" s="58"/>
      <c r="S22" s="58"/>
      <c r="T22" s="58"/>
      <c r="U22" s="58"/>
      <c r="V22" s="58"/>
      <c r="AB22" s="71"/>
      <c r="AC22" s="81"/>
      <c r="AI22" s="84"/>
      <c r="AJ22" s="84"/>
      <c r="AK22" s="84"/>
      <c r="AL22" s="84"/>
    </row>
    <row r="23" spans="1:38" ht="41.25" customHeight="1" x14ac:dyDescent="0.25">
      <c r="A23" s="2">
        <v>1</v>
      </c>
      <c r="B23" s="67" t="s">
        <v>73</v>
      </c>
      <c r="C23" s="68">
        <v>2338</v>
      </c>
      <c r="D23" s="68">
        <v>3294</v>
      </c>
      <c r="E23" s="68">
        <v>7701372</v>
      </c>
      <c r="F23" s="68">
        <v>240991.2</v>
      </c>
      <c r="G23" s="68">
        <v>27985.600000000002</v>
      </c>
      <c r="H23" s="68">
        <v>0</v>
      </c>
      <c r="I23" s="68">
        <v>0</v>
      </c>
      <c r="J23" s="68">
        <v>273652.8</v>
      </c>
      <c r="K23" s="69">
        <v>30223171.408999998</v>
      </c>
      <c r="L23" s="69">
        <v>0</v>
      </c>
      <c r="M23" s="69">
        <v>24410343</v>
      </c>
      <c r="N23" s="69">
        <v>54633514.409000002</v>
      </c>
      <c r="P23" s="73"/>
      <c r="Q23" s="70"/>
      <c r="R23" s="70"/>
      <c r="S23" s="70"/>
      <c r="T23" s="70"/>
      <c r="U23" s="70"/>
      <c r="V23" s="70"/>
      <c r="W23" s="85"/>
      <c r="X23" s="85"/>
      <c r="Y23" s="85"/>
      <c r="Z23" s="85"/>
      <c r="AB23" s="71"/>
      <c r="AC23" s="81"/>
      <c r="AI23" s="84"/>
      <c r="AJ23" s="84"/>
      <c r="AK23" s="84"/>
      <c r="AL23" s="84"/>
    </row>
    <row r="24" spans="1:38" ht="31.5" x14ac:dyDescent="0.25">
      <c r="A24" s="2">
        <v>1</v>
      </c>
      <c r="B24" s="8" t="s">
        <v>75</v>
      </c>
      <c r="C24" s="4">
        <v>85</v>
      </c>
      <c r="D24" s="4">
        <v>672</v>
      </c>
      <c r="E24" s="4">
        <v>57120</v>
      </c>
      <c r="F24" s="4">
        <v>10892</v>
      </c>
      <c r="G24" s="4">
        <v>639</v>
      </c>
      <c r="H24" s="4">
        <v>995</v>
      </c>
      <c r="I24" s="4">
        <v>170</v>
      </c>
      <c r="J24" s="4">
        <v>12696</v>
      </c>
      <c r="K24" s="5">
        <v>915951.77999999991</v>
      </c>
      <c r="L24" s="5">
        <v>0</v>
      </c>
      <c r="M24" s="5">
        <v>148847</v>
      </c>
      <c r="N24" s="5">
        <v>1064798.78</v>
      </c>
      <c r="P24" s="71"/>
      <c r="Q24" s="58"/>
      <c r="R24" s="58"/>
      <c r="S24" s="58"/>
      <c r="T24" s="58"/>
      <c r="U24" s="58"/>
      <c r="V24" s="58"/>
      <c r="AB24" s="71"/>
      <c r="AC24" s="81"/>
      <c r="AI24" s="84"/>
      <c r="AJ24" s="84"/>
      <c r="AK24" s="84"/>
      <c r="AL24" s="84"/>
    </row>
    <row r="25" spans="1:38" ht="31.5" x14ac:dyDescent="0.25">
      <c r="A25" s="2">
        <v>1</v>
      </c>
      <c r="B25" s="8" t="s">
        <v>77</v>
      </c>
      <c r="C25" s="4">
        <v>134</v>
      </c>
      <c r="D25" s="4">
        <v>173</v>
      </c>
      <c r="E25" s="4">
        <v>23182</v>
      </c>
      <c r="F25" s="4">
        <v>5994.9750000000013</v>
      </c>
      <c r="G25" s="4">
        <v>600.0200000000001</v>
      </c>
      <c r="H25" s="4">
        <v>600.0200000000001</v>
      </c>
      <c r="I25" s="4">
        <v>268</v>
      </c>
      <c r="J25" s="4">
        <v>7463.0150000000021</v>
      </c>
      <c r="K25" s="5">
        <v>548629.91265000007</v>
      </c>
      <c r="L25" s="5">
        <v>0</v>
      </c>
      <c r="M25" s="5">
        <v>7370</v>
      </c>
      <c r="N25" s="5">
        <v>555999.91265000007</v>
      </c>
      <c r="P25" s="71"/>
      <c r="Q25" s="58"/>
      <c r="R25" s="58"/>
      <c r="S25" s="58"/>
      <c r="T25" s="58"/>
      <c r="U25" s="58"/>
      <c r="V25" s="58"/>
      <c r="AB25" s="71"/>
      <c r="AC25" s="81"/>
      <c r="AI25" s="84"/>
      <c r="AJ25" s="84"/>
      <c r="AK25" s="84"/>
      <c r="AL25" s="84"/>
    </row>
    <row r="26" spans="1:38" ht="31.5" x14ac:dyDescent="0.25">
      <c r="A26" s="2">
        <v>1</v>
      </c>
      <c r="B26" s="8" t="s">
        <v>79</v>
      </c>
      <c r="C26" s="4">
        <v>9</v>
      </c>
      <c r="D26" s="4">
        <v>100</v>
      </c>
      <c r="E26" s="4">
        <v>900</v>
      </c>
      <c r="F26" s="4">
        <v>54</v>
      </c>
      <c r="G26" s="4">
        <v>13.5</v>
      </c>
      <c r="H26" s="4">
        <v>13.5</v>
      </c>
      <c r="I26" s="4">
        <v>9</v>
      </c>
      <c r="J26" s="4">
        <v>90</v>
      </c>
      <c r="K26" s="5">
        <v>6713.19</v>
      </c>
      <c r="L26" s="5">
        <v>0</v>
      </c>
      <c r="M26" s="5">
        <v>495</v>
      </c>
      <c r="N26" s="5">
        <v>7208.19</v>
      </c>
      <c r="P26" s="72"/>
      <c r="AB26" s="71"/>
      <c r="AC26" s="81"/>
      <c r="AI26" s="84"/>
      <c r="AJ26" s="84"/>
      <c r="AK26" s="84"/>
      <c r="AL26" s="84"/>
    </row>
    <row r="27" spans="1:38" ht="31.5" x14ac:dyDescent="0.25">
      <c r="A27" s="2">
        <v>2</v>
      </c>
      <c r="B27" s="8" t="s">
        <v>80</v>
      </c>
      <c r="C27" s="4">
        <v>103</v>
      </c>
      <c r="D27" s="4">
        <v>105</v>
      </c>
      <c r="E27" s="4">
        <v>10815</v>
      </c>
      <c r="F27" s="4">
        <v>2338.1</v>
      </c>
      <c r="G27" s="4">
        <v>370.8</v>
      </c>
      <c r="H27" s="4">
        <v>164.8</v>
      </c>
      <c r="I27" s="4">
        <v>51.5</v>
      </c>
      <c r="J27" s="4">
        <v>2925.2000000000003</v>
      </c>
      <c r="K27" s="5">
        <v>218017.31899999999</v>
      </c>
      <c r="L27" s="5">
        <v>0</v>
      </c>
      <c r="M27" s="5">
        <v>27501</v>
      </c>
      <c r="N27" s="5">
        <v>245518.31899999999</v>
      </c>
      <c r="P27" s="71"/>
      <c r="Q27" s="58"/>
      <c r="R27" s="58"/>
      <c r="S27" s="58"/>
      <c r="T27" s="58"/>
      <c r="U27" s="58"/>
      <c r="V27" s="58"/>
      <c r="AB27" s="71"/>
      <c r="AC27" s="81"/>
      <c r="AI27" s="84"/>
      <c r="AJ27" s="84"/>
      <c r="AK27" s="84"/>
      <c r="AL27" s="84"/>
    </row>
    <row r="28" spans="1:38" ht="47.25" x14ac:dyDescent="0.25">
      <c r="A28" s="2">
        <v>2</v>
      </c>
      <c r="B28" s="8" t="s">
        <v>81</v>
      </c>
      <c r="C28" s="4">
        <v>1</v>
      </c>
      <c r="D28" s="4">
        <v>10</v>
      </c>
      <c r="E28" s="4">
        <v>10</v>
      </c>
      <c r="F28" s="4">
        <v>9</v>
      </c>
      <c r="G28" s="4">
        <v>2.5</v>
      </c>
      <c r="H28" s="4">
        <v>3.5</v>
      </c>
      <c r="I28" s="4">
        <v>0.25</v>
      </c>
      <c r="J28" s="4">
        <v>15.25</v>
      </c>
      <c r="K28" s="5">
        <v>1040.8100000000002</v>
      </c>
      <c r="L28" s="5">
        <v>0</v>
      </c>
      <c r="M28" s="5">
        <v>253</v>
      </c>
      <c r="N28" s="5">
        <v>1293.8100000000002</v>
      </c>
      <c r="P28" s="71"/>
      <c r="Q28" s="58"/>
      <c r="R28" s="58"/>
      <c r="S28" s="58"/>
      <c r="T28" s="58"/>
      <c r="U28" s="58"/>
      <c r="V28" s="58"/>
      <c r="AB28" s="71"/>
      <c r="AC28" s="81"/>
      <c r="AI28" s="84"/>
      <c r="AJ28" s="84"/>
      <c r="AK28" s="84"/>
      <c r="AL28" s="84"/>
    </row>
    <row r="29" spans="1:38" ht="31.5" x14ac:dyDescent="0.25">
      <c r="A29" s="2">
        <v>2</v>
      </c>
      <c r="B29" s="8" t="s">
        <v>82</v>
      </c>
      <c r="C29" s="4">
        <v>4</v>
      </c>
      <c r="D29" s="4">
        <v>28</v>
      </c>
      <c r="E29" s="4">
        <v>112</v>
      </c>
      <c r="F29" s="4">
        <v>24.100000000000005</v>
      </c>
      <c r="G29" s="4">
        <v>6.5</v>
      </c>
      <c r="H29" s="4">
        <v>6</v>
      </c>
      <c r="I29" s="4">
        <v>0</v>
      </c>
      <c r="J29" s="4">
        <v>36.6</v>
      </c>
      <c r="K29" s="5">
        <v>2577.4880000000003</v>
      </c>
      <c r="L29" s="5">
        <v>0</v>
      </c>
      <c r="M29" s="5">
        <v>2228</v>
      </c>
      <c r="N29" s="5">
        <v>4805.4880000000003</v>
      </c>
      <c r="P29" s="72"/>
      <c r="AB29" s="71"/>
      <c r="AC29" s="81"/>
      <c r="AI29" s="84"/>
      <c r="AJ29" s="84"/>
      <c r="AK29" s="84"/>
      <c r="AL29" s="84"/>
    </row>
    <row r="30" spans="1:38" ht="63" x14ac:dyDescent="0.25">
      <c r="A30" s="2">
        <v>2</v>
      </c>
      <c r="B30" s="8" t="s">
        <v>83</v>
      </c>
      <c r="C30" s="4">
        <v>90</v>
      </c>
      <c r="D30" s="4">
        <v>206</v>
      </c>
      <c r="E30" s="4">
        <v>18540</v>
      </c>
      <c r="F30" s="4">
        <v>2790</v>
      </c>
      <c r="G30" s="4">
        <v>405</v>
      </c>
      <c r="H30" s="4">
        <v>495</v>
      </c>
      <c r="I30" s="4">
        <v>90</v>
      </c>
      <c r="J30" s="4">
        <v>3780</v>
      </c>
      <c r="K30" s="5">
        <v>270180.89999999997</v>
      </c>
      <c r="L30" s="5">
        <v>0</v>
      </c>
      <c r="M30" s="5">
        <v>124290</v>
      </c>
      <c r="N30" s="5">
        <v>394470.89999999997</v>
      </c>
      <c r="P30" s="71"/>
      <c r="Q30" s="58"/>
      <c r="R30" s="58"/>
      <c r="S30" s="58"/>
      <c r="T30" s="58"/>
      <c r="U30" s="58"/>
      <c r="V30" s="58"/>
      <c r="AB30" s="71"/>
      <c r="AC30" s="81"/>
      <c r="AI30" s="84"/>
      <c r="AJ30" s="84"/>
      <c r="AK30" s="84"/>
      <c r="AL30" s="84"/>
    </row>
    <row r="31" spans="1:38" ht="47.25" x14ac:dyDescent="0.25">
      <c r="A31" s="2">
        <v>2</v>
      </c>
      <c r="B31" s="8" t="s">
        <v>85</v>
      </c>
      <c r="C31" s="4">
        <v>6</v>
      </c>
      <c r="D31" s="4">
        <v>76</v>
      </c>
      <c r="E31" s="4">
        <v>456</v>
      </c>
      <c r="F31" s="4">
        <v>54</v>
      </c>
      <c r="G31" s="4">
        <v>15</v>
      </c>
      <c r="H31" s="4">
        <v>21</v>
      </c>
      <c r="I31" s="4">
        <v>1.5</v>
      </c>
      <c r="J31" s="4">
        <v>91.5</v>
      </c>
      <c r="K31" s="5">
        <v>6244.86</v>
      </c>
      <c r="L31" s="5">
        <v>0</v>
      </c>
      <c r="M31" s="5">
        <v>2706</v>
      </c>
      <c r="N31" s="5">
        <v>8950.86</v>
      </c>
      <c r="P31" s="72"/>
      <c r="AB31" s="71"/>
      <c r="AC31" s="81"/>
      <c r="AI31" s="84"/>
      <c r="AJ31" s="84"/>
      <c r="AK31" s="84"/>
      <c r="AL31" s="84"/>
    </row>
    <row r="32" spans="1:38" ht="31.5" x14ac:dyDescent="0.25">
      <c r="A32" s="2">
        <v>2</v>
      </c>
      <c r="B32" s="8" t="s">
        <v>86</v>
      </c>
      <c r="C32" s="4">
        <v>78</v>
      </c>
      <c r="D32" s="4">
        <v>1614</v>
      </c>
      <c r="E32" s="4">
        <v>125892</v>
      </c>
      <c r="F32" s="4">
        <v>4990</v>
      </c>
      <c r="G32" s="4">
        <v>240</v>
      </c>
      <c r="H32" s="4">
        <v>180</v>
      </c>
      <c r="I32" s="4">
        <v>0</v>
      </c>
      <c r="J32" s="4">
        <v>5410</v>
      </c>
      <c r="K32" s="5">
        <v>396467.10000000003</v>
      </c>
      <c r="L32" s="5">
        <v>0</v>
      </c>
      <c r="M32" s="5">
        <v>66285</v>
      </c>
      <c r="N32" s="5">
        <v>462752.10000000003</v>
      </c>
      <c r="P32" s="71"/>
      <c r="Q32" s="58"/>
      <c r="R32" s="58"/>
      <c r="S32" s="58"/>
      <c r="T32" s="58"/>
      <c r="U32" s="58"/>
      <c r="V32" s="58"/>
      <c r="AB32" s="71"/>
      <c r="AC32" s="81"/>
      <c r="AI32" s="84"/>
      <c r="AJ32" s="84"/>
      <c r="AK32" s="84"/>
      <c r="AL32" s="84"/>
    </row>
    <row r="33" spans="1:38" ht="31.5" x14ac:dyDescent="0.25">
      <c r="A33" s="2">
        <v>2</v>
      </c>
      <c r="B33" s="8" t="s">
        <v>87</v>
      </c>
      <c r="C33" s="4">
        <v>5</v>
      </c>
      <c r="D33" s="4">
        <v>44</v>
      </c>
      <c r="E33" s="4">
        <v>220</v>
      </c>
      <c r="F33" s="4">
        <v>120</v>
      </c>
      <c r="G33" s="4">
        <v>16.5</v>
      </c>
      <c r="H33" s="4">
        <v>12</v>
      </c>
      <c r="I33" s="4">
        <v>10</v>
      </c>
      <c r="J33" s="4">
        <v>158.5</v>
      </c>
      <c r="K33" s="5">
        <v>11923.625</v>
      </c>
      <c r="L33" s="5">
        <v>0</v>
      </c>
      <c r="M33" s="5">
        <v>7735</v>
      </c>
      <c r="N33" s="5">
        <v>19658.625</v>
      </c>
      <c r="P33" s="71"/>
      <c r="Q33" s="58"/>
      <c r="R33" s="58"/>
      <c r="S33" s="58"/>
      <c r="T33" s="58"/>
      <c r="U33" s="58"/>
      <c r="V33" s="58"/>
      <c r="AB33" s="71"/>
      <c r="AC33" s="81"/>
      <c r="AI33" s="84"/>
      <c r="AJ33" s="84"/>
      <c r="AK33" s="84"/>
      <c r="AL33" s="84"/>
    </row>
    <row r="34" spans="1:38" ht="15.75" x14ac:dyDescent="0.25">
      <c r="A34" s="2">
        <v>2</v>
      </c>
      <c r="B34" s="8" t="s">
        <v>88</v>
      </c>
      <c r="C34" s="4">
        <v>1127</v>
      </c>
      <c r="D34" s="4">
        <v>514</v>
      </c>
      <c r="E34" s="4">
        <v>579278</v>
      </c>
      <c r="F34" s="4">
        <v>58807</v>
      </c>
      <c r="G34" s="4">
        <v>5635</v>
      </c>
      <c r="H34" s="4">
        <v>6762</v>
      </c>
      <c r="I34" s="4">
        <v>1127</v>
      </c>
      <c r="J34" s="4">
        <v>72331</v>
      </c>
      <c r="K34" s="5">
        <v>5216261.5399999991</v>
      </c>
      <c r="L34" s="5">
        <v>0</v>
      </c>
      <c r="M34" s="5">
        <v>1987691</v>
      </c>
      <c r="N34" s="5">
        <v>7203952.5399999991</v>
      </c>
      <c r="P34" s="71"/>
      <c r="Q34" s="58"/>
      <c r="R34" s="58"/>
      <c r="S34" s="58"/>
      <c r="T34" s="58"/>
      <c r="U34" s="58"/>
      <c r="V34" s="58"/>
      <c r="AB34" s="71"/>
      <c r="AC34" s="81"/>
      <c r="AI34" s="84"/>
      <c r="AJ34" s="84"/>
      <c r="AK34" s="84"/>
      <c r="AL34" s="84"/>
    </row>
    <row r="35" spans="1:38" ht="15.75" x14ac:dyDescent="0.25">
      <c r="A35" s="2">
        <v>2</v>
      </c>
      <c r="B35" s="8" t="s">
        <v>91</v>
      </c>
      <c r="C35" s="4">
        <v>114</v>
      </c>
      <c r="D35" s="4">
        <v>437</v>
      </c>
      <c r="E35" s="4">
        <v>49818</v>
      </c>
      <c r="F35" s="4">
        <v>2850</v>
      </c>
      <c r="G35" s="4">
        <v>421.8</v>
      </c>
      <c r="H35" s="4">
        <v>193.79999999999998</v>
      </c>
      <c r="I35" s="4">
        <v>114</v>
      </c>
      <c r="J35" s="4">
        <v>3579.6000000000004</v>
      </c>
      <c r="K35" s="5">
        <v>268632.33600000001</v>
      </c>
      <c r="L35" s="5">
        <v>0</v>
      </c>
      <c r="M35" s="5">
        <v>154698</v>
      </c>
      <c r="N35" s="5">
        <v>423330.33599999995</v>
      </c>
      <c r="P35" s="71"/>
      <c r="Q35" s="58"/>
      <c r="R35" s="58"/>
      <c r="S35" s="58"/>
      <c r="T35" s="58"/>
      <c r="U35" s="58"/>
      <c r="V35" s="58"/>
      <c r="AB35" s="71"/>
      <c r="AC35" s="81"/>
      <c r="AI35" s="84"/>
      <c r="AJ35" s="84"/>
      <c r="AK35" s="84"/>
      <c r="AL35" s="84"/>
    </row>
    <row r="36" spans="1:38" ht="63" x14ac:dyDescent="0.25">
      <c r="A36" s="2">
        <v>2</v>
      </c>
      <c r="B36" s="8" t="s">
        <v>94</v>
      </c>
      <c r="C36" s="4">
        <v>1</v>
      </c>
      <c r="D36" s="4">
        <v>2</v>
      </c>
      <c r="E36" s="4">
        <v>2</v>
      </c>
      <c r="F36" s="4">
        <v>15.25</v>
      </c>
      <c r="G36" s="4">
        <v>1.97</v>
      </c>
      <c r="H36" s="4">
        <v>2.4300000000000002</v>
      </c>
      <c r="I36" s="4">
        <v>2</v>
      </c>
      <c r="J36" s="4">
        <v>21.649999999999995</v>
      </c>
      <c r="K36" s="5">
        <v>1618.2663</v>
      </c>
      <c r="L36" s="5">
        <v>0</v>
      </c>
      <c r="M36" s="5">
        <v>55</v>
      </c>
      <c r="N36" s="5">
        <v>1673.2663</v>
      </c>
      <c r="P36" s="72"/>
      <c r="AB36" s="71"/>
      <c r="AC36" s="81"/>
      <c r="AI36" s="84"/>
      <c r="AJ36" s="84"/>
      <c r="AK36" s="84"/>
      <c r="AL36" s="84"/>
    </row>
    <row r="37" spans="1:38" ht="31.5" x14ac:dyDescent="0.25">
      <c r="A37" s="2"/>
      <c r="B37" s="8" t="s">
        <v>95</v>
      </c>
      <c r="C37" s="4">
        <v>238</v>
      </c>
      <c r="D37" s="4">
        <v>149</v>
      </c>
      <c r="E37" s="4">
        <v>35462</v>
      </c>
      <c r="F37" s="4">
        <v>7418.46</v>
      </c>
      <c r="G37" s="4">
        <v>549.78</v>
      </c>
      <c r="H37" s="4">
        <v>742.56000000000006</v>
      </c>
      <c r="I37" s="4">
        <v>476</v>
      </c>
      <c r="J37" s="4">
        <v>9186.7999999999993</v>
      </c>
      <c r="K37" s="5">
        <v>677874.97960000008</v>
      </c>
      <c r="L37" s="5">
        <v>0</v>
      </c>
      <c r="M37" s="5">
        <v>13090</v>
      </c>
      <c r="N37" s="5">
        <v>690964.97960000008</v>
      </c>
      <c r="P37" s="72"/>
      <c r="AB37" s="71"/>
      <c r="AC37" s="81"/>
      <c r="AI37" s="84"/>
      <c r="AJ37" s="84"/>
      <c r="AK37" s="84"/>
      <c r="AL37" s="84"/>
    </row>
    <row r="38" spans="1:38" ht="47.25" x14ac:dyDescent="0.25">
      <c r="A38" s="2">
        <v>2</v>
      </c>
      <c r="B38" s="8" t="s">
        <v>96</v>
      </c>
      <c r="C38" s="4">
        <v>484</v>
      </c>
      <c r="D38" s="4">
        <v>64</v>
      </c>
      <c r="E38" s="4">
        <v>30976</v>
      </c>
      <c r="F38" s="4">
        <v>5407.3</v>
      </c>
      <c r="G38" s="4">
        <v>1355.1999999999998</v>
      </c>
      <c r="H38" s="4">
        <v>899.56500000000005</v>
      </c>
      <c r="I38" s="4">
        <v>484</v>
      </c>
      <c r="J38" s="4">
        <v>8146.0649999999996</v>
      </c>
      <c r="K38" s="5">
        <v>609220.74584999995</v>
      </c>
      <c r="L38" s="5">
        <v>0</v>
      </c>
      <c r="M38" s="5">
        <v>26620</v>
      </c>
      <c r="N38" s="5">
        <v>635840.74584999995</v>
      </c>
      <c r="P38" s="72"/>
      <c r="AB38" s="71"/>
      <c r="AC38" s="81"/>
      <c r="AI38" s="84"/>
      <c r="AJ38" s="84"/>
      <c r="AK38" s="84"/>
      <c r="AL38" s="84"/>
    </row>
    <row r="39" spans="1:38" ht="31.5" x14ac:dyDescent="0.25">
      <c r="A39" s="2">
        <v>2</v>
      </c>
      <c r="B39" s="8" t="s">
        <v>97</v>
      </c>
      <c r="C39" s="4">
        <v>103</v>
      </c>
      <c r="D39" s="4">
        <v>3635</v>
      </c>
      <c r="E39" s="4">
        <v>374405</v>
      </c>
      <c r="F39" s="4">
        <v>7642.3999999999987</v>
      </c>
      <c r="G39" s="4">
        <v>1208.1199999999999</v>
      </c>
      <c r="H39" s="4">
        <v>646.24</v>
      </c>
      <c r="I39" s="4">
        <v>236</v>
      </c>
      <c r="J39" s="4">
        <v>9732.76</v>
      </c>
      <c r="K39" s="5">
        <v>723699.11320000002</v>
      </c>
      <c r="L39" s="5">
        <v>0</v>
      </c>
      <c r="M39" s="5">
        <v>5665</v>
      </c>
      <c r="N39" s="5">
        <v>729364.11320000002</v>
      </c>
      <c r="P39" s="71"/>
      <c r="Q39" s="58"/>
      <c r="R39" s="58"/>
      <c r="S39" s="58"/>
      <c r="T39" s="58"/>
      <c r="U39" s="58"/>
      <c r="V39" s="58"/>
      <c r="AB39" s="71"/>
      <c r="AC39" s="81"/>
      <c r="AI39" s="84"/>
      <c r="AJ39" s="84"/>
      <c r="AK39" s="84"/>
      <c r="AL39" s="84"/>
    </row>
    <row r="40" spans="1:38" ht="31.5" x14ac:dyDescent="0.25">
      <c r="A40" s="2">
        <v>2</v>
      </c>
      <c r="B40" s="8" t="s">
        <v>99</v>
      </c>
      <c r="C40" s="4">
        <v>128</v>
      </c>
      <c r="D40" s="4">
        <v>94</v>
      </c>
      <c r="E40" s="4">
        <v>12032</v>
      </c>
      <c r="F40" s="4">
        <v>1152</v>
      </c>
      <c r="G40" s="4">
        <v>320</v>
      </c>
      <c r="H40" s="4">
        <v>192</v>
      </c>
      <c r="I40" s="4">
        <v>0</v>
      </c>
      <c r="J40" s="4">
        <v>1664</v>
      </c>
      <c r="K40" s="5">
        <v>120823.03999999999</v>
      </c>
      <c r="L40" s="5">
        <v>0</v>
      </c>
      <c r="M40" s="5">
        <v>7040</v>
      </c>
      <c r="N40" s="5">
        <v>127863.03999999999</v>
      </c>
      <c r="P40" s="71"/>
      <c r="Q40" s="58"/>
      <c r="R40" s="58"/>
      <c r="S40" s="58"/>
      <c r="T40" s="58"/>
      <c r="U40" s="58"/>
      <c r="V40" s="58"/>
      <c r="AB40" s="71"/>
      <c r="AC40" s="81"/>
      <c r="AI40" s="84"/>
      <c r="AJ40" s="84"/>
      <c r="AK40" s="84"/>
      <c r="AL40" s="84"/>
    </row>
    <row r="41" spans="1:38" ht="63" x14ac:dyDescent="0.25">
      <c r="A41" s="2">
        <v>2</v>
      </c>
      <c r="B41" s="8" t="s">
        <v>101</v>
      </c>
      <c r="C41" s="4">
        <v>44</v>
      </c>
      <c r="D41" s="4">
        <v>4092</v>
      </c>
      <c r="E41" s="4">
        <v>180048</v>
      </c>
      <c r="F41" s="4">
        <v>2244</v>
      </c>
      <c r="G41" s="4">
        <v>286</v>
      </c>
      <c r="H41" s="4">
        <v>242</v>
      </c>
      <c r="I41" s="4">
        <v>44</v>
      </c>
      <c r="J41" s="4">
        <v>2816</v>
      </c>
      <c r="K41" s="5">
        <v>205095.88</v>
      </c>
      <c r="L41" s="5">
        <v>0</v>
      </c>
      <c r="M41" s="5">
        <v>2420</v>
      </c>
      <c r="N41" s="5">
        <v>207515.88</v>
      </c>
      <c r="P41" s="71"/>
      <c r="Q41" s="58"/>
      <c r="R41" s="58"/>
      <c r="S41" s="58"/>
      <c r="T41" s="58"/>
      <c r="U41" s="58"/>
      <c r="V41" s="58"/>
      <c r="AB41" s="71"/>
      <c r="AC41" s="81"/>
      <c r="AI41" s="84"/>
      <c r="AJ41" s="84"/>
      <c r="AK41" s="84"/>
      <c r="AL41" s="84"/>
    </row>
    <row r="42" spans="1:38" ht="47.25" x14ac:dyDescent="0.25">
      <c r="A42" s="2">
        <v>2</v>
      </c>
      <c r="B42" s="8" t="s">
        <v>103</v>
      </c>
      <c r="C42" s="4">
        <v>9</v>
      </c>
      <c r="D42" s="4">
        <v>1882</v>
      </c>
      <c r="E42" s="4">
        <v>16938</v>
      </c>
      <c r="F42" s="4">
        <v>2517</v>
      </c>
      <c r="G42" s="4">
        <v>738</v>
      </c>
      <c r="H42" s="4">
        <v>263</v>
      </c>
      <c r="I42" s="4">
        <v>186</v>
      </c>
      <c r="J42" s="4">
        <v>3704</v>
      </c>
      <c r="K42" s="5">
        <v>450257.76999999996</v>
      </c>
      <c r="L42" s="5">
        <v>0</v>
      </c>
      <c r="M42" s="5">
        <v>17680</v>
      </c>
      <c r="N42" s="5">
        <v>467937.76999999996</v>
      </c>
      <c r="P42" s="71"/>
      <c r="Q42" s="58"/>
      <c r="R42" s="58"/>
      <c r="S42" s="58"/>
      <c r="T42" s="58"/>
      <c r="U42" s="58"/>
      <c r="V42" s="58"/>
      <c r="AB42" s="71"/>
      <c r="AC42" s="81"/>
      <c r="AI42" s="84"/>
      <c r="AJ42" s="84"/>
      <c r="AK42" s="84"/>
      <c r="AL42" s="84"/>
    </row>
    <row r="43" spans="1:38" ht="47.25" x14ac:dyDescent="0.25">
      <c r="A43" s="2">
        <v>2</v>
      </c>
      <c r="B43" s="8" t="s">
        <v>104</v>
      </c>
      <c r="C43" s="4">
        <v>5</v>
      </c>
      <c r="D43" s="4">
        <v>465</v>
      </c>
      <c r="E43" s="4">
        <v>2325</v>
      </c>
      <c r="F43" s="4">
        <v>185</v>
      </c>
      <c r="G43" s="4">
        <v>25</v>
      </c>
      <c r="H43" s="4">
        <v>20</v>
      </c>
      <c r="I43" s="4">
        <v>5</v>
      </c>
      <c r="J43" s="4">
        <v>235</v>
      </c>
      <c r="K43" s="5">
        <v>17197.599999999999</v>
      </c>
      <c r="L43" s="5">
        <v>0</v>
      </c>
      <c r="M43" s="5">
        <v>275</v>
      </c>
      <c r="N43" s="5">
        <v>17472.599999999999</v>
      </c>
      <c r="P43" s="71"/>
      <c r="Q43" s="58"/>
      <c r="R43" s="58"/>
      <c r="S43" s="58"/>
      <c r="T43" s="58"/>
      <c r="U43" s="58"/>
      <c r="V43" s="58"/>
      <c r="AB43" s="71"/>
      <c r="AC43" s="81"/>
      <c r="AI43" s="84"/>
      <c r="AJ43" s="84"/>
      <c r="AK43" s="84"/>
      <c r="AL43" s="84"/>
    </row>
    <row r="44" spans="1:38" ht="31.5" x14ac:dyDescent="0.25">
      <c r="A44" s="2">
        <v>2</v>
      </c>
      <c r="B44" s="8" t="s">
        <v>106</v>
      </c>
      <c r="C44" s="4">
        <v>167</v>
      </c>
      <c r="D44" s="4">
        <v>1661</v>
      </c>
      <c r="E44" s="4">
        <v>277387</v>
      </c>
      <c r="F44" s="4">
        <v>7014</v>
      </c>
      <c r="G44" s="4">
        <v>1002</v>
      </c>
      <c r="H44" s="4">
        <v>835</v>
      </c>
      <c r="I44" s="4">
        <v>167</v>
      </c>
      <c r="J44" s="4">
        <v>9018</v>
      </c>
      <c r="K44" s="5">
        <v>656993.03</v>
      </c>
      <c r="L44" s="5">
        <v>0</v>
      </c>
      <c r="M44" s="5">
        <v>9185</v>
      </c>
      <c r="N44" s="5">
        <v>666178.03</v>
      </c>
      <c r="P44" s="71"/>
      <c r="Q44" s="58"/>
      <c r="R44" s="58"/>
      <c r="S44" s="58"/>
      <c r="T44" s="58"/>
      <c r="U44" s="58"/>
      <c r="V44" s="58"/>
      <c r="AB44" s="71"/>
      <c r="AC44" s="81"/>
      <c r="AI44" s="84"/>
      <c r="AJ44" s="84"/>
      <c r="AK44" s="84"/>
      <c r="AL44" s="84"/>
    </row>
    <row r="45" spans="1:38" ht="31.5" x14ac:dyDescent="0.25">
      <c r="A45" s="2">
        <v>2</v>
      </c>
      <c r="B45" s="8" t="s">
        <v>109</v>
      </c>
      <c r="C45" s="4">
        <v>87</v>
      </c>
      <c r="D45" s="4">
        <v>62</v>
      </c>
      <c r="E45" s="4">
        <v>5394</v>
      </c>
      <c r="F45" s="4">
        <v>783</v>
      </c>
      <c r="G45" s="4">
        <v>217.5</v>
      </c>
      <c r="H45" s="4">
        <v>130.5</v>
      </c>
      <c r="I45" s="4">
        <v>0</v>
      </c>
      <c r="J45" s="4">
        <v>1131</v>
      </c>
      <c r="K45" s="5">
        <v>82121.909999999989</v>
      </c>
      <c r="L45" s="5">
        <v>0</v>
      </c>
      <c r="M45" s="5">
        <v>4785</v>
      </c>
      <c r="N45" s="5">
        <v>86906.909999999989</v>
      </c>
      <c r="P45" s="71"/>
      <c r="Q45" s="58"/>
      <c r="R45" s="58"/>
      <c r="S45" s="58"/>
      <c r="T45" s="58"/>
      <c r="U45" s="58"/>
      <c r="V45" s="58"/>
      <c r="AB45" s="71"/>
      <c r="AC45" s="81"/>
      <c r="AI45" s="84"/>
      <c r="AJ45" s="84"/>
      <c r="AK45" s="84"/>
      <c r="AL45" s="84"/>
    </row>
    <row r="46" spans="1:38" ht="15.75" x14ac:dyDescent="0.25">
      <c r="A46" s="2"/>
      <c r="B46" s="2"/>
      <c r="C46" s="10">
        <f>SUM(C4:C45)</f>
        <v>12434</v>
      </c>
      <c r="D46" s="10">
        <f>E46/C46</f>
        <v>824.26700981180636</v>
      </c>
      <c r="E46" s="10">
        <f>SUM(E4:E45)</f>
        <v>10248936</v>
      </c>
      <c r="F46" s="2"/>
      <c r="G46" s="2"/>
      <c r="H46" s="2"/>
      <c r="I46" s="2"/>
      <c r="J46" s="10">
        <v>230</v>
      </c>
      <c r="K46" s="11">
        <f t="shared" ref="K46:N46" si="0">SUM(K4:K45)</f>
        <v>61893263.611500002</v>
      </c>
      <c r="L46" s="12">
        <f t="shared" si="0"/>
        <v>0</v>
      </c>
      <c r="M46" s="12">
        <f t="shared" si="0"/>
        <v>33282257</v>
      </c>
      <c r="N46" s="12">
        <f t="shared" si="0"/>
        <v>95175520.611499995</v>
      </c>
      <c r="P46" s="71"/>
      <c r="Q46" s="58"/>
      <c r="R46" s="58"/>
      <c r="S46" s="58"/>
      <c r="T46" s="58"/>
      <c r="U46" s="58"/>
      <c r="V46" s="58"/>
      <c r="AB46" s="71"/>
      <c r="AC46" s="81"/>
      <c r="AI46" s="84"/>
      <c r="AJ46" s="84"/>
      <c r="AK46" s="84"/>
      <c r="AL46" s="84"/>
    </row>
    <row r="47" spans="1:38" ht="15.75" x14ac:dyDescent="0.25">
      <c r="A47" s="2"/>
      <c r="B47" s="2"/>
      <c r="C47" s="2"/>
      <c r="D47" s="2"/>
      <c r="E47" s="2"/>
      <c r="F47" s="2"/>
      <c r="G47" s="2"/>
      <c r="H47" s="2"/>
      <c r="I47" s="2"/>
      <c r="J47" s="2"/>
      <c r="K47" s="2"/>
      <c r="L47" s="2"/>
      <c r="M47" s="2"/>
      <c r="N47" s="2"/>
      <c r="P47" s="71"/>
      <c r="Q47" s="58"/>
      <c r="R47" s="58"/>
      <c r="S47" s="58"/>
      <c r="T47" s="58"/>
      <c r="U47" s="58"/>
      <c r="V47" s="58"/>
      <c r="AB47" s="71"/>
      <c r="AC47" s="81"/>
      <c r="AI47" s="84"/>
      <c r="AJ47" s="84"/>
      <c r="AK47" s="84"/>
      <c r="AL47" s="84"/>
    </row>
    <row r="48" spans="1:38" ht="15.75" x14ac:dyDescent="0.25">
      <c r="A48" s="2"/>
      <c r="B48" s="13"/>
      <c r="C48" s="13"/>
      <c r="D48" s="13"/>
      <c r="E48" s="13"/>
      <c r="F48" s="13"/>
      <c r="G48" s="13"/>
      <c r="H48" s="13"/>
      <c r="I48" s="13"/>
      <c r="J48" s="13"/>
      <c r="K48" s="13"/>
      <c r="L48" s="13"/>
      <c r="M48" s="13"/>
      <c r="N48" s="13"/>
      <c r="P48" s="71"/>
      <c r="Q48" s="58"/>
      <c r="R48" s="58"/>
      <c r="S48" s="58"/>
      <c r="T48" s="58"/>
      <c r="U48" s="58"/>
      <c r="V48" s="58"/>
      <c r="AB48" s="71"/>
      <c r="AC48" s="81"/>
      <c r="AI48" s="84"/>
      <c r="AJ48" s="84"/>
      <c r="AK48" s="84"/>
      <c r="AL48" s="84"/>
    </row>
    <row r="49" spans="1:38" ht="110.25" x14ac:dyDescent="0.25">
      <c r="A49" s="2"/>
      <c r="B49" s="2"/>
      <c r="C49" s="2"/>
      <c r="D49" s="2"/>
      <c r="E49" s="14"/>
      <c r="F49" s="14"/>
      <c r="G49" s="14"/>
      <c r="H49" s="14"/>
      <c r="I49" s="14"/>
      <c r="J49" s="15" t="s">
        <v>223</v>
      </c>
      <c r="K49" s="14"/>
      <c r="L49" s="16" t="s">
        <v>224</v>
      </c>
      <c r="M49" s="6">
        <f>M46+L46</f>
        <v>33282257</v>
      </c>
      <c r="N49" s="17"/>
      <c r="P49" s="58"/>
      <c r="Q49" s="58"/>
      <c r="R49" s="58"/>
      <c r="S49" s="58"/>
      <c r="T49" s="58"/>
      <c r="U49" s="58"/>
      <c r="V49" s="58"/>
      <c r="AB49" s="71"/>
      <c r="AC49" s="81"/>
      <c r="AI49" s="84"/>
      <c r="AJ49" s="84"/>
      <c r="AK49" s="84"/>
      <c r="AL49" s="84"/>
    </row>
    <row r="50" spans="1:38" ht="15.75" x14ac:dyDescent="0.25">
      <c r="A50" s="2"/>
      <c r="B50" s="2"/>
      <c r="C50" s="2"/>
      <c r="D50" s="2"/>
      <c r="E50" s="14"/>
      <c r="F50" s="14"/>
      <c r="G50" s="14"/>
      <c r="H50" s="14"/>
      <c r="I50" s="14"/>
      <c r="K50" s="14"/>
      <c r="L50" s="14"/>
      <c r="M50" s="14"/>
      <c r="N50" s="14"/>
      <c r="P50" s="58"/>
      <c r="Q50" s="58"/>
      <c r="R50" s="58"/>
      <c r="S50" s="58"/>
      <c r="T50" s="58"/>
      <c r="U50" s="58"/>
      <c r="V50" s="58"/>
      <c r="AB50" s="71"/>
      <c r="AC50" s="81"/>
      <c r="AI50" s="84"/>
      <c r="AJ50" s="84"/>
      <c r="AK50" s="84"/>
      <c r="AL50" s="84"/>
    </row>
    <row r="51" spans="1:38" ht="15.75" x14ac:dyDescent="0.25">
      <c r="A51" s="2"/>
      <c r="B51" s="2"/>
      <c r="C51" s="2"/>
      <c r="D51" s="2"/>
      <c r="E51" s="14"/>
      <c r="F51" s="14"/>
      <c r="G51" s="14"/>
      <c r="H51" s="14"/>
      <c r="I51" s="14"/>
      <c r="J51" s="18">
        <v>24960</v>
      </c>
      <c r="K51" s="19" t="s">
        <v>225</v>
      </c>
      <c r="L51" s="14"/>
      <c r="M51" s="14"/>
      <c r="N51" s="20">
        <v>9920813</v>
      </c>
      <c r="P51" s="58"/>
      <c r="Q51" s="58"/>
      <c r="R51" s="58"/>
      <c r="S51" s="58"/>
      <c r="T51" s="58"/>
      <c r="U51" s="58"/>
      <c r="V51" s="58"/>
    </row>
    <row r="52" spans="1:38" ht="15.75" x14ac:dyDescent="0.25">
      <c r="A52" s="2"/>
      <c r="B52" s="2"/>
      <c r="C52" s="2"/>
      <c r="D52" s="2"/>
      <c r="E52" s="14"/>
      <c r="F52" s="14"/>
      <c r="G52" s="14"/>
      <c r="H52" s="14"/>
      <c r="I52" s="14"/>
      <c r="J52" s="21">
        <f>J46+J51</f>
        <v>25190</v>
      </c>
      <c r="K52" s="14" t="s">
        <v>226</v>
      </c>
      <c r="L52" s="14"/>
      <c r="M52" s="14"/>
      <c r="N52" s="22">
        <f>N46+N51</f>
        <v>105096333.61149999</v>
      </c>
      <c r="P52" s="58"/>
      <c r="Q52" s="58"/>
      <c r="R52" s="58"/>
      <c r="S52" s="58"/>
      <c r="T52" s="58"/>
      <c r="U52" s="58"/>
      <c r="V52" s="58"/>
    </row>
    <row r="53" spans="1:38" ht="15.75" x14ac:dyDescent="0.25">
      <c r="A53" s="2"/>
      <c r="B53" s="2"/>
      <c r="C53" s="2"/>
      <c r="D53" s="2"/>
      <c r="E53" s="14"/>
      <c r="F53" s="14"/>
      <c r="G53" s="14"/>
      <c r="H53" s="14"/>
      <c r="I53" s="14"/>
      <c r="J53" s="14"/>
      <c r="K53" s="14"/>
      <c r="L53" s="14"/>
      <c r="M53" s="14"/>
      <c r="N53" s="14"/>
    </row>
    <row r="54" spans="1:38" s="29" customFormat="1" ht="15.75" x14ac:dyDescent="0.25">
      <c r="A54" s="23"/>
      <c r="B54" s="23" t="s">
        <v>227</v>
      </c>
      <c r="C54" s="24">
        <v>13180</v>
      </c>
      <c r="D54" s="23"/>
      <c r="E54" s="25">
        <v>9853129</v>
      </c>
      <c r="F54" s="26"/>
      <c r="G54" s="26"/>
      <c r="H54" s="26"/>
      <c r="I54" s="26"/>
      <c r="J54" s="27">
        <v>740012</v>
      </c>
      <c r="K54" s="28">
        <v>58419314</v>
      </c>
      <c r="L54" s="28">
        <v>412014</v>
      </c>
      <c r="M54" s="28">
        <v>29114383</v>
      </c>
      <c r="N54" s="28">
        <v>87945711</v>
      </c>
      <c r="W54" s="86"/>
      <c r="X54" s="86"/>
      <c r="Y54" s="86"/>
      <c r="Z54" s="86"/>
      <c r="AD54" s="87"/>
      <c r="AE54" s="87"/>
      <c r="AF54" s="87"/>
      <c r="AG54" s="87"/>
      <c r="AH54" s="87"/>
    </row>
    <row r="55" spans="1:38" ht="15.75" x14ac:dyDescent="0.25">
      <c r="A55" s="2"/>
      <c r="B55" s="2" t="s">
        <v>228</v>
      </c>
      <c r="C55" s="30">
        <f>C46-C54</f>
        <v>-746</v>
      </c>
      <c r="D55" s="2"/>
      <c r="E55" s="30">
        <f>E46-E54</f>
        <v>395807</v>
      </c>
      <c r="F55" s="14"/>
      <c r="G55" s="14"/>
      <c r="H55" s="14"/>
      <c r="I55" s="14"/>
      <c r="J55" s="30">
        <f t="shared" ref="J55:N55" si="1">J46-J54</f>
        <v>-739782</v>
      </c>
      <c r="K55" s="30">
        <f t="shared" si="1"/>
        <v>3473949.6115000024</v>
      </c>
      <c r="L55" s="30">
        <f t="shared" si="1"/>
        <v>-412014</v>
      </c>
      <c r="M55" s="30">
        <f t="shared" si="1"/>
        <v>4167874</v>
      </c>
      <c r="N55" s="30">
        <f t="shared" si="1"/>
        <v>7229809.611499995</v>
      </c>
    </row>
    <row r="56" spans="1:38" ht="126" x14ac:dyDescent="0.25">
      <c r="E56" s="31"/>
      <c r="F56" s="31"/>
      <c r="G56" s="31"/>
      <c r="H56" s="31"/>
      <c r="I56" s="31"/>
      <c r="J56" s="32" t="s">
        <v>229</v>
      </c>
      <c r="K56" s="31"/>
      <c r="L56" s="31"/>
      <c r="M56" s="31"/>
      <c r="N56" s="31"/>
    </row>
    <row r="57" spans="1:38" ht="28.5" x14ac:dyDescent="0.25">
      <c r="E57" s="31"/>
      <c r="F57" s="31"/>
      <c r="G57" s="31"/>
      <c r="H57" s="31"/>
      <c r="I57" s="31"/>
      <c r="J57" s="31"/>
      <c r="K57" s="31"/>
      <c r="L57" s="31"/>
      <c r="M57" s="31"/>
      <c r="N57" s="31"/>
    </row>
    <row r="58" spans="1:38" ht="28.5" x14ac:dyDescent="0.25">
      <c r="E58" s="31"/>
      <c r="F58" s="31"/>
      <c r="G58" s="31"/>
      <c r="H58" s="31"/>
      <c r="I58" s="31"/>
      <c r="J58" s="31"/>
      <c r="K58" s="31"/>
      <c r="L58" s="31"/>
      <c r="M58" s="31"/>
      <c r="N58" s="31"/>
    </row>
  </sheetData>
  <autoFilter ref="A3:N47" xr:uid="{B9A27220-3210-43E6-A9CF-999C9D6899D3}"/>
  <mergeCells count="2">
    <mergeCell ref="B2:B3"/>
    <mergeCell ref="C2:N2"/>
  </mergeCells>
  <printOptions gridLines="1"/>
  <pageMargins left="0.25" right="0.25" top="0.75" bottom="0.75" header="0.3" footer="0.3"/>
  <pageSetup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ffa91fb-a0ff-4ac5-b2db-65c790d184a4" xsi:nil="true"/>
    <lcf76f155ced4ddcb4097134ff3c332f xmlns="087b91ec-619e-477b-bd8f-cfe4d0d60d9e">
      <Terms xmlns="http://schemas.microsoft.com/office/infopath/2007/PartnerControls"/>
    </lcf76f155ced4ddcb4097134ff3c332f>
    <_Source xmlns="http://schemas.microsoft.com/sharepoint/v3/fields" xsi:nil="true"/>
    <Language xmlns="http://schemas.microsoft.com/sharepoint/v3">English</Language>
    <j747ac98061d40f0aa7bd47e1db5675d xmlns="4ffa91fb-a0ff-4ac5-b2db-65c790d184a4">
      <Terms xmlns="http://schemas.microsoft.com/office/infopath/2007/PartnerControls"/>
    </j747ac98061d40f0aa7bd47e1db5675d>
    <e3f09c3df709400db2417a7161762d62 xmlns="4ffa91fb-a0ff-4ac5-b2db-65c790d184a4">
      <Terms xmlns="http://schemas.microsoft.com/office/infopath/2007/PartnerControls"/>
    </e3f09c3df709400db2417a7161762d62>
    <External_x0020_Contributor xmlns="4ffa91fb-a0ff-4ac5-b2db-65c790d184a4" xsi:nil="true"/>
    <TaxKeywordTaxHTField xmlns="4ffa91fb-a0ff-4ac5-b2db-65c790d184a4">
      <Terms xmlns="http://schemas.microsoft.com/office/infopath/2007/PartnerControls"/>
    </TaxKeywordTaxHTField>
    <Record xmlns="4ffa91fb-a0ff-4ac5-b2db-65c790d184a4">Shared</Record>
    <Rights xmlns="4ffa91fb-a0ff-4ac5-b2db-65c790d184a4" xsi:nil="true"/>
    <Document_x0020_Creation_x0020_Date xmlns="4ffa91fb-a0ff-4ac5-b2db-65c790d184a4">2025-07-08T04:00:00+00:00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871530DDF837140B12EE7A89A24DB8D" ma:contentTypeVersion="18" ma:contentTypeDescription="Create a new document." ma:contentTypeScope="" ma:versionID="a17116babd12af48b0552bb4d55e4912">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087b91ec-619e-477b-bd8f-cfe4d0d60d9e" xmlns:ns6="7d8dd676-26ca-4e08-b90f-b4e0026a58ac" targetNamespace="http://schemas.microsoft.com/office/2006/metadata/properties" ma:root="true" ma:fieldsID="eaca842ee27769081863ae09fe3e61d3" ns1:_="" ns2:_="" ns3:_="" ns4:_="" ns5:_="" ns6:_="">
    <xsd:import namespace="http://schemas.microsoft.com/sharepoint/v3"/>
    <xsd:import namespace="4ffa91fb-a0ff-4ac5-b2db-65c790d184a4"/>
    <xsd:import namespace="http://schemas.microsoft.com/sharepoint.v3"/>
    <xsd:import namespace="http://schemas.microsoft.com/sharepoint/v3/fields"/>
    <xsd:import namespace="087b91ec-619e-477b-bd8f-cfe4d0d60d9e"/>
    <xsd:import namespace="7d8dd676-26ca-4e08-b90f-b4e0026a58ac"/>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2:e3f09c3df709400db2417a7161762d62" minOccurs="0"/>
                <xsd:element ref="ns5:MediaServiceMetadata" minOccurs="0"/>
                <xsd:element ref="ns5:MediaServiceFastMetadata" minOccurs="0"/>
                <xsd:element ref="ns6:SharedWithUsers" minOccurs="0"/>
                <xsd:element ref="ns6:SharedWithDetails" minOccurs="0"/>
                <xsd:element ref="ns5:MediaServiceAutoKeyPoints" minOccurs="0"/>
                <xsd:element ref="ns5:MediaServiceKeyPoints" minOccurs="0"/>
                <xsd:element ref="ns5:lcf76f155ced4ddcb4097134ff3c332f" minOccurs="0"/>
                <xsd:element ref="ns5:MediaServiceGenerationTime" minOccurs="0"/>
                <xsd:element ref="ns5:MediaServiceEventHashCode" minOccurs="0"/>
                <xsd:element ref="ns5:MediaServiceObjectDetectorVersions" minOccurs="0"/>
                <xsd:element ref="ns5:MediaServiceOCR" minOccurs="0"/>
                <xsd:element ref="ns5:MediaServiceSearchProperties" minOccurs="0"/>
                <xsd:element ref="ns5: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description="" ma:hidden="true" ma:list="{aec54597-794d-48fd-aaaa-4eaa50f4ff1d}" ma:internalName="TaxCatchAllLabel" ma:readOnly="true" ma:showField="CatchAllDataLabel" ma:web="7d8dd676-26ca-4e08-b90f-b4e0026a58ac">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description="" ma:hidden="true" ma:list="{aec54597-794d-48fd-aaaa-4eaa50f4ff1d}" ma:internalName="TaxCatchAll" ma:showField="CatchAllData" ma:web="7d8dd676-26ca-4e08-b90f-b4e0026a58ac">
      <xsd:complexType>
        <xsd:complexContent>
          <xsd:extension base="dms:MultiChoiceLookup">
            <xsd:sequence>
              <xsd:element name="Value" type="dms:Lookup" maxOccurs="unbounded" minOccurs="0" nillable="true"/>
            </xsd:sequence>
          </xsd:extension>
        </xsd:complexContent>
      </xsd:complexType>
    </xsd:element>
    <xsd:element name="e3f09c3df709400db2417a7161762d62" ma:index="28" nillable="true" ma:taxonomy="true" ma:internalName="e3f09c3df709400db2417a7161762d62" ma:taxonomyFieldName="EPA_x0020_Subject" ma:displayName="EPA Subject" ma:readOnly="false" ma:default="" ma:fieldId="{e3f09c3d-f709-400d-b241-7a7161762d62}" ma:taxonomyMulti="true" ma:sspId="29f62856-1543-49d4-a736-4569d363f533" ma:termSetId="7a3d4ae0-7e62-45a2-a406-c6a8a6a8ee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87b91ec-619e-477b-bd8f-cfe4d0d60d9e" elementFormDefault="qualified">
    <xsd:import namespace="http://schemas.microsoft.com/office/2006/documentManagement/types"/>
    <xsd:import namespace="http://schemas.microsoft.com/office/infopath/2007/PartnerControls"/>
    <xsd:element name="MediaServiceMetadata" ma:index="29" nillable="true" ma:displayName="MediaServiceMetadata" ma:hidden="true" ma:internalName="MediaServiceMetadata" ma:readOnly="true">
      <xsd:simpleType>
        <xsd:restriction base="dms:Note"/>
      </xsd:simpleType>
    </xsd:element>
    <xsd:element name="MediaServiceFastMetadata" ma:index="30" nillable="true" ma:displayName="MediaServiceFastMetadata" ma:hidden="true" ma:internalName="MediaServiceFastMetadata" ma:readOnly="true">
      <xsd:simpleType>
        <xsd:restriction base="dms:Note"/>
      </xsd:simpleType>
    </xsd:element>
    <xsd:element name="MediaServiceAutoKeyPoints" ma:index="33" nillable="true" ma:displayName="MediaServiceAutoKeyPoints" ma:hidden="true" ma:internalName="MediaServiceAutoKeyPoints" ma:readOnly="true">
      <xsd:simpleType>
        <xsd:restriction base="dms:Note"/>
      </xsd:simpleType>
    </xsd:element>
    <xsd:element name="MediaServiceKeyPoints" ma:index="34" nillable="true" ma:displayName="KeyPoints" ma:internalName="MediaServiceKeyPoints" ma:readOnly="true">
      <xsd:simpleType>
        <xsd:restriction base="dms:Note">
          <xsd:maxLength value="255"/>
        </xsd:restriction>
      </xsd:simpleType>
    </xsd:element>
    <xsd:element name="lcf76f155ced4ddcb4097134ff3c332f" ma:index="36"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GenerationTime" ma:index="37" nillable="true" ma:displayName="MediaServiceGenerationTime" ma:hidden="true" ma:internalName="MediaServiceGenerationTime" ma:readOnly="true">
      <xsd:simpleType>
        <xsd:restriction base="dms:Text"/>
      </xsd:simpleType>
    </xsd:element>
    <xsd:element name="MediaServiceEventHashCode" ma:index="38" nillable="true" ma:displayName="MediaServiceEventHashCode" ma:hidden="true" ma:internalName="MediaServiceEventHashCode" ma:readOnly="true">
      <xsd:simpleType>
        <xsd:restriction base="dms:Text"/>
      </xsd:simpleType>
    </xsd:element>
    <xsd:element name="MediaServiceObjectDetectorVersions" ma:index="39" nillable="true" ma:displayName="MediaServiceObjectDetectorVersions" ma:hidden="true" ma:indexed="true" ma:internalName="MediaServiceObjectDetectorVersions" ma:readOnly="true">
      <xsd:simpleType>
        <xsd:restriction base="dms:Text"/>
      </xsd:simpleType>
    </xsd:element>
    <xsd:element name="MediaServiceOCR" ma:index="40" nillable="true" ma:displayName="Extracted Text" ma:internalName="MediaServiceOCR" ma:readOnly="true">
      <xsd:simpleType>
        <xsd:restriction base="dms:Note">
          <xsd:maxLength value="255"/>
        </xsd:restriction>
      </xsd:simpleType>
    </xsd:element>
    <xsd:element name="MediaServiceSearchProperties" ma:index="41" nillable="true" ma:displayName="MediaServiceSearchProperties" ma:hidden="true" ma:internalName="MediaServiceSearchProperties" ma:readOnly="true">
      <xsd:simpleType>
        <xsd:restriction base="dms:Note"/>
      </xsd:simpleType>
    </xsd:element>
    <xsd:element name="MediaServiceDateTaken" ma:index="42"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d8dd676-26ca-4e08-b90f-b4e0026a58ac" elementFormDefault="qualified">
    <xsd:import namespace="http://schemas.microsoft.com/office/2006/documentManagement/types"/>
    <xsd:import namespace="http://schemas.microsoft.com/office/infopath/2007/PartnerControls"/>
    <xsd:element name="SharedWithUsers" ma:index="3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29f62856-1543-49d4-a736-4569d363f533" ContentTypeId="0x0101" PreviousValue="false"/>
</file>

<file path=customXml/itemProps1.xml><?xml version="1.0" encoding="utf-8"?>
<ds:datastoreItem xmlns:ds="http://schemas.openxmlformats.org/officeDocument/2006/customXml" ds:itemID="{ABC9B93F-56B0-4986-A005-D684F113475A}">
  <ds:schemaRefs>
    <ds:schemaRef ds:uri="http://schemas.microsoft.com/sharepoint/v3/fields"/>
    <ds:schemaRef ds:uri="http://purl.org/dc/terms/"/>
    <ds:schemaRef ds:uri="http://www.w3.org/XML/1998/namespace"/>
    <ds:schemaRef ds:uri="http://schemas.microsoft.com/office/infopath/2007/PartnerControls"/>
    <ds:schemaRef ds:uri="http://purl.org/dc/elements/1.1/"/>
    <ds:schemaRef ds:uri="http://schemas.microsoft.com/sharepoint/v3"/>
    <ds:schemaRef ds:uri="http://schemas.microsoft.com/sharepoint.v3"/>
    <ds:schemaRef ds:uri="http://purl.org/dc/dcmitype/"/>
    <ds:schemaRef ds:uri="7d8dd676-26ca-4e08-b90f-b4e0026a58ac"/>
    <ds:schemaRef ds:uri="http://schemas.microsoft.com/office/2006/documentManagement/types"/>
    <ds:schemaRef ds:uri="http://schemas.openxmlformats.org/package/2006/metadata/core-properties"/>
    <ds:schemaRef ds:uri="087b91ec-619e-477b-bd8f-cfe4d0d60d9e"/>
    <ds:schemaRef ds:uri="4ffa91fb-a0ff-4ac5-b2db-65c790d184a4"/>
    <ds:schemaRef ds:uri="http://schemas.microsoft.com/office/2006/metadata/properties"/>
  </ds:schemaRefs>
</ds:datastoreItem>
</file>

<file path=customXml/itemProps2.xml><?xml version="1.0" encoding="utf-8"?>
<ds:datastoreItem xmlns:ds="http://schemas.openxmlformats.org/officeDocument/2006/customXml" ds:itemID="{628735F7-5965-4C15-B214-FB94BB13664F}">
  <ds:schemaRefs>
    <ds:schemaRef ds:uri="http://schemas.microsoft.com/sharepoint/v3/contenttype/forms"/>
  </ds:schemaRefs>
</ds:datastoreItem>
</file>

<file path=customXml/itemProps3.xml><?xml version="1.0" encoding="utf-8"?>
<ds:datastoreItem xmlns:ds="http://schemas.openxmlformats.org/officeDocument/2006/customXml" ds:itemID="{8FF01A8F-4DC7-47B9-8C76-4A94C9F17A6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087b91ec-619e-477b-bd8f-cfe4d0d60d9e"/>
    <ds:schemaRef ds:uri="7d8dd676-26ca-4e08-b90f-b4e0026a58a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20EBD5C6-7DC5-4F05-A78A-CAAD8E375F21}">
  <ds:schemaRefs>
    <ds:schemaRef ds:uri="Microsoft.SharePoint.Taxonomy.ContentTypeSyn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15</vt:i4>
      </vt:variant>
    </vt:vector>
  </HeadingPairs>
  <TitlesOfParts>
    <vt:vector size="25" baseType="lpstr">
      <vt:lpstr>Baseline 2025 Non-W sectors</vt:lpstr>
      <vt:lpstr>Baseline 2025 W-bysegment</vt:lpstr>
      <vt:lpstr>Exhibit 12.1a and b</vt:lpstr>
      <vt:lpstr>Exhibit 12.2</vt:lpstr>
      <vt:lpstr>Exhibit 12.3</vt:lpstr>
      <vt:lpstr>Exhibit 14.1</vt:lpstr>
      <vt:lpstr>Inputs--&gt;&gt;</vt:lpstr>
      <vt:lpstr>Labor Rates</vt:lpstr>
      <vt:lpstr>ICR 2300.20 Ex 6.1</vt:lpstr>
      <vt:lpstr>ICR 2773.02 Yr 1; 2025</vt:lpstr>
      <vt:lpstr>Admin</vt:lpstr>
      <vt:lpstr>CEPCI_Ratio</vt:lpstr>
      <vt:lpstr>Engineer</vt:lpstr>
      <vt:lpstr>Lawyer</vt:lpstr>
      <vt:lpstr>Manager</vt:lpstr>
      <vt:lpstr>RREngineer</vt:lpstr>
      <vt:lpstr>RRLawyer</vt:lpstr>
      <vt:lpstr>RRMidManager</vt:lpstr>
      <vt:lpstr>RRSrManager</vt:lpstr>
      <vt:lpstr>RRTechnical</vt:lpstr>
      <vt:lpstr>W_RREngineer</vt:lpstr>
      <vt:lpstr>W_RRLawyer</vt:lpstr>
      <vt:lpstr>W_RRMidManager</vt:lpstr>
      <vt:lpstr>W_RRSrManager</vt:lpstr>
      <vt:lpstr>W_RRTechnical</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Brian Palmer</dc:creator>
  <cp:keywords/>
  <dc:description/>
  <cp:lastModifiedBy>ERG/Tracy Curtis</cp:lastModifiedBy>
  <cp:revision/>
  <dcterms:created xsi:type="dcterms:W3CDTF">2025-06-18T14:39:56Z</dcterms:created>
  <dcterms:modified xsi:type="dcterms:W3CDTF">2025-09-15T17:42:24Z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0x010100F871530DDF837140B12EE7A89A24DB8D</vt:lpwstr>
  </property>
  <property fmtid="{D5CDD505-2E9C-101B-9397-08002B2CF9AE}" pid="3" name="MediaServiceImageTags">
    <vt:lpwstr/>
  </property>
  <property fmtid="{D5CDD505-2E9C-101B-9397-08002B2CF9AE}" pid="4" name="TaxKeyword">
    <vt:lpwstr/>
  </property>
  <property fmtid="{D5CDD505-2E9C-101B-9397-08002B2CF9AE}" pid="5" name="Document_x0020_Type">
    <vt:lpwstr/>
  </property>
  <property fmtid="{D5CDD505-2E9C-101B-9397-08002B2CF9AE}" pid="6" name="EPA_x0020_Subject">
    <vt:lpwstr/>
  </property>
  <property fmtid="{D5CDD505-2E9C-101B-9397-08002B2CF9AE}" pid="7" name="EPA Subject">
    <vt:lpwstr/>
  </property>
  <property fmtid="{D5CDD505-2E9C-101B-9397-08002B2CF9AE}" pid="8" name="Document Type">
    <vt:lpwstr/>
  </property>
</Properties>
</file>