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CCD\ICR\ICR 1695 (NRSI Cert)\ICR 1695.15 (NRSI Cert 2025 Renewal)\First FR Notice\"/>
    </mc:Choice>
  </mc:AlternateContent>
  <xr:revisionPtr revIDLastSave="0" documentId="13_ncr:1_{58868496-738C-4FE4-9638-EC4CF9FBC6A9}" xr6:coauthVersionLast="47" xr6:coauthVersionMax="47" xr10:uidLastSave="{00000000-0000-0000-0000-000000000000}"/>
  <bookViews>
    <workbookView xWindow="-110" yWindow="-110" windowWidth="19420" windowHeight="10300" firstSheet="2" activeTab="4" xr2:uid="{25B14930-8D0E-4BA6-BEEB-96B199CCFCBF}"/>
  </bookViews>
  <sheets>
    <sheet name="Regulatory Appendix" sheetId="11" r:id="rId1"/>
    <sheet name="Regulatory Coverage" sheetId="17" r:id="rId2"/>
    <sheet name="Requirements for Cert and Comp" sheetId="12" r:id="rId3"/>
    <sheet name="EPA Burden " sheetId="7" r:id="rId4"/>
    <sheet name="All Certification and Reporting" sheetId="9" r:id="rId5"/>
    <sheet name="Sector Production" sheetId="15" r:id="rId6"/>
    <sheet name="Fees" sheetId="16" r:id="rId7"/>
  </sheets>
  <definedNames>
    <definedName name="_ftn1" localSheetId="1">'Regulatory Coverage'!$A$143</definedName>
    <definedName name="_ftnref1" localSheetId="1">'Regulatory Coverage'!$B$125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6" i="9" l="1"/>
  <c r="I23" i="7"/>
  <c r="A25" i="7"/>
  <c r="O44" i="9"/>
  <c r="O43" i="9"/>
  <c r="K4" i="15"/>
  <c r="K18" i="15" s="1"/>
  <c r="P4" i="15"/>
  <c r="Q4" i="15"/>
  <c r="J5" i="15"/>
  <c r="Q5" i="15"/>
  <c r="P6" i="15"/>
  <c r="Q6" i="15"/>
  <c r="P8" i="15"/>
  <c r="Q8" i="15"/>
  <c r="R8" i="15" s="1"/>
  <c r="P9" i="15"/>
  <c r="Q9" i="15"/>
  <c r="P10" i="15"/>
  <c r="Q10" i="15"/>
  <c r="G11" i="15"/>
  <c r="P11" i="15"/>
  <c r="Q11" i="15"/>
  <c r="R11" i="15" s="1"/>
  <c r="G12" i="15"/>
  <c r="G13" i="15"/>
  <c r="G14" i="15"/>
  <c r="G15" i="15"/>
  <c r="G16" i="15"/>
  <c r="G17" i="15"/>
  <c r="J17" i="15"/>
  <c r="K17" i="15"/>
  <c r="N17" i="15"/>
  <c r="G18" i="15"/>
  <c r="H19" i="15" s="1"/>
  <c r="H18" i="15"/>
  <c r="I18" i="15"/>
  <c r="J18" i="15"/>
  <c r="H24" i="15"/>
  <c r="I24" i="15"/>
  <c r="H25" i="15"/>
  <c r="I25" i="15"/>
  <c r="H26" i="15"/>
  <c r="I26" i="15"/>
  <c r="H27" i="15"/>
  <c r="H36" i="15" s="1"/>
  <c r="I27" i="15"/>
  <c r="I36" i="15" s="1"/>
  <c r="H28" i="15"/>
  <c r="I28" i="15"/>
  <c r="I29" i="15"/>
  <c r="I30" i="15"/>
  <c r="I31" i="15"/>
  <c r="H32" i="15"/>
  <c r="I32" i="15"/>
  <c r="M32" i="15"/>
  <c r="Q32" i="15"/>
  <c r="H33" i="15"/>
  <c r="I33" i="15"/>
  <c r="M33" i="15"/>
  <c r="Q33" i="15"/>
  <c r="B34" i="15"/>
  <c r="C34" i="15"/>
  <c r="D34" i="15"/>
  <c r="E34" i="15"/>
  <c r="F34" i="15"/>
  <c r="I34" i="15"/>
  <c r="B35" i="15"/>
  <c r="G39" i="15" s="1"/>
  <c r="I35" i="15"/>
  <c r="B37" i="15"/>
  <c r="H39" i="15"/>
  <c r="D42" i="15"/>
  <c r="D44" i="15"/>
  <c r="M44" i="15"/>
  <c r="Q44" i="15"/>
  <c r="D45" i="15"/>
  <c r="M45" i="15"/>
  <c r="Q45" i="15"/>
  <c r="M56" i="15"/>
  <c r="Q56" i="15"/>
  <c r="M57" i="15"/>
  <c r="Q57" i="15"/>
  <c r="M64" i="15"/>
  <c r="Q64" i="15"/>
  <c r="M65" i="15"/>
  <c r="Q65" i="15"/>
  <c r="M69" i="15"/>
  <c r="N69" i="15"/>
  <c r="O69" i="15"/>
  <c r="Q69" i="15" s="1"/>
  <c r="P69" i="15"/>
  <c r="T69" i="15"/>
  <c r="U69" i="15"/>
  <c r="O70" i="15"/>
  <c r="P70" i="15"/>
  <c r="O71" i="15"/>
  <c r="P71" i="15"/>
  <c r="Q70" i="15" s="1"/>
  <c r="O72" i="15"/>
  <c r="P72" i="15"/>
  <c r="O73" i="15"/>
  <c r="P73" i="15"/>
  <c r="O74" i="15"/>
  <c r="P74" i="15"/>
  <c r="O75" i="15"/>
  <c r="P75" i="15"/>
  <c r="O76" i="15"/>
  <c r="P76" i="15"/>
  <c r="O77" i="15"/>
  <c r="P77" i="15"/>
  <c r="P78" i="15"/>
  <c r="O80" i="15"/>
  <c r="P80" i="15"/>
  <c r="T80" i="15"/>
  <c r="U80" i="15"/>
  <c r="O81" i="15"/>
  <c r="P81" i="15"/>
  <c r="O82" i="15"/>
  <c r="P82" i="15"/>
  <c r="O83" i="15"/>
  <c r="P83" i="15"/>
  <c r="O84" i="15"/>
  <c r="P84" i="15"/>
  <c r="O85" i="15"/>
  <c r="P85" i="15"/>
  <c r="O86" i="15"/>
  <c r="P86" i="15"/>
  <c r="O87" i="15"/>
  <c r="P87" i="15"/>
  <c r="O88" i="15"/>
  <c r="P88" i="15"/>
  <c r="R43"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5" i="9"/>
  <c r="Q5" i="9"/>
  <c r="P36" i="9"/>
  <c r="P37" i="9"/>
  <c r="P38" i="9"/>
  <c r="P39" i="9"/>
  <c r="P40" i="9"/>
  <c r="P41" i="9"/>
  <c r="P34" i="9"/>
  <c r="P35" i="9"/>
  <c r="P32" i="9"/>
  <c r="P33" i="9"/>
  <c r="P31" i="9"/>
  <c r="P29" i="9"/>
  <c r="P30" i="9"/>
  <c r="P20" i="9"/>
  <c r="P21" i="9"/>
  <c r="P22" i="9"/>
  <c r="P23" i="9"/>
  <c r="P24" i="9"/>
  <c r="P25" i="9"/>
  <c r="P19" i="9"/>
  <c r="O8" i="9"/>
  <c r="L9" i="9"/>
  <c r="J5" i="9"/>
  <c r="J9" i="9"/>
  <c r="H27" i="9"/>
  <c r="H28" i="9"/>
  <c r="H29" i="9"/>
  <c r="H30" i="9"/>
  <c r="H31" i="9"/>
  <c r="H32" i="9"/>
  <c r="H34" i="9"/>
  <c r="H35" i="9"/>
  <c r="H36" i="9"/>
  <c r="H37" i="9"/>
  <c r="H38" i="9"/>
  <c r="H39" i="9"/>
  <c r="H40" i="9"/>
  <c r="H41" i="9"/>
  <c r="H26" i="9"/>
  <c r="H6" i="9"/>
  <c r="H7" i="9"/>
  <c r="H8" i="9"/>
  <c r="H9" i="9"/>
  <c r="H10" i="9"/>
  <c r="H11" i="9"/>
  <c r="H12" i="9"/>
  <c r="H13" i="9"/>
  <c r="H14" i="9"/>
  <c r="H15" i="9"/>
  <c r="H16" i="9"/>
  <c r="H17" i="9"/>
  <c r="H5" i="9"/>
  <c r="D12" i="7"/>
  <c r="C7" i="7"/>
  <c r="K20" i="9" l="1"/>
  <c r="K21" i="9"/>
  <c r="K22" i="9"/>
  <c r="K23" i="9"/>
  <c r="K24" i="9"/>
  <c r="K25" i="9"/>
  <c r="K19" i="9"/>
  <c r="K12" i="9"/>
  <c r="K13" i="9"/>
  <c r="K14" i="9"/>
  <c r="K15" i="9"/>
  <c r="K16" i="9"/>
  <c r="K17" i="9"/>
  <c r="K11" i="9"/>
  <c r="L27" i="9"/>
  <c r="P27" i="9" s="1"/>
  <c r="K7" i="9"/>
  <c r="L28" i="9" l="1"/>
  <c r="P28" i="9" s="1"/>
  <c r="B69" i="9" l="1"/>
  <c r="B68" i="9"/>
  <c r="B67" i="9"/>
  <c r="B66" i="9"/>
  <c r="B65" i="9"/>
  <c r="B64" i="9"/>
  <c r="B63" i="9"/>
  <c r="L26" i="9" l="1"/>
  <c r="P42" i="9"/>
  <c r="P6" i="9"/>
  <c r="P7" i="9"/>
  <c r="P8" i="9"/>
  <c r="P9" i="9"/>
  <c r="P5" i="9"/>
  <c r="P26" i="9" l="1"/>
  <c r="K27" i="9" l="1"/>
  <c r="J44" i="9"/>
  <c r="K28" i="9" l="1"/>
  <c r="U9" i="9"/>
  <c r="G39" i="9"/>
  <c r="G38" i="9"/>
  <c r="N38" i="9" l="1"/>
  <c r="N39" i="9"/>
  <c r="K36" i="9"/>
  <c r="K8" i="9"/>
  <c r="G36" i="9"/>
  <c r="G37" i="9"/>
  <c r="G40" i="9"/>
  <c r="G41" i="9"/>
  <c r="H12" i="7"/>
  <c r="I12" i="7" s="1"/>
  <c r="N37" i="9" l="1"/>
  <c r="N40" i="9"/>
  <c r="N41" i="9"/>
  <c r="N36" i="9"/>
  <c r="P45" i="9"/>
  <c r="G15" i="9"/>
  <c r="G16" i="9"/>
  <c r="T10" i="9"/>
  <c r="T9" i="9"/>
  <c r="T8" i="9"/>
  <c r="G5" i="9"/>
  <c r="G6" i="9"/>
  <c r="N35" i="9" l="1"/>
  <c r="H44" i="9"/>
  <c r="L43" i="9"/>
  <c r="F42" i="9"/>
  <c r="E42" i="9"/>
  <c r="D42" i="9"/>
  <c r="C42" i="9"/>
  <c r="B42" i="9"/>
  <c r="G35" i="9"/>
  <c r="N34" i="9"/>
  <c r="G34" i="9"/>
  <c r="G32" i="9"/>
  <c r="G31" i="9"/>
  <c r="N28" i="9"/>
  <c r="G28" i="9"/>
  <c r="N27" i="9"/>
  <c r="G27" i="9"/>
  <c r="N26" i="9"/>
  <c r="G26" i="9"/>
  <c r="G17" i="9"/>
  <c r="G14" i="9"/>
  <c r="N13" i="9"/>
  <c r="G13" i="9"/>
  <c r="G12" i="9"/>
  <c r="G11" i="9"/>
  <c r="N9" i="9"/>
  <c r="G9" i="9"/>
  <c r="N8" i="9"/>
  <c r="G8" i="9"/>
  <c r="N7" i="9"/>
  <c r="G7" i="9"/>
  <c r="N6" i="9"/>
  <c r="M45" i="9" l="1"/>
  <c r="N11" i="9"/>
  <c r="H42" i="9"/>
  <c r="N12" i="9"/>
  <c r="N14" i="9"/>
  <c r="N17" i="9"/>
  <c r="G42" i="9"/>
  <c r="N5" i="9"/>
  <c r="I21" i="7" l="1"/>
  <c r="E13" i="7"/>
  <c r="F11" i="7"/>
  <c r="H11" i="7" s="1"/>
  <c r="I11" i="7" s="1"/>
  <c r="D11" i="7"/>
  <c r="F10" i="7"/>
  <c r="H10" i="7" s="1"/>
  <c r="D10" i="7"/>
  <c r="F9" i="7"/>
  <c r="H9" i="7" s="1"/>
  <c r="D9" i="7"/>
  <c r="F8" i="7"/>
  <c r="H8" i="7" s="1"/>
  <c r="I8" i="7" s="1"/>
  <c r="D8" i="7"/>
  <c r="F7" i="7"/>
  <c r="H7" i="7" s="1"/>
  <c r="I7" i="7" s="1"/>
  <c r="D7" i="7"/>
  <c r="F6" i="7"/>
  <c r="H6" i="7" s="1"/>
  <c r="I6" i="7" s="1"/>
  <c r="D6" i="7"/>
  <c r="I10" i="7" l="1"/>
  <c r="I9" i="7"/>
  <c r="H13" i="7"/>
  <c r="I13" i="7" l="1"/>
  <c r="P43" i="9" l="1"/>
  <c r="N29" i="9"/>
  <c r="N44" i="9" s="1"/>
  <c r="M44" i="9"/>
  <c r="M43" i="9"/>
  <c r="M42" i="9" s="1"/>
  <c r="K29" i="9"/>
  <c r="J43" i="9" s="1"/>
  <c r="N43" i="9" l="1"/>
  <c r="N45" i="9" s="1"/>
  <c r="H43" i="9"/>
  <c r="P44" i="9"/>
  <c r="Q44" i="9" l="1"/>
  <c r="Q43" i="9"/>
  <c r="D47" i="15" l="1"/>
  <c r="D40" i="15"/>
  <c r="B41" i="15"/>
  <c r="G8" i="15"/>
  <c r="A41" i="15"/>
  <c r="D41" i="15"/>
  <c r="E47" i="15"/>
  <c r="B47" i="15"/>
  <c r="B40" i="15"/>
  <c r="B46" i="15"/>
  <c r="G10" i="15"/>
  <c r="A46" i="15"/>
  <c r="D46" i="15"/>
  <c r="G5" i="15"/>
  <c r="G9" i="15"/>
  <c r="D43" i="15"/>
  <c r="G6" i="15"/>
  <c r="A43" i="15"/>
  <c r="B43" i="15"/>
  <c r="G3" i="15"/>
  <c r="G4" i="15"/>
  <c r="A40" i="15"/>
  <c r="A47" i="15"/>
  <c r="G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tc={1738A459-D5A4-45D6-B302-7D8BEA43FD53}</author>
    <author>tc={451A0C43-AF32-4736-9EBB-3AEC18E58582}</author>
  </authors>
  <commentList>
    <comment ref="G4" authorId="0" shapeId="0" xr:uid="{1738A459-D5A4-45D6-B302-7D8BEA43FD53}">
      <text>
        <t>[Threaded comment]
Your version of Excel allows you to read this threaded comment; however, any edits to it will get removed if the file is opened in a newer version of Excel. Learn more: https://go.microsoft.com/fwlink/?linkid=870924
Comment:
    This number includes all the activities the EPA team does for every responsibility toward manufacturers, completing all reviews and answering any and all questions posed.</t>
      </text>
    </comment>
    <comment ref="I12" authorId="1" shapeId="0" xr:uid="{451A0C43-AF32-4736-9EBB-3AEC18E58582}">
      <text>
        <t>[Threaded comment]
Your version of Excel allows you to read this threaded comment; however, any edits to it will get removed if the file is opened in a newer version of Excel. Learn more: https://go.microsoft.com/fwlink/?linkid=870924
Comment:
    We estimate a rate of $83,000 per person per year for SEE support.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tc={B317B92B-CFD7-4C2D-BA9A-36641AC5ACE9}</author>
    <author>tc={67CAEB8B-B00A-4C90-A3D0-B1EB3B13A3D9}</author>
    <author>Davis, Julian</author>
    <author>tc={F7C3CC72-A9D4-4C53-B300-998CF8BB4D44}</author>
    <author>tc={A850790A-A1D0-481F-BF73-F8480F49A685}</author>
    <author>tc={42BD1206-3B40-492C-8175-BE333DD301CA}</author>
    <author>tc={BC684558-7A29-4914-8AA8-3354EB6D0FD1}</author>
    <author>tc={0BA90EF3-B820-48EE-A184-16CE231034D4}</author>
    <author>tc={045D2EC5-DA94-4227-BD6B-8DB38E26FE17}</author>
    <author>tc={FE1FF183-B9F3-42A7-A63E-9DEEDEBC209B}</author>
    <author>tc={1F32EE6D-F51E-451B-AC09-82F77DAFCC8C}</author>
    <author>tc={F137CF1B-3E8C-4E22-A67F-6C81F1A4515C}</author>
    <author>tc={8AA4E1DF-79A5-43AA-B9F2-2713CB88BC82}</author>
    <author>tc={513052D9-D0C0-4019-9CB1-F4032D95B23D}</author>
    <author>tc={99AA9AC0-3F91-43C9-9874-BB20C0767696}</author>
    <author>tc={EBA92681-9D3A-48C3-9EC1-C0E88E74260F}</author>
    <author>tc={4907CBBD-D748-4360-8A1C-C5544B746B43}</author>
    <author>tc={F05A0AB2-ECB0-4EA7-BFDE-B2624A0CF57B}</author>
    <author>tc={FA7FF0B0-ACDB-4234-ACB3-B4DC0A5ECAEB}</author>
    <author>tc={1AAF3E6B-B5FA-4AA7-821D-CA06784BE4F8}</author>
    <author>tc={D7FEDBAA-654F-4B26-9DA6-151893E4E771}</author>
  </authors>
  <commentList>
    <comment ref="L1" authorId="0" shapeId="0" xr:uid="{B317B92B-CFD7-4C2D-BA9A-36641AC5ACE9}">
      <text>
        <t>[Threaded comment]
Your version of Excel allows you to read this threaded comment; however, any edits to it will get removed if the file is opened in a newer version of Excel. Learn more: https://go.microsoft.com/fwlink/?linkid=870924
Comment:
    We may not have calculated the number of applications that were carryover. recalculate...</t>
      </text>
    </comment>
    <comment ref="B4" authorId="1" shapeId="0" xr:uid="{67CAEB8B-B00A-4C90-A3D0-B1EB3B13A3D9}">
      <text>
        <t>[Threaded comment]
Your version of Excel allows you to read this threaded comment; however, any edits to it will get removed if the file is opened in a newer version of Excel. Learn more: https://go.microsoft.com/fwlink/?linkid=870924
Comment:
    We should be complete up to this point (3/14/2025-2:15PM)</t>
      </text>
    </comment>
    <comment ref="I4" authorId="2" shapeId="0" xr:uid="{D7897A10-E081-4663-9529-38B9BA6C4976}">
      <text>
        <r>
          <rPr>
            <b/>
            <sz val="9"/>
            <color indexed="81"/>
            <rFont val="Tahoma"/>
            <family val="2"/>
          </rPr>
          <t>Davis, Julian:</t>
        </r>
        <r>
          <rPr>
            <sz val="9"/>
            <color indexed="81"/>
            <rFont val="Tahoma"/>
            <family val="2"/>
          </rPr>
          <t xml:space="preserve">
Capital costs have been assumed to be $0.00 due to being far outside the ten-year period following original promulgation. We do not expect continued Capital cost but refer to the Operation and Maintenance cost at this point in time.</t>
        </r>
      </text>
    </comment>
    <comment ref="J5" authorId="3" shapeId="0" xr:uid="{F7C3CC72-A9D4-4C53-B300-998CF8BB4D44}">
      <text>
        <t>[Threaded comment]
Your version of Excel allows you to read this threaded comment; however, any edits to it will get removed if the file is opened in a newer version of Excel. Learn more: https://go.microsoft.com/fwlink/?linkid=870924
Comment:
    Adjusted by the CPI from the previous 2018 estimate.</t>
      </text>
    </comment>
    <comment ref="A8" authorId="4" shapeId="0" xr:uid="{A850790A-A1D0-481F-BF73-F8480F49A685}">
      <text>
        <t>[Threaded comment]
Your version of Excel allows you to read this threaded comment; however, any edits to it will get removed if the file is opened in a newer version of Excel. Learn more: https://go.microsoft.com/fwlink/?linkid=870924
Comment:
    All testing is calculated below for in-house testing and contractor testing.</t>
      </text>
    </comment>
    <comment ref="J9" authorId="5" shapeId="0" xr:uid="{42BD1206-3B40-492C-8175-BE333DD301CA}">
      <text>
        <t>[Threaded comment]
Your version of Excel allows you to read this threaded comment; however, any edits to it will get removed if the file is opened in a newer version of Excel. Learn more: https://go.microsoft.com/fwlink/?linkid=870924
Comment:
    Adjusted for 2025 by the CPI (February 2025 2.82%). We state the following in the Supporting Statement, "Engine manufacturers that have in-house testing facilities use them for all their certification and compliance testing needs as well as for research and development. The cost of maintaining these laboratories have been estimated at $73,300 per year. This estimate (which appears under the certification program estimates) includes the cost of test fuels, calibration gases and equipment."</t>
      </text>
    </comment>
    <comment ref="T10" authorId="6" shapeId="0" xr:uid="{BC684558-7A29-4914-8AA8-3354EB6D0FD1}">
      <text>
        <t>[Threaded comment]
Your version of Excel allows you to read this threaded comment; however, any edits to it will get removed if the file is opened in a newer version of Excel. Learn more: https://go.microsoft.com/fwlink/?linkid=870924
Comment:
    Running change estimation</t>
      </text>
    </comment>
    <comment ref="I11" authorId="7" shapeId="0" xr:uid="{0BA90EF3-B820-48EE-A184-16CE231034D4}">
      <text>
        <t>[Threaded comment]
Your version of Excel allows you to read this threaded comment; however, any edits to it will get removed if the file is opened in a newer version of Excel. Learn more: https://go.microsoft.com/fwlink/?linkid=870924
Comment:
    These O&amp;M costs were calculated in the above "Lab Maintenance" cell.</t>
      </text>
    </comment>
    <comment ref="A18" authorId="8" shapeId="0" xr:uid="{045D2EC5-DA94-4227-BD6B-8DB38E26FE17}">
      <text>
        <t>[Threaded comment]
Your version of Excel allows you to read this threaded comment; however, any edits to it will get removed if the file is opened in a newer version of Excel. Learn more: https://go.microsoft.com/fwlink/?linkid=870924
Comment:
    This section for testing would be a subset of the above "new" test data for cert, durability, evap.</t>
      </text>
    </comment>
    <comment ref="J18" authorId="9" shapeId="0" xr:uid="{FE1FF183-B9F3-42A7-A63E-9DEEDEBC209B}">
      <text>
        <t>[Threaded comment]
Your version of Excel allows you to read this threaded comment; however, any edits to it will get removed if the file is opened in a newer version of Excel. Learn more: https://go.microsoft.com/fwlink/?linkid=870924
Comment:
    "Operating and maintenance costs also include the general upkeep of start-up capital equipment, as well as any purchase of services such as contractor or auditing services." ICR Handbook</t>
      </text>
    </comment>
    <comment ref="J19" authorId="10" shapeId="0" xr:uid="{1F32EE6D-F51E-451B-AC09-82F77DAFCC8C}">
      <text>
        <t>[Threaded comment]
Your version of Excel allows you to read this threaded comment; however, any edits to it will get removed if the file is opened in a newer version of Excel. Learn more: https://go.microsoft.com/fwlink/?linkid=870924
Comment:
    If the above 79,952.08 for O&amp;M on Lab maintenance, why these estimates for O&amp;M?</t>
      </text>
    </comment>
    <comment ref="J24" authorId="11" shapeId="0" xr:uid="{F137CF1B-3E8C-4E22-A67F-6C81F1A4515C}">
      <text>
        <t>[Threaded comment]
Your version of Excel allows you to read this threaded comment; however, any edits to it will get removed if the file is opened in a newer version of Excel. Learn more: https://go.microsoft.com/fwlink/?linkid=870924
Comment:
    This figure represents the average cost for both fuel lines and fuel tanks for certification testing.</t>
      </text>
    </comment>
    <comment ref="J35" authorId="12" shapeId="0" xr:uid="{8AA4E1DF-79A5-43AA-B9F2-2713CB88BC82}">
      <text>
        <t>[Threaded comment]
Your version of Excel allows you to read this threaded comment; however, any edits to it will get removed if the file is opened in a newer version of Excel. Learn more: https://go.microsoft.com/fwlink/?linkid=870924
Comment:
    For O&amp;M cost for reporting obligations we computed the average cost to maintain a computer system as the cost of labor and repair, in addtion to office and computig supplies per unit. Assesed expenses include $65 labor charge and ~$100 for parts and repair.</t>
      </text>
    </comment>
    <comment ref="J36" authorId="13" shapeId="0" xr:uid="{513052D9-D0C0-4019-9CB1-F4032D95B23D}">
      <text>
        <t>[Threaded comment]
Your version of Excel allows you to read this threaded comment; however, any edits to it will get removed if the file is opened in a newer version of Excel. Learn more: https://go.microsoft.com/fwlink/?linkid=870924
Comment:
    O&amp;M cost include test cell maintenance outside that accounted for in certification testing above.</t>
      </text>
    </comment>
    <comment ref="J38" authorId="14" shapeId="0" xr:uid="{99AA9AC0-3F91-43C9-9874-BB20C0767696}">
      <text>
        <t>[Threaded comment]
Your version of Excel allows you to read this threaded comment; however, any edits to it will get removed if the file is opened in a newer version of Excel. Learn more: https://go.microsoft.com/fwlink/?linkid=870924
Comment:
    O&amp;M cost include test cell maintenance outside that accounted for in certification testing above.</t>
      </text>
    </comment>
    <comment ref="B40" authorId="15" shapeId="0" xr:uid="{EBA92681-9D3A-48C3-9EC1-C0E88E74260F}">
      <text>
        <t>[Threaded comment]
Your version of Excel allows you to read this threaded comment; however, any edits to it will get removed if the file is opened in a newer version of Excel. Learn more: https://go.microsoft.com/fwlink/?linkid=870924
Comment:
    Determine whether a substantial number have exceeded 1068 Part F requirements. File a defect and determine if recall is warranted.</t>
      </text>
    </comment>
    <comment ref="B41" authorId="16" shapeId="0" xr:uid="{4907CBBD-D748-4360-8A1C-C5544B746B43}">
      <text>
        <t>[Threaded comment]
Your version of Excel allows you to read this threaded comment; however, any edits to it will get removed if the file is opened in a newer version of Excel. Learn more: https://go.microsoft.com/fwlink/?linkid=870924
Comment:
    Determine a "fix" for the recall condition. Some recalls are for labelling issues only.</t>
      </text>
    </comment>
    <comment ref="E41" authorId="17" shapeId="0" xr:uid="{F05A0AB2-ECB0-4EA7-BFDE-B2624A0CF57B}">
      <text>
        <t>[Threaded comment]
Your version of Excel allows you to read this threaded comment; however, any edits to it will get removed if the file is opened in a newer version of Excel. Learn more: https://go.microsoft.com/fwlink/?linkid=870924
Comment:
    Test to conduct proper resolution for a voluntary recall.</t>
      </text>
    </comment>
    <comment ref="K41" authorId="18" shapeId="0" xr:uid="{FA7FF0B0-ACDB-4234-ACB3-B4DC0A5ECAEB}">
      <text>
        <t>[Threaded comment]
Your version of Excel allows you to read this threaded comment; however, any edits to it will get removed if the file is opened in a newer version of Excel. Learn more: https://go.microsoft.com/fwlink/?linkid=870924
Comment:
    Recall reports are on a quarterly basis, similar to PLT reporting.</t>
      </text>
    </comment>
    <comment ref="O44" authorId="19" shapeId="0" xr:uid="{1AAF3E6B-B5FA-4AA7-821D-CA06784BE4F8}">
      <text>
        <t>[Threaded comment]
Your version of Excel allows you to read this threaded comment; however, any edits to it will get removed if the file is opened in a newer version of Excel. Learn more: https://go.microsoft.com/fwlink/?linkid=870924
Comment:
    Activities per Respondent</t>
      </text>
    </comment>
    <comment ref="B63" authorId="20" shapeId="0" xr:uid="{D7FEDBAA-654F-4B26-9DA6-151893E4E771}">
      <text>
        <t>[Threaded comment]
Your version of Excel allows you to read this threaded comment; however, any edits to it will get removed if the file is opened in a newer version of Excel. Learn more: https://go.microsoft.com/fwlink/?linkid=870924
Comment:
    If the above 79,952.08 for O&amp;M on Lab maintenance, why these estimates for O&amp;M?</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tc={8013047C-E184-4E97-9721-22F0DFD8C029}</author>
    <author>tc={4CDBE6A7-E8EE-420F-A436-E4CB7923A3C8}</author>
    <author>tc={5ABF50EA-96C3-49AA-A0B5-E40E5B7E9B09}</author>
    <author>tc={48A89CF2-5BB5-4739-9DE3-33C90A210567}</author>
  </authors>
  <commentList>
    <comment ref="A1" authorId="0" shapeId="0" xr:uid="{8013047C-E184-4E97-9721-22F0DFD8C029}">
      <text>
        <t>[Threaded comment]
Your version of Excel allows you to read this threaded comment; however, any edits to it will get removed if the file is opened in a newer version of Excel. Learn more: https://go.microsoft.com/fwlink/?linkid=870924
Comment:
    These estimates represent an average of actual emission data for the period 2021-2023, with few exceptions.</t>
      </text>
    </comment>
    <comment ref="J2" authorId="1" shapeId="0" xr:uid="{4CDBE6A7-E8EE-420F-A436-E4CB7923A3C8}">
      <text>
        <t>[Threaded comment]
Your version of Excel allows you to read this threaded comment; however, any edits to it will get removed if the file is opened in a newer version of Excel. Learn more: https://go.microsoft.com/fwlink/?linkid=870924
Comment:
    Manufacturers and engine families)</t>
      </text>
    </comment>
    <comment ref="H17" authorId="2" shapeId="0" xr:uid="{5ABF50EA-96C3-49AA-A0B5-E40E5B7E9B09}">
      <text>
        <t>[Threaded comment]
Your version of Excel allows you to read this threaded comment; however, any edits to it will get removed if the file is opened in a newer version of Excel. Learn more: https://go.microsoft.com/fwlink/?linkid=870924
Comment:
    Percentage of manufacturers that are estimated to be carrying over engine family data. (81%)</t>
      </text>
    </comment>
    <comment ref="H19" authorId="3" shapeId="0" xr:uid="{48A89CF2-5BB5-4739-9DE3-33C90A210567}">
      <text>
        <t>[Threaded comment]
Your version of Excel allows you to read this threaded comment; however, any edits to it will get removed if the file is opened in a newer version of Excel. Learn more: https://go.microsoft.com/fwlink/?linkid=870924
Comment:
    Engine family data from new lab testing.</t>
      </text>
    </comment>
  </commentList>
</comments>
</file>

<file path=xl/sharedStrings.xml><?xml version="1.0" encoding="utf-8"?>
<sst xmlns="http://schemas.openxmlformats.org/spreadsheetml/2006/main" count="639" uniqueCount="445">
  <si>
    <t>Hours and Cost per Application</t>
  </si>
  <si>
    <t>Total Hours and Cost</t>
  </si>
  <si>
    <t>Information Collection              Activity</t>
  </si>
  <si>
    <t>Capital Startup      Cost</t>
  </si>
  <si>
    <t>Total        hr/yr</t>
  </si>
  <si>
    <t>Total               Cost/yr</t>
  </si>
  <si>
    <t>N/A</t>
  </si>
  <si>
    <t>Total for the industry</t>
  </si>
  <si>
    <t>(1) See section 6(b)ii for details.</t>
  </si>
  <si>
    <t>Respondents     hr/yr</t>
  </si>
  <si>
    <t>Small SI</t>
  </si>
  <si>
    <t>Large SI</t>
  </si>
  <si>
    <t>Store, file and maintain records</t>
  </si>
  <si>
    <t>varies</t>
  </si>
  <si>
    <t>Employee</t>
  </si>
  <si>
    <t>Hours and Labor Cost</t>
  </si>
  <si>
    <t>Level</t>
  </si>
  <si>
    <t>Rate</t>
  </si>
  <si>
    <t>Rate Increase by 1.6</t>
  </si>
  <si>
    <t>Number of Employees</t>
  </si>
  <si>
    <t>Full time hours</t>
  </si>
  <si>
    <t>% of Time</t>
  </si>
  <si>
    <t>Total  hr/yr</t>
  </si>
  <si>
    <t>Total Labor cost/yr</t>
  </si>
  <si>
    <t>Engineer</t>
  </si>
  <si>
    <t>GS-13/6</t>
  </si>
  <si>
    <t xml:space="preserve">Attorney </t>
  </si>
  <si>
    <t>GS-13/7</t>
  </si>
  <si>
    <t xml:space="preserve">SES-1 </t>
  </si>
  <si>
    <t>SES - 1</t>
  </si>
  <si>
    <t>IT Support</t>
  </si>
  <si>
    <t>SEE Support</t>
  </si>
  <si>
    <t>Subtotal</t>
  </si>
  <si>
    <t>O&amp;M Costs</t>
  </si>
  <si>
    <t>Testing</t>
  </si>
  <si>
    <t>Other</t>
  </si>
  <si>
    <t xml:space="preserve">Contract Support - Compliance </t>
  </si>
  <si>
    <t xml:space="preserve">Contract Support -Certification </t>
  </si>
  <si>
    <t>Subtotal:</t>
  </si>
  <si>
    <t xml:space="preserve">TOTAL: </t>
  </si>
  <si>
    <t>Cert Testing</t>
  </si>
  <si>
    <t>Manager/ 152.31</t>
  </si>
  <si>
    <t>Engineer/ 94.86</t>
  </si>
  <si>
    <t>Technician/ 66.80</t>
  </si>
  <si>
    <t>Administrative/ 45.97</t>
  </si>
  <si>
    <t>Legal (if applicable)/ 180.08</t>
  </si>
  <si>
    <t>Table 2 - Annual Respondent Burden and Cost for SI Engine Certification</t>
  </si>
  <si>
    <t>O&amp;M Cost, Annualized (1)</t>
  </si>
  <si>
    <t>Applications/Respondent (2)</t>
  </si>
  <si>
    <t>Review of regulations and guidance documents</t>
  </si>
  <si>
    <t>Developing eng families groups</t>
  </si>
  <si>
    <t>Laboratory maintenance(1)</t>
  </si>
  <si>
    <t>Cert, Durability &amp; Evap Testing (annualized)(1)</t>
  </si>
  <si>
    <t>Rec Veh Test</t>
  </si>
  <si>
    <t>Marine SI Test</t>
  </si>
  <si>
    <t>Components (per manufacturer)</t>
  </si>
  <si>
    <t>Analyze data to determine compliance</t>
  </si>
  <si>
    <t>Preparing and submitting "carry over" applications</t>
  </si>
  <si>
    <t>Paying Certification Fee</t>
  </si>
  <si>
    <t>Certification Fee (3)</t>
  </si>
  <si>
    <t>Components</t>
  </si>
  <si>
    <t>All Other SI Engines</t>
  </si>
  <si>
    <t>Total per respondent</t>
  </si>
  <si>
    <t>(2) See section 6(d) for details.</t>
  </si>
  <si>
    <t xml:space="preserve">Heavy Duty SI </t>
  </si>
  <si>
    <t>Heavy Duty Si Components</t>
  </si>
  <si>
    <t>Contract</t>
  </si>
  <si>
    <t>PLT Reporting and Record Keeping</t>
  </si>
  <si>
    <t>ABT Reporting</t>
  </si>
  <si>
    <t>Defect Reporting (EDIR)</t>
  </si>
  <si>
    <t>Recall Reporting (VERR)</t>
  </si>
  <si>
    <t>In-Use Testing and Reporting</t>
  </si>
  <si>
    <t>SEA Testing and Reporting</t>
  </si>
  <si>
    <t>White=Certification</t>
  </si>
  <si>
    <t>Gray=Reporting and Recordkeeping</t>
  </si>
  <si>
    <t>Occupation</t>
  </si>
  <si>
    <t>Mean Hourly Rate (BLS)</t>
  </si>
  <si>
    <t>Rate Increased by Factor of 2.1</t>
  </si>
  <si>
    <t>Mechanical Engineers</t>
  </si>
  <si>
    <t>Engineering Managers</t>
  </si>
  <si>
    <t>Lawyers</t>
  </si>
  <si>
    <t>Secretaries, Except Legal, Medical and Executive</t>
  </si>
  <si>
    <t>Mechanical Engineering Technicians</t>
  </si>
  <si>
    <t>Preparing and submitting new certification application</t>
  </si>
  <si>
    <t>Total O&amp;M</t>
  </si>
  <si>
    <t>CERTIFICATION APPLICATION REQUIREMENTS</t>
  </si>
  <si>
    <t>1048.205   What must I include in my application?
This section specifies the information that must be in your application, unless we ask you to include less information under §1048.201(c). We may require you to provide additional information to evaluate your application.
(a) Describe the engine family's specifications and other basic parameters of the engine's design and emission controls. List the fuel types on which your engines are designed to operate (for example, gasoline and natural gas). List each distinguishable engine configuration in the engine family.
(b) Explain how the emission control systems operate. Describe the evaporative emission controls, if applicable. Also describe in detail all system components for controlling exhaust emissions, including all auxiliary emission control devices (AECDs) and all fuel-system components you will install on any production or test engine. Identify the part number of each component you describe. For this paragraph (b), treat as separate AECDs any devices that modulate or activate differently from each other. Include sufficient detail to allow us to evaluate whether the AECDs are consistent with the defeat device prohibition of §1048.115.
(c) Explain how the engine diagnostic system works, describing especially the engine conditions (with the corresponding diagnostic trouble codes) that cause the malfunction-indicator light to go on. Propose what you consider to be extreme conditions under which the diagnostic system should disregard trouble codes, as described in §1048.110.
(d) Describe the engines you selected for testing and the reasons for selecting them.
(e) Describe the test equipment and procedures that you used, including any special or alternate test procedures you used (see §1048.501).
(f) Describe how you operated the emission-data engine before testing, including the duty cycle and the number of engine operating hours used to stabilize emission levels. Explain why you selected the method of service accumulation. Describe any scheduled maintenance you did.
(g) List the specifications of each test fuel to show that it falls within the required ranges we specify in 40 CFR part 1065, subpart H.
(h) Identify the engine family's useful life.
(i) Include the maintenance instructions you will give to the ultimate purchaser of each new nonroad engine (see §1048.125).
(j) Include the emission-related installation instructions you will provide if someone else installs your engines in a piece of nonroad equipment (see §1048.130).
(k) Identify each high-cost warranted part and show us how you calculated its replacement cost, including the estimated retail cost of the part, labor rates, and labor hours to diagnose and replace defective parts.
(l) Describe your emission control information label (see §1048.135).
(m) Identify the emission standards to which you are certifying engines in the engine family.
(n) Identify the engine family's deterioration factors and describe how you developed them (see §1048.240). Present any emission test data you used for this.
(o) State that you operated your emission-data engines as described in the application (including the test procedures, test parameters, and test fuels) to show you meet the requirements of this part.
(p) Present emission data to show that you meet emission standards, as follows:
(1) Present exhaust emission data for HC, NOX, and CO on an emission-data engine to show your engines meet the applicable duty-cycle emission standards we specify in §1048.101. Show emission figures before and after applying deterioration factors for each engine. Include emission results for each mode if you do discrete-mode testing under §1048.505. Include test data for each type of fuel from 40 CFR part 1065, subpart H, on which you intend for engines in the engine family to operate (for example, gasoline, liquefied petroleum gas, methanol, or natural gas). If we specify more than one grade of any fuel type (for example, a summer grade and winter grade of gasoline), you need to submit test data only for one grade unless the regulations of this part specify otherwise for your engine. Note that §1048.235 allows you to submit an application in certain cases without new emission data.
(2) If your engine family includes a volatile liquid fuel (and you do not use design-based certification under §1048.245), present evaporative test data to show your vehicles meet the evaporative emission standards we specify in subpart B of this part. Show these figures before and after applying deterioration factors, where applicable.
(q) State that all the engines in the engine family comply with the field-testing emission standards we specify in §1048.101(c) for all normal operation and use when tested as specified in §1048.515. Describe any relevant testing, engineering analysis, or other information in sufficient detail to support your statement.
(r) For engines not subject to transient testing requirements in §148.101(a), include information showing how your emission controls will function during normal in-use transient operation. For example, this might include the following:
(1) Emission data from transient testing of engines using measurement systems designed for measuring in-use emissions.
(2) Comparison of the engine design for controlling transient emissions with that from engines for which you have emission data over the transient duty cycle for certification.
(3) Detailed descriptions of control algorithms and other design parameters for controlling transient emissions.
(s) Report test results as follows:
(1) Report all test results involving measurement of pollutants for which emission standards apply. Include test results from invalid tests or from any other tests, whether or not they were conducted according to the test procedures of subpart F of this part. We may ask you to send other information to confirm that your tests were valid under the requirements of this part and 40 CFR part 1065.
(2) Report measured CO2, N2O, and CH4 as described in §1048.235. Small-volume engine manufacturers may omit reporting N2O and CH4.
(t) Describe all adjustable operating parameters (see §1048.115(e)), including production tolerances. Include the following in your description of each parameter:
(1) The nominal or recommended setting.
(2) The intended physically adjustable range.
(3) The limits or stops used to establish adjustable ranges.
(4) Information showing why the limits, stops, or other means of inhibiting adjustment are effective in preventing adjustment of parameters on in-use engines to settings outside your intended physically adjustable ranges.
(u) Provide the information to read, record, and interpret all the information broadcast by an engine's onboard computers and electronic control units. State that, upon request, you will give us any hardware, software, or tools we would need to do this. If you broadcast a surrogate parameter for torque values, you must provide us what we need to convert these into torque units. You may reference any appropriate publicly released standards that define conventions for these messages and parameters. Format your information consistent with publicly released standards.
(v) Confirm that your emission-related installation instructions specify how to ensure that sampling of exhaust emissions will be possible after engines are installed in equipment and placed in service. If this cannot be done by simply adding a 20-centimeter extension to the exhaust pipe, show how to sample exhaust emissions in a way that prevents diluting the exhaust sample with ambient air.
(w) State whether your certification is intended to include engines used in stationary applications. Also state whether your certification is limited for certain engines. If this is the case, describe how you will prevent use of these engines in applications for which they are not certified. This applies for engines such as the following:
(1) Constant-speed engines.
(2) Variable-speed engines.
(x) Unconditionally certify that all the engines in the engine family comply with the requirements of this part, other referenced parts of the CFR, and the Clean Air Act.
(y) Include good-faith estimates of U.S.-directed production volumes. Include a justification for the estimated production volumes if they are substantially different than actual production volumes in earlier years for similar models.
(z) Include other applicable information, such as information specified in this part or part 1068 of this chapter related to requests for exemptions.
(aa) Name an agent for service located in the United States. Service on this agent constitutes service on you or any of your officers or employees for any action by EPA or otherwise by the United States related to the requirements of this part.</t>
  </si>
  <si>
    <t>Amendment to the Application</t>
  </si>
  <si>
    <t>§1048.225   How do I amend my application for certification to include new or modified engine configurations?
Before we issue you a certificate of conformity, you may amend your application to include new or modified engine configurations, subject to the provisions of this section. After we have issued your certificate of conformity, you may send us an amended application requesting that we include new or modified engine configurations within the scope of the certificate, subject to the provisions of this section. You must amend your application if any changes occur with respect to any information included in your application.
(a) You must amend your application before you take any of the following actions:
(1) Add an engine configuration to an engine family. In this case, the engine configuration added must be consistent with other engine configurations in the engine family with respect to the criteria listed in §1048.230.
(2) Change an engine configuration already included in an engine family in a way that may affect emissions, or change any of the components you described in your application for certification. This includes production and design changes that may affect emissions any time during the engine's lifetime.
(b) To amend your application for certification, send the Designated Compliance Officer the following information:
(1) Describe in detail the addition or change in the engine model or configuration you intend to make.
(2) Include engineering evaluations or data showing that the amended engine family complies with all applicable requirements. You may do this by showing that the original emission-data engine is still appropriate for showing that the amended family complies with all applicable requirements.
(3) If the original emission-data engine for the engine family is not appropriate to show compliance for the new or modified engine configuration, include new test data showing that the new or modified engine configuration meets the requirements of this part.
(c) We may ask for more test data or engineering evaluations. You must give us these within 30 days after we request them.
(d) For engine families already covered by a certificate of conformity, we will determine whether the existing certificate of conformity covers your newly added or modified engine. You may ask for a hearing if we deny your request (see §1048.820).
(e) For engine families already covered by a certificate of conformity, you may start producing the new or modified engine configuration anytime after you send us your amended application and before we make a decision under paragraph (d) of this section. However, if we determine that the affected engines do not meet applicable requirements, we will notify you to cease production of the engines and may require you to recall the engines at no expense to the owner. Choosing to produce engines under this paragraph (e) is deemed to be consent to recall all engines that we determine do not meet applicable emission standards or other requirements and to remedy the nonconformity at no expense to the owner. If you do not provide information required under paragraph (c) of this section within 30 days after we request it, you must stop producing the new or modified engines.</t>
  </si>
  <si>
    <t>Include all information underThe standard setting part (typically section 205 in the applicable regulation).</t>
  </si>
  <si>
    <t>Amend Cert App</t>
  </si>
  <si>
    <t>Prepare Maintenance instructions</t>
  </si>
  <si>
    <t>Prepare label under the regulations</t>
  </si>
  <si>
    <r>
      <t xml:space="preserve">Cert testing should include both certification test to meet standard and durability test for deterioration factor testing, </t>
    </r>
    <r>
      <rPr>
        <b/>
        <sz val="11"/>
        <color theme="1"/>
        <rFont val="Arial"/>
        <family val="2"/>
        <scheme val="minor"/>
      </rPr>
      <t>generally at least half the useful life of the engine family</t>
    </r>
    <r>
      <rPr>
        <sz val="11"/>
        <color theme="1"/>
        <rFont val="Arial"/>
        <family val="2"/>
        <scheme val="minor"/>
      </rPr>
      <t>.</t>
    </r>
  </si>
  <si>
    <t>Production-Line Testing</t>
  </si>
  <si>
    <t>Many, but not all, manufacturers must also test a minimum number of production engines per quarter throughout the model year, run calculations, and report production-line testing (PLT) reports on a quarterly and final report basis.</t>
  </si>
  <si>
    <t>In_Use Testing</t>
  </si>
  <si>
    <t>Some sectors within GECC must conduct in-use testing of engines in the field. These reports must be generated over a longer period of time (3-years, for example) to demonstrate continued compliance.</t>
  </si>
  <si>
    <t>Selective Enforcement Audits</t>
  </si>
  <si>
    <t>The EPA may require a manufacturer to conduct a selective enforcement audit of their production of an engine family. Generally, up to 30-engines (or vehicles) must be selected at random and sequestered until the completion of this test audit.</t>
  </si>
  <si>
    <t>TESTING</t>
  </si>
  <si>
    <t>Additional information includes disclosing AECD and adjustable paramenters, explaining each in detail. Some manufacturers (Marine) must demonstrate that they also meet Not-to-exceed (NTE) standards within their certification testing. Other manufacturers (Large SI) must conduct an in-situ test as well as a certification test (sometimes also called an in-use test), where the engine is inserted into a piece of equipment and tested in application prior to certification and introduction into commerce (not to be confused in in-use compliance testing).</t>
  </si>
  <si>
    <t>CERTIFICATION APPLICATION</t>
  </si>
  <si>
    <t>All manufactures must submit a report representing their U.S. directed production for the previous model year for all engine families.</t>
  </si>
  <si>
    <t>ABT Report</t>
  </si>
  <si>
    <t xml:space="preserve">As an alternative to traditional certification programs, some manufacturers may certify multiple engine families in an ABT (averaging, banking, and trading) group, which is averaged across all families and quantities, and certified to one standard. These reports must be verified at the end of the model year on the basis of actual sales. </t>
  </si>
  <si>
    <t>PLT Reporting</t>
  </si>
  <si>
    <t>Final and/or end-of-year report</t>
  </si>
  <si>
    <t xml:space="preserve">Not to be confused with the Production report, though one may serve as the other, all manufacturers must provide a final report on all sales activities after the end of the model year. </t>
  </si>
  <si>
    <t>End-of-year</t>
  </si>
  <si>
    <t>Along with the certification testing above, manufacturers subject to PLT testing must provide the EPA quarterly reports of their PLT testing progress and a final report 45-days after the end of the model year to demonstrate compliance with the finished products. This should not be confused with the end-of-year report required for all U.S. directed production, whether a PLT family or not.</t>
  </si>
  <si>
    <t>Maintenance of Records</t>
  </si>
  <si>
    <t>Several sections of the regulations, certification testing, PLT testing, In-use testing, engine family information, require manufacturers to maintain these records for a designated number of years following the end of the model year. The EPA may request this informaiton at any time, whether or not you previously disclosed this information to the Agency.</t>
  </si>
  <si>
    <t>REPORTING AND RECORDKEEPING</t>
  </si>
  <si>
    <t>Generally, between 25% and 35% of manufacturers use data from previous certification years to certify for the current model year. This is a flexibility that reduces the amount of testing required annually for all manufacturers, provided no changes have occurred in the emissions characteristics of the engine family. However, the EPA may request new testing where information may seem old or out of date.</t>
  </si>
  <si>
    <t>Contract expenditures</t>
  </si>
  <si>
    <t>Contracted Cert, Durability &amp; Evap Testing (annualized)(1)</t>
  </si>
  <si>
    <t>Projected Contract rates per engine/vehicle</t>
  </si>
  <si>
    <t>Heavy Duty Si Evap Components</t>
  </si>
  <si>
    <t>Total Certification Cost</t>
  </si>
  <si>
    <t>Total Labor Cost/yr</t>
  </si>
  <si>
    <t>GS-14/1</t>
  </si>
  <si>
    <t>Managers (Sector Leads)</t>
  </si>
  <si>
    <t>Testing/Gathering emission and/or evaporative data on test engines</t>
  </si>
  <si>
    <t>Manager/ 171.07</t>
  </si>
  <si>
    <t>Legal (if applicable)/ 233.39</t>
  </si>
  <si>
    <t>Technician/ 70.52</t>
  </si>
  <si>
    <t>Administrative/ 49.81</t>
  </si>
  <si>
    <t>Engineer/ 112.71</t>
  </si>
  <si>
    <t>Gathering certification data</t>
  </si>
  <si>
    <t>See Cell J9</t>
  </si>
  <si>
    <t xml:space="preserve">Number of Respondents </t>
  </si>
  <si>
    <t>Applications/ Efs (Responses)</t>
  </si>
  <si>
    <t>Heavy Duty SI Engines</t>
  </si>
  <si>
    <t>Labor            Cost/Response</t>
  </si>
  <si>
    <t>Preparing and Submitting Annual/final Production Report</t>
  </si>
  <si>
    <t>Total Cost</t>
  </si>
  <si>
    <t>Engine - EPA Only</t>
  </si>
  <si>
    <t>Off-Road Utility Vehicle</t>
  </si>
  <si>
    <t>ATVB &amp; ENGINE - EPA only</t>
  </si>
  <si>
    <t>Off-Road Motorcycle</t>
  </si>
  <si>
    <t>All Terrain Vehicle</t>
  </si>
  <si>
    <t>ATVB-Meeting EPA ATV Definition</t>
  </si>
  <si>
    <t>Utility Vehicle - EPA Only</t>
  </si>
  <si>
    <t>ATVB &amp; UTV - EPA only</t>
  </si>
  <si>
    <t>ATVA-Meet EPA &amp; ARB ATV Definition</t>
  </si>
  <si>
    <t>EF</t>
  </si>
  <si>
    <t>Mfr</t>
  </si>
  <si>
    <t>Carryover Total</t>
  </si>
  <si>
    <t>EF's</t>
  </si>
  <si>
    <t>Mfr's</t>
  </si>
  <si>
    <t>Carry Over</t>
  </si>
  <si>
    <t>Total</t>
  </si>
  <si>
    <t>Rec Vehicle</t>
  </si>
  <si>
    <t># of EF's</t>
  </si>
  <si>
    <t># of Mfr's</t>
  </si>
  <si>
    <t>Carryover</t>
  </si>
  <si>
    <t>MY</t>
  </si>
  <si>
    <t>HDSI</t>
  </si>
  <si>
    <t>Own Manf.</t>
  </si>
  <si>
    <t>Contractor Manf</t>
  </si>
  <si>
    <t>Manf.</t>
  </si>
  <si>
    <t>Own Cert</t>
  </si>
  <si>
    <t>Contractor Cert</t>
  </si>
  <si>
    <t>In-House or Contractor Cert</t>
  </si>
  <si>
    <t># EF</t>
  </si>
  <si>
    <t># Mfr</t>
  </si>
  <si>
    <t>LSI</t>
  </si>
  <si>
    <t>Own</t>
  </si>
  <si>
    <t>Contractor</t>
  </si>
  <si>
    <t xml:space="preserve">In-House or Contractor </t>
  </si>
  <si>
    <t>Average Defect and Recall</t>
  </si>
  <si>
    <t>Total New NRSI Cert Testing (Mfr)</t>
  </si>
  <si>
    <t>MY (Carryover)</t>
  </si>
  <si>
    <t>Marine MY (New)</t>
  </si>
  <si>
    <t>Total for Nonroad SI</t>
  </si>
  <si>
    <t>Total for all GECB Industries</t>
  </si>
  <si>
    <t>Heavy-duty Evap</t>
  </si>
  <si>
    <t>Heavy-duty SI engines</t>
  </si>
  <si>
    <t>Recreational - Snowmobile</t>
  </si>
  <si>
    <t>Recreational - Offroad Motorcycle</t>
  </si>
  <si>
    <t>Recreational - ATV</t>
  </si>
  <si>
    <t>Recreational Vehicles</t>
  </si>
  <si>
    <t>Evap Components/Equipment</t>
  </si>
  <si>
    <t>Large SI engines</t>
  </si>
  <si>
    <t>Marine SI engines</t>
  </si>
  <si>
    <t>Small SI engines</t>
  </si>
  <si>
    <t>Industry</t>
  </si>
  <si>
    <t>MY (New)</t>
  </si>
  <si>
    <t>Average Annual Recall</t>
  </si>
  <si>
    <t>Average Annual Defect</t>
  </si>
  <si>
    <t xml:space="preserve">     Recall Reports</t>
  </si>
  <si>
    <t xml:space="preserve">     Defect Reports</t>
  </si>
  <si>
    <t>New</t>
  </si>
  <si>
    <t>GECC-related Defects/Recalls for 2019/2020</t>
  </si>
  <si>
    <t>Certificates</t>
  </si>
  <si>
    <t>Manufacturers</t>
  </si>
  <si>
    <t>Total </t>
  </si>
  <si>
    <t>Evap Certificates</t>
  </si>
  <si>
    <t>Evap Manufacturers</t>
  </si>
  <si>
    <t>Heavy Duty Engines and Vehicles</t>
  </si>
  <si>
    <t>46 (148)</t>
  </si>
  <si>
    <t>Recreational Vehicles (All-terrain vehicles / utility vehicles/Snowmobiles/Off-Highway mtorcycles)</t>
  </si>
  <si>
    <t xml:space="preserve">Recreational Vehicles </t>
  </si>
  <si>
    <t>Evaporative components (manufacturers certifying their own equipment under the standard setting part)</t>
  </si>
  <si>
    <r>
      <rPr>
        <sz val="11"/>
        <color rgb="FF000000"/>
        <rFont val="Arial"/>
        <family val="2"/>
      </rPr>
      <t>42</t>
    </r>
    <r>
      <rPr>
        <b/>
        <sz val="11"/>
        <color rgb="FF000000"/>
        <rFont val="Arial"/>
        <family val="2"/>
      </rPr>
      <t xml:space="preserve"> (226)</t>
    </r>
  </si>
  <si>
    <t>Marine SI diurnal</t>
  </si>
  <si>
    <t>Large SI: Large nonroad gasoline powered equipment, such as forklifts, compressors, generators, and stationary equipment</t>
  </si>
  <si>
    <t>Vessel Cert</t>
  </si>
  <si>
    <r>
      <t xml:space="preserve">66 </t>
    </r>
    <r>
      <rPr>
        <b/>
        <sz val="11"/>
        <color rgb="FF000000"/>
        <rFont val="Arial"/>
        <family val="2"/>
      </rPr>
      <t>(270)</t>
    </r>
  </si>
  <si>
    <t xml:space="preserve">Marine SI: e.g. Gasoline boats and personal watercraft </t>
  </si>
  <si>
    <t>Handheld</t>
  </si>
  <si>
    <r>
      <t>675</t>
    </r>
    <r>
      <rPr>
        <b/>
        <sz val="11"/>
        <color rgb="FF000000"/>
        <rFont val="Arial"/>
        <family val="2"/>
      </rPr>
      <t xml:space="preserve"> (2541)</t>
    </r>
  </si>
  <si>
    <t>Non-handheld</t>
  </si>
  <si>
    <t>Small SI: Small nonroad gasoline powered equipment, such as lawnmowers, string trimmers, chain saws, small compressors, pumps, utility vehicles &lt; 25 mph, snow blowers, rammers, floor cleaners</t>
  </si>
  <si>
    <t>Nonroad Spark Ignition Engines</t>
  </si>
  <si>
    <t>In-use</t>
  </si>
  <si>
    <t>NRSI and Evaporative Certificates (Part 1060 only certifications)</t>
  </si>
  <si>
    <t>ABT</t>
  </si>
  <si>
    <t>PLT</t>
  </si>
  <si>
    <t>Total Certificaiton related responses Received</t>
  </si>
  <si>
    <t>Carryover families</t>
  </si>
  <si>
    <t xml:space="preserve">Average  </t>
  </si>
  <si>
    <t>Computation of all NRSI manufacturers and certificates issued (three-year period and average)</t>
  </si>
  <si>
    <t>Evap</t>
  </si>
  <si>
    <t>Engine</t>
  </si>
  <si>
    <t>Fees for Certification</t>
  </si>
  <si>
    <t>Table 4 - Annual Agency Burden and Cost (2025 estimates)</t>
  </si>
  <si>
    <t>Applicable Regulation</t>
  </si>
  <si>
    <t>·         Statement of compliance;</t>
  </si>
  <si>
    <t>·         Identification and description of the basic engine design including, but not limited to, the engine family specifications (fuel, cooling medium, etc.);</t>
  </si>
  <si>
    <t>·         Explanation of how the emission control system operates;</t>
  </si>
  <si>
    <t>·         Fuel system type and components;</t>
  </si>
  <si>
    <t>·         Useful life period;</t>
  </si>
  <si>
    <t>·         Deterioration factors;</t>
  </si>
  <si>
    <t>·         Intended service class;</t>
  </si>
  <si>
    <t>·         Projected sales;</t>
  </si>
  <si>
    <t>·         Estimated production period;</t>
  </si>
  <si>
    <t>·         Sales area;</t>
  </si>
  <si>
    <t>·         Plant contact and location;</t>
  </si>
  <si>
    <t>·         Program information;</t>
  </si>
  <si>
    <t>·         Family Emission Limit (FEL);</t>
  </si>
  <si>
    <t>·         Nonroad engine equipment types;</t>
  </si>
  <si>
    <t>·         Detailed description and justification of each auxiliary emission control device (AECD), and how they affect emissions;</t>
  </si>
  <si>
    <t>·         Description of all adjustable parameters, their adjustable ranges and methods employed to prevent tampering, etc.;</t>
  </si>
  <si>
    <t>·         Detailed drawings and descriptions of the various emission related components;</t>
  </si>
  <si>
    <t>·         Description of the test equipment and fuel to be used;</t>
  </si>
  <si>
    <t>·         Description of the test procedures to be used to establish the durability data or the exhaust emission deterioration factors;</t>
  </si>
  <si>
    <t>·         All test data obtained by the manufacturer on each test engine;</t>
  </si>
  <si>
    <t>·         Statement of the useful life;</t>
  </si>
  <si>
    <t>·         Statement of the alternative useful-life period and a brief synopsis of the justification, if applicable;</t>
  </si>
  <si>
    <t>·         Maintenance information;</t>
  </si>
  <si>
    <t>·         Description of the provisions taken to prevent tampering with emission control computer instructions;</t>
  </si>
  <si>
    <t>·         Proposed test fleet selection and the rationale for the test fleet selection;</t>
  </si>
  <si>
    <t>·         Special or alternate test procedures, if applicable;</t>
  </si>
  <si>
    <t>·         Period of operation necessary to accumulate service hours on test engines and stabilize emission levels;</t>
  </si>
  <si>
    <t>·         Fee filing form; and</t>
  </si>
  <si>
    <t>·         If the EPA submits a written request for an explanation of good engineering judgment, manufacturers must provide a written description of the judgment in question within 15 working days, unless otherwise specified.</t>
  </si>
  <si>
    <t>Manufacturers must keep records for eight years except routine emission records. Manufacturers must keep routine emission records for only one year.</t>
  </si>
  <si>
    <t>General Records:</t>
  </si>
  <si>
    <t>●</t>
  </si>
  <si>
    <t>Identification and description of all engines for which testing is required;</t>
  </si>
  <si>
    <t>Description of emission control systems; and</t>
  </si>
  <si>
    <t>Description of test procedures.</t>
  </si>
  <si>
    <t>Individual Records:</t>
  </si>
  <si>
    <t>Copies of all the applications submitted;</t>
  </si>
  <si>
    <t>A brief history of all test engines and running changes;</t>
  </si>
  <si>
    <t>A complete record of all emission tests performed;</t>
  </si>
  <si>
    <t>The date of each mileage accumulation run and the mileage accumulated;</t>
  </si>
  <si>
    <t>Record and description of all maintenance and other servicing performed;</t>
  </si>
  <si>
    <t>Record and description of each test performed to diagnose engine or emission control system performance;</t>
  </si>
  <si>
    <t>A brief description of any significant events affecting the vehicle;</t>
  </si>
  <si>
    <t>Actual U.S. sales volume; and</t>
  </si>
  <si>
    <t>Routine emission test data.</t>
  </si>
  <si>
    <t>When a manufacturer needs to make changes to a certified engine, or to add an engine model to an already certified engine family, the following information must be submitted. Running changes are submitted using the same electronic format used to apply for a certificate of conformity. Data items requested:</t>
  </si>
  <si>
    <t>Notification of changes made to the application and/or request to amend the application;</t>
  </si>
  <si>
    <t>Description of change to be made;</t>
  </si>
  <si>
    <t>Engineering evaluations or data showing that engines as modified or added will comply with all applicable emission standards;</t>
  </si>
  <si>
    <t>Determination of whether the original test fleet selection is still appropriate, and proposed new test fleet selections, if applicable;</t>
  </si>
  <si>
    <t>Test data on engines changed or added, upon request; and</t>
  </si>
  <si>
    <t>Supporting documentation, test data and engineering evaluations as appropriate to demonstrate that all affected engines will still meet applicable emission standards.</t>
  </si>
  <si>
    <t>If an engine is installed that has been rebuilt, emissions-related components must be checked. The following records must be kept for at least two years after rebuilding an engine and must be accessible for the EPA's review. Records may be based on engine families rather than individual engines if that is a normal business practice.</t>
  </si>
  <si>
    <t>Hours of operation (or mileage, as appropriate) at the time of the rebuild;</t>
  </si>
  <si>
    <t>Work completed on the engine or any emission-related control components, including a listing of parts and components used;</t>
  </si>
  <si>
    <t>Any engine parameter adjustments; and</t>
  </si>
  <si>
    <t>Any emission-related codes or signals responded to and any retests.</t>
  </si>
  <si>
    <t xml:space="preserve">For manufacturers or rebuilders of aftermarket engine parts for large SI engines and recreational vehicles, information must be maintained that shows how their parts or service affect emissions. The EPA may test engines and equipment to investigate potential defeat devices or may require the manufacturer to complete this testing. Manufacturers may need to provide information regarding test programs, engineering evaluations, design specifications, calibrations, on-board computer algorithms, and design strategies. (see Section 1068.110) </t>
  </si>
  <si>
    <t>Each manufacturer is also required to submit an annual production report identifying the number of engines produced by engine family, by gross power, by displacement, by fuel system, or by other categories as the Administrator may require. If the manufacturer requests a hearing on the Administrator's denial or revocation of a certificate of conformity, the request shall be filed within 30 days of the Administrator's decision, shall be in writing, and shall set forth the manufacturer's objections to the Administrator's decision and data to support the objection(s).</t>
  </si>
  <si>
    <t>B. Averaging, Banking and Trading</t>
  </si>
  <si>
    <t>Information Items Required Under the ABT Program:</t>
  </si>
  <si>
    <t>Intent to include the engine family in the ABT program;</t>
  </si>
  <si>
    <t>Declaration that participation in this program will not cause the applicable emission standard to be exceeded (i.e., result in a negative credit balance);</t>
  </si>
  <si>
    <t>FEL;</t>
  </si>
  <si>
    <t>Projected applicable production volumes for the model year;</t>
  </si>
  <si>
    <t>Values required to calculate credits;</t>
  </si>
  <si>
    <t>Projected number of credits generated/used; and</t>
  </si>
  <si>
    <t>Designated use of generated credits and/or source of credits used.</t>
  </si>
  <si>
    <t>The following ABT records are to be kept for eight years:</t>
  </si>
  <si>
    <t>EPA engine family;</t>
  </si>
  <si>
    <t>Engine identification number;</t>
  </si>
  <si>
    <t>Engine build date and model year;</t>
  </si>
  <si>
    <t>Power rating;</t>
  </si>
  <si>
    <t>Purchaser and destination;</t>
  </si>
  <si>
    <t>Assembly plant;</t>
  </si>
  <si>
    <t>Useful life;</t>
  </si>
  <si>
    <t>Projected and actual production for each model;</t>
  </si>
  <si>
    <t>Applicable production/sales volume -- actual quarterly and cumulative (this is required quarterly for all families participating in trading);</t>
  </si>
  <si>
    <t>Resulting type and number of credits generated/required;</t>
  </si>
  <si>
    <t>How and where credit surpluses are dispersed; and</t>
  </si>
  <si>
    <t>How and through what means credit deficits are met.</t>
  </si>
  <si>
    <t> You should be prepared to add regulatory cites and/or links for all information required by this ICR.</t>
  </si>
  <si>
    <t>40 CFR 1036.205, 1037.205, 1045.205, 1048.205, 1051.205, 1045.205, 1060.205</t>
  </si>
  <si>
    <t>40 CFR 1036.250, 1037.250. 1045.250, 1048.250,1051.250, 1054.250, 1060.250</t>
  </si>
  <si>
    <t>40 CFR 1036.225, 1037.225, 1045.225, 1048.225, 1051.225, 1054.225, 1060.225</t>
  </si>
  <si>
    <t>40 CFR 1068.120</t>
  </si>
  <si>
    <t>40 CFR Subpart H for Parts 1036, 1067, 1045, 1051, 1054, and 1060</t>
  </si>
  <si>
    <t>The EPA can require manufacturers to submit or retain additional information not specifically listed here.     Within 45 days of the end of each quarter, manufacturers must report the following information (30 days for marine SI manufacturers):</t>
  </si>
  <si>
    <t>Location and description of the test facilities where testing was conducted;</t>
  </si>
  <si>
    <t>Total production and sample size for each engine family;</t>
  </si>
  <si>
    <t>Applicable standards and/or FELs;</t>
  </si>
  <si>
    <t>Description of the process used to obtain engines on a random basis; and</t>
  </si>
  <si>
    <t>Description of the test engine.</t>
  </si>
  <si>
    <t>For each test conducted, manufacturers must submit the following information:</t>
  </si>
  <si>
    <t>Description of the test engine, including engine family and configuration, year, make, build date, engine ID number, and number of hours of service accumulated on the engine prior to testing;</t>
  </si>
  <si>
    <t>Location(s) where service accumulation was conducted and description of accumulation procedure and schedule;</t>
  </si>
  <si>
    <t>Test number, date, test procedure used, initial test results before and after rounding, final test results before and after rounding, and final deteriorated test results for all tests, etc.;</t>
  </si>
  <si>
    <t>Complete description of any adjustment, modification, repair, preparation, maintenance, and testing which was performed on the test engine, etc.;</t>
  </si>
  <si>
    <t>CumSum Analysis;[1]</t>
  </si>
  <si>
    <t>Any other information the Administrator may request;</t>
  </si>
  <si>
    <t>For each failed engine, a description of the remedy and test results for all retests;</t>
  </si>
  <si>
    <t>Date of the end of the engine manufacturer's model year production for each engine family;</t>
  </si>
  <si>
    <t>A signed statement (e.g., see §1054.201(e) for small SI engines) and endorsement by an authorized representative of the manufacturer; and</t>
  </si>
  <si>
    <t>Submit, upon request:  1) projected production for each configuration within each engine family for which certification has been requested and/or approved; and 2) Number of engines, by configuration and assembly plant, scheduled for production or actually produced.</t>
  </si>
  <si>
    <t>Record and maintain the following information for one year after completion of testing:</t>
  </si>
  <si>
    <t>Description of all testing equipment used and each test cell that can be used to perform PLT;</t>
  </si>
  <si>
    <t>Date, time, and location of each test or audit;</t>
  </si>
  <si>
    <t>Number of service accumulation hours on the test engine at the start and end of the test(s);</t>
  </si>
  <si>
    <t>Names of all supervisory personnel involved in the conduct of the test or audit;</t>
  </si>
  <si>
    <t>Record and description of any adjustment, repair, preparation or modification performed on test engines, including date, associated time, justification, name(s) of the authorizing personnel, and/or name(s) of supervisory personnel responsible for the conduct of the repair;</t>
  </si>
  <si>
    <t>If applicable, the date the engine was shipped from the assembly plant, associated storage facility or port facility, and the date the engine was received at the testing facility;</t>
  </si>
  <si>
    <t>Complete record of all PLT emission tests or audits performed (except tests performed directly by the EPA), including all individual worksheets and/or other documentation relating to each test, or exact copies; and</t>
  </si>
  <si>
    <t>Brief description of any significant events during testing not otherwise described, commencing with the test engine selection process and including such extraordinary events as engine damage during shipment.</t>
  </si>
  <si>
    <t>[1] CumSum is the cumulative summation used for the PLT calculation to determine the sequential analysis of engine production from a product line. The CumSum equation is represented as Ci = Max [0 or Ci-1 + Xi−(STD + 0.25 × σ)]; where: Ci = The current CumSum statistic; Ci-1 = The previous CumSum statistic; Xi = The current emission test result for an individual engine; STD = Emission standard (or family emission limit, if applicable).</t>
  </si>
  <si>
    <t xml:space="preserve">  </t>
  </si>
  <si>
    <t>40 CFR Subpart D for Parts 1036, 1037, 1045, 1048, 1051, 1054, and 1060 for Production Verification Testing</t>
  </si>
  <si>
    <t>Amending a Certificate</t>
  </si>
  <si>
    <t>D. In-use Testing Programs</t>
  </si>
  <si>
    <t>While some of the details of the in-use program may vary from one type of engine to another, the information collected is very similar. Generally, SI engine manufacturers submit:</t>
  </si>
  <si>
    <t>Engine family;</t>
  </si>
  <si>
    <t>Model;</t>
  </si>
  <si>
    <t>Engine serial number;</t>
  </si>
  <si>
    <t>Date of manufacture;</t>
  </si>
  <si>
    <t>Estimated hours of use;</t>
  </si>
  <si>
    <t>Results of all emission testing;</t>
  </si>
  <si>
    <t>Summary of all maintenance and/or adjustments performed;</t>
  </si>
  <si>
    <t>Summary of all modifications and/or repairs; and</t>
  </si>
  <si>
    <t>Determinations of compliance or noncompliance.</t>
  </si>
  <si>
    <t>40 CFR Subpart E, Parts 1036, 1045, 1048, . Other regulatory sections do not require the manufacturer to conduct testing but reserve the right for the EPA to conduct in-use testing. These sections are 40 CFR 1037, 1054, and 1060.</t>
  </si>
  <si>
    <t>C. Production-Line Testing (PLT) Program</t>
  </si>
  <si>
    <t>A. Information Items Required Under the Certification Program: </t>
  </si>
  <si>
    <t>E. Selective Enforcement Audits (SEAs)</t>
  </si>
  <si>
    <t>Upon the EPA's request, engine manufacturers must submit the following information regarding engine production. The EPA uses these data to determine which engines will be audited.</t>
  </si>
  <si>
    <t>Projected U.S. sales data for each engine family and configuration;</t>
  </si>
  <si>
    <t>Number of engines, by configuration and assembly plant, scheduled for production within the time period designated by the EPA;</t>
  </si>
  <si>
    <t>Number of engines, by configuration and assembly plant, storage facility or port facility, scheduled to be stored during the time period designated by the EPA; and</t>
  </si>
  <si>
    <t>Number of engines, by configuration and assembly plant, produced during the designated period that are complete for introduction into commerce.</t>
  </si>
  <si>
    <t>Within 30 calendar days of the end of each audit, nonroad SI manufacturers must submit a report to the EPA based on the requirements in Section 1068.450. Manufacturers' reports should include the following information:</t>
  </si>
  <si>
    <t>Testing facilities' location and description.</t>
  </si>
  <si>
    <t>U.S.-directed production volume and number of tests for each engine family.</t>
  </si>
  <si>
    <t>Applicable standards or compliance levels against which the engines were tested.</t>
  </si>
  <si>
    <t>Description of the engine and the method used to select its emission-related components.</t>
  </si>
  <si>
    <t>For each test conducted, the following information:</t>
  </si>
  <si>
    <t>--</t>
  </si>
  <si>
    <t>Test engine description;</t>
  </si>
  <si>
    <t>Location where service accumulation was conducted and a description of the procedure;</t>
  </si>
  <si>
    <t>Test information, raw results, which include emission figures for all measured pollutants, for both valid and invalid test results;</t>
  </si>
  <si>
    <t>A complete description of any modification, repair, preparation, maintenance and/or testing performed on the engine not previously reported. This must include the results of any emission measurements, regardless of the procedure or type of equipment;</t>
  </si>
  <si>
    <t>Reason(s) for removal of engines from the test sequence (as authorization by the EPA), if applicable; and</t>
  </si>
  <si>
    <t>--   Any other information as requested by EPA.</t>
  </si>
  <si>
    <r>
      <t>·</t>
    </r>
    <r>
      <rPr>
        <sz val="7"/>
        <color theme="1"/>
        <rFont val="Times New Roman"/>
        <family val="1"/>
      </rPr>
      <t xml:space="preserve">         </t>
    </r>
    <r>
      <rPr>
        <sz val="11"/>
        <color theme="1"/>
        <rFont val="Calibri"/>
        <family val="2"/>
      </rPr>
      <t xml:space="preserve">Statement of compliance and endorsement. </t>
    </r>
  </si>
  <si>
    <r>
      <t>·</t>
    </r>
    <r>
      <rPr>
        <sz val="7"/>
        <color theme="1"/>
        <rFont val="Times New Roman"/>
        <family val="1"/>
      </rPr>
      <t xml:space="preserve">         </t>
    </r>
    <r>
      <rPr>
        <sz val="11"/>
        <color theme="1"/>
        <rFont val="Calibri"/>
        <family val="2"/>
      </rPr>
      <t xml:space="preserve">For large SI and recreational engines, a report on each failed engine. </t>
    </r>
  </si>
  <si>
    <r>
      <t>·</t>
    </r>
    <r>
      <rPr>
        <sz val="7"/>
        <color theme="1"/>
        <rFont val="Times New Roman"/>
        <family val="1"/>
      </rPr>
      <t xml:space="preserve">         </t>
    </r>
    <r>
      <rPr>
        <sz val="11"/>
        <color theme="1"/>
        <rFont val="Calibri"/>
        <family val="2"/>
      </rPr>
      <t>Request for re-testing of failed engines, if applicable.</t>
    </r>
  </si>
  <si>
    <r>
      <t>·</t>
    </r>
    <r>
      <rPr>
        <sz val="7"/>
        <color theme="1"/>
        <rFont val="Times New Roman"/>
        <family val="1"/>
      </rPr>
      <t xml:space="preserve">      </t>
    </r>
    <r>
      <rPr>
        <sz val="11"/>
        <color theme="1"/>
        <rFont val="Calibri"/>
        <family val="2"/>
      </rPr>
      <t>Signed statement by an authorized manufacturer representative (for large SI and recreational engine manufacturers) as required under section 1068.450(c).</t>
    </r>
  </si>
  <si>
    <t>Records must be kept for one year after all ordered tests have been completed. Records may be kept in any media, according to the manufacturer's procedures, provided that in every case all the information contained in the hard copy is maintained. The EPA may review manufacturer records at any time.</t>
  </si>
  <si>
    <t>General records:  a description of all test equipment used, including the information submitted with the audit report described above.</t>
  </si>
  <si>
    <t>Individual records for each audit:</t>
  </si>
  <si>
    <t>Date, time and location of each test;</t>
  </si>
  <si>
    <t>Number of hours accumulated in each engine when testing began and ended;</t>
  </si>
  <si>
    <t>Names of all supervisory personnel involved in the conduct of the audit;</t>
  </si>
  <si>
    <t>Detailed records of all repairs performed prior/after EPA's authorization;</t>
  </si>
  <si>
    <t>Any records related to an audit not in the written report;</t>
  </si>
  <si>
    <t>Date engine(s) shipped, associated port/storage facility and date received, if applicable;</t>
  </si>
  <si>
    <t>A complete record of all tests performed including worksheets and other documentation; and</t>
  </si>
  <si>
    <t>Brief description of any significant event(s) that occurred during the audit.</t>
  </si>
  <si>
    <t>Manufacturers must be able to provide projected or actual production for an engine family, by assembly plant.</t>
  </si>
  <si>
    <t>Description of the equipment in each test cell that can be used to perform SEA testing, where applicable.</t>
  </si>
  <si>
    <t>The EPA can request manufacturers to submit additional SEA information or keep records not specifically listed in this section.</t>
  </si>
  <si>
    <t>Selection Enforcement Audits are covered under 40 CFR Part 1068, Subpart E for Parts 1036, 1037, 1045, 1048, 1051, and 1054.</t>
  </si>
  <si>
    <t>Investigation Reports</t>
  </si>
  <si>
    <t>Description of the defect and the engines that have it</t>
  </si>
  <si>
    <t>Estimates of the number or percentage of affected engines/equipment per class or category</t>
  </si>
  <si>
    <t>Estimate of the defect’s impact on emissions</t>
  </si>
  <si>
    <t>A plan for addressing the defect or an explanation of the reasons that the defect does not need to be addressed</t>
  </si>
  <si>
    <t>Defect Information Reports (DIRs)</t>
  </si>
  <si>
    <t>The manufacturer's corporate name</t>
  </si>
  <si>
    <t>A description of the defect</t>
  </si>
  <si>
    <t>A description of the class or category of engines</t>
  </si>
  <si>
    <t>Number of vehicle or engines estimated or known to have the defect and explanation of derivation.</t>
  </si>
  <si>
    <t>The address of the plant(s) where they were produced</t>
  </si>
  <si>
    <t>Evaluation of the emissions impact and any driveability problems it might cause</t>
  </si>
  <si>
    <t>Available emissions data related to the defect</t>
  </si>
  <si>
    <t>Indication of any anticipated manufacturer follow-up</t>
  </si>
  <si>
    <t>Recalls and Voluntary Recalls</t>
  </si>
  <si>
    <t>Information items requested in VERRs include:</t>
  </si>
  <si>
    <t xml:space="preserve">A description of the class or category of engines being recalled </t>
  </si>
  <si>
    <t>A description of the modifications or repairs made to correct the defects</t>
  </si>
  <si>
    <t>A description of the method being used to identify and contact the owners</t>
  </si>
  <si>
    <t>A description of any conditions for eligibility for repair and any reasons for the conditions</t>
  </si>
  <si>
    <t>A description of the procedure to be followed by the owner to obtain repairs and where the repairs can be obtained</t>
  </si>
  <si>
    <t>If repairs are not being performed at dealers, a description of who will perform the repairs and where the defect will be remedied</t>
  </si>
  <si>
    <t>Copies of the letters of notification to be sent to the vehicle owners</t>
  </si>
  <si>
    <t>A description of the system for assuring an adequate supply of parts is available for the repairs and that they are performed in a timely manner.</t>
  </si>
  <si>
    <t>Copies of all necessary instructions to be sent to the persons who are to perform the repairs</t>
  </si>
  <si>
    <t>A description of the impact of the proposed changes on fuel consumption, drivability, and safety of the engines</t>
  </si>
  <si>
    <t>A sample of any labels to be applied to the participant engines identifying the recall being performed</t>
  </si>
  <si>
    <t>Recall Progress Reports</t>
  </si>
  <si>
    <t>Recall campaign number</t>
  </si>
  <si>
    <t>Date of owner notification and completion</t>
  </si>
  <si>
    <t>Number of engines known or estimated to be affected by the defect</t>
  </si>
  <si>
    <t>Number of or engines brought in and inspected as part of the campaign</t>
  </si>
  <si>
    <t>Number of engines found to have the defect after inspection</t>
  </si>
  <si>
    <t>Number of engines receiving repair</t>
  </si>
  <si>
    <t>Number of engines determined to be unavailable due to exportation, theft, scrapping or other reasons</t>
  </si>
  <si>
    <t>Number of engines determined to be ineligible because of improper maintenance or use</t>
  </si>
  <si>
    <t>Copies of any service bulletins sent to dealers which relate to the defect that had not previously been reported</t>
  </si>
  <si>
    <t>Copies of all communications transmitted to vehicle owners which relate to the defect to be corrected not previously submitted</t>
  </si>
  <si>
    <t>Revisions to any of the information previously submitted</t>
  </si>
  <si>
    <t>Vehicle owner contact information upon request</t>
  </si>
  <si>
    <t>Defects &amp; Recalls Recordkeeping Requirements</t>
  </si>
  <si>
    <t>A paper copy of written reports</t>
  </si>
  <si>
    <t>The names and addresses of vehicle or engine owners who were notified</t>
  </si>
  <si>
    <t>For every engine or piece of equipment state whether it was inspected, disqualified or repaired</t>
  </si>
  <si>
    <t>For all manufacturers, Defects and Recalls are provided under 40 CFR Part 1068, Subpart F</t>
  </si>
  <si>
    <r>
      <t>F.</t>
    </r>
    <r>
      <rPr>
        <b/>
        <sz val="7"/>
        <color theme="1"/>
        <rFont val="Times New Roman"/>
        <family val="1"/>
      </rPr>
      <t xml:space="preserve">       </t>
    </r>
    <r>
      <rPr>
        <b/>
        <sz val="11"/>
        <color theme="1"/>
        <rFont val="Calibri"/>
        <family val="2"/>
      </rPr>
      <t>Defects and Recalls</t>
    </r>
  </si>
  <si>
    <t>Total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</si>
</sst>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
    <numFmt numFmtId="166" formatCode="&quot;$&quot;#,##0.00"/>
    <numFmt numFmtId="167" formatCode="#,##0.0"/>
    <numFmt numFmtId="168" formatCode="_(&quot;$&quot;* #,##0_);_(&quot;$&quot;* \(#,##0\);_(&quot;$&quot;* &quot;-&quot;??_);_(@_)"/>
    <numFmt numFmtId="169" formatCode="_(* #,##0.0_);_(* \(#,##0.0\);_(* &quot;-&quot;??_);_(@_)"/>
    <numFmt numFmtId="170" formatCode="0.0"/>
    <numFmt numFmtId="171" formatCode="0.0000"/>
    <numFmt numFmtId="172" formatCode="0.000"/>
  </numFmts>
  <fonts count="38" x14ac:knownFonts="1">
    <font>
      <sz val="11"/>
      <color theme="1"/>
      <name val="Arial"/>
      <family val="2"/>
      <scheme val="minor"/>
    </font>
    <font>
      <sz val="11"/>
      <color theme="1"/>
      <name val="Arial"/>
      <family val="2"/>
      <scheme val="minor"/>
    </font>
    <font>
      <sz val="12"/>
      <name val="Arial"/>
      <family val="2"/>
    </font>
    <font>
      <sz val="10"/>
      <name val="Arial"/>
      <family val="2"/>
    </font>
    <font>
      <sz val="9"/>
      <color indexed="81"/>
      <name val="Tahoma"/>
      <family val="2"/>
    </font>
    <font>
      <b/>
      <sz val="10"/>
      <name val="Arial"/>
      <family val="2"/>
    </font>
    <font>
      <sz val="8"/>
      <name val="Arial"/>
      <family val="2"/>
    </font>
    <font>
      <b/>
      <sz val="9"/>
      <color indexed="81"/>
      <name val="Tahoma"/>
      <family val="2"/>
    </font>
    <font>
      <b/>
      <sz val="8"/>
      <name val="Arial"/>
      <family val="2"/>
    </font>
    <font>
      <b/>
      <sz val="11"/>
      <color theme="1"/>
      <name val="Arial"/>
      <family val="2"/>
      <scheme val="minor"/>
    </font>
    <font>
      <sz val="11"/>
      <color theme="1"/>
      <name val="Arial"/>
      <family val="2"/>
    </font>
    <font>
      <sz val="12"/>
      <color theme="1"/>
      <name val="Times New Roman"/>
      <family val="1"/>
    </font>
    <font>
      <sz val="12"/>
      <color rgb="FF000000"/>
      <name val="Times New Roman"/>
      <family val="1"/>
    </font>
    <font>
      <sz val="11"/>
      <name val="Arial"/>
      <family val="2"/>
    </font>
    <font>
      <b/>
      <sz val="11"/>
      <color theme="1"/>
      <name val="Arial"/>
      <family val="2"/>
    </font>
    <font>
      <i/>
      <sz val="11"/>
      <color theme="1"/>
      <name val="Arial"/>
      <family val="2"/>
      <scheme val="minor"/>
    </font>
    <font>
      <sz val="8"/>
      <name val="Arial"/>
      <family val="2"/>
      <scheme val="minor"/>
    </font>
    <font>
      <b/>
      <sz val="11"/>
      <name val="Arial"/>
      <family val="2"/>
    </font>
    <font>
      <b/>
      <sz val="11"/>
      <color rgb="FF7030A0"/>
      <name val="Arial"/>
      <family val="2"/>
      <scheme val="minor"/>
    </font>
    <font>
      <b/>
      <sz val="12"/>
      <color rgb="FF7030A0"/>
      <name val="Arial"/>
      <family val="2"/>
    </font>
    <font>
      <i/>
      <sz val="11"/>
      <color rgb="FF7030A0"/>
      <name val="Arial"/>
      <family val="2"/>
      <scheme val="minor"/>
    </font>
    <font>
      <sz val="10"/>
      <color rgb="FF000000"/>
      <name val="Arial"/>
      <family val="2"/>
      <scheme val="minor"/>
    </font>
    <font>
      <sz val="8"/>
      <color rgb="FF00B050"/>
      <name val="Arial"/>
      <family val="2"/>
      <scheme val="minor"/>
    </font>
    <font>
      <sz val="11"/>
      <color rgb="FFFF0000"/>
      <name val="Arial"/>
      <family val="2"/>
    </font>
    <font>
      <b/>
      <sz val="11"/>
      <color rgb="FFFF0000"/>
      <name val="Arial"/>
      <family val="2"/>
    </font>
    <font>
      <i/>
      <sz val="8"/>
      <color theme="1"/>
      <name val="Arial"/>
      <family val="2"/>
    </font>
    <font>
      <b/>
      <sz val="11"/>
      <color rgb="FF000000"/>
      <name val="Arial"/>
      <family val="2"/>
    </font>
    <font>
      <i/>
      <sz val="11"/>
      <name val="Arial"/>
      <family val="2"/>
    </font>
    <font>
      <sz val="11"/>
      <color rgb="FF000000"/>
      <name val="Arial"/>
      <family val="2"/>
    </font>
    <font>
      <sz val="13"/>
      <color rgb="FF1B1B1B"/>
      <name val="Arial"/>
      <family val="2"/>
    </font>
    <font>
      <u/>
      <sz val="11"/>
      <color theme="10"/>
      <name val="Arial"/>
      <family val="2"/>
      <scheme val="minor"/>
    </font>
    <font>
      <sz val="11"/>
      <color theme="1"/>
      <name val="Calibri"/>
      <family val="2"/>
    </font>
    <font>
      <sz val="11"/>
      <color theme="1"/>
      <name val="Symbol"/>
      <family val="1"/>
      <charset val="2"/>
    </font>
    <font>
      <sz val="7"/>
      <color theme="1"/>
      <name val="Times New Roman"/>
      <family val="1"/>
    </font>
    <font>
      <b/>
      <sz val="11"/>
      <color theme="1"/>
      <name val="Calibri"/>
      <family val="2"/>
    </font>
    <font>
      <u/>
      <sz val="11"/>
      <color theme="10"/>
      <name val="Calibri"/>
      <family val="2"/>
    </font>
    <font>
      <i/>
      <sz val="11"/>
      <color theme="1"/>
      <name val="Calibri"/>
      <family val="2"/>
    </font>
    <font>
      <b/>
      <sz val="7"/>
      <color theme="1"/>
      <name val="Times New Roman"/>
      <family val="1"/>
    </font>
  </fonts>
  <fills count="27">
    <fill>
      <patternFill patternType="none"/>
    </fill>
    <fill>
      <patternFill patternType="gray125"/>
    </fill>
    <fill>
      <patternFill patternType="solid">
        <fgColor theme="0" tint="-0.249977111117893"/>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indexed="22"/>
        <bgColor indexed="24"/>
      </patternFill>
    </fill>
    <fill>
      <patternFill patternType="solid">
        <fgColor theme="0" tint="-0.14999847407452621"/>
        <bgColor indexed="64"/>
      </patternFill>
    </fill>
    <fill>
      <patternFill patternType="solid">
        <fgColor indexed="22"/>
        <bgColor indexed="9"/>
      </patternFill>
    </fill>
    <fill>
      <patternFill patternType="solid">
        <fgColor indexed="2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tint="0.499984740745262"/>
        <bgColor indexed="64"/>
      </patternFill>
    </fill>
    <fill>
      <patternFill patternType="solid">
        <fgColor theme="1" tint="0.499984740745262"/>
        <bgColor indexed="24"/>
      </patternFill>
    </fill>
    <fill>
      <patternFill patternType="solid">
        <fgColor theme="9" tint="0.59999389629810485"/>
        <bgColor indexed="64"/>
      </patternFill>
    </fill>
    <fill>
      <patternFill patternType="solid">
        <fgColor rgb="FFC0C0C0"/>
        <bgColor indexed="64"/>
      </patternFill>
    </fill>
    <fill>
      <patternFill patternType="solid">
        <fgColor theme="2"/>
        <bgColor indexed="64"/>
      </patternFill>
    </fill>
    <fill>
      <patternFill patternType="solid">
        <fgColor theme="7" tint="0.39997558519241921"/>
        <bgColor indexed="64"/>
      </patternFill>
    </fill>
    <fill>
      <patternFill patternType="solid">
        <fgColor theme="5" tint="0.79998168889431442"/>
        <bgColor indexed="64"/>
      </patternFill>
    </fill>
    <fill>
      <patternFill patternType="darkGray"/>
    </fill>
    <fill>
      <patternFill patternType="darkGray">
        <bgColor theme="0" tint="-0.14999847407452621"/>
      </patternFill>
    </fill>
    <fill>
      <patternFill patternType="darkGray">
        <bgColor theme="7" tint="0.39997558519241921"/>
      </patternFill>
    </fill>
    <fill>
      <patternFill patternType="darkGray">
        <bgColor theme="9" tint="0.59999389629810485"/>
      </patternFill>
    </fill>
    <fill>
      <patternFill patternType="darkGray">
        <fgColor indexed="24"/>
        <bgColor indexed="22"/>
      </patternFill>
    </fill>
    <fill>
      <patternFill patternType="darkGray">
        <bgColor theme="5" tint="0.79998168889431442"/>
      </patternFill>
    </fill>
    <fill>
      <patternFill patternType="solid">
        <fgColor rgb="FF00B050"/>
        <bgColor indexed="24"/>
      </patternFill>
    </fill>
    <fill>
      <patternFill patternType="solid">
        <fgColor rgb="FF00B050"/>
        <bgColor indexed="64"/>
      </patternFill>
    </fill>
    <fill>
      <patternFill patternType="darkGray">
        <bgColor theme="2"/>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lignment vertical="top"/>
    </xf>
    <xf numFmtId="0" fontId="30" fillId="0" borderId="0" applyNumberFormat="0" applyFill="0" applyBorder="0" applyAlignment="0" applyProtection="0"/>
  </cellStyleXfs>
  <cellXfs count="486">
    <xf numFmtId="0" fontId="0" fillId="0" borderId="0" xfId="0"/>
    <xf numFmtId="0" fontId="0" fillId="0" borderId="0" xfId="0" applyAlignment="1">
      <alignment wrapText="1"/>
    </xf>
    <xf numFmtId="0" fontId="0" fillId="0" borderId="1" xfId="0" applyBorder="1" applyAlignment="1">
      <alignment wrapText="1"/>
    </xf>
    <xf numFmtId="0" fontId="0" fillId="0" borderId="6" xfId="0" applyBorder="1" applyAlignment="1">
      <alignment wrapText="1"/>
    </xf>
    <xf numFmtId="0" fontId="0" fillId="0" borderId="7" xfId="0" applyBorder="1" applyAlignment="1">
      <alignment wrapText="1"/>
    </xf>
    <xf numFmtId="0" fontId="5" fillId="5" borderId="1" xfId="0" applyFont="1" applyFill="1" applyBorder="1" applyAlignment="1">
      <alignment horizontal="center" vertical="top" wrapText="1"/>
    </xf>
    <xf numFmtId="0" fontId="3" fillId="0" borderId="1" xfId="0" applyFont="1" applyBorder="1" applyAlignment="1">
      <alignment wrapText="1"/>
    </xf>
    <xf numFmtId="3" fontId="3" fillId="0" borderId="1" xfId="0" applyNumberFormat="1" applyFont="1" applyBorder="1" applyAlignment="1">
      <alignment horizontal="right" wrapText="1"/>
    </xf>
    <xf numFmtId="3" fontId="3" fillId="0" borderId="2" xfId="0" applyNumberFormat="1" applyFont="1" applyBorder="1" applyAlignment="1">
      <alignment horizontal="right" wrapText="1"/>
    </xf>
    <xf numFmtId="0" fontId="3" fillId="0" borderId="13" xfId="0" applyFont="1" applyBorder="1" applyAlignment="1">
      <alignment wrapText="1"/>
    </xf>
    <xf numFmtId="3" fontId="3" fillId="0" borderId="18" xfId="0" applyNumberFormat="1" applyFont="1" applyBorder="1" applyAlignment="1">
      <alignment horizontal="right" wrapText="1"/>
    </xf>
    <xf numFmtId="166" fontId="3" fillId="0" borderId="1" xfId="0" applyNumberFormat="1" applyFont="1" applyBorder="1" applyAlignment="1">
      <alignment horizontal="right" wrapText="1"/>
    </xf>
    <xf numFmtId="166" fontId="3" fillId="0" borderId="2" xfId="0" applyNumberFormat="1" applyFont="1" applyBorder="1" applyAlignment="1">
      <alignment horizontal="right" wrapText="1"/>
    </xf>
    <xf numFmtId="166" fontId="3" fillId="0" borderId="18" xfId="0" applyNumberFormat="1" applyFont="1" applyBorder="1" applyAlignment="1">
      <alignment horizontal="right" wrapText="1"/>
    </xf>
    <xf numFmtId="0" fontId="0" fillId="0" borderId="10" xfId="0" applyBorder="1" applyAlignment="1">
      <alignment wrapText="1"/>
    </xf>
    <xf numFmtId="0" fontId="8" fillId="7" borderId="1" xfId="4" applyFont="1" applyFill="1" applyBorder="1" applyAlignment="1">
      <alignment horizontal="left" wrapText="1"/>
    </xf>
    <xf numFmtId="0" fontId="8" fillId="7" borderId="1" xfId="4" applyFont="1" applyFill="1" applyBorder="1" applyAlignment="1">
      <alignment horizontal="center" wrapText="1"/>
    </xf>
    <xf numFmtId="0" fontId="6" fillId="0" borderId="1" xfId="4" applyFont="1" applyBorder="1" applyAlignment="1">
      <alignment wrapText="1"/>
    </xf>
    <xf numFmtId="8" fontId="6" fillId="0" borderId="1" xfId="4" applyNumberFormat="1" applyFont="1" applyBorder="1" applyAlignment="1">
      <alignment wrapText="1"/>
    </xf>
    <xf numFmtId="165" fontId="6" fillId="0" borderId="1" xfId="4" applyNumberFormat="1" applyFont="1" applyBorder="1" applyAlignment="1">
      <alignment horizontal="right" wrapText="1"/>
    </xf>
    <xf numFmtId="0" fontId="6" fillId="0" borderId="1" xfId="4" applyFont="1" applyBorder="1" applyAlignment="1">
      <alignment horizontal="left" wrapText="1"/>
    </xf>
    <xf numFmtId="0" fontId="6" fillId="10" borderId="1" xfId="4" applyFont="1" applyFill="1" applyBorder="1" applyAlignment="1">
      <alignment wrapText="1"/>
    </xf>
    <xf numFmtId="9" fontId="6" fillId="0" borderId="1" xfId="4" applyNumberFormat="1" applyFont="1" applyBorder="1" applyAlignment="1">
      <alignment wrapText="1"/>
    </xf>
    <xf numFmtId="9" fontId="6" fillId="0" borderId="1" xfId="3" applyFont="1" applyBorder="1" applyAlignment="1">
      <alignment wrapText="1"/>
    </xf>
    <xf numFmtId="8" fontId="6" fillId="0" borderId="2" xfId="4" applyNumberFormat="1" applyFont="1" applyBorder="1" applyAlignment="1">
      <alignment wrapText="1"/>
    </xf>
    <xf numFmtId="0" fontId="6" fillId="10" borderId="2" xfId="4" applyFont="1" applyFill="1" applyBorder="1" applyAlignment="1">
      <alignment wrapText="1"/>
    </xf>
    <xf numFmtId="0" fontId="6" fillId="0" borderId="2" xfId="4" applyFont="1" applyBorder="1" applyAlignment="1">
      <alignment wrapText="1"/>
    </xf>
    <xf numFmtId="9" fontId="6" fillId="0" borderId="2" xfId="3" applyFont="1" applyBorder="1" applyAlignment="1">
      <alignment wrapText="1"/>
    </xf>
    <xf numFmtId="0" fontId="8" fillId="0" borderId="13" xfId="4" applyFont="1" applyBorder="1" applyAlignment="1">
      <alignment horizontal="center" wrapText="1"/>
    </xf>
    <xf numFmtId="0" fontId="8" fillId="0" borderId="14" xfId="4" applyFont="1" applyBorder="1" applyAlignment="1">
      <alignment horizontal="center" wrapText="1"/>
    </xf>
    <xf numFmtId="0" fontId="8" fillId="0" borderId="12" xfId="4" applyFont="1" applyBorder="1" applyAlignment="1">
      <alignment horizontal="center" wrapText="1"/>
    </xf>
    <xf numFmtId="165" fontId="6" fillId="0" borderId="12" xfId="4" applyNumberFormat="1" applyFont="1" applyBorder="1" applyAlignment="1">
      <alignment horizontal="right" wrapText="1"/>
    </xf>
    <xf numFmtId="0" fontId="8" fillId="0" borderId="15" xfId="4" applyFont="1" applyBorder="1" applyAlignment="1">
      <alignment horizontal="center" wrapText="1"/>
    </xf>
    <xf numFmtId="0" fontId="8" fillId="0" borderId="16" xfId="4" applyFont="1" applyBorder="1" applyAlignment="1">
      <alignment horizontal="center" wrapText="1"/>
    </xf>
    <xf numFmtId="0" fontId="8" fillId="0" borderId="17" xfId="4" applyFont="1" applyBorder="1" applyAlignment="1">
      <alignment horizontal="center" wrapText="1"/>
    </xf>
    <xf numFmtId="0" fontId="8" fillId="7" borderId="15" xfId="4" applyFont="1" applyFill="1" applyBorder="1" applyAlignment="1">
      <alignment horizontal="center" wrapText="1"/>
    </xf>
    <xf numFmtId="164" fontId="8" fillId="7" borderId="15" xfId="1" applyNumberFormat="1" applyFont="1" applyFill="1" applyBorder="1" applyAlignment="1">
      <alignment horizontal="center" wrapText="1"/>
    </xf>
    <xf numFmtId="168" fontId="8" fillId="7" borderId="15" xfId="2" applyNumberFormat="1" applyFont="1" applyFill="1" applyBorder="1" applyAlignment="1">
      <alignment horizontal="center" wrapText="1"/>
    </xf>
    <xf numFmtId="0" fontId="6" fillId="0" borderId="1" xfId="4" applyFont="1" applyBorder="1" applyAlignment="1">
      <alignment horizontal="left"/>
    </xf>
    <xf numFmtId="0" fontId="2" fillId="0" borderId="0" xfId="0" applyFont="1" applyAlignment="1">
      <alignment wrapText="1"/>
    </xf>
    <xf numFmtId="168" fontId="8" fillId="7" borderId="1" xfId="2" applyNumberFormat="1" applyFont="1" applyFill="1" applyBorder="1" applyAlignment="1">
      <alignment horizontal="center" wrapText="1"/>
    </xf>
    <xf numFmtId="168" fontId="0" fillId="0" borderId="0" xfId="0" applyNumberFormat="1" applyAlignment="1">
      <alignment wrapText="1"/>
    </xf>
    <xf numFmtId="0" fontId="6" fillId="0" borderId="0" xfId="4" applyFont="1" applyAlignment="1">
      <alignment horizontal="left"/>
    </xf>
    <xf numFmtId="168" fontId="8" fillId="7" borderId="12" xfId="2" applyNumberFormat="1" applyFont="1" applyFill="1" applyBorder="1" applyAlignment="1">
      <alignment horizontal="center" wrapText="1"/>
    </xf>
    <xf numFmtId="0" fontId="0" fillId="0" borderId="9" xfId="0" applyBorder="1" applyAlignment="1">
      <alignment wrapText="1"/>
    </xf>
    <xf numFmtId="0" fontId="0" fillId="0" borderId="0" xfId="0" applyBorder="1" applyAlignment="1">
      <alignment wrapText="1"/>
    </xf>
    <xf numFmtId="0" fontId="0" fillId="0" borderId="8" xfId="0" applyBorder="1" applyAlignment="1">
      <alignment wrapText="1"/>
    </xf>
    <xf numFmtId="0" fontId="5" fillId="5" borderId="2" xfId="0" applyFont="1" applyFill="1" applyBorder="1" applyAlignment="1">
      <alignment horizontal="center" vertical="top" wrapText="1"/>
    </xf>
    <xf numFmtId="0" fontId="3" fillId="0" borderId="1" xfId="0" applyFont="1" applyBorder="1" applyAlignment="1">
      <alignment horizontal="right" wrapText="1"/>
    </xf>
    <xf numFmtId="168" fontId="5" fillId="5" borderId="1" xfId="2" applyNumberFormat="1" applyFont="1" applyFill="1" applyBorder="1" applyAlignment="1">
      <alignment horizontal="center" vertical="top" wrapText="1"/>
    </xf>
    <xf numFmtId="0" fontId="3" fillId="5" borderId="0" xfId="0" applyFont="1" applyFill="1" applyAlignment="1">
      <alignment wrapText="1"/>
    </xf>
    <xf numFmtId="167" fontId="3" fillId="0" borderId="1" xfId="0" applyNumberFormat="1" applyFont="1" applyBorder="1" applyAlignment="1">
      <alignment horizontal="right" wrapText="1"/>
    </xf>
    <xf numFmtId="167" fontId="3" fillId="0" borderId="2" xfId="0" applyNumberFormat="1" applyFont="1" applyBorder="1" applyAlignment="1">
      <alignment horizontal="right" wrapText="1"/>
    </xf>
    <xf numFmtId="167" fontId="3" fillId="6" borderId="13" xfId="0" applyNumberFormat="1" applyFont="1" applyFill="1" applyBorder="1" applyAlignment="1">
      <alignment horizontal="right" wrapText="1"/>
    </xf>
    <xf numFmtId="167" fontId="3" fillId="6" borderId="14" xfId="0" applyNumberFormat="1" applyFont="1" applyFill="1" applyBorder="1" applyAlignment="1">
      <alignment horizontal="right" wrapText="1"/>
    </xf>
    <xf numFmtId="3" fontId="3" fillId="6" borderId="14" xfId="0" applyNumberFormat="1" applyFont="1" applyFill="1" applyBorder="1" applyAlignment="1">
      <alignment horizontal="right" wrapText="1"/>
    </xf>
    <xf numFmtId="166" fontId="3" fillId="6" borderId="1" xfId="0" applyNumberFormat="1" applyFont="1" applyFill="1" applyBorder="1" applyAlignment="1">
      <alignment horizontal="right" wrapText="1"/>
    </xf>
    <xf numFmtId="166" fontId="3" fillId="6" borderId="14" xfId="0" applyNumberFormat="1" applyFont="1" applyFill="1" applyBorder="1" applyAlignment="1">
      <alignment horizontal="right" wrapText="1"/>
    </xf>
    <xf numFmtId="167" fontId="3" fillId="0" borderId="18" xfId="0" applyNumberFormat="1" applyFont="1" applyBorder="1" applyAlignment="1">
      <alignment horizontal="right" wrapText="1"/>
    </xf>
    <xf numFmtId="167" fontId="3" fillId="6" borderId="1" xfId="0" applyNumberFormat="1" applyFont="1" applyFill="1" applyBorder="1" applyAlignment="1">
      <alignment horizontal="right" wrapText="1"/>
    </xf>
    <xf numFmtId="3" fontId="3" fillId="6" borderId="1" xfId="0" applyNumberFormat="1" applyFont="1" applyFill="1" applyBorder="1" applyAlignment="1">
      <alignment horizontal="right" wrapText="1"/>
    </xf>
    <xf numFmtId="3" fontId="3" fillId="0" borderId="29" xfId="0" applyNumberFormat="1" applyFont="1" applyBorder="1" applyAlignment="1">
      <alignment horizontal="right" wrapText="1"/>
    </xf>
    <xf numFmtId="0" fontId="6" fillId="0" borderId="0" xfId="0" applyFont="1" applyAlignment="1">
      <alignment wrapText="1"/>
    </xf>
    <xf numFmtId="0" fontId="0" fillId="0" borderId="0" xfId="0" applyAlignment="1">
      <alignment vertical="top" wrapText="1"/>
    </xf>
    <xf numFmtId="167" fontId="6" fillId="0" borderId="0" xfId="0" applyNumberFormat="1" applyFont="1" applyAlignment="1">
      <alignment wrapText="1"/>
    </xf>
    <xf numFmtId="4" fontId="6" fillId="0" borderId="0" xfId="0" applyNumberFormat="1" applyFont="1" applyAlignment="1">
      <alignment wrapText="1"/>
    </xf>
    <xf numFmtId="2" fontId="0" fillId="0" borderId="0" xfId="0" applyNumberFormat="1"/>
    <xf numFmtId="3" fontId="0" fillId="0" borderId="0" xfId="0" applyNumberFormat="1"/>
    <xf numFmtId="166" fontId="3" fillId="11" borderId="1" xfId="0" applyNumberFormat="1" applyFont="1" applyFill="1" applyBorder="1" applyAlignment="1">
      <alignment horizontal="right" wrapText="1"/>
    </xf>
    <xf numFmtId="166" fontId="3" fillId="11" borderId="2" xfId="0" applyNumberFormat="1" applyFont="1" applyFill="1" applyBorder="1" applyAlignment="1">
      <alignment horizontal="right" wrapText="1"/>
    </xf>
    <xf numFmtId="166" fontId="3" fillId="11" borderId="14" xfId="0" applyNumberFormat="1" applyFont="1" applyFill="1" applyBorder="1" applyAlignment="1">
      <alignment horizontal="right" wrapText="1"/>
    </xf>
    <xf numFmtId="166" fontId="3" fillId="11" borderId="18" xfId="0" applyNumberFormat="1" applyFont="1" applyFill="1" applyBorder="1" applyAlignment="1">
      <alignment horizontal="right" wrapText="1"/>
    </xf>
    <xf numFmtId="0" fontId="5" fillId="5" borderId="21" xfId="0" applyFont="1" applyFill="1" applyBorder="1" applyAlignment="1">
      <alignment horizontal="center" vertical="top" wrapText="1"/>
    </xf>
    <xf numFmtId="0" fontId="8" fillId="0" borderId="16" xfId="4" applyFont="1" applyBorder="1" applyAlignment="1">
      <alignment horizontal="right" wrapText="1"/>
    </xf>
    <xf numFmtId="9" fontId="8" fillId="0" borderId="16" xfId="4" applyNumberFormat="1" applyFont="1" applyBorder="1" applyAlignment="1">
      <alignment horizontal="right" wrapText="1"/>
    </xf>
    <xf numFmtId="0" fontId="8" fillId="0" borderId="17" xfId="4" applyFont="1" applyBorder="1" applyAlignment="1">
      <alignment horizontal="right" wrapText="1"/>
    </xf>
    <xf numFmtId="3" fontId="3" fillId="13" borderId="1" xfId="0" applyNumberFormat="1" applyFont="1" applyFill="1" applyBorder="1" applyAlignment="1">
      <alignment horizontal="right" wrapText="1"/>
    </xf>
    <xf numFmtId="167" fontId="3" fillId="13" borderId="1" xfId="0" applyNumberFormat="1" applyFont="1" applyFill="1" applyBorder="1" applyAlignment="1">
      <alignment horizontal="right" wrapText="1"/>
    </xf>
    <xf numFmtId="167" fontId="3" fillId="13" borderId="1" xfId="4" applyNumberFormat="1" applyFont="1" applyFill="1" applyBorder="1" applyAlignment="1">
      <alignment horizontal="right" wrapText="1"/>
    </xf>
    <xf numFmtId="3" fontId="3" fillId="13" borderId="1" xfId="4" applyNumberFormat="1" applyFont="1" applyFill="1" applyBorder="1" applyAlignment="1">
      <alignment horizontal="right" wrapText="1"/>
    </xf>
    <xf numFmtId="165" fontId="3" fillId="13" borderId="1" xfId="4" applyNumberFormat="1" applyFont="1" applyFill="1" applyBorder="1" applyAlignment="1">
      <alignment horizontal="right" wrapText="1"/>
    </xf>
    <xf numFmtId="0" fontId="5" fillId="5" borderId="18" xfId="0" applyFont="1" applyFill="1" applyBorder="1" applyAlignment="1">
      <alignment horizontal="center" vertical="top" wrapText="1"/>
    </xf>
    <xf numFmtId="0" fontId="5" fillId="12" borderId="18" xfId="0" applyFont="1" applyFill="1" applyBorder="1" applyAlignment="1">
      <alignment horizontal="center" vertical="top" wrapText="1"/>
    </xf>
    <xf numFmtId="169" fontId="5" fillId="5" borderId="18" xfId="1" applyNumberFormat="1" applyFont="1" applyFill="1" applyBorder="1" applyAlignment="1">
      <alignment horizontal="center" vertical="top" wrapText="1"/>
    </xf>
    <xf numFmtId="168" fontId="5" fillId="5" borderId="18" xfId="2" applyNumberFormat="1" applyFont="1" applyFill="1" applyBorder="1" applyAlignment="1">
      <alignment horizontal="center" vertical="top" wrapText="1"/>
    </xf>
    <xf numFmtId="0" fontId="3" fillId="13" borderId="3" xfId="4" applyFont="1" applyFill="1" applyBorder="1" applyAlignment="1">
      <alignment wrapText="1"/>
    </xf>
    <xf numFmtId="167" fontId="3" fillId="13" borderId="4" xfId="4" applyNumberFormat="1" applyFont="1" applyFill="1" applyBorder="1" applyAlignment="1">
      <alignment horizontal="right" wrapText="1"/>
    </xf>
    <xf numFmtId="3" fontId="3" fillId="13" borderId="4" xfId="0" applyNumberFormat="1" applyFont="1" applyFill="1" applyBorder="1" applyAlignment="1">
      <alignment horizontal="right" wrapText="1"/>
    </xf>
    <xf numFmtId="165" fontId="3" fillId="13" borderId="4" xfId="4" applyNumberFormat="1" applyFont="1" applyFill="1" applyBorder="1" applyAlignment="1">
      <alignment horizontal="right" wrapText="1"/>
    </xf>
    <xf numFmtId="167" fontId="3" fillId="13" borderId="4" xfId="0" applyNumberFormat="1" applyFont="1" applyFill="1" applyBorder="1" applyAlignment="1">
      <alignment horizontal="right" wrapText="1"/>
    </xf>
    <xf numFmtId="0" fontId="3" fillId="13" borderId="6" xfId="4" applyFont="1" applyFill="1" applyBorder="1" applyAlignment="1">
      <alignment wrapText="1"/>
    </xf>
    <xf numFmtId="0" fontId="0" fillId="13" borderId="6" xfId="0" applyFill="1" applyBorder="1"/>
    <xf numFmtId="3" fontId="3" fillId="3" borderId="1" xfId="4" applyNumberFormat="1" applyFont="1" applyFill="1" applyBorder="1" applyAlignment="1">
      <alignment horizontal="right" wrapText="1"/>
    </xf>
    <xf numFmtId="3" fontId="3" fillId="3" borderId="4" xfId="4" applyNumberFormat="1" applyFont="1" applyFill="1" applyBorder="1" applyAlignment="1">
      <alignment horizontal="right" wrapText="1"/>
    </xf>
    <xf numFmtId="0" fontId="0" fillId="0" borderId="0" xfId="0" applyBorder="1"/>
    <xf numFmtId="3" fontId="0" fillId="0" borderId="0" xfId="0" applyNumberFormat="1" applyAlignment="1">
      <alignment wrapText="1"/>
    </xf>
    <xf numFmtId="0" fontId="0" fillId="0" borderId="1" xfId="0" applyBorder="1"/>
    <xf numFmtId="0" fontId="0" fillId="0" borderId="21" xfId="0" applyBorder="1"/>
    <xf numFmtId="0" fontId="0" fillId="9" borderId="22" xfId="0" applyFill="1" applyBorder="1"/>
    <xf numFmtId="0" fontId="11" fillId="14" borderId="31" xfId="0" applyFont="1" applyFill="1" applyBorder="1" applyAlignment="1">
      <alignment vertical="center" wrapText="1"/>
    </xf>
    <xf numFmtId="0" fontId="12" fillId="14" borderId="38" xfId="0" applyFont="1" applyFill="1" applyBorder="1" applyAlignment="1">
      <alignment vertical="center" wrapText="1"/>
    </xf>
    <xf numFmtId="0" fontId="11" fillId="0" borderId="40" xfId="0" applyFont="1" applyBorder="1" applyAlignment="1">
      <alignment vertical="center" wrapText="1"/>
    </xf>
    <xf numFmtId="44" fontId="0" fillId="0" borderId="0" xfId="2" applyFont="1" applyAlignment="1">
      <alignment vertical="top" wrapText="1"/>
    </xf>
    <xf numFmtId="0" fontId="10" fillId="0" borderId="0" xfId="0" applyFont="1" applyAlignment="1">
      <alignment wrapText="1"/>
    </xf>
    <xf numFmtId="1" fontId="0" fillId="0" borderId="0" xfId="0" applyNumberFormat="1"/>
    <xf numFmtId="0" fontId="0" fillId="0" borderId="2" xfId="0" applyBorder="1"/>
    <xf numFmtId="1" fontId="10" fillId="0" borderId="0" xfId="0" applyNumberFormat="1" applyFont="1" applyAlignment="1">
      <alignment wrapText="1"/>
    </xf>
    <xf numFmtId="166" fontId="0" fillId="0" borderId="0" xfId="0" applyNumberFormat="1"/>
    <xf numFmtId="4" fontId="0" fillId="0" borderId="0" xfId="0" applyNumberFormat="1"/>
    <xf numFmtId="0" fontId="9" fillId="0" borderId="3" xfId="0" applyFont="1" applyBorder="1" applyAlignment="1">
      <alignment vertical="center" wrapText="1"/>
    </xf>
    <xf numFmtId="0" fontId="0" fillId="0" borderId="4" xfId="0" applyBorder="1" applyAlignment="1">
      <alignment vertical="top" wrapText="1"/>
    </xf>
    <xf numFmtId="0" fontId="0" fillId="0" borderId="5" xfId="0" applyBorder="1" applyAlignment="1">
      <alignment wrapText="1"/>
    </xf>
    <xf numFmtId="0" fontId="15" fillId="0" borderId="6" xfId="0" applyFont="1" applyBorder="1" applyAlignment="1">
      <alignment horizontal="left" wrapText="1" indent="1"/>
    </xf>
    <xf numFmtId="0" fontId="0" fillId="0" borderId="32" xfId="0" applyBorder="1" applyAlignment="1">
      <alignment wrapText="1"/>
    </xf>
    <xf numFmtId="0" fontId="0" fillId="0" borderId="30" xfId="0" applyBorder="1" applyAlignment="1">
      <alignment wrapText="1"/>
    </xf>
    <xf numFmtId="0" fontId="0" fillId="0" borderId="43" xfId="0" applyBorder="1" applyAlignment="1">
      <alignment wrapText="1"/>
    </xf>
    <xf numFmtId="0" fontId="9" fillId="0" borderId="3" xfId="0" applyFont="1" applyBorder="1" applyAlignment="1">
      <alignment wrapText="1"/>
    </xf>
    <xf numFmtId="0" fontId="0" fillId="0" borderId="4" xfId="0" applyBorder="1" applyAlignment="1">
      <alignment wrapText="1"/>
    </xf>
    <xf numFmtId="0" fontId="15" fillId="0" borderId="8" xfId="0" applyFont="1" applyBorder="1" applyAlignment="1">
      <alignment horizontal="left" wrapText="1" indent="1"/>
    </xf>
    <xf numFmtId="166" fontId="3" fillId="0" borderId="41" xfId="0" applyNumberFormat="1" applyFont="1" applyBorder="1" applyAlignment="1">
      <alignment horizontal="right" wrapText="1"/>
    </xf>
    <xf numFmtId="166" fontId="3" fillId="0" borderId="44" xfId="0" applyNumberFormat="1" applyFont="1" applyBorder="1" applyAlignment="1">
      <alignment horizontal="right" wrapText="1"/>
    </xf>
    <xf numFmtId="0" fontId="3" fillId="0" borderId="27" xfId="0" applyFont="1" applyBorder="1" applyAlignment="1">
      <alignment horizontal="right" wrapText="1"/>
    </xf>
    <xf numFmtId="0" fontId="3" fillId="0" borderId="22" xfId="0" applyFont="1" applyBorder="1" applyAlignment="1">
      <alignment horizontal="right" wrapText="1"/>
    </xf>
    <xf numFmtId="0" fontId="3" fillId="0" borderId="45" xfId="0" applyFont="1" applyBorder="1" applyAlignment="1">
      <alignment horizontal="right" wrapText="1"/>
    </xf>
    <xf numFmtId="166" fontId="3" fillId="0" borderId="46" xfId="0" applyNumberFormat="1" applyFont="1" applyBorder="1" applyAlignment="1">
      <alignment horizontal="right" wrapText="1"/>
    </xf>
    <xf numFmtId="0" fontId="9" fillId="0" borderId="31" xfId="0" applyFont="1" applyBorder="1"/>
    <xf numFmtId="0" fontId="0" fillId="0" borderId="38" xfId="0" applyBorder="1"/>
    <xf numFmtId="167" fontId="3" fillId="16" borderId="1" xfId="0" applyNumberFormat="1" applyFont="1" applyFill="1" applyBorder="1" applyAlignment="1">
      <alignment horizontal="right" wrapText="1"/>
    </xf>
    <xf numFmtId="3" fontId="3" fillId="16" borderId="1" xfId="0" applyNumberFormat="1" applyFont="1" applyFill="1" applyBorder="1" applyAlignment="1">
      <alignment horizontal="right" wrapText="1"/>
    </xf>
    <xf numFmtId="166" fontId="3" fillId="16" borderId="1" xfId="0" applyNumberFormat="1" applyFont="1" applyFill="1" applyBorder="1" applyAlignment="1">
      <alignment horizontal="right" wrapText="1"/>
    </xf>
    <xf numFmtId="167" fontId="3" fillId="16" borderId="18" xfId="0" applyNumberFormat="1" applyFont="1" applyFill="1" applyBorder="1" applyAlignment="1">
      <alignment horizontal="right" wrapText="1"/>
    </xf>
    <xf numFmtId="0" fontId="3" fillId="16" borderId="1" xfId="0" applyFont="1" applyFill="1" applyBorder="1" applyAlignment="1">
      <alignment horizontal="right" wrapText="1"/>
    </xf>
    <xf numFmtId="166" fontId="3" fillId="16" borderId="18" xfId="0" applyNumberFormat="1" applyFont="1" applyFill="1" applyBorder="1" applyAlignment="1">
      <alignment horizontal="right" wrapText="1"/>
    </xf>
    <xf numFmtId="0" fontId="0" fillId="0" borderId="47" xfId="0" applyBorder="1"/>
    <xf numFmtId="0" fontId="0" fillId="2" borderId="47" xfId="0" applyFill="1" applyBorder="1"/>
    <xf numFmtId="1" fontId="0" fillId="0" borderId="47" xfId="0" applyNumberFormat="1" applyBorder="1"/>
    <xf numFmtId="1" fontId="0" fillId="0" borderId="47" xfId="0" applyNumberFormat="1" applyBorder="1" applyAlignment="1"/>
    <xf numFmtId="3" fontId="0" fillId="0" borderId="47" xfId="0" applyNumberFormat="1" applyBorder="1"/>
    <xf numFmtId="0" fontId="0" fillId="13" borderId="14" xfId="0" applyFill="1" applyBorder="1"/>
    <xf numFmtId="166" fontId="0" fillId="0" borderId="27" xfId="0" applyNumberFormat="1" applyBorder="1"/>
    <xf numFmtId="0" fontId="5" fillId="5" borderId="2" xfId="0" applyFont="1" applyFill="1" applyBorder="1" applyAlignment="1">
      <alignment horizontal="centerContinuous" wrapText="1"/>
    </xf>
    <xf numFmtId="167" fontId="5" fillId="5" borderId="2" xfId="0" applyNumberFormat="1" applyFont="1" applyFill="1" applyBorder="1" applyAlignment="1">
      <alignment horizontal="centerContinuous" wrapText="1"/>
    </xf>
    <xf numFmtId="0" fontId="3" fillId="0" borderId="18" xfId="0" applyFont="1" applyBorder="1" applyAlignment="1">
      <alignment wrapText="1"/>
    </xf>
    <xf numFmtId="3" fontId="3" fillId="0" borderId="17" xfId="4" applyNumberFormat="1" applyFont="1" applyBorder="1" applyAlignment="1">
      <alignment horizontal="right" wrapText="1"/>
    </xf>
    <xf numFmtId="166" fontId="0" fillId="0" borderId="45" xfId="0" applyNumberFormat="1" applyBorder="1"/>
    <xf numFmtId="0" fontId="5" fillId="5" borderId="20" xfId="0" applyFont="1" applyFill="1" applyBorder="1" applyAlignment="1">
      <alignment horizontal="center" vertical="top" wrapText="1"/>
    </xf>
    <xf numFmtId="0" fontId="5" fillId="5" borderId="26" xfId="0" applyFont="1" applyFill="1" applyBorder="1" applyAlignment="1">
      <alignment horizontal="center" vertical="top" wrapText="1"/>
    </xf>
    <xf numFmtId="0" fontId="5" fillId="8" borderId="26" xfId="0" applyFont="1" applyFill="1" applyBorder="1" applyAlignment="1">
      <alignment horizontal="center" vertical="top" wrapText="1"/>
    </xf>
    <xf numFmtId="0" fontId="5" fillId="5" borderId="25" xfId="0" applyFont="1" applyFill="1" applyBorder="1" applyAlignment="1">
      <alignment horizontal="center" vertical="top" wrapText="1"/>
    </xf>
    <xf numFmtId="4" fontId="5" fillId="8" borderId="26" xfId="0" applyNumberFormat="1" applyFont="1" applyFill="1" applyBorder="1" applyAlignment="1">
      <alignment horizontal="center" vertical="top" wrapText="1"/>
    </xf>
    <xf numFmtId="0" fontId="5" fillId="12" borderId="26" xfId="0" applyFont="1" applyFill="1" applyBorder="1" applyAlignment="1">
      <alignment horizontal="center" vertical="top" wrapText="1"/>
    </xf>
    <xf numFmtId="4" fontId="5" fillId="5" borderId="26" xfId="0" applyNumberFormat="1" applyFont="1" applyFill="1" applyBorder="1" applyAlignment="1">
      <alignment horizontal="center" vertical="top" wrapText="1"/>
    </xf>
    <xf numFmtId="167" fontId="5" fillId="5" borderId="26" xfId="0" applyNumberFormat="1" applyFont="1" applyFill="1" applyBorder="1" applyAlignment="1">
      <alignment horizontal="center" vertical="top" wrapText="1"/>
    </xf>
    <xf numFmtId="0" fontId="5" fillId="5" borderId="36" xfId="0" applyFont="1" applyFill="1" applyBorder="1" applyAlignment="1">
      <alignment horizontal="center" vertical="top" wrapText="1"/>
    </xf>
    <xf numFmtId="0" fontId="5" fillId="5" borderId="19" xfId="0" applyFont="1" applyFill="1" applyBorder="1" applyAlignment="1">
      <alignment horizontal="center" vertical="top" wrapText="1"/>
    </xf>
    <xf numFmtId="0" fontId="5" fillId="5" borderId="31" xfId="0" applyFont="1" applyFill="1" applyBorder="1" applyAlignment="1">
      <alignment horizontal="center" vertical="top" wrapText="1"/>
    </xf>
    <xf numFmtId="0" fontId="3" fillId="0" borderId="2" xfId="0" applyFont="1" applyBorder="1" applyAlignment="1">
      <alignment horizontal="right" wrapText="1"/>
    </xf>
    <xf numFmtId="0" fontId="0" fillId="0" borderId="49" xfId="0" applyBorder="1"/>
    <xf numFmtId="0" fontId="3" fillId="16" borderId="18" xfId="0" applyFont="1" applyFill="1" applyBorder="1" applyAlignment="1">
      <alignment horizontal="right" wrapText="1"/>
    </xf>
    <xf numFmtId="3" fontId="3" fillId="16" borderId="18" xfId="0" applyNumberFormat="1" applyFont="1" applyFill="1" applyBorder="1" applyAlignment="1">
      <alignment horizontal="right" wrapText="1"/>
    </xf>
    <xf numFmtId="0" fontId="3" fillId="16" borderId="19" xfId="0" applyFont="1" applyFill="1" applyBorder="1" applyAlignment="1">
      <alignment wrapText="1"/>
    </xf>
    <xf numFmtId="167" fontId="3" fillId="16" borderId="26" xfId="0" applyNumberFormat="1" applyFont="1" applyFill="1" applyBorder="1" applyAlignment="1">
      <alignment horizontal="right" wrapText="1"/>
    </xf>
    <xf numFmtId="3" fontId="3" fillId="16" borderId="26" xfId="0" applyNumberFormat="1" applyFont="1" applyFill="1" applyBorder="1" applyAlignment="1">
      <alignment horizontal="right" wrapText="1"/>
    </xf>
    <xf numFmtId="166" fontId="3" fillId="16" borderId="26" xfId="0" applyNumberFormat="1" applyFont="1" applyFill="1" applyBorder="1" applyAlignment="1">
      <alignment horizontal="right" wrapText="1"/>
    </xf>
    <xf numFmtId="0" fontId="5" fillId="12" borderId="2" xfId="0" applyFont="1" applyFill="1" applyBorder="1" applyAlignment="1">
      <alignment horizontal="center" vertical="top" wrapText="1"/>
    </xf>
    <xf numFmtId="168" fontId="5" fillId="5" borderId="2" xfId="2" applyNumberFormat="1" applyFont="1" applyFill="1" applyBorder="1" applyAlignment="1">
      <alignment horizontal="center" vertical="top" wrapText="1"/>
    </xf>
    <xf numFmtId="3" fontId="5" fillId="5" borderId="2" xfId="0" applyNumberFormat="1" applyFont="1" applyFill="1" applyBorder="1" applyAlignment="1">
      <alignment horizontal="center" vertical="top" wrapText="1"/>
    </xf>
    <xf numFmtId="0" fontId="9" fillId="0" borderId="19" xfId="0" applyFont="1" applyBorder="1" applyAlignment="1">
      <alignment wrapText="1"/>
    </xf>
    <xf numFmtId="4" fontId="0" fillId="17" borderId="20" xfId="0" applyNumberFormat="1" applyFill="1" applyBorder="1" applyAlignment="1">
      <alignment vertical="top" wrapText="1"/>
    </xf>
    <xf numFmtId="0" fontId="6" fillId="17" borderId="26" xfId="0" applyFont="1" applyFill="1" applyBorder="1" applyAlignment="1">
      <alignment wrapText="1"/>
    </xf>
    <xf numFmtId="0" fontId="0" fillId="17" borderId="26" xfId="0" applyFill="1" applyBorder="1" applyAlignment="1">
      <alignment wrapText="1"/>
    </xf>
    <xf numFmtId="167" fontId="5" fillId="17" borderId="26" xfId="0" applyNumberFormat="1" applyFont="1" applyFill="1" applyBorder="1" applyAlignment="1">
      <alignment wrapText="1"/>
    </xf>
    <xf numFmtId="166" fontId="0" fillId="17" borderId="31" xfId="0" applyNumberFormat="1" applyFill="1" applyBorder="1"/>
    <xf numFmtId="166" fontId="0" fillId="16" borderId="31" xfId="0" applyNumberFormat="1" applyFill="1" applyBorder="1"/>
    <xf numFmtId="166" fontId="0" fillId="16" borderId="45" xfId="0" applyNumberFormat="1" applyFill="1" applyBorder="1"/>
    <xf numFmtId="43" fontId="5" fillId="5" borderId="18" xfId="0" applyNumberFormat="1" applyFont="1" applyFill="1" applyBorder="1" applyAlignment="1">
      <alignment horizontal="center" vertical="top" wrapText="1"/>
    </xf>
    <xf numFmtId="166" fontId="0" fillId="17" borderId="26" xfId="0" applyNumberFormat="1" applyFill="1" applyBorder="1"/>
    <xf numFmtId="3" fontId="3" fillId="16" borderId="33" xfId="0" applyNumberFormat="1" applyFont="1" applyFill="1" applyBorder="1" applyAlignment="1">
      <alignment horizontal="right" wrapText="1"/>
    </xf>
    <xf numFmtId="1" fontId="0" fillId="16" borderId="1" xfId="0" applyNumberFormat="1" applyFill="1" applyBorder="1"/>
    <xf numFmtId="1" fontId="0" fillId="0" borderId="49" xfId="0" applyNumberFormat="1" applyBorder="1"/>
    <xf numFmtId="1" fontId="0" fillId="16" borderId="19" xfId="0" applyNumberFormat="1" applyFill="1" applyBorder="1"/>
    <xf numFmtId="1" fontId="0" fillId="16" borderId="48" xfId="0" applyNumberFormat="1" applyFill="1" applyBorder="1"/>
    <xf numFmtId="1" fontId="0" fillId="16" borderId="47" xfId="0" applyNumberFormat="1" applyFill="1" applyBorder="1"/>
    <xf numFmtId="0" fontId="18" fillId="0" borderId="48" xfId="0" applyFont="1" applyBorder="1"/>
    <xf numFmtId="0" fontId="10" fillId="0" borderId="0" xfId="0" applyFont="1" applyAlignment="1">
      <alignment horizontal="center" wrapText="1"/>
    </xf>
    <xf numFmtId="8" fontId="0" fillId="0" borderId="46" xfId="0" applyNumberFormat="1" applyBorder="1"/>
    <xf numFmtId="8" fontId="0" fillId="0" borderId="41" xfId="0" applyNumberFormat="1" applyBorder="1"/>
    <xf numFmtId="8" fontId="0" fillId="0" borderId="44" xfId="0" applyNumberFormat="1" applyBorder="1"/>
    <xf numFmtId="0" fontId="12" fillId="14" borderId="31" xfId="0" applyFont="1" applyFill="1" applyBorder="1" applyAlignment="1">
      <alignment vertical="center" wrapText="1"/>
    </xf>
    <xf numFmtId="8" fontId="0" fillId="0" borderId="45" xfId="0" applyNumberFormat="1" applyBorder="1"/>
    <xf numFmtId="8" fontId="0" fillId="0" borderId="27" xfId="0" applyNumberFormat="1" applyBorder="1"/>
    <xf numFmtId="8" fontId="21" fillId="0" borderId="27" xfId="0" applyNumberFormat="1" applyFont="1" applyBorder="1"/>
    <xf numFmtId="8" fontId="21" fillId="0" borderId="22" xfId="0" applyNumberFormat="1" applyFont="1" applyBorder="1"/>
    <xf numFmtId="0" fontId="22" fillId="0" borderId="0" xfId="0" applyFont="1"/>
    <xf numFmtId="0" fontId="6" fillId="10" borderId="1" xfId="4" applyFont="1" applyFill="1" applyBorder="1" applyAlignment="1">
      <alignment horizontal="left" wrapText="1"/>
    </xf>
    <xf numFmtId="8" fontId="6" fillId="10" borderId="1" xfId="4" applyNumberFormat="1" applyFont="1" applyFill="1" applyBorder="1" applyAlignment="1">
      <alignment wrapText="1"/>
    </xf>
    <xf numFmtId="8" fontId="22" fillId="10" borderId="1" xfId="4" applyNumberFormat="1" applyFont="1" applyFill="1" applyBorder="1" applyAlignment="1">
      <alignment wrapText="1"/>
    </xf>
    <xf numFmtId="9" fontId="6" fillId="10" borderId="1" xfId="3" applyFont="1" applyFill="1" applyBorder="1" applyAlignment="1">
      <alignment wrapText="1"/>
    </xf>
    <xf numFmtId="165" fontId="6" fillId="10" borderId="1" xfId="4" applyNumberFormat="1" applyFont="1" applyFill="1" applyBorder="1" applyAlignment="1">
      <alignment horizontal="right" wrapText="1"/>
    </xf>
    <xf numFmtId="0" fontId="0" fillId="10" borderId="0" xfId="0" applyFill="1"/>
    <xf numFmtId="0" fontId="3" fillId="13" borderId="2" xfId="0" applyFont="1" applyFill="1" applyBorder="1" applyAlignment="1">
      <alignment wrapText="1"/>
    </xf>
    <xf numFmtId="167" fontId="3" fillId="13" borderId="2" xfId="0" applyNumberFormat="1" applyFont="1" applyFill="1" applyBorder="1" applyAlignment="1">
      <alignment horizontal="right" wrapText="1"/>
    </xf>
    <xf numFmtId="3" fontId="3" fillId="13" borderId="2" xfId="0" applyNumberFormat="1" applyFont="1" applyFill="1" applyBorder="1" applyAlignment="1">
      <alignment horizontal="right" wrapText="1"/>
    </xf>
    <xf numFmtId="166" fontId="3" fillId="13" borderId="1" xfId="0" applyNumberFormat="1" applyFont="1" applyFill="1" applyBorder="1" applyAlignment="1">
      <alignment horizontal="right" wrapText="1"/>
    </xf>
    <xf numFmtId="166" fontId="3" fillId="13" borderId="2" xfId="0" applyNumberFormat="1" applyFont="1" applyFill="1" applyBorder="1" applyAlignment="1">
      <alignment horizontal="right" wrapText="1"/>
    </xf>
    <xf numFmtId="0" fontId="0" fillId="13" borderId="47" xfId="0" applyFill="1" applyBorder="1"/>
    <xf numFmtId="166" fontId="0" fillId="13" borderId="45" xfId="0" applyNumberFormat="1" applyFill="1" applyBorder="1"/>
    <xf numFmtId="3" fontId="3" fillId="18" borderId="16" xfId="4" applyNumberFormat="1" applyFont="1" applyFill="1" applyBorder="1" applyAlignment="1">
      <alignment horizontal="right" wrapText="1"/>
    </xf>
    <xf numFmtId="3" fontId="3" fillId="18" borderId="14" xfId="4" applyNumberFormat="1" applyFont="1" applyFill="1" applyBorder="1" applyAlignment="1">
      <alignment horizontal="right" wrapText="1"/>
    </xf>
    <xf numFmtId="166" fontId="3" fillId="19" borderId="14" xfId="0" applyNumberFormat="1" applyFont="1" applyFill="1" applyBorder="1" applyAlignment="1">
      <alignment horizontal="right" wrapText="1"/>
    </xf>
    <xf numFmtId="3" fontId="3" fillId="18" borderId="23" xfId="4" applyNumberFormat="1" applyFont="1" applyFill="1" applyBorder="1" applyAlignment="1">
      <alignment horizontal="right" wrapText="1"/>
    </xf>
    <xf numFmtId="3" fontId="3" fillId="20" borderId="25" xfId="4" applyNumberFormat="1" applyFont="1" applyFill="1" applyBorder="1" applyAlignment="1">
      <alignment horizontal="right" wrapText="1"/>
    </xf>
    <xf numFmtId="3" fontId="3" fillId="20" borderId="16" xfId="4" applyNumberFormat="1" applyFont="1" applyFill="1" applyBorder="1" applyAlignment="1">
      <alignment horizontal="right" wrapText="1"/>
    </xf>
    <xf numFmtId="3" fontId="3" fillId="20" borderId="14" xfId="4" applyNumberFormat="1" applyFont="1" applyFill="1" applyBorder="1" applyAlignment="1">
      <alignment horizontal="right" wrapText="1"/>
    </xf>
    <xf numFmtId="166" fontId="3" fillId="19" borderId="13" xfId="0" applyNumberFormat="1" applyFont="1" applyFill="1" applyBorder="1" applyAlignment="1">
      <alignment horizontal="right" wrapText="1"/>
    </xf>
    <xf numFmtId="3" fontId="3" fillId="21" borderId="23" xfId="4" applyNumberFormat="1" applyFont="1" applyFill="1" applyBorder="1" applyAlignment="1">
      <alignment horizontal="right" wrapText="1"/>
    </xf>
    <xf numFmtId="3" fontId="3" fillId="21" borderId="5" xfId="4" applyNumberFormat="1" applyFont="1" applyFill="1" applyBorder="1" applyAlignment="1">
      <alignment horizontal="right" wrapText="1"/>
    </xf>
    <xf numFmtId="0" fontId="5" fillId="22" borderId="15" xfId="0" applyFont="1" applyFill="1" applyBorder="1" applyAlignment="1">
      <alignment horizontal="center" vertical="top" wrapText="1"/>
    </xf>
    <xf numFmtId="168" fontId="19" fillId="22" borderId="37" xfId="2" applyNumberFormat="1" applyFont="1" applyFill="1" applyBorder="1" applyAlignment="1">
      <alignment horizontal="center" vertical="top" wrapText="1"/>
    </xf>
    <xf numFmtId="44" fontId="5" fillId="23" borderId="26" xfId="2" applyFont="1" applyFill="1" applyBorder="1" applyAlignment="1">
      <alignment wrapText="1"/>
    </xf>
    <xf numFmtId="44" fontId="20" fillId="18" borderId="0" xfId="0" applyNumberFormat="1" applyFont="1" applyFill="1" applyAlignment="1">
      <alignment wrapText="1"/>
    </xf>
    <xf numFmtId="0" fontId="5" fillId="5" borderId="0" xfId="0" applyFont="1" applyFill="1" applyBorder="1" applyAlignment="1">
      <alignment horizontal="center" vertical="top" wrapText="1"/>
    </xf>
    <xf numFmtId="166" fontId="0" fillId="0" borderId="0" xfId="0" applyNumberFormat="1" applyBorder="1"/>
    <xf numFmtId="166" fontId="0" fillId="16" borderId="0" xfId="0" applyNumberFormat="1" applyFill="1" applyBorder="1"/>
    <xf numFmtId="166" fontId="0" fillId="13" borderId="0" xfId="0" applyNumberFormat="1" applyFill="1" applyBorder="1"/>
    <xf numFmtId="166" fontId="18" fillId="0" borderId="0" xfId="0" applyNumberFormat="1" applyFont="1" applyBorder="1"/>
    <xf numFmtId="166" fontId="0" fillId="17" borderId="0" xfId="0" applyNumberFormat="1" applyFill="1" applyBorder="1"/>
    <xf numFmtId="169" fontId="5" fillId="24" borderId="2" xfId="1" applyNumberFormat="1" applyFont="1" applyFill="1" applyBorder="1" applyAlignment="1">
      <alignment horizontal="center" vertical="top" wrapText="1"/>
    </xf>
    <xf numFmtId="166" fontId="9" fillId="25" borderId="28" xfId="0" applyNumberFormat="1" applyFont="1" applyFill="1" applyBorder="1"/>
    <xf numFmtId="0" fontId="14" fillId="0" borderId="0" xfId="0" applyFont="1" applyAlignment="1">
      <alignment wrapText="1"/>
    </xf>
    <xf numFmtId="0" fontId="23" fillId="0" borderId="0" xfId="0" applyFont="1" applyAlignment="1">
      <alignment wrapText="1"/>
    </xf>
    <xf numFmtId="0" fontId="14" fillId="0" borderId="22" xfId="0" applyFont="1" applyBorder="1" applyAlignment="1">
      <alignment wrapText="1"/>
    </xf>
    <xf numFmtId="0" fontId="14" fillId="0" borderId="27" xfId="0" applyFont="1" applyBorder="1" applyAlignment="1">
      <alignment wrapText="1"/>
    </xf>
    <xf numFmtId="0" fontId="14" fillId="0" borderId="10" xfId="0" applyFont="1" applyBorder="1" applyAlignment="1">
      <alignment wrapText="1"/>
    </xf>
    <xf numFmtId="0" fontId="14" fillId="0" borderId="8" xfId="0" applyFont="1" applyBorder="1" applyAlignment="1">
      <alignment wrapText="1"/>
    </xf>
    <xf numFmtId="0" fontId="14" fillId="0" borderId="21" xfId="0" applyFont="1" applyBorder="1" applyAlignment="1">
      <alignment wrapText="1"/>
    </xf>
    <xf numFmtId="0" fontId="14" fillId="0" borderId="5" xfId="0" applyFont="1" applyBorder="1" applyAlignment="1">
      <alignment wrapText="1"/>
    </xf>
    <xf numFmtId="0" fontId="14" fillId="0" borderId="3" xfId="0" applyFont="1" applyBorder="1" applyAlignment="1">
      <alignment wrapText="1"/>
    </xf>
    <xf numFmtId="0" fontId="14" fillId="0" borderId="0" xfId="0" applyFont="1" applyAlignment="1">
      <alignment horizontal="center" wrapText="1"/>
    </xf>
    <xf numFmtId="0" fontId="10" fillId="0" borderId="10" xfId="0" applyFont="1" applyBorder="1" applyAlignment="1">
      <alignment wrapText="1"/>
    </xf>
    <xf numFmtId="0" fontId="10" fillId="0" borderId="9" xfId="0" applyFont="1" applyBorder="1" applyAlignment="1">
      <alignment wrapText="1"/>
    </xf>
    <xf numFmtId="0" fontId="10" fillId="0" borderId="8" xfId="0" applyFont="1" applyBorder="1" applyAlignment="1">
      <alignment wrapText="1"/>
    </xf>
    <xf numFmtId="1" fontId="24" fillId="0" borderId="0" xfId="0" applyNumberFormat="1" applyFont="1" applyAlignment="1">
      <alignment wrapText="1"/>
    </xf>
    <xf numFmtId="0" fontId="14" fillId="0" borderId="7" xfId="0" applyFont="1" applyBorder="1" applyAlignment="1">
      <alignment wrapText="1"/>
    </xf>
    <xf numFmtId="0" fontId="14" fillId="0" borderId="1" xfId="0" applyFont="1" applyBorder="1" applyAlignment="1">
      <alignment wrapText="1"/>
    </xf>
    <xf numFmtId="0" fontId="24" fillId="0" borderId="1" xfId="0" applyFont="1" applyBorder="1" applyAlignment="1">
      <alignment wrapText="1"/>
    </xf>
    <xf numFmtId="0" fontId="14" fillId="0" borderId="6" xfId="0" applyFont="1" applyBorder="1" applyAlignment="1">
      <alignment wrapText="1"/>
    </xf>
    <xf numFmtId="0" fontId="24" fillId="0" borderId="0" xfId="0" applyFont="1" applyAlignment="1">
      <alignment wrapText="1"/>
    </xf>
    <xf numFmtId="1" fontId="24" fillId="0" borderId="1" xfId="0" applyNumberFormat="1" applyFont="1" applyBorder="1" applyAlignment="1">
      <alignment wrapText="1"/>
    </xf>
    <xf numFmtId="0" fontId="10" fillId="0" borderId="7" xfId="0" applyFont="1" applyBorder="1" applyAlignment="1">
      <alignment wrapText="1"/>
    </xf>
    <xf numFmtId="0" fontId="10" fillId="0" borderId="1" xfId="0" applyFont="1" applyBorder="1" applyAlignment="1">
      <alignment wrapText="1"/>
    </xf>
    <xf numFmtId="0" fontId="10" fillId="0" borderId="6" xfId="0" applyFont="1" applyBorder="1" applyAlignment="1">
      <alignment wrapText="1"/>
    </xf>
    <xf numFmtId="1" fontId="10" fillId="0" borderId="10" xfId="0" applyNumberFormat="1" applyFont="1" applyBorder="1" applyAlignment="1">
      <alignment wrapText="1"/>
    </xf>
    <xf numFmtId="1" fontId="10" fillId="0" borderId="9" xfId="0" applyNumberFormat="1" applyFont="1" applyBorder="1" applyAlignment="1">
      <alignment wrapText="1"/>
    </xf>
    <xf numFmtId="1" fontId="10" fillId="0" borderId="8" xfId="0" applyNumberFormat="1" applyFont="1" applyBorder="1" applyAlignment="1">
      <alignment wrapText="1"/>
    </xf>
    <xf numFmtId="0" fontId="10" fillId="0" borderId="22" xfId="0" applyFont="1" applyBorder="1" applyAlignment="1">
      <alignment wrapText="1"/>
    </xf>
    <xf numFmtId="1" fontId="10" fillId="0" borderId="22" xfId="0" applyNumberFormat="1" applyFont="1" applyBorder="1" applyAlignment="1">
      <alignment wrapText="1"/>
    </xf>
    <xf numFmtId="1" fontId="10" fillId="0" borderId="7" xfId="0" applyNumberFormat="1" applyFont="1" applyBorder="1" applyAlignment="1">
      <alignment wrapText="1"/>
    </xf>
    <xf numFmtId="1" fontId="10" fillId="0" borderId="1" xfId="0" applyNumberFormat="1" applyFont="1" applyBorder="1" applyAlignment="1">
      <alignment wrapText="1"/>
    </xf>
    <xf numFmtId="1" fontId="10" fillId="0" borderId="6" xfId="0" applyNumberFormat="1" applyFont="1" applyBorder="1" applyAlignment="1">
      <alignment wrapText="1"/>
    </xf>
    <xf numFmtId="0" fontId="10" fillId="0" borderId="27" xfId="0" applyFont="1" applyBorder="1" applyAlignment="1">
      <alignment wrapText="1"/>
    </xf>
    <xf numFmtId="1" fontId="10" fillId="0" borderId="27" xfId="0" applyNumberFormat="1" applyFont="1" applyBorder="1" applyAlignment="1">
      <alignment wrapText="1"/>
    </xf>
    <xf numFmtId="0" fontId="10" fillId="0" borderId="5" xfId="0" applyFont="1" applyBorder="1" applyAlignment="1">
      <alignment wrapText="1"/>
    </xf>
    <xf numFmtId="0" fontId="10" fillId="0" borderId="4" xfId="0" applyFont="1" applyBorder="1" applyAlignment="1">
      <alignment wrapText="1"/>
    </xf>
    <xf numFmtId="0" fontId="10" fillId="0" borderId="3" xfId="0" applyFont="1" applyBorder="1" applyAlignment="1">
      <alignment wrapText="1"/>
    </xf>
    <xf numFmtId="0" fontId="10" fillId="0" borderId="51" xfId="0" applyFont="1" applyBorder="1" applyAlignment="1">
      <alignment wrapText="1"/>
    </xf>
    <xf numFmtId="0" fontId="10" fillId="0" borderId="2" xfId="0" applyFont="1" applyBorder="1" applyAlignment="1">
      <alignment wrapText="1"/>
    </xf>
    <xf numFmtId="0" fontId="10" fillId="0" borderId="24" xfId="0" applyFont="1" applyBorder="1" applyAlignment="1">
      <alignment wrapText="1"/>
    </xf>
    <xf numFmtId="0" fontId="10" fillId="0" borderId="21" xfId="0" applyFont="1" applyBorder="1" applyAlignment="1">
      <alignment wrapText="1"/>
    </xf>
    <xf numFmtId="0" fontId="10" fillId="0" borderId="35" xfId="0" applyFont="1" applyBorder="1" applyAlignment="1">
      <alignment horizontal="center" wrapText="1"/>
    </xf>
    <xf numFmtId="0" fontId="14" fillId="0" borderId="4" xfId="0" applyFont="1" applyBorder="1" applyAlignment="1">
      <alignment wrapText="1"/>
    </xf>
    <xf numFmtId="1" fontId="10" fillId="0" borderId="0" xfId="0" applyNumberFormat="1" applyFont="1" applyAlignment="1">
      <alignment horizontal="center" wrapText="1"/>
    </xf>
    <xf numFmtId="0" fontId="14" fillId="0" borderId="52" xfId="0" applyFont="1" applyBorder="1" applyAlignment="1">
      <alignment wrapText="1"/>
    </xf>
    <xf numFmtId="1" fontId="10" fillId="0" borderId="41" xfId="0" applyNumberFormat="1" applyFont="1" applyBorder="1" applyAlignment="1">
      <alignment wrapText="1"/>
    </xf>
    <xf numFmtId="0" fontId="10" fillId="0" borderId="22" xfId="0" applyFont="1" applyBorder="1" applyAlignment="1">
      <alignment horizontal="left" wrapText="1"/>
    </xf>
    <xf numFmtId="0" fontId="10" fillId="0" borderId="35" xfId="0" applyFont="1" applyBorder="1" applyAlignment="1">
      <alignment wrapText="1"/>
    </xf>
    <xf numFmtId="0" fontId="10" fillId="15" borderId="9" xfId="0" applyFont="1" applyFill="1" applyBorder="1"/>
    <xf numFmtId="0" fontId="10" fillId="0" borderId="8" xfId="0" applyFont="1" applyBorder="1"/>
    <xf numFmtId="0" fontId="10" fillId="0" borderId="53" xfId="0" applyFont="1" applyBorder="1"/>
    <xf numFmtId="0" fontId="14" fillId="0" borderId="29" xfId="0" applyFont="1" applyBorder="1" applyAlignment="1">
      <alignment horizontal="center" wrapText="1"/>
    </xf>
    <xf numFmtId="0" fontId="10" fillId="0" borderId="27" xfId="0" applyFont="1" applyBorder="1" applyAlignment="1">
      <alignment horizontal="left" wrapText="1"/>
    </xf>
    <xf numFmtId="0" fontId="10" fillId="0" borderId="13" xfId="0" applyFont="1" applyBorder="1" applyAlignment="1">
      <alignment wrapText="1"/>
    </xf>
    <xf numFmtId="0" fontId="10" fillId="15" borderId="1" xfId="0" applyFont="1" applyFill="1" applyBorder="1"/>
    <xf numFmtId="0" fontId="10" fillId="0" borderId="6" xfId="0" applyFont="1" applyBorder="1"/>
    <xf numFmtId="0" fontId="14" fillId="0" borderId="12" xfId="0" applyFont="1" applyBorder="1" applyAlignment="1">
      <alignment wrapText="1"/>
    </xf>
    <xf numFmtId="1" fontId="10" fillId="0" borderId="27" xfId="0" applyNumberFormat="1" applyFont="1" applyBorder="1" applyAlignment="1">
      <alignment horizontal="left" wrapText="1"/>
    </xf>
    <xf numFmtId="0" fontId="10" fillId="0" borderId="13" xfId="0" applyFont="1" applyBorder="1"/>
    <xf numFmtId="0" fontId="10" fillId="0" borderId="12" xfId="0" applyFont="1" applyBorder="1" applyAlignment="1">
      <alignment wrapText="1"/>
    </xf>
    <xf numFmtId="0" fontId="10" fillId="18" borderId="27" xfId="0" applyFont="1" applyFill="1" applyBorder="1" applyAlignment="1">
      <alignment horizontal="left" wrapText="1"/>
    </xf>
    <xf numFmtId="0" fontId="10" fillId="18" borderId="13" xfId="0" applyFont="1" applyFill="1" applyBorder="1" applyAlignment="1">
      <alignment wrapText="1"/>
    </xf>
    <xf numFmtId="0" fontId="10" fillId="26" borderId="1" xfId="0" applyFont="1" applyFill="1" applyBorder="1"/>
    <xf numFmtId="0" fontId="10" fillId="18" borderId="6" xfId="0" applyFont="1" applyFill="1" applyBorder="1"/>
    <xf numFmtId="0" fontId="10" fillId="18" borderId="7" xfId="0" applyFont="1" applyFill="1" applyBorder="1" applyAlignment="1">
      <alignment wrapText="1"/>
    </xf>
    <xf numFmtId="0" fontId="25" fillId="18" borderId="13" xfId="0" applyFont="1" applyFill="1" applyBorder="1" applyAlignment="1">
      <alignment horizontal="left" indent="5"/>
    </xf>
    <xf numFmtId="0" fontId="25" fillId="18" borderId="13" xfId="0" applyFont="1" applyFill="1" applyBorder="1" applyAlignment="1">
      <alignment horizontal="left" indent="3"/>
    </xf>
    <xf numFmtId="0" fontId="10" fillId="0" borderId="1" xfId="0" applyFont="1" applyBorder="1"/>
    <xf numFmtId="0" fontId="10" fillId="0" borderId="15" xfId="0" applyFont="1" applyBorder="1" applyAlignment="1">
      <alignment wrapText="1"/>
    </xf>
    <xf numFmtId="0" fontId="10" fillId="15" borderId="18" xfId="0" applyFont="1" applyFill="1" applyBorder="1"/>
    <xf numFmtId="0" fontId="10" fillId="0" borderId="54" xfId="0" applyFont="1" applyBorder="1"/>
    <xf numFmtId="0" fontId="10" fillId="0" borderId="55" xfId="0" applyFont="1" applyBorder="1" applyAlignment="1">
      <alignment wrapText="1"/>
    </xf>
    <xf numFmtId="0" fontId="10" fillId="0" borderId="15" xfId="0" applyFont="1" applyBorder="1"/>
    <xf numFmtId="0" fontId="10" fillId="0" borderId="56" xfId="0" applyFont="1" applyBorder="1" applyAlignment="1">
      <alignment wrapText="1"/>
    </xf>
    <xf numFmtId="0" fontId="10" fillId="0" borderId="50" xfId="0" applyFont="1" applyBorder="1" applyAlignment="1">
      <alignment wrapText="1"/>
    </xf>
    <xf numFmtId="0" fontId="10" fillId="0" borderId="57" xfId="0" applyFont="1" applyBorder="1"/>
    <xf numFmtId="0" fontId="10" fillId="0" borderId="58" xfId="0" applyFont="1" applyBorder="1"/>
    <xf numFmtId="0" fontId="10" fillId="0" borderId="37" xfId="0" applyFont="1" applyBorder="1"/>
    <xf numFmtId="0" fontId="10" fillId="0" borderId="0" xfId="0" applyFont="1"/>
    <xf numFmtId="0" fontId="14" fillId="0" borderId="0" xfId="0" applyFont="1"/>
    <xf numFmtId="0" fontId="13" fillId="0" borderId="0" xfId="0" applyFont="1" applyAlignment="1">
      <alignment wrapText="1"/>
    </xf>
    <xf numFmtId="1" fontId="14" fillId="0" borderId="0" xfId="0" applyNumberFormat="1" applyFont="1" applyAlignment="1">
      <alignment wrapText="1"/>
    </xf>
    <xf numFmtId="0" fontId="14" fillId="4" borderId="0" xfId="0" applyFont="1" applyFill="1" applyAlignment="1">
      <alignment horizontal="center" wrapText="1"/>
    </xf>
    <xf numFmtId="0" fontId="14" fillId="4" borderId="10" xfId="0" applyFont="1" applyFill="1" applyBorder="1" applyAlignment="1">
      <alignment horizontal="center" wrapText="1"/>
    </xf>
    <xf numFmtId="1" fontId="14" fillId="4" borderId="9" xfId="0" applyNumberFormat="1" applyFont="1" applyFill="1" applyBorder="1" applyAlignment="1">
      <alignment horizontal="center" wrapText="1"/>
    </xf>
    <xf numFmtId="0" fontId="14" fillId="4" borderId="9" xfId="0" applyFont="1" applyFill="1" applyBorder="1" applyAlignment="1">
      <alignment wrapText="1"/>
    </xf>
    <xf numFmtId="0" fontId="26" fillId="4" borderId="9" xfId="0" applyFont="1" applyFill="1" applyBorder="1" applyAlignment="1">
      <alignment horizontal="left" vertical="center" wrapText="1"/>
    </xf>
    <xf numFmtId="0" fontId="10" fillId="18" borderId="22" xfId="0" applyFont="1" applyFill="1" applyBorder="1" applyAlignment="1">
      <alignment wrapText="1"/>
    </xf>
    <xf numFmtId="0" fontId="10" fillId="18" borderId="35" xfId="0" applyFont="1" applyFill="1" applyBorder="1" applyAlignment="1">
      <alignment wrapText="1"/>
    </xf>
    <xf numFmtId="0" fontId="13" fillId="18" borderId="61" xfId="0" applyFont="1" applyFill="1" applyBorder="1" applyAlignment="1">
      <alignment wrapText="1"/>
    </xf>
    <xf numFmtId="0" fontId="13" fillId="18" borderId="8" xfId="0" applyFont="1" applyFill="1" applyBorder="1" applyAlignment="1">
      <alignment wrapText="1"/>
    </xf>
    <xf numFmtId="0" fontId="10" fillId="0" borderId="62" xfId="0" applyFont="1" applyBorder="1" applyAlignment="1">
      <alignment wrapText="1"/>
    </xf>
    <xf numFmtId="0" fontId="10" fillId="0" borderId="22" xfId="0" applyFont="1" applyBorder="1" applyAlignment="1">
      <alignment horizontal="center" wrapText="1"/>
    </xf>
    <xf numFmtId="0" fontId="26" fillId="4" borderId="5" xfId="0" applyFont="1" applyFill="1" applyBorder="1" applyAlignment="1">
      <alignment horizontal="center" vertical="center" wrapText="1"/>
    </xf>
    <xf numFmtId="1" fontId="26" fillId="4" borderId="4" xfId="0" applyNumberFormat="1" applyFont="1" applyFill="1" applyBorder="1" applyAlignment="1">
      <alignment horizontal="center" vertical="center" wrapText="1"/>
    </xf>
    <xf numFmtId="0" fontId="26" fillId="4" borderId="4" xfId="0" applyFont="1" applyFill="1" applyBorder="1" applyAlignment="1">
      <alignment horizontal="center" vertical="center" wrapText="1"/>
    </xf>
    <xf numFmtId="0" fontId="26" fillId="4" borderId="4" xfId="0" applyFont="1" applyFill="1" applyBorder="1" applyAlignment="1">
      <alignment horizontal="left" vertical="center" wrapText="1"/>
    </xf>
    <xf numFmtId="0" fontId="10" fillId="18" borderId="27" xfId="0" applyFont="1" applyFill="1" applyBorder="1" applyAlignment="1">
      <alignment wrapText="1"/>
    </xf>
    <xf numFmtId="0" fontId="10" fillId="18" borderId="37" xfId="0" applyFont="1" applyFill="1" applyBorder="1" applyAlignment="1">
      <alignment wrapText="1"/>
    </xf>
    <xf numFmtId="0" fontId="27" fillId="18" borderId="23" xfId="0" applyFont="1" applyFill="1" applyBorder="1" applyAlignment="1">
      <alignment wrapText="1"/>
    </xf>
    <xf numFmtId="0" fontId="27" fillId="18" borderId="24" xfId="0" applyFont="1" applyFill="1" applyBorder="1" applyAlignment="1">
      <alignment wrapText="1"/>
    </xf>
    <xf numFmtId="0" fontId="13" fillId="0" borderId="63" xfId="0" applyFont="1" applyBorder="1" applyAlignment="1">
      <alignment wrapText="1"/>
    </xf>
    <xf numFmtId="1" fontId="26" fillId="0" borderId="63" xfId="0" applyNumberFormat="1" applyFont="1" applyBorder="1" applyAlignment="1">
      <alignment horizontal="center" wrapText="1"/>
    </xf>
    <xf numFmtId="0" fontId="10" fillId="0" borderId="29" xfId="0" applyFont="1" applyBorder="1" applyAlignment="1">
      <alignment horizontal="center" wrapText="1"/>
    </xf>
    <xf numFmtId="1" fontId="28" fillId="0" borderId="28" xfId="0" applyNumberFormat="1" applyFont="1" applyBorder="1" applyAlignment="1">
      <alignment horizontal="center" wrapText="1"/>
    </xf>
    <xf numFmtId="0" fontId="10" fillId="0" borderId="37" xfId="0" applyFont="1" applyBorder="1" applyAlignment="1">
      <alignment horizontal="center" wrapText="1"/>
    </xf>
    <xf numFmtId="0" fontId="10" fillId="0" borderId="2" xfId="0" applyFont="1" applyBorder="1" applyAlignment="1">
      <alignment horizontal="center" wrapText="1"/>
    </xf>
    <xf numFmtId="0" fontId="28" fillId="0" borderId="24" xfId="0" applyFont="1" applyBorder="1" applyAlignment="1">
      <alignment horizontal="left" vertical="center" wrapText="1"/>
    </xf>
    <xf numFmtId="0" fontId="28" fillId="0" borderId="17" xfId="0" applyFont="1" applyBorder="1" applyAlignment="1">
      <alignment horizontal="center" wrapText="1"/>
    </xf>
    <xf numFmtId="1" fontId="28" fillId="0" borderId="27" xfId="0" applyNumberFormat="1" applyFont="1" applyBorder="1" applyAlignment="1">
      <alignment horizontal="center" wrapText="1"/>
    </xf>
    <xf numFmtId="0" fontId="28" fillId="0" borderId="15" xfId="0" applyFont="1" applyBorder="1" applyAlignment="1">
      <alignment horizontal="center" wrapText="1"/>
    </xf>
    <xf numFmtId="0" fontId="28" fillId="0" borderId="18" xfId="0" applyFont="1" applyBorder="1" applyAlignment="1">
      <alignment horizontal="center" wrapText="1"/>
    </xf>
    <xf numFmtId="0" fontId="28" fillId="0" borderId="54" xfId="0" applyFont="1" applyBorder="1" applyAlignment="1">
      <alignment horizontal="left" vertical="center" wrapText="1"/>
    </xf>
    <xf numFmtId="0" fontId="28" fillId="0" borderId="64" xfId="0" applyFont="1" applyBorder="1" applyAlignment="1">
      <alignment horizontal="center" wrapText="1"/>
    </xf>
    <xf numFmtId="0" fontId="28" fillId="0" borderId="35" xfId="0" applyFont="1" applyBorder="1" applyAlignment="1">
      <alignment horizontal="center" wrapText="1"/>
    </xf>
    <xf numFmtId="0" fontId="28" fillId="0" borderId="9" xfId="0" applyFont="1" applyBorder="1" applyAlignment="1">
      <alignment horizontal="center" wrapText="1"/>
    </xf>
    <xf numFmtId="0" fontId="28" fillId="0" borderId="8" xfId="0" applyFont="1" applyBorder="1" applyAlignment="1">
      <alignment horizontal="left" vertical="center" wrapText="1"/>
    </xf>
    <xf numFmtId="0" fontId="27" fillId="18" borderId="61" xfId="0" applyFont="1" applyFill="1" applyBorder="1" applyAlignment="1">
      <alignment wrapText="1"/>
    </xf>
    <xf numFmtId="0" fontId="27" fillId="18" borderId="8" xfId="0" applyFont="1" applyFill="1" applyBorder="1" applyAlignment="1">
      <alignment wrapText="1"/>
    </xf>
    <xf numFmtId="1" fontId="26" fillId="0" borderId="62" xfId="0" applyNumberFormat="1" applyFont="1" applyBorder="1" applyAlignment="1">
      <alignment horizontal="center" wrapText="1"/>
    </xf>
    <xf numFmtId="0" fontId="28" fillId="0" borderId="64" xfId="0" applyFont="1" applyBorder="1" applyAlignment="1">
      <alignment horizontal="center" vertical="top" wrapText="1"/>
    </xf>
    <xf numFmtId="1" fontId="28" fillId="0" borderId="22" xfId="0" applyNumberFormat="1" applyFont="1" applyBorder="1" applyAlignment="1">
      <alignment horizontal="center" vertical="center" wrapText="1"/>
    </xf>
    <xf numFmtId="0" fontId="28" fillId="0" borderId="35" xfId="0" applyFont="1" applyBorder="1" applyAlignment="1">
      <alignment wrapText="1"/>
    </xf>
    <xf numFmtId="0" fontId="28" fillId="0" borderId="9" xfId="0" applyFont="1" applyBorder="1" applyAlignment="1">
      <alignment wrapText="1"/>
    </xf>
    <xf numFmtId="0" fontId="10" fillId="18" borderId="21" xfId="0" applyFont="1" applyFill="1" applyBorder="1" applyAlignment="1">
      <alignment wrapText="1"/>
    </xf>
    <xf numFmtId="0" fontId="10" fillId="18" borderId="34" xfId="0" applyFont="1" applyFill="1" applyBorder="1" applyAlignment="1">
      <alignment wrapText="1"/>
    </xf>
    <xf numFmtId="0" fontId="13" fillId="18" borderId="60" xfId="0" applyFont="1" applyFill="1" applyBorder="1" applyAlignment="1">
      <alignment wrapText="1"/>
    </xf>
    <xf numFmtId="0" fontId="13" fillId="18" borderId="3" xfId="0" applyFont="1" applyFill="1" applyBorder="1" applyAlignment="1">
      <alignment wrapText="1"/>
    </xf>
    <xf numFmtId="1" fontId="26" fillId="0" borderId="56" xfId="0" applyNumberFormat="1" applyFont="1" applyBorder="1" applyAlignment="1">
      <alignment horizontal="center" wrapText="1"/>
    </xf>
    <xf numFmtId="0" fontId="28" fillId="0" borderId="52" xfId="0" applyFont="1" applyBorder="1" applyAlignment="1">
      <alignment horizontal="center" wrapText="1"/>
    </xf>
    <xf numFmtId="1" fontId="28" fillId="0" borderId="21" xfId="0" applyNumberFormat="1" applyFont="1" applyBorder="1" applyAlignment="1">
      <alignment horizontal="center" vertical="center" wrapText="1"/>
    </xf>
    <xf numFmtId="0" fontId="28" fillId="0" borderId="34" xfId="0" applyFont="1" applyBorder="1" applyAlignment="1">
      <alignment wrapText="1"/>
    </xf>
    <xf numFmtId="0" fontId="28" fillId="0" borderId="4" xfId="0" applyFont="1" applyBorder="1" applyAlignment="1">
      <alignment wrapText="1"/>
    </xf>
    <xf numFmtId="0" fontId="28" fillId="0" borderId="3" xfId="0" applyFont="1" applyBorder="1" applyAlignment="1">
      <alignment vertical="center" wrapText="1"/>
    </xf>
    <xf numFmtId="171" fontId="10" fillId="0" borderId="0" xfId="0" applyNumberFormat="1" applyFont="1" applyAlignment="1">
      <alignment wrapText="1"/>
    </xf>
    <xf numFmtId="1" fontId="17" fillId="0" borderId="62" xfId="0" applyNumberFormat="1" applyFont="1" applyBorder="1" applyAlignment="1">
      <alignment horizontal="center" vertical="center" wrapText="1"/>
    </xf>
    <xf numFmtId="0" fontId="28" fillId="0" borderId="64"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9" xfId="0" applyFont="1" applyBorder="1" applyAlignment="1">
      <alignment horizontal="left" vertical="center" wrapText="1"/>
    </xf>
    <xf numFmtId="1" fontId="26" fillId="0" borderId="56" xfId="0" applyNumberFormat="1" applyFont="1" applyBorder="1" applyAlignment="1">
      <alignment horizontal="center" vertical="center" wrapText="1"/>
    </xf>
    <xf numFmtId="0" fontId="28" fillId="0" borderId="52"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4" xfId="0" applyFont="1" applyBorder="1" applyAlignment="1">
      <alignment horizontal="left" vertical="center" wrapText="1"/>
    </xf>
    <xf numFmtId="1" fontId="26" fillId="0" borderId="62" xfId="0" applyNumberFormat="1" applyFont="1" applyBorder="1" applyAlignment="1">
      <alignment horizontal="center" vertical="center" wrapText="1"/>
    </xf>
    <xf numFmtId="172" fontId="10" fillId="0" borderId="0" xfId="0" applyNumberFormat="1" applyFont="1" applyAlignment="1">
      <alignment wrapText="1"/>
    </xf>
    <xf numFmtId="0" fontId="13" fillId="18" borderId="66" xfId="0" applyFont="1" applyFill="1" applyBorder="1" applyAlignment="1">
      <alignment wrapText="1"/>
    </xf>
    <xf numFmtId="1" fontId="28" fillId="0" borderId="62" xfId="0" applyNumberFormat="1" applyFont="1" applyBorder="1" applyAlignment="1">
      <alignment horizontal="center" vertical="center" wrapText="1"/>
    </xf>
    <xf numFmtId="0" fontId="13" fillId="18" borderId="31" xfId="0" applyFont="1" applyFill="1" applyBorder="1" applyAlignment="1">
      <alignment wrapText="1"/>
    </xf>
    <xf numFmtId="1" fontId="28" fillId="0" borderId="56" xfId="0" applyNumberFormat="1" applyFont="1" applyBorder="1" applyAlignment="1">
      <alignment horizontal="center" vertical="center" wrapText="1"/>
    </xf>
    <xf numFmtId="0" fontId="28" fillId="18" borderId="34" xfId="0" applyFont="1" applyFill="1" applyBorder="1" applyAlignment="1">
      <alignment horizontal="right" wrapText="1"/>
    </xf>
    <xf numFmtId="0" fontId="28" fillId="18" borderId="60" xfId="0" applyFont="1" applyFill="1" applyBorder="1" applyAlignment="1">
      <alignment horizontal="right" wrapText="1"/>
    </xf>
    <xf numFmtId="0" fontId="28" fillId="18" borderId="3" xfId="0" applyFont="1" applyFill="1" applyBorder="1" applyAlignment="1">
      <alignment horizontal="left" vertical="center" wrapText="1"/>
    </xf>
    <xf numFmtId="0" fontId="10" fillId="18" borderId="42" xfId="0" applyFont="1" applyFill="1" applyBorder="1" applyAlignment="1">
      <alignment wrapText="1"/>
    </xf>
    <xf numFmtId="0" fontId="10" fillId="0" borderId="42" xfId="0" applyFont="1" applyBorder="1" applyAlignment="1">
      <alignment wrapText="1"/>
    </xf>
    <xf numFmtId="0" fontId="28" fillId="0" borderId="50"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33" xfId="0" applyFont="1" applyBorder="1" applyAlignment="1">
      <alignment horizontal="center" vertical="center" wrapText="1"/>
    </xf>
    <xf numFmtId="166" fontId="9" fillId="25" borderId="0" xfId="0" applyNumberFormat="1" applyFont="1" applyFill="1" applyBorder="1"/>
    <xf numFmtId="0" fontId="28" fillId="0" borderId="0" xfId="0" applyFont="1" applyAlignment="1">
      <alignment vertical="center" wrapText="1"/>
    </xf>
    <xf numFmtId="0" fontId="28" fillId="0" borderId="11" xfId="0" applyFont="1" applyBorder="1" applyAlignment="1">
      <alignment vertical="center" wrapText="1"/>
    </xf>
    <xf numFmtId="6" fontId="29" fillId="0" borderId="5" xfId="0" applyNumberFormat="1" applyFont="1" applyBorder="1"/>
    <xf numFmtId="6" fontId="29" fillId="0" borderId="10" xfId="0" applyNumberFormat="1" applyFont="1" applyBorder="1"/>
    <xf numFmtId="0" fontId="0" fillId="0" borderId="18" xfId="0" applyBorder="1" applyAlignment="1">
      <alignment wrapText="1"/>
    </xf>
    <xf numFmtId="170" fontId="9" fillId="17" borderId="26" xfId="0" applyNumberFormat="1" applyFont="1" applyFill="1" applyBorder="1"/>
    <xf numFmtId="8" fontId="0" fillId="0" borderId="0" xfId="0" applyNumberFormat="1"/>
    <xf numFmtId="8" fontId="22" fillId="0" borderId="0" xfId="0" applyNumberFormat="1" applyFont="1"/>
    <xf numFmtId="0" fontId="31" fillId="0" borderId="0" xfId="0" applyFont="1" applyAlignment="1">
      <alignment vertical="center"/>
    </xf>
    <xf numFmtId="0" fontId="31" fillId="0" borderId="0" xfId="0" applyFont="1"/>
    <xf numFmtId="0" fontId="31" fillId="0" borderId="0" xfId="0" applyFont="1" applyAlignment="1">
      <alignment horizontal="left" vertical="center" indent="4"/>
    </xf>
    <xf numFmtId="0" fontId="31" fillId="0" borderId="0" xfId="0" applyFont="1" applyAlignment="1">
      <alignment horizontal="left" vertical="center" indent="2"/>
    </xf>
    <xf numFmtId="0" fontId="34" fillId="0" borderId="0" xfId="0" applyFont="1" applyAlignment="1">
      <alignment vertical="center"/>
    </xf>
    <xf numFmtId="0" fontId="34" fillId="0" borderId="0" xfId="0" applyFont="1"/>
    <xf numFmtId="0" fontId="31" fillId="0" borderId="0" xfId="0" applyFont="1" applyAlignment="1">
      <alignment horizontal="left" vertical="center" indent="6"/>
    </xf>
    <xf numFmtId="0" fontId="35" fillId="0" borderId="0" xfId="5" applyFont="1" applyAlignment="1">
      <alignment horizontal="left" vertical="center" indent="4"/>
    </xf>
    <xf numFmtId="0" fontId="35" fillId="0" borderId="0" xfId="5" applyFont="1" applyAlignment="1">
      <alignment vertical="center"/>
    </xf>
    <xf numFmtId="0" fontId="31" fillId="0" borderId="0" xfId="0" applyFont="1" applyAlignment="1">
      <alignment horizontal="center" vertical="center"/>
    </xf>
    <xf numFmtId="0" fontId="31" fillId="0" borderId="0" xfId="0" applyFont="1" applyAlignment="1">
      <alignment horizontal="left" vertical="center" indent="1"/>
    </xf>
    <xf numFmtId="0" fontId="0" fillId="0" borderId="0" xfId="0" applyAlignment="1">
      <alignment horizontal="center"/>
    </xf>
    <xf numFmtId="0" fontId="32" fillId="0" borderId="0" xfId="0" applyFont="1" applyAlignment="1">
      <alignment horizontal="left" vertical="center"/>
    </xf>
    <xf numFmtId="0" fontId="36" fillId="0" borderId="0" xfId="0" applyFont="1" applyAlignment="1">
      <alignment vertical="center"/>
    </xf>
    <xf numFmtId="0" fontId="31" fillId="0" borderId="0" xfId="0" applyFont="1" applyAlignment="1">
      <alignment horizontal="left" vertical="center"/>
    </xf>
    <xf numFmtId="0" fontId="34" fillId="0" borderId="42" xfId="0" applyFont="1" applyBorder="1"/>
    <xf numFmtId="0" fontId="34" fillId="0" borderId="40" xfId="0" applyFont="1" applyBorder="1" applyAlignment="1">
      <alignment horizontal="left" vertical="center"/>
    </xf>
    <xf numFmtId="0" fontId="31" fillId="0" borderId="42" xfId="0" applyFont="1" applyBorder="1"/>
    <xf numFmtId="0" fontId="31" fillId="0" borderId="40" xfId="0" applyFont="1" applyBorder="1" applyAlignment="1">
      <alignment vertical="center"/>
    </xf>
    <xf numFmtId="0" fontId="34" fillId="0" borderId="40" xfId="0" applyFont="1" applyBorder="1" applyAlignment="1">
      <alignment vertical="center"/>
    </xf>
    <xf numFmtId="0" fontId="34" fillId="0" borderId="42" xfId="0" applyFont="1" applyBorder="1" applyAlignment="1">
      <alignment vertical="center"/>
    </xf>
    <xf numFmtId="0" fontId="5" fillId="7" borderId="1" xfId="4" applyFont="1" applyFill="1" applyBorder="1" applyAlignment="1">
      <alignment horizontal="center" wrapText="1"/>
    </xf>
    <xf numFmtId="0" fontId="8" fillId="7" borderId="2" xfId="4" applyFont="1" applyFill="1" applyBorder="1" applyAlignment="1">
      <alignment horizontal="center" wrapText="1"/>
    </xf>
    <xf numFmtId="0" fontId="8" fillId="7" borderId="18" xfId="4" applyFont="1" applyFill="1" applyBorder="1" applyAlignment="1">
      <alignment horizontal="center" wrapText="1"/>
    </xf>
    <xf numFmtId="0" fontId="8" fillId="7" borderId="13" xfId="4" applyFont="1" applyFill="1" applyBorder="1" applyAlignment="1">
      <alignment horizontal="center" wrapText="1"/>
    </xf>
    <xf numFmtId="0" fontId="8" fillId="7" borderId="14" xfId="4" applyFont="1" applyFill="1" applyBorder="1" applyAlignment="1">
      <alignment horizontal="center" wrapText="1"/>
    </xf>
    <xf numFmtId="0" fontId="8" fillId="7" borderId="12" xfId="4" applyFont="1" applyFill="1" applyBorder="1" applyAlignment="1">
      <alignment horizontal="center" wrapText="1"/>
    </xf>
    <xf numFmtId="0" fontId="5" fillId="7" borderId="13" xfId="4" applyFont="1" applyFill="1" applyBorder="1" applyAlignment="1">
      <alignment horizontal="left" wrapText="1"/>
    </xf>
    <xf numFmtId="0" fontId="5" fillId="7" borderId="14" xfId="4" applyFont="1" applyFill="1" applyBorder="1" applyAlignment="1">
      <alignment horizontal="left" wrapText="1"/>
    </xf>
    <xf numFmtId="0" fontId="5" fillId="7" borderId="12" xfId="4" applyFont="1" applyFill="1" applyBorder="1" applyAlignment="1">
      <alignment horizontal="left" wrapText="1"/>
    </xf>
    <xf numFmtId="0" fontId="5" fillId="5" borderId="1" xfId="0" applyFont="1" applyFill="1" applyBorder="1" applyAlignment="1">
      <alignment horizontal="center" wrapText="1"/>
    </xf>
    <xf numFmtId="0" fontId="5" fillId="5" borderId="2" xfId="0" applyFont="1" applyFill="1" applyBorder="1" applyAlignment="1">
      <alignment horizontal="center" wrapText="1"/>
    </xf>
    <xf numFmtId="0" fontId="0" fillId="0" borderId="39" xfId="0" applyBorder="1" applyAlignment="1">
      <alignment horizontal="center" wrapText="1"/>
    </xf>
    <xf numFmtId="0" fontId="0" fillId="0" borderId="42" xfId="0" applyBorder="1" applyAlignment="1">
      <alignment horizontal="center" wrapText="1"/>
    </xf>
    <xf numFmtId="166" fontId="0" fillId="0" borderId="28" xfId="0" applyNumberFormat="1" applyBorder="1" applyAlignment="1">
      <alignment horizontal="center" vertical="center"/>
    </xf>
    <xf numFmtId="166" fontId="0" fillId="0" borderId="39" xfId="0" applyNumberFormat="1" applyBorder="1" applyAlignment="1">
      <alignment horizontal="center" vertical="center"/>
    </xf>
    <xf numFmtId="166" fontId="0" fillId="0" borderId="40" xfId="0" applyNumberFormat="1" applyBorder="1" applyAlignment="1">
      <alignment horizontal="center" vertical="center"/>
    </xf>
    <xf numFmtId="0" fontId="0" fillId="0" borderId="31" xfId="0" applyBorder="1" applyAlignment="1">
      <alignment horizontal="center" wrapText="1"/>
    </xf>
    <xf numFmtId="0" fontId="26" fillId="4" borderId="3"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4" borderId="8" xfId="0" applyFont="1" applyFill="1" applyBorder="1" applyAlignment="1">
      <alignment horizontal="left" vertical="center" wrapText="1"/>
    </xf>
    <xf numFmtId="0" fontId="26" fillId="4" borderId="9" xfId="0" applyFont="1" applyFill="1" applyBorder="1" applyAlignment="1">
      <alignment horizontal="left" vertical="center" wrapText="1"/>
    </xf>
    <xf numFmtId="0" fontId="14" fillId="0" borderId="34" xfId="0" applyFont="1" applyBorder="1" applyAlignment="1">
      <alignment horizontal="center" wrapText="1"/>
    </xf>
    <xf numFmtId="0" fontId="14" fillId="0" borderId="52" xfId="0" applyFont="1" applyBorder="1" applyAlignment="1">
      <alignment horizontal="center" wrapText="1"/>
    </xf>
    <xf numFmtId="0" fontId="14" fillId="0" borderId="60" xfId="0" applyFont="1" applyBorder="1" applyAlignment="1">
      <alignment horizontal="center" wrapText="1"/>
    </xf>
    <xf numFmtId="0" fontId="14" fillId="0" borderId="59" xfId="0" applyFont="1" applyBorder="1" applyAlignment="1">
      <alignment horizontal="center" wrapText="1"/>
    </xf>
    <xf numFmtId="0" fontId="14" fillId="0" borderId="50" xfId="0" applyFont="1" applyBorder="1" applyAlignment="1">
      <alignment horizontal="center" wrapText="1"/>
    </xf>
    <xf numFmtId="0" fontId="28" fillId="18" borderId="68" xfId="0" applyFont="1" applyFill="1" applyBorder="1" applyAlignment="1">
      <alignment horizontal="center" vertical="center" wrapText="1"/>
    </xf>
    <xf numFmtId="0" fontId="28" fillId="18" borderId="50" xfId="0" applyFont="1" applyFill="1" applyBorder="1" applyAlignment="1">
      <alignment horizontal="center" vertical="center" wrapText="1"/>
    </xf>
    <xf numFmtId="0" fontId="28" fillId="18" borderId="67" xfId="0"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8" xfId="0" applyFont="1" applyBorder="1" applyAlignment="1">
      <alignment horizontal="left" vertical="center" wrapText="1"/>
    </xf>
    <xf numFmtId="0" fontId="24" fillId="0" borderId="3" xfId="0" applyFont="1" applyBorder="1" applyAlignment="1">
      <alignment horizontal="left" vertical="center" wrapText="1"/>
    </xf>
    <xf numFmtId="0" fontId="24" fillId="0" borderId="8" xfId="0" applyFont="1" applyBorder="1" applyAlignment="1">
      <alignment horizontal="left" vertical="center" wrapText="1"/>
    </xf>
    <xf numFmtId="0" fontId="14" fillId="0" borderId="3" xfId="0" applyFont="1" applyBorder="1" applyAlignment="1">
      <alignment horizontal="center" wrapText="1"/>
    </xf>
    <xf numFmtId="0" fontId="10" fillId="0" borderId="42" xfId="0" applyFont="1" applyBorder="1" applyAlignment="1">
      <alignment horizontal="center" wrapText="1"/>
    </xf>
    <xf numFmtId="0" fontId="10" fillId="0" borderId="40" xfId="0" applyFont="1" applyBorder="1" applyAlignment="1">
      <alignment horizontal="center" wrapText="1"/>
    </xf>
    <xf numFmtId="0" fontId="10" fillId="0" borderId="45" xfId="0" applyFont="1" applyBorder="1" applyAlignment="1">
      <alignment horizontal="center" wrapText="1"/>
    </xf>
    <xf numFmtId="0" fontId="28" fillId="0" borderId="19"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57"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8" fillId="0" borderId="65" xfId="0" applyFont="1" applyBorder="1" applyAlignment="1">
      <alignment horizontal="left" vertical="center" wrapText="1"/>
    </xf>
    <xf numFmtId="0" fontId="28" fillId="0" borderId="47" xfId="0" applyFont="1" applyBorder="1" applyAlignment="1">
      <alignment horizontal="left" vertical="center" wrapText="1"/>
    </xf>
    <xf numFmtId="0" fontId="28" fillId="0" borderId="21" xfId="0" applyFont="1" applyBorder="1" applyAlignment="1">
      <alignment horizontal="left" vertical="center" wrapText="1"/>
    </xf>
    <xf numFmtId="0" fontId="28" fillId="0" borderId="22"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10" fillId="0" borderId="28" xfId="0" applyFont="1" applyBorder="1" applyAlignment="1">
      <alignment horizontal="center" wrapText="1"/>
    </xf>
    <xf numFmtId="0" fontId="10" fillId="0" borderId="42" xfId="0" applyFont="1" applyBorder="1" applyAlignment="1">
      <alignment horizontal="center" vertical="center" wrapText="1"/>
    </xf>
    <xf numFmtId="0" fontId="10" fillId="0" borderId="45" xfId="0" applyFont="1" applyBorder="1" applyAlignment="1">
      <alignment horizontal="center" vertical="center" wrapText="1"/>
    </xf>
    <xf numFmtId="0" fontId="28" fillId="0" borderId="6" xfId="0" applyFont="1" applyBorder="1" applyAlignment="1">
      <alignment horizontal="left" vertical="center" wrapText="1"/>
    </xf>
    <xf numFmtId="0" fontId="28" fillId="0" borderId="1" xfId="0" applyFont="1" applyBorder="1" applyAlignment="1">
      <alignment horizontal="left" vertical="center" wrapText="1"/>
    </xf>
    <xf numFmtId="0" fontId="28" fillId="0" borderId="9" xfId="0" applyFont="1" applyBorder="1" applyAlignment="1">
      <alignment horizontal="left" vertical="center" wrapText="1"/>
    </xf>
    <xf numFmtId="0" fontId="28" fillId="0" borderId="54"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9" fillId="0" borderId="19" xfId="0" applyFont="1" applyBorder="1" applyAlignment="1">
      <alignment horizontal="center" wrapText="1"/>
    </xf>
    <xf numFmtId="0" fontId="9" fillId="0" borderId="25" xfId="0" applyFont="1" applyBorder="1" applyAlignment="1">
      <alignment horizontal="center" wrapText="1"/>
    </xf>
    <xf numFmtId="0" fontId="9" fillId="0" borderId="38" xfId="0" applyFont="1" applyBorder="1" applyAlignment="1">
      <alignment horizontal="center" wrapText="1"/>
    </xf>
    <xf numFmtId="0" fontId="28" fillId="0" borderId="4" xfId="0" applyFont="1" applyBorder="1" applyAlignment="1">
      <alignment horizontal="left" vertical="center" wrapText="1"/>
    </xf>
    <xf numFmtId="0" fontId="24" fillId="0" borderId="1" xfId="0" applyFont="1" applyBorder="1" applyAlignment="1">
      <alignment horizontal="left" vertical="center" wrapText="1"/>
    </xf>
    <xf numFmtId="6" fontId="29" fillId="0" borderId="5" xfId="0" applyNumberFormat="1" applyFont="1" applyBorder="1" applyAlignment="1">
      <alignment horizontal="center"/>
    </xf>
    <xf numFmtId="6" fontId="29" fillId="0" borderId="7" xfId="0" applyNumberFormat="1" applyFont="1" applyBorder="1" applyAlignment="1">
      <alignment horizontal="center"/>
    </xf>
    <xf numFmtId="6" fontId="29" fillId="0" borderId="10" xfId="0" applyNumberFormat="1" applyFont="1" applyBorder="1" applyAlignment="1">
      <alignment horizontal="center"/>
    </xf>
    <xf numFmtId="2" fontId="9" fillId="0" borderId="0" xfId="2" applyNumberFormat="1" applyFont="1"/>
  </cellXfs>
  <cellStyles count="6">
    <cellStyle name="Comma" xfId="1" builtinId="3"/>
    <cellStyle name="Currency" xfId="2" builtinId="4"/>
    <cellStyle name="Hyperlink" xfId="5" builtinId="8"/>
    <cellStyle name="Normal" xfId="0" builtinId="0"/>
    <cellStyle name="Normal_1722 Marine SI tables" xfId="4" xr:uid="{667C5840-A20D-4D24-A190-A34B0E20A680}"/>
    <cellStyle name="Percent" xfId="3" builtinId="5"/>
  </cellStyles>
  <dxfs count="0"/>
  <tableStyles count="0" defaultTableStyle="TableStyleMedium2"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Davis, Julian" id="{0D7B24A6-A767-410D-9CF7-353B80952CC0}" userId="S::davis.julian@epa.gov::9908c2e0-8fa8-4e30-a378-c27294ed42bf" providerId="AD"/>
</personList>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 dT="2025-03-14T13:46:06.21" personId="{0D7B24A6-A767-410D-9CF7-353B80952CC0}" id="{1738A459-D5A4-45D6-B302-7D8BEA43FD53}">
    <text>This number includes all the activities the EPA team does for every responsibility toward manufacturers, completing all reviews and answering any and all questions posed.</text>
  </threadedComment>
  <threadedComment ref="I12" dT="2021-05-03T12:39:53.53" personId="{0D7B24A6-A767-410D-9CF7-353B80952CC0}" id="{451A0C43-AF32-4736-9EBB-3AEC18E58582}">
    <text>We estimate a rate of $83,000 per person per year for SEE support.</text>
  </threadedComment>
</ThreadedComments>
</file>

<file path=xl/threadedComments/threadedComment2.xml><?xml version="1.0" encoding="utf-8"?>
<ThreadedComments xmlns="http://schemas.microsoft.com/office/spreadsheetml/2018/threadedcomments" xmlns:x="http://schemas.openxmlformats.org/spreadsheetml/2006/main">
  <threadedComment ref="L1" dT="2021-05-05T14:22:52.94" personId="{0D7B24A6-A767-410D-9CF7-353B80952CC0}" id="{B317B92B-CFD7-4C2D-BA9A-36641AC5ACE9}">
    <text>We may not have calculated the number of applications that were carryover. recalculate...</text>
  </threadedComment>
  <threadedComment ref="B4" dT="2025-03-14T18:16:13.35" personId="{0D7B24A6-A767-410D-9CF7-353B80952CC0}" id="{67CAEB8B-B00A-4C90-A3D0-B1EB3B13A3D9}">
    <text>We should be complete up to this point (3/14/2025-2:15PM)</text>
  </threadedComment>
  <threadedComment ref="J5" dT="2021-04-30T19:18:55.44" personId="{0D7B24A6-A767-410D-9CF7-353B80952CC0}" id="{F7C3CC72-A9D4-4C53-B300-998CF8BB4D44}">
    <text>Adjusted by the CPI from the previous 2018 estimate.</text>
  </threadedComment>
  <threadedComment ref="A8" dT="2021-05-07T13:32:42.39" personId="{0D7B24A6-A767-410D-9CF7-353B80952CC0}" id="{A850790A-A1D0-481F-BF73-F8480F49A685}">
    <text>All testing is calculated below for in-house testing and contractor testing.</text>
  </threadedComment>
  <threadedComment ref="J9" dT="2021-04-30T19:20:18.09" personId="{0D7B24A6-A767-410D-9CF7-353B80952CC0}" id="{42BD1206-3B40-492C-8175-BE333DD301CA}">
    <text>Adjusted for 2025 by the CPI (February 2025 2.82%). We state the following in the Supporting Statement, "Engine manufacturers that have in-house testing facilities use them for all their certification and compliance testing needs as well as for research and development. The cost of maintaining these laboratories have been estimated at $73,300 per year. This estimate (which appears under the certification program estimates) includes the cost of test fuels, calibration gases and equipment."</text>
  </threadedComment>
  <threadedComment ref="T10" dT="2021-04-30T20:06:06.24" personId="{0D7B24A6-A767-410D-9CF7-353B80952CC0}" id="{BC684558-7A29-4914-8AA8-3354EB6D0FD1}">
    <text>Running change estimation</text>
  </threadedComment>
  <threadedComment ref="I11" dT="2021-05-05T21:33:20.19" personId="{0D7B24A6-A767-410D-9CF7-353B80952CC0}" id="{0BA90EF3-B820-48EE-A184-16CE231034D4}">
    <text>These O&amp;M costs were calculated in the above "Lab Maintenance" cell.</text>
  </threadedComment>
  <threadedComment ref="A18" dT="2021-05-05T21:32:35.54" personId="{0D7B24A6-A767-410D-9CF7-353B80952CC0}" id="{045D2EC5-DA94-4227-BD6B-8DB38E26FE17}">
    <text>This section for testing would be a subset of the above "new" test data for cert, durability, evap.</text>
  </threadedComment>
  <threadedComment ref="J18" dT="2025-03-14T20:53:02.63" personId="{0D7B24A6-A767-410D-9CF7-353B80952CC0}" id="{FE1FF183-B9F3-42A7-A63E-9DEEDEBC209B}">
    <text>"Operating and maintenance costs also include the general upkeep of start-up capital equipment, as well as any purchase of services such as contractor or auditing services." ICR Handbook</text>
  </threadedComment>
  <threadedComment ref="J19" dT="2021-05-05T15:48:43.28" personId="{0D7B24A6-A767-410D-9CF7-353B80952CC0}" id="{1F32EE6D-F51E-451B-AC09-82F77DAFCC8C}">
    <text>If the above 79,952.08 for O&amp;M on Lab maintenance, why these estimates for O&amp;M?</text>
  </threadedComment>
  <threadedComment ref="J24" dT="2021-05-06T14:40:54.81" personId="{0D7B24A6-A767-410D-9CF7-353B80952CC0}" id="{F137CF1B-3E8C-4E22-A67F-6C81F1A4515C}">
    <text>This figure represents the average cost for both fuel lines and fuel tanks for certification testing.</text>
  </threadedComment>
  <threadedComment ref="J35" dT="2021-05-03T17:41:47.76" personId="{0D7B24A6-A767-410D-9CF7-353B80952CC0}" id="{8AA4E1DF-79A5-43AA-B9F2-2713CB88BC82}">
    <text>For O&amp;M cost for reporting obligations we computed the average cost to maintain a computer system as the cost of labor and repair, in addtion to office and computig supplies per unit. Assesed expenses include $65 labor charge and ~$100 for parts and repair.</text>
  </threadedComment>
  <threadedComment ref="J36" dT="2021-05-03T17:44:41.68" personId="{0D7B24A6-A767-410D-9CF7-353B80952CC0}" id="{513052D9-D0C0-4019-9CB1-F4032D95B23D}">
    <text>O&amp;M cost include test cell maintenance outside that accounted for in certification testing above.</text>
  </threadedComment>
  <threadedComment ref="J38" dT="2021-05-03T17:44:41.68" personId="{0D7B24A6-A767-410D-9CF7-353B80952CC0}" id="{99AA9AC0-3F91-43C9-9874-BB20C0767696}">
    <text>O&amp;M cost include test cell maintenance outside that accounted for in certification testing above.</text>
  </threadedComment>
  <threadedComment ref="B40" dT="2021-05-03T20:30:48.05" personId="{0D7B24A6-A767-410D-9CF7-353B80952CC0}" id="{EBA92681-9D3A-48C3-9EC1-C0E88E74260F}">
    <text>Determine whether a substantial number have exceeded 1068 Part F requirements. File a defect and determine if recall is warranted.</text>
  </threadedComment>
  <threadedComment ref="B41" dT="2021-05-03T20:31:28.77" personId="{0D7B24A6-A767-410D-9CF7-353B80952CC0}" id="{4907CBBD-D748-4360-8A1C-C5544B746B43}">
    <text>Determine a "fix" for the recall condition. Some recalls are for labelling issues only.</text>
  </threadedComment>
  <threadedComment ref="E41" dT="2021-05-03T20:31:58.26" personId="{0D7B24A6-A767-410D-9CF7-353B80952CC0}" id="{F05A0AB2-ECB0-4EA7-BFDE-B2624A0CF57B}">
    <text>Test to conduct proper resolution for a voluntary recall.</text>
  </threadedComment>
  <threadedComment ref="K41" dT="2021-05-03T20:41:36.58" personId="{0D7B24A6-A767-410D-9CF7-353B80952CC0}" id="{FA7FF0B0-ACDB-4234-ACB3-B4DC0A5ECAEB}">
    <text>Recall reports are on a quarterly basis, similar to PLT reporting.</text>
  </threadedComment>
  <threadedComment ref="O44" dT="2025-03-16T19:19:04.02" personId="{0D7B24A6-A767-410D-9CF7-353B80952CC0}" id="{1AAF3E6B-B5FA-4AA7-821D-CA06784BE4F8}">
    <text>Activities per Respondent</text>
  </threadedComment>
  <threadedComment ref="B63" dT="2021-05-05T15:48:43.28" personId="{0D7B24A6-A767-410D-9CF7-353B80952CC0}" id="{D7FEDBAA-654F-4B26-9DA6-151893E4E771}">
    <text>If the above 79,952.08 for O&amp;M on Lab maintenance, why these estimates for O&amp;M?</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5-03-14T18:48:51.37" personId="{0D7B24A6-A767-410D-9CF7-353B80952CC0}" id="{8013047C-E184-4E97-9721-22F0DFD8C029}">
    <text>These estimates represent an average of actual emission data for the period 2021-2023, with few exceptions.</text>
  </threadedComment>
  <threadedComment ref="J2" dT="2025-03-14T15:13:00.38" personId="{0D7B24A6-A767-410D-9CF7-353B80952CC0}" id="{4CDBE6A7-E8EE-420F-A436-E4CB7923A3C8}">
    <text>Manufacturers and engine families)</text>
  </threadedComment>
  <threadedComment ref="H17" dT="2025-03-15T01:36:18.53" personId="{0D7B24A6-A767-410D-9CF7-353B80952CC0}" id="{5ABF50EA-96C3-49AA-A0B5-E40E5B7E9B09}">
    <text>Percentage of manufacturers that are estimated to be carrying over engine family data. (81%)</text>
  </threadedComment>
  <threadedComment ref="H19" dT="2025-03-15T01:43:33.76" personId="{0D7B24A6-A767-410D-9CF7-353B80952CC0}" id="{48A89CF2-5BB5-4739-9DE3-33C90A210567}">
    <text>Engine family data from new lab testing.</text>
  </threadedComment>
</ThreadedComment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56C02-9329-4E5E-8B65-0B25CDEBD114}">
  <dimension ref="A2:B4"/>
  <sheetViews>
    <sheetView topLeftCell="A68" workbookViewId="0">
      <selection activeCell="B2" sqref="B2"/>
    </sheetView>
  </sheetViews>
  <sheetFormatPr defaultColWidth="8.625" defaultRowHeight="14.25" x14ac:dyDescent="0.2"/>
  <cols>
    <col min="1" max="1" width="19.625" style="1" customWidth="1"/>
    <col min="2" max="2" width="130.375" style="1" customWidth="1"/>
    <col min="3" max="3" width="25.875" style="1" customWidth="1"/>
    <col min="4" max="16384" width="8.625" style="1"/>
  </cols>
  <sheetData>
    <row r="2" spans="1:2" ht="409.5" x14ac:dyDescent="0.2">
      <c r="A2" s="1" t="s">
        <v>85</v>
      </c>
      <c r="B2" s="1" t="s">
        <v>86</v>
      </c>
    </row>
    <row r="4" spans="1:2" ht="409.5" x14ac:dyDescent="0.2">
      <c r="A4" s="1" t="s">
        <v>87</v>
      </c>
      <c r="B4" s="1"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C3366-AD26-439D-BC12-B2AFA8B41C1D}">
  <dimension ref="A1:B256"/>
  <sheetViews>
    <sheetView topLeftCell="A12" workbookViewId="0">
      <selection activeCell="M25" sqref="M25"/>
    </sheetView>
  </sheetViews>
  <sheetFormatPr defaultRowHeight="15" x14ac:dyDescent="0.25"/>
  <cols>
    <col min="1" max="16384" width="9" style="398"/>
  </cols>
  <sheetData>
    <row r="1" spans="1:1" x14ac:dyDescent="0.25">
      <c r="A1" s="412" t="s">
        <v>311</v>
      </c>
    </row>
    <row r="2" spans="1:1" ht="15.75" thickBot="1" x14ac:dyDescent="0.3">
      <c r="A2" s="416" t="s">
        <v>359</v>
      </c>
    </row>
    <row r="3" spans="1:1" x14ac:dyDescent="0.25">
      <c r="A3" s="397"/>
    </row>
    <row r="4" spans="1:1" x14ac:dyDescent="0.25">
      <c r="A4" s="403" t="s">
        <v>229</v>
      </c>
    </row>
    <row r="5" spans="1:1" x14ac:dyDescent="0.25">
      <c r="A5" s="403" t="s">
        <v>230</v>
      </c>
    </row>
    <row r="6" spans="1:1" x14ac:dyDescent="0.25">
      <c r="A6" s="403" t="s">
        <v>231</v>
      </c>
    </row>
    <row r="7" spans="1:1" x14ac:dyDescent="0.25">
      <c r="A7" s="403" t="s">
        <v>232</v>
      </c>
    </row>
    <row r="8" spans="1:1" x14ac:dyDescent="0.25">
      <c r="A8" s="403" t="s">
        <v>233</v>
      </c>
    </row>
    <row r="9" spans="1:1" x14ac:dyDescent="0.25">
      <c r="A9" s="403" t="s">
        <v>234</v>
      </c>
    </row>
    <row r="10" spans="1:1" x14ac:dyDescent="0.25">
      <c r="A10" s="403" t="s">
        <v>235</v>
      </c>
    </row>
    <row r="11" spans="1:1" x14ac:dyDescent="0.25">
      <c r="A11" s="403" t="s">
        <v>236</v>
      </c>
    </row>
    <row r="12" spans="1:1" x14ac:dyDescent="0.25">
      <c r="A12" s="403" t="s">
        <v>237</v>
      </c>
    </row>
    <row r="13" spans="1:1" x14ac:dyDescent="0.25">
      <c r="A13" s="403" t="s">
        <v>238</v>
      </c>
    </row>
    <row r="14" spans="1:1" x14ac:dyDescent="0.25">
      <c r="A14" s="403" t="s">
        <v>239</v>
      </c>
    </row>
    <row r="15" spans="1:1" x14ac:dyDescent="0.25">
      <c r="A15" s="403" t="s">
        <v>240</v>
      </c>
    </row>
    <row r="16" spans="1:1" x14ac:dyDescent="0.25">
      <c r="A16" s="403" t="s">
        <v>241</v>
      </c>
    </row>
    <row r="17" spans="1:1" x14ac:dyDescent="0.25">
      <c r="A17" s="403" t="s">
        <v>242</v>
      </c>
    </row>
    <row r="18" spans="1:1" x14ac:dyDescent="0.25">
      <c r="A18" s="403" t="s">
        <v>243</v>
      </c>
    </row>
    <row r="19" spans="1:1" x14ac:dyDescent="0.25">
      <c r="A19" s="403" t="s">
        <v>244</v>
      </c>
    </row>
    <row r="20" spans="1:1" x14ac:dyDescent="0.25">
      <c r="A20" s="403" t="s">
        <v>245</v>
      </c>
    </row>
    <row r="21" spans="1:1" x14ac:dyDescent="0.25">
      <c r="A21" s="403" t="s">
        <v>246</v>
      </c>
    </row>
    <row r="22" spans="1:1" x14ac:dyDescent="0.25">
      <c r="A22" s="403" t="s">
        <v>247</v>
      </c>
    </row>
    <row r="23" spans="1:1" x14ac:dyDescent="0.25">
      <c r="A23" s="403" t="s">
        <v>248</v>
      </c>
    </row>
    <row r="24" spans="1:1" x14ac:dyDescent="0.25">
      <c r="A24" s="403" t="s">
        <v>249</v>
      </c>
    </row>
    <row r="25" spans="1:1" x14ac:dyDescent="0.25">
      <c r="A25" s="403" t="s">
        <v>250</v>
      </c>
    </row>
    <row r="26" spans="1:1" x14ac:dyDescent="0.25">
      <c r="A26" s="403" t="s">
        <v>251</v>
      </c>
    </row>
    <row r="27" spans="1:1" x14ac:dyDescent="0.25">
      <c r="A27" s="403" t="s">
        <v>252</v>
      </c>
    </row>
    <row r="28" spans="1:1" x14ac:dyDescent="0.25">
      <c r="A28" s="403" t="s">
        <v>253</v>
      </c>
    </row>
    <row r="29" spans="1:1" x14ac:dyDescent="0.25">
      <c r="A29" s="403" t="s">
        <v>254</v>
      </c>
    </row>
    <row r="30" spans="1:1" x14ac:dyDescent="0.25">
      <c r="A30" s="403" t="s">
        <v>255</v>
      </c>
    </row>
    <row r="31" spans="1:1" x14ac:dyDescent="0.25">
      <c r="A31" s="403" t="s">
        <v>256</v>
      </c>
    </row>
    <row r="32" spans="1:1" x14ac:dyDescent="0.25">
      <c r="A32" s="403" t="s">
        <v>257</v>
      </c>
    </row>
    <row r="33" spans="1:2" x14ac:dyDescent="0.25">
      <c r="A33" s="403"/>
    </row>
    <row r="34" spans="1:2" x14ac:dyDescent="0.25">
      <c r="A34" s="401" t="s">
        <v>312</v>
      </c>
    </row>
    <row r="35" spans="1:2" x14ac:dyDescent="0.25">
      <c r="B35" s="401" t="s">
        <v>258</v>
      </c>
    </row>
    <row r="36" spans="1:2" x14ac:dyDescent="0.25">
      <c r="A36" s="397"/>
    </row>
    <row r="37" spans="1:2" x14ac:dyDescent="0.25">
      <c r="A37" s="397" t="s">
        <v>259</v>
      </c>
    </row>
    <row r="38" spans="1:2" x14ac:dyDescent="0.25">
      <c r="A38" s="397"/>
    </row>
    <row r="39" spans="1:2" x14ac:dyDescent="0.25">
      <c r="A39" s="399" t="s">
        <v>260</v>
      </c>
      <c r="B39" s="399" t="s">
        <v>261</v>
      </c>
    </row>
    <row r="40" spans="1:2" x14ac:dyDescent="0.25">
      <c r="A40" s="400" t="s">
        <v>260</v>
      </c>
      <c r="B40" s="400" t="s">
        <v>262</v>
      </c>
    </row>
    <row r="41" spans="1:2" x14ac:dyDescent="0.25">
      <c r="A41" s="399" t="s">
        <v>260</v>
      </c>
      <c r="B41" s="399" t="s">
        <v>263</v>
      </c>
    </row>
    <row r="42" spans="1:2" x14ac:dyDescent="0.25">
      <c r="A42" s="400"/>
    </row>
    <row r="43" spans="1:2" x14ac:dyDescent="0.25">
      <c r="A43" s="397" t="s">
        <v>264</v>
      </c>
    </row>
    <row r="44" spans="1:2" x14ac:dyDescent="0.25">
      <c r="A44" s="397"/>
    </row>
    <row r="45" spans="1:2" x14ac:dyDescent="0.25">
      <c r="A45" s="399" t="s">
        <v>260</v>
      </c>
      <c r="B45" s="399" t="s">
        <v>265</v>
      </c>
    </row>
    <row r="46" spans="1:2" x14ac:dyDescent="0.25">
      <c r="A46" s="399" t="s">
        <v>260</v>
      </c>
      <c r="B46" s="399" t="s">
        <v>266</v>
      </c>
    </row>
    <row r="47" spans="1:2" x14ac:dyDescent="0.25">
      <c r="A47" s="399" t="s">
        <v>260</v>
      </c>
      <c r="B47" s="399" t="s">
        <v>267</v>
      </c>
    </row>
    <row r="48" spans="1:2" x14ac:dyDescent="0.25">
      <c r="A48" s="399" t="s">
        <v>260</v>
      </c>
      <c r="B48" s="399" t="s">
        <v>268</v>
      </c>
    </row>
    <row r="49" spans="1:2" x14ac:dyDescent="0.25">
      <c r="A49" s="399" t="s">
        <v>260</v>
      </c>
      <c r="B49" s="399" t="s">
        <v>269</v>
      </c>
    </row>
    <row r="50" spans="1:2" x14ac:dyDescent="0.25">
      <c r="A50" s="399" t="s">
        <v>260</v>
      </c>
      <c r="B50" s="399" t="s">
        <v>270</v>
      </c>
    </row>
    <row r="51" spans="1:2" x14ac:dyDescent="0.25">
      <c r="A51" s="399" t="s">
        <v>260</v>
      </c>
      <c r="B51" s="399" t="s">
        <v>271</v>
      </c>
    </row>
    <row r="52" spans="1:2" x14ac:dyDescent="0.25">
      <c r="A52" s="399" t="s">
        <v>260</v>
      </c>
      <c r="B52" s="399" t="s">
        <v>272</v>
      </c>
    </row>
    <row r="53" spans="1:2" x14ac:dyDescent="0.25">
      <c r="A53" s="400" t="s">
        <v>260</v>
      </c>
      <c r="B53" s="400" t="s">
        <v>273</v>
      </c>
    </row>
    <row r="54" spans="1:2" x14ac:dyDescent="0.25">
      <c r="A54" s="400"/>
      <c r="B54" s="400"/>
    </row>
    <row r="55" spans="1:2" x14ac:dyDescent="0.25">
      <c r="A55" s="401" t="s">
        <v>313</v>
      </c>
    </row>
    <row r="56" spans="1:2" x14ac:dyDescent="0.25">
      <c r="A56" s="401"/>
      <c r="B56" s="402" t="s">
        <v>345</v>
      </c>
    </row>
    <row r="57" spans="1:2" x14ac:dyDescent="0.25">
      <c r="B57" s="397" t="s">
        <v>274</v>
      </c>
    </row>
    <row r="58" spans="1:2" x14ac:dyDescent="0.25">
      <c r="A58" s="399"/>
    </row>
    <row r="59" spans="1:2" x14ac:dyDescent="0.25">
      <c r="A59" s="399" t="s">
        <v>260</v>
      </c>
      <c r="B59" s="399" t="s">
        <v>275</v>
      </c>
    </row>
    <row r="60" spans="1:2" x14ac:dyDescent="0.25">
      <c r="A60" s="400" t="s">
        <v>260</v>
      </c>
      <c r="B60" s="400" t="s">
        <v>276</v>
      </c>
    </row>
    <row r="61" spans="1:2" x14ac:dyDescent="0.25">
      <c r="A61" s="399" t="s">
        <v>260</v>
      </c>
      <c r="B61" s="399" t="s">
        <v>277</v>
      </c>
    </row>
    <row r="62" spans="1:2" x14ac:dyDescent="0.25">
      <c r="A62" s="399" t="s">
        <v>260</v>
      </c>
      <c r="B62" s="399" t="s">
        <v>278</v>
      </c>
    </row>
    <row r="63" spans="1:2" x14ac:dyDescent="0.25">
      <c r="A63" s="399" t="s">
        <v>260</v>
      </c>
      <c r="B63" s="399" t="s">
        <v>279</v>
      </c>
    </row>
    <row r="64" spans="1:2" x14ac:dyDescent="0.25">
      <c r="A64" s="399" t="s">
        <v>260</v>
      </c>
      <c r="B64" s="399" t="s">
        <v>280</v>
      </c>
    </row>
    <row r="65" spans="1:2" x14ac:dyDescent="0.25">
      <c r="A65" s="399"/>
      <c r="B65" s="399"/>
    </row>
    <row r="66" spans="1:2" x14ac:dyDescent="0.25">
      <c r="A66" s="401" t="s">
        <v>314</v>
      </c>
    </row>
    <row r="67" spans="1:2" x14ac:dyDescent="0.25">
      <c r="B67" s="397" t="s">
        <v>281</v>
      </c>
    </row>
    <row r="68" spans="1:2" x14ac:dyDescent="0.25">
      <c r="A68" s="397"/>
    </row>
    <row r="69" spans="1:2" x14ac:dyDescent="0.25">
      <c r="A69" s="400" t="s">
        <v>260</v>
      </c>
      <c r="B69" s="400" t="s">
        <v>282</v>
      </c>
    </row>
    <row r="70" spans="1:2" x14ac:dyDescent="0.25">
      <c r="A70" s="399" t="s">
        <v>260</v>
      </c>
      <c r="B70" s="399" t="s">
        <v>283</v>
      </c>
    </row>
    <row r="71" spans="1:2" x14ac:dyDescent="0.25">
      <c r="A71" s="400" t="s">
        <v>260</v>
      </c>
      <c r="B71" s="400" t="s">
        <v>284</v>
      </c>
    </row>
    <row r="72" spans="1:2" x14ac:dyDescent="0.25">
      <c r="A72" s="400" t="s">
        <v>260</v>
      </c>
      <c r="B72" s="400" t="s">
        <v>285</v>
      </c>
    </row>
    <row r="73" spans="1:2" x14ac:dyDescent="0.25">
      <c r="A73" s="397"/>
    </row>
    <row r="74" spans="1:2" x14ac:dyDescent="0.25">
      <c r="B74" s="397" t="s">
        <v>286</v>
      </c>
    </row>
    <row r="75" spans="1:2" x14ac:dyDescent="0.25">
      <c r="A75" s="401" t="s">
        <v>312</v>
      </c>
    </row>
    <row r="76" spans="1:2" x14ac:dyDescent="0.25">
      <c r="B76" s="401" t="s">
        <v>287</v>
      </c>
    </row>
    <row r="77" spans="1:2" ht="15.75" thickBot="1" x14ac:dyDescent="0.3">
      <c r="B77" s="401"/>
    </row>
    <row r="78" spans="1:2" x14ac:dyDescent="0.25">
      <c r="A78" s="417" t="s">
        <v>315</v>
      </c>
    </row>
    <row r="79" spans="1:2" ht="15.75" thickBot="1" x14ac:dyDescent="0.3">
      <c r="A79" s="416" t="s">
        <v>288</v>
      </c>
    </row>
    <row r="80" spans="1:2" x14ac:dyDescent="0.25">
      <c r="A80" s="397"/>
    </row>
    <row r="81" spans="1:2" x14ac:dyDescent="0.25">
      <c r="A81" s="397" t="s">
        <v>289</v>
      </c>
    </row>
    <row r="82" spans="1:2" x14ac:dyDescent="0.25">
      <c r="A82" s="397"/>
    </row>
    <row r="83" spans="1:2" x14ac:dyDescent="0.25">
      <c r="A83" s="406" t="s">
        <v>260</v>
      </c>
      <c r="B83" s="399" t="s">
        <v>290</v>
      </c>
    </row>
    <row r="84" spans="1:2" x14ac:dyDescent="0.25">
      <c r="A84" s="406" t="s">
        <v>260</v>
      </c>
      <c r="B84" s="399" t="s">
        <v>291</v>
      </c>
    </row>
    <row r="85" spans="1:2" x14ac:dyDescent="0.25">
      <c r="A85" s="406" t="s">
        <v>260</v>
      </c>
      <c r="B85" s="399" t="s">
        <v>292</v>
      </c>
    </row>
    <row r="86" spans="1:2" x14ac:dyDescent="0.25">
      <c r="A86" s="406" t="s">
        <v>260</v>
      </c>
      <c r="B86" s="399" t="s">
        <v>293</v>
      </c>
    </row>
    <row r="87" spans="1:2" x14ac:dyDescent="0.25">
      <c r="A87" s="406" t="s">
        <v>260</v>
      </c>
      <c r="B87" s="399" t="s">
        <v>294</v>
      </c>
    </row>
    <row r="88" spans="1:2" x14ac:dyDescent="0.25">
      <c r="A88" s="406" t="s">
        <v>260</v>
      </c>
      <c r="B88" s="400" t="s">
        <v>295</v>
      </c>
    </row>
    <row r="89" spans="1:2" x14ac:dyDescent="0.25">
      <c r="A89" s="406" t="s">
        <v>260</v>
      </c>
      <c r="B89" s="400" t="s">
        <v>296</v>
      </c>
    </row>
    <row r="90" spans="1:2" x14ac:dyDescent="0.25">
      <c r="A90" s="397"/>
    </row>
    <row r="91" spans="1:2" x14ac:dyDescent="0.25">
      <c r="A91" s="397" t="s">
        <v>297</v>
      </c>
    </row>
    <row r="92" spans="1:2" x14ac:dyDescent="0.25">
      <c r="A92" s="397"/>
    </row>
    <row r="93" spans="1:2" x14ac:dyDescent="0.25">
      <c r="A93" s="406" t="s">
        <v>260</v>
      </c>
      <c r="B93" s="399" t="s">
        <v>298</v>
      </c>
    </row>
    <row r="94" spans="1:2" x14ac:dyDescent="0.25">
      <c r="A94" s="406" t="s">
        <v>260</v>
      </c>
      <c r="B94" s="399" t="s">
        <v>299</v>
      </c>
    </row>
    <row r="95" spans="1:2" x14ac:dyDescent="0.25">
      <c r="A95" s="406" t="s">
        <v>260</v>
      </c>
      <c r="B95" s="399" t="s">
        <v>300</v>
      </c>
    </row>
    <row r="96" spans="1:2" x14ac:dyDescent="0.25">
      <c r="A96" s="406" t="s">
        <v>260</v>
      </c>
      <c r="B96" s="399" t="s">
        <v>301</v>
      </c>
    </row>
    <row r="97" spans="1:2" x14ac:dyDescent="0.25">
      <c r="A97" s="406" t="s">
        <v>260</v>
      </c>
      <c r="B97" s="399" t="s">
        <v>302</v>
      </c>
    </row>
    <row r="98" spans="1:2" x14ac:dyDescent="0.25">
      <c r="A98" s="406" t="s">
        <v>260</v>
      </c>
      <c r="B98" s="399" t="s">
        <v>303</v>
      </c>
    </row>
    <row r="99" spans="1:2" x14ac:dyDescent="0.25">
      <c r="A99" s="406" t="s">
        <v>260</v>
      </c>
      <c r="B99" s="399" t="s">
        <v>292</v>
      </c>
    </row>
    <row r="100" spans="1:2" x14ac:dyDescent="0.25">
      <c r="A100" s="406" t="s">
        <v>260</v>
      </c>
      <c r="B100" s="400" t="s">
        <v>304</v>
      </c>
    </row>
    <row r="101" spans="1:2" x14ac:dyDescent="0.25">
      <c r="A101" s="406" t="s">
        <v>260</v>
      </c>
      <c r="B101" s="399" t="s">
        <v>305</v>
      </c>
    </row>
    <row r="102" spans="1:2" x14ac:dyDescent="0.25">
      <c r="A102" s="406" t="s">
        <v>260</v>
      </c>
      <c r="B102" s="399" t="s">
        <v>306</v>
      </c>
    </row>
    <row r="103" spans="1:2" x14ac:dyDescent="0.25">
      <c r="A103" s="406" t="s">
        <v>260</v>
      </c>
      <c r="B103" s="399" t="s">
        <v>294</v>
      </c>
    </row>
    <row r="104" spans="1:2" x14ac:dyDescent="0.25">
      <c r="A104" s="406" t="s">
        <v>260</v>
      </c>
      <c r="B104" s="399" t="s">
        <v>307</v>
      </c>
    </row>
    <row r="105" spans="1:2" x14ac:dyDescent="0.25">
      <c r="A105" s="406" t="s">
        <v>260</v>
      </c>
      <c r="B105" s="399" t="s">
        <v>308</v>
      </c>
    </row>
    <row r="106" spans="1:2" x14ac:dyDescent="0.25">
      <c r="A106" s="406" t="s">
        <v>260</v>
      </c>
      <c r="B106" s="400" t="s">
        <v>309</v>
      </c>
    </row>
    <row r="107" spans="1:2" x14ac:dyDescent="0.25">
      <c r="A107" s="397" t="s">
        <v>310</v>
      </c>
    </row>
    <row r="108" spans="1:2" ht="15.75" thickBot="1" x14ac:dyDescent="0.3">
      <c r="A108" s="397"/>
    </row>
    <row r="109" spans="1:2" x14ac:dyDescent="0.25">
      <c r="A109" s="412" t="s">
        <v>344</v>
      </c>
    </row>
    <row r="110" spans="1:2" ht="15.75" thickBot="1" x14ac:dyDescent="0.3">
      <c r="A110" s="416" t="s">
        <v>358</v>
      </c>
    </row>
    <row r="111" spans="1:2" x14ac:dyDescent="0.25">
      <c r="A111" s="397" t="s">
        <v>316</v>
      </c>
    </row>
    <row r="112" spans="1:2" x14ac:dyDescent="0.25">
      <c r="A112" s="397"/>
    </row>
    <row r="113" spans="1:2" x14ac:dyDescent="0.25">
      <c r="A113" s="406" t="s">
        <v>260</v>
      </c>
      <c r="B113" s="400" t="s">
        <v>317</v>
      </c>
    </row>
    <row r="114" spans="1:2" x14ac:dyDescent="0.25">
      <c r="A114" s="406" t="s">
        <v>260</v>
      </c>
      <c r="B114" s="400" t="s">
        <v>318</v>
      </c>
    </row>
    <row r="115" spans="1:2" x14ac:dyDescent="0.25">
      <c r="A115" s="406" t="s">
        <v>260</v>
      </c>
      <c r="B115" s="400" t="s">
        <v>319</v>
      </c>
    </row>
    <row r="116" spans="1:2" x14ac:dyDescent="0.25">
      <c r="A116" s="406" t="s">
        <v>260</v>
      </c>
      <c r="B116" s="399" t="s">
        <v>320</v>
      </c>
    </row>
    <row r="117" spans="1:2" x14ac:dyDescent="0.25">
      <c r="A117" s="406" t="s">
        <v>260</v>
      </c>
      <c r="B117" s="399" t="s">
        <v>321</v>
      </c>
    </row>
    <row r="118" spans="1:2" x14ac:dyDescent="0.25">
      <c r="A118" s="399"/>
    </row>
    <row r="119" spans="1:2" x14ac:dyDescent="0.25">
      <c r="A119" s="397" t="s">
        <v>322</v>
      </c>
    </row>
    <row r="120" spans="1:2" x14ac:dyDescent="0.25">
      <c r="A120" s="397"/>
    </row>
    <row r="121" spans="1:2" x14ac:dyDescent="0.25">
      <c r="A121" s="406" t="s">
        <v>260</v>
      </c>
      <c r="B121" s="399" t="s">
        <v>323</v>
      </c>
    </row>
    <row r="122" spans="1:2" x14ac:dyDescent="0.25">
      <c r="A122" s="406" t="s">
        <v>260</v>
      </c>
      <c r="B122" s="399" t="s">
        <v>324</v>
      </c>
    </row>
    <row r="123" spans="1:2" x14ac:dyDescent="0.25">
      <c r="A123" s="406" t="s">
        <v>260</v>
      </c>
      <c r="B123" s="399" t="s">
        <v>325</v>
      </c>
    </row>
    <row r="124" spans="1:2" x14ac:dyDescent="0.25">
      <c r="A124" s="406" t="s">
        <v>260</v>
      </c>
      <c r="B124" s="399" t="s">
        <v>326</v>
      </c>
    </row>
    <row r="125" spans="1:2" x14ac:dyDescent="0.25">
      <c r="A125" s="406" t="s">
        <v>260</v>
      </c>
      <c r="B125" s="404" t="s">
        <v>327</v>
      </c>
    </row>
    <row r="126" spans="1:2" x14ac:dyDescent="0.25">
      <c r="A126" s="406" t="s">
        <v>260</v>
      </c>
      <c r="B126" s="399" t="s">
        <v>328</v>
      </c>
    </row>
    <row r="127" spans="1:2" x14ac:dyDescent="0.25">
      <c r="A127" s="406" t="s">
        <v>260</v>
      </c>
      <c r="B127" s="399" t="s">
        <v>329</v>
      </c>
    </row>
    <row r="128" spans="1:2" x14ac:dyDescent="0.25">
      <c r="A128" s="406" t="s">
        <v>260</v>
      </c>
      <c r="B128" s="399" t="s">
        <v>330</v>
      </c>
    </row>
    <row r="129" spans="1:2" x14ac:dyDescent="0.25">
      <c r="A129" s="406" t="s">
        <v>260</v>
      </c>
      <c r="B129" s="399" t="s">
        <v>331</v>
      </c>
    </row>
    <row r="130" spans="1:2" x14ac:dyDescent="0.25">
      <c r="A130" s="406" t="s">
        <v>260</v>
      </c>
      <c r="B130" s="399" t="s">
        <v>332</v>
      </c>
    </row>
    <row r="131" spans="1:2" x14ac:dyDescent="0.25">
      <c r="A131" s="397"/>
    </row>
    <row r="132" spans="1:2" x14ac:dyDescent="0.25">
      <c r="A132" s="397" t="s">
        <v>333</v>
      </c>
    </row>
    <row r="133" spans="1:2" x14ac:dyDescent="0.25">
      <c r="A133" s="397"/>
    </row>
    <row r="134" spans="1:2" x14ac:dyDescent="0.25">
      <c r="A134" s="406" t="s">
        <v>260</v>
      </c>
      <c r="B134" s="399" t="s">
        <v>334</v>
      </c>
    </row>
    <row r="135" spans="1:2" x14ac:dyDescent="0.25">
      <c r="A135" s="406" t="s">
        <v>260</v>
      </c>
      <c r="B135" s="399" t="s">
        <v>335</v>
      </c>
    </row>
    <row r="136" spans="1:2" x14ac:dyDescent="0.25">
      <c r="A136" s="406" t="s">
        <v>260</v>
      </c>
      <c r="B136" s="399" t="s">
        <v>336</v>
      </c>
    </row>
    <row r="137" spans="1:2" x14ac:dyDescent="0.25">
      <c r="A137" s="406" t="s">
        <v>260</v>
      </c>
      <c r="B137" s="399" t="s">
        <v>337</v>
      </c>
    </row>
    <row r="138" spans="1:2" x14ac:dyDescent="0.25">
      <c r="A138" s="406" t="s">
        <v>260</v>
      </c>
      <c r="B138" s="399" t="s">
        <v>338</v>
      </c>
    </row>
    <row r="139" spans="1:2" x14ac:dyDescent="0.25">
      <c r="A139" s="406" t="s">
        <v>260</v>
      </c>
      <c r="B139" s="399" t="s">
        <v>339</v>
      </c>
    </row>
    <row r="140" spans="1:2" x14ac:dyDescent="0.25">
      <c r="A140" s="406" t="s">
        <v>260</v>
      </c>
      <c r="B140" s="399" t="s">
        <v>340</v>
      </c>
    </row>
    <row r="141" spans="1:2" x14ac:dyDescent="0.25">
      <c r="A141" s="406" t="s">
        <v>260</v>
      </c>
      <c r="B141" s="399" t="s">
        <v>341</v>
      </c>
    </row>
    <row r="142" spans="1:2" x14ac:dyDescent="0.25">
      <c r="A142" s="397"/>
    </row>
    <row r="143" spans="1:2" x14ac:dyDescent="0.25">
      <c r="A143" s="405" t="s">
        <v>342</v>
      </c>
    </row>
    <row r="144" spans="1:2" ht="15.75" thickBot="1" x14ac:dyDescent="0.3">
      <c r="A144" s="397" t="s">
        <v>343</v>
      </c>
    </row>
    <row r="145" spans="1:2" x14ac:dyDescent="0.25">
      <c r="A145" s="412" t="s">
        <v>357</v>
      </c>
    </row>
    <row r="146" spans="1:2" ht="15.75" thickBot="1" x14ac:dyDescent="0.3">
      <c r="A146" s="416" t="s">
        <v>346</v>
      </c>
      <c r="B146"/>
    </row>
    <row r="147" spans="1:2" x14ac:dyDescent="0.25">
      <c r="A147" s="397" t="s">
        <v>347</v>
      </c>
      <c r="B147"/>
    </row>
    <row r="148" spans="1:2" x14ac:dyDescent="0.25">
      <c r="A148" s="397"/>
      <c r="B148"/>
    </row>
    <row r="149" spans="1:2" x14ac:dyDescent="0.25">
      <c r="A149" s="406" t="s">
        <v>260</v>
      </c>
      <c r="B149" s="399" t="s">
        <v>348</v>
      </c>
    </row>
    <row r="150" spans="1:2" x14ac:dyDescent="0.25">
      <c r="A150" s="406" t="s">
        <v>260</v>
      </c>
      <c r="B150" s="399" t="s">
        <v>349</v>
      </c>
    </row>
    <row r="151" spans="1:2" x14ac:dyDescent="0.25">
      <c r="A151" s="406" t="s">
        <v>260</v>
      </c>
      <c r="B151" s="399" t="s">
        <v>350</v>
      </c>
    </row>
    <row r="152" spans="1:2" x14ac:dyDescent="0.25">
      <c r="A152" s="406" t="s">
        <v>260</v>
      </c>
      <c r="B152" s="399" t="s">
        <v>351</v>
      </c>
    </row>
    <row r="153" spans="1:2" x14ac:dyDescent="0.25">
      <c r="A153" s="406" t="s">
        <v>260</v>
      </c>
      <c r="B153" s="399" t="s">
        <v>352</v>
      </c>
    </row>
    <row r="154" spans="1:2" x14ac:dyDescent="0.25">
      <c r="A154" s="406" t="s">
        <v>260</v>
      </c>
      <c r="B154" s="399" t="s">
        <v>353</v>
      </c>
    </row>
    <row r="155" spans="1:2" x14ac:dyDescent="0.25">
      <c r="A155" s="406" t="s">
        <v>260</v>
      </c>
      <c r="B155" s="399" t="s">
        <v>354</v>
      </c>
    </row>
    <row r="156" spans="1:2" x14ac:dyDescent="0.25">
      <c r="A156" s="406" t="s">
        <v>260</v>
      </c>
      <c r="B156" s="399" t="s">
        <v>355</v>
      </c>
    </row>
    <row r="157" spans="1:2" x14ac:dyDescent="0.25">
      <c r="A157" s="406" t="s">
        <v>260</v>
      </c>
      <c r="B157" s="399" t="s">
        <v>356</v>
      </c>
    </row>
    <row r="159" spans="1:2" ht="15.75" thickBot="1" x14ac:dyDescent="0.3"/>
    <row r="160" spans="1:2" x14ac:dyDescent="0.25">
      <c r="A160" s="414" t="s">
        <v>397</v>
      </c>
    </row>
    <row r="161" spans="1:2" ht="15.75" thickBot="1" x14ac:dyDescent="0.3">
      <c r="A161" s="415" t="s">
        <v>360</v>
      </c>
      <c r="B161"/>
    </row>
    <row r="162" spans="1:2" x14ac:dyDescent="0.25">
      <c r="A162" s="397" t="s">
        <v>361</v>
      </c>
      <c r="B162"/>
    </row>
    <row r="163" spans="1:2" x14ac:dyDescent="0.25">
      <c r="A163" s="397"/>
      <c r="B163"/>
    </row>
    <row r="164" spans="1:2" x14ac:dyDescent="0.25">
      <c r="A164" s="406" t="s">
        <v>260</v>
      </c>
      <c r="B164" s="399" t="s">
        <v>362</v>
      </c>
    </row>
    <row r="165" spans="1:2" x14ac:dyDescent="0.25">
      <c r="A165" s="406" t="s">
        <v>260</v>
      </c>
      <c r="B165" s="399" t="s">
        <v>363</v>
      </c>
    </row>
    <row r="166" spans="1:2" x14ac:dyDescent="0.25">
      <c r="A166" s="406" t="s">
        <v>260</v>
      </c>
      <c r="B166" s="399" t="s">
        <v>364</v>
      </c>
    </row>
    <row r="167" spans="1:2" x14ac:dyDescent="0.25">
      <c r="A167" s="406" t="s">
        <v>260</v>
      </c>
      <c r="B167" s="399" t="s">
        <v>365</v>
      </c>
    </row>
    <row r="168" spans="1:2" x14ac:dyDescent="0.25">
      <c r="A168" s="406"/>
      <c r="B168"/>
    </row>
    <row r="169" spans="1:2" x14ac:dyDescent="0.25">
      <c r="A169" s="408"/>
      <c r="B169" s="397" t="s">
        <v>366</v>
      </c>
    </row>
    <row r="170" spans="1:2" x14ac:dyDescent="0.25">
      <c r="A170" s="406"/>
      <c r="B170"/>
    </row>
    <row r="171" spans="1:2" x14ac:dyDescent="0.25">
      <c r="A171" s="406" t="s">
        <v>260</v>
      </c>
      <c r="B171" s="399" t="s">
        <v>367</v>
      </c>
    </row>
    <row r="172" spans="1:2" x14ac:dyDescent="0.25">
      <c r="A172" s="406" t="s">
        <v>260</v>
      </c>
      <c r="B172" s="399" t="s">
        <v>368</v>
      </c>
    </row>
    <row r="173" spans="1:2" x14ac:dyDescent="0.25">
      <c r="A173" s="406" t="s">
        <v>260</v>
      </c>
      <c r="B173" s="399" t="s">
        <v>369</v>
      </c>
    </row>
    <row r="174" spans="1:2" x14ac:dyDescent="0.25">
      <c r="A174" s="406" t="s">
        <v>260</v>
      </c>
      <c r="B174" s="400" t="s">
        <v>370</v>
      </c>
    </row>
    <row r="175" spans="1:2" x14ac:dyDescent="0.25">
      <c r="A175" s="406" t="s">
        <v>260</v>
      </c>
      <c r="B175" s="397" t="s">
        <v>371</v>
      </c>
    </row>
    <row r="176" spans="1:2" x14ac:dyDescent="0.25">
      <c r="A176" s="397"/>
      <c r="B176"/>
    </row>
    <row r="177" spans="1:2" x14ac:dyDescent="0.25">
      <c r="A177" s="403" t="s">
        <v>372</v>
      </c>
      <c r="B177" s="403" t="s">
        <v>373</v>
      </c>
    </row>
    <row r="178" spans="1:2" x14ac:dyDescent="0.25">
      <c r="A178" s="403" t="s">
        <v>372</v>
      </c>
      <c r="B178" s="403" t="s">
        <v>374</v>
      </c>
    </row>
    <row r="179" spans="1:2" x14ac:dyDescent="0.25">
      <c r="A179" s="403" t="s">
        <v>372</v>
      </c>
      <c r="B179" s="403" t="s">
        <v>375</v>
      </c>
    </row>
    <row r="180" spans="1:2" x14ac:dyDescent="0.25">
      <c r="A180" s="403" t="s">
        <v>372</v>
      </c>
      <c r="B180" s="403" t="s">
        <v>376</v>
      </c>
    </row>
    <row r="181" spans="1:2" x14ac:dyDescent="0.25">
      <c r="A181" s="403" t="s">
        <v>372</v>
      </c>
      <c r="B181" s="403" t="s">
        <v>377</v>
      </c>
    </row>
    <row r="182" spans="1:2" x14ac:dyDescent="0.25">
      <c r="A182" s="397" t="s">
        <v>378</v>
      </c>
      <c r="B182"/>
    </row>
    <row r="183" spans="1:2" x14ac:dyDescent="0.25">
      <c r="B183" s="409" t="s">
        <v>379</v>
      </c>
    </row>
    <row r="184" spans="1:2" x14ac:dyDescent="0.25">
      <c r="B184" s="409" t="s">
        <v>380</v>
      </c>
    </row>
    <row r="185" spans="1:2" x14ac:dyDescent="0.25">
      <c r="B185" s="409" t="s">
        <v>381</v>
      </c>
    </row>
    <row r="186" spans="1:2" x14ac:dyDescent="0.25">
      <c r="B186" s="409" t="s">
        <v>382</v>
      </c>
    </row>
    <row r="187" spans="1:2" x14ac:dyDescent="0.25">
      <c r="A187" s="397"/>
      <c r="B187"/>
    </row>
    <row r="188" spans="1:2" x14ac:dyDescent="0.25">
      <c r="A188"/>
      <c r="B188" s="397" t="s">
        <v>383</v>
      </c>
    </row>
    <row r="189" spans="1:2" x14ac:dyDescent="0.25">
      <c r="A189" s="397"/>
      <c r="B189"/>
    </row>
    <row r="190" spans="1:2" x14ac:dyDescent="0.25">
      <c r="A190" s="407" t="s">
        <v>384</v>
      </c>
      <c r="B190"/>
    </row>
    <row r="191" spans="1:2" x14ac:dyDescent="0.25">
      <c r="A191" s="407" t="s">
        <v>385</v>
      </c>
      <c r="B191"/>
    </row>
    <row r="192" spans="1:2" x14ac:dyDescent="0.25">
      <c r="A192" s="399"/>
      <c r="B192"/>
    </row>
    <row r="193" spans="1:2" x14ac:dyDescent="0.25">
      <c r="A193" s="399" t="s">
        <v>386</v>
      </c>
      <c r="B193"/>
    </row>
    <row r="194" spans="1:2" x14ac:dyDescent="0.25">
      <c r="A194" s="399" t="s">
        <v>387</v>
      </c>
      <c r="B194"/>
    </row>
    <row r="195" spans="1:2" x14ac:dyDescent="0.25">
      <c r="A195" s="399" t="s">
        <v>388</v>
      </c>
      <c r="B195"/>
    </row>
    <row r="196" spans="1:2" x14ac:dyDescent="0.25">
      <c r="A196" s="399" t="s">
        <v>389</v>
      </c>
      <c r="B196"/>
    </row>
    <row r="197" spans="1:2" x14ac:dyDescent="0.25">
      <c r="A197" s="399" t="s">
        <v>390</v>
      </c>
      <c r="B197"/>
    </row>
    <row r="198" spans="1:2" x14ac:dyDescent="0.25">
      <c r="A198" s="399" t="s">
        <v>391</v>
      </c>
      <c r="B198"/>
    </row>
    <row r="199" spans="1:2" x14ac:dyDescent="0.25">
      <c r="A199" s="399" t="s">
        <v>392</v>
      </c>
      <c r="B199"/>
    </row>
    <row r="200" spans="1:2" x14ac:dyDescent="0.25">
      <c r="A200" s="399" t="s">
        <v>393</v>
      </c>
      <c r="B200"/>
    </row>
    <row r="201" spans="1:2" x14ac:dyDescent="0.25">
      <c r="A201" s="399" t="s">
        <v>394</v>
      </c>
      <c r="B201"/>
    </row>
    <row r="202" spans="1:2" x14ac:dyDescent="0.25">
      <c r="A202" s="399" t="s">
        <v>395</v>
      </c>
      <c r="B202"/>
    </row>
    <row r="203" spans="1:2" x14ac:dyDescent="0.25">
      <c r="A203" s="397"/>
      <c r="B203"/>
    </row>
    <row r="204" spans="1:2" x14ac:dyDescent="0.25">
      <c r="A204" s="397" t="s">
        <v>396</v>
      </c>
      <c r="B204"/>
    </row>
    <row r="205" spans="1:2" ht="15.75" thickBot="1" x14ac:dyDescent="0.3"/>
    <row r="206" spans="1:2" x14ac:dyDescent="0.25">
      <c r="A206" s="412" t="s">
        <v>442</v>
      </c>
    </row>
    <row r="207" spans="1:2" ht="15.75" thickBot="1" x14ac:dyDescent="0.3">
      <c r="A207" s="413" t="s">
        <v>443</v>
      </c>
    </row>
    <row r="208" spans="1:2" x14ac:dyDescent="0.25">
      <c r="A208" s="411"/>
    </row>
    <row r="209" spans="1:1" x14ac:dyDescent="0.25">
      <c r="A209" s="410" t="s">
        <v>398</v>
      </c>
    </row>
    <row r="210" spans="1:1" x14ac:dyDescent="0.25">
      <c r="A210" s="407" t="s">
        <v>399</v>
      </c>
    </row>
    <row r="211" spans="1:1" x14ac:dyDescent="0.25">
      <c r="A211" s="407" t="s">
        <v>400</v>
      </c>
    </row>
    <row r="212" spans="1:1" x14ac:dyDescent="0.25">
      <c r="A212" s="407" t="s">
        <v>401</v>
      </c>
    </row>
    <row r="213" spans="1:1" x14ac:dyDescent="0.25">
      <c r="A213" s="407" t="s">
        <v>402</v>
      </c>
    </row>
    <row r="214" spans="1:1" x14ac:dyDescent="0.25">
      <c r="A214" s="410" t="s">
        <v>403</v>
      </c>
    </row>
    <row r="215" spans="1:1" x14ac:dyDescent="0.25">
      <c r="A215" s="407" t="s">
        <v>404</v>
      </c>
    </row>
    <row r="216" spans="1:1" x14ac:dyDescent="0.25">
      <c r="A216" s="407" t="s">
        <v>405</v>
      </c>
    </row>
    <row r="217" spans="1:1" x14ac:dyDescent="0.25">
      <c r="A217" s="407" t="s">
        <v>406</v>
      </c>
    </row>
    <row r="218" spans="1:1" x14ac:dyDescent="0.25">
      <c r="A218" s="407" t="s">
        <v>407</v>
      </c>
    </row>
    <row r="219" spans="1:1" x14ac:dyDescent="0.25">
      <c r="A219" s="407" t="s">
        <v>408</v>
      </c>
    </row>
    <row r="220" spans="1:1" x14ac:dyDescent="0.25">
      <c r="A220" s="407" t="s">
        <v>409</v>
      </c>
    </row>
    <row r="221" spans="1:1" x14ac:dyDescent="0.25">
      <c r="A221" s="407" t="s">
        <v>410</v>
      </c>
    </row>
    <row r="222" spans="1:1" x14ac:dyDescent="0.25">
      <c r="A222" s="407" t="s">
        <v>411</v>
      </c>
    </row>
    <row r="223" spans="1:1" x14ac:dyDescent="0.25">
      <c r="A223" s="397"/>
    </row>
    <row r="224" spans="1:1" x14ac:dyDescent="0.25">
      <c r="A224" s="410" t="s">
        <v>412</v>
      </c>
    </row>
    <row r="225" spans="1:1" x14ac:dyDescent="0.25">
      <c r="A225" s="397" t="s">
        <v>413</v>
      </c>
    </row>
    <row r="226" spans="1:1" x14ac:dyDescent="0.25">
      <c r="A226" s="407" t="s">
        <v>414</v>
      </c>
    </row>
    <row r="227" spans="1:1" x14ac:dyDescent="0.25">
      <c r="A227" s="407" t="s">
        <v>415</v>
      </c>
    </row>
    <row r="228" spans="1:1" x14ac:dyDescent="0.25">
      <c r="A228" s="407" t="s">
        <v>416</v>
      </c>
    </row>
    <row r="229" spans="1:1" x14ac:dyDescent="0.25">
      <c r="A229" s="407" t="s">
        <v>417</v>
      </c>
    </row>
    <row r="230" spans="1:1" x14ac:dyDescent="0.25">
      <c r="A230" s="407" t="s">
        <v>418</v>
      </c>
    </row>
    <row r="231" spans="1:1" x14ac:dyDescent="0.25">
      <c r="A231" s="407" t="s">
        <v>419</v>
      </c>
    </row>
    <row r="232" spans="1:1" x14ac:dyDescent="0.25">
      <c r="A232" s="407" t="s">
        <v>420</v>
      </c>
    </row>
    <row r="233" spans="1:1" x14ac:dyDescent="0.25">
      <c r="A233" s="407" t="s">
        <v>421</v>
      </c>
    </row>
    <row r="234" spans="1:1" x14ac:dyDescent="0.25">
      <c r="A234" s="407" t="s">
        <v>422</v>
      </c>
    </row>
    <row r="235" spans="1:1" x14ac:dyDescent="0.25">
      <c r="A235" s="407" t="s">
        <v>423</v>
      </c>
    </row>
    <row r="236" spans="1:1" x14ac:dyDescent="0.25">
      <c r="A236" s="407" t="s">
        <v>424</v>
      </c>
    </row>
    <row r="237" spans="1:1" x14ac:dyDescent="0.25">
      <c r="A237" s="397"/>
    </row>
    <row r="238" spans="1:1" x14ac:dyDescent="0.25">
      <c r="A238" s="410" t="s">
        <v>425</v>
      </c>
    </row>
    <row r="239" spans="1:1" x14ac:dyDescent="0.25">
      <c r="A239" s="407" t="s">
        <v>426</v>
      </c>
    </row>
    <row r="240" spans="1:1" x14ac:dyDescent="0.25">
      <c r="A240" s="407" t="s">
        <v>427</v>
      </c>
    </row>
    <row r="241" spans="1:1" x14ac:dyDescent="0.25">
      <c r="A241" s="407" t="s">
        <v>428</v>
      </c>
    </row>
    <row r="242" spans="1:1" x14ac:dyDescent="0.25">
      <c r="A242" s="407" t="s">
        <v>429</v>
      </c>
    </row>
    <row r="243" spans="1:1" x14ac:dyDescent="0.25">
      <c r="A243" s="407" t="s">
        <v>430</v>
      </c>
    </row>
    <row r="244" spans="1:1" x14ac:dyDescent="0.25">
      <c r="A244" s="407" t="s">
        <v>431</v>
      </c>
    </row>
    <row r="245" spans="1:1" x14ac:dyDescent="0.25">
      <c r="A245" s="407" t="s">
        <v>432</v>
      </c>
    </row>
    <row r="246" spans="1:1" x14ac:dyDescent="0.25">
      <c r="A246" s="407" t="s">
        <v>433</v>
      </c>
    </row>
    <row r="247" spans="1:1" x14ac:dyDescent="0.25">
      <c r="A247" s="407" t="s">
        <v>434</v>
      </c>
    </row>
    <row r="248" spans="1:1" x14ac:dyDescent="0.25">
      <c r="A248" s="407" t="s">
        <v>435</v>
      </c>
    </row>
    <row r="249" spans="1:1" x14ac:dyDescent="0.25">
      <c r="A249" s="407" t="s">
        <v>436</v>
      </c>
    </row>
    <row r="250" spans="1:1" x14ac:dyDescent="0.25">
      <c r="A250" s="407" t="s">
        <v>437</v>
      </c>
    </row>
    <row r="251" spans="1:1" x14ac:dyDescent="0.25">
      <c r="A251" s="397"/>
    </row>
    <row r="252" spans="1:1" x14ac:dyDescent="0.25">
      <c r="A252" s="410" t="s">
        <v>438</v>
      </c>
    </row>
    <row r="253" spans="1:1" x14ac:dyDescent="0.25">
      <c r="A253" s="407" t="s">
        <v>439</v>
      </c>
    </row>
    <row r="254" spans="1:1" x14ac:dyDescent="0.25">
      <c r="A254" s="407" t="s">
        <v>440</v>
      </c>
    </row>
    <row r="255" spans="1:1" x14ac:dyDescent="0.25">
      <c r="A255" s="407" t="s">
        <v>441</v>
      </c>
    </row>
    <row r="256" spans="1:1" x14ac:dyDescent="0.25">
      <c r="A256" s="397"/>
    </row>
  </sheetData>
  <hyperlinks>
    <hyperlink ref="B125" location="_ftn1" display="_ftn1" xr:uid="{773CD42F-276C-45C2-A5FD-51C5195FAFE1}"/>
    <hyperlink ref="A143" location="_ftnref1" display="_ftnref1" xr:uid="{8B7E0C3E-F273-42E6-AB60-13E7D8EBEAF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A277-88B7-488C-A7EC-7A4E14A71F6A}">
  <dimension ref="A1:D18"/>
  <sheetViews>
    <sheetView workbookViewId="0">
      <selection activeCell="D2" sqref="D2"/>
    </sheetView>
  </sheetViews>
  <sheetFormatPr defaultColWidth="8.625" defaultRowHeight="14.25" x14ac:dyDescent="0.2"/>
  <cols>
    <col min="1" max="1" width="18.375" style="1" customWidth="1"/>
    <col min="2" max="2" width="43" style="1" customWidth="1"/>
    <col min="3" max="3" width="34.625" style="1" customWidth="1"/>
    <col min="4" max="4" width="25.625" style="1" customWidth="1"/>
    <col min="5" max="16384" width="8.625" style="1"/>
  </cols>
  <sheetData>
    <row r="1" spans="1:4" ht="15" thickBot="1" x14ac:dyDescent="0.25">
      <c r="D1" s="1" t="s">
        <v>228</v>
      </c>
    </row>
    <row r="2" spans="1:4" ht="213.75" x14ac:dyDescent="0.2">
      <c r="A2" s="109" t="s">
        <v>102</v>
      </c>
      <c r="B2" s="110" t="s">
        <v>89</v>
      </c>
      <c r="C2" s="111" t="s">
        <v>101</v>
      </c>
    </row>
    <row r="3" spans="1:4" x14ac:dyDescent="0.2">
      <c r="A3" s="3"/>
      <c r="B3" s="2" t="s">
        <v>90</v>
      </c>
      <c r="C3" s="4"/>
    </row>
    <row r="4" spans="1:4" x14ac:dyDescent="0.2">
      <c r="A4" s="3"/>
      <c r="B4" s="2" t="s">
        <v>91</v>
      </c>
      <c r="C4" s="4"/>
    </row>
    <row r="5" spans="1:4" ht="15" thickBot="1" x14ac:dyDescent="0.25">
      <c r="A5" s="46"/>
      <c r="B5" s="44" t="s">
        <v>92</v>
      </c>
      <c r="C5" s="14"/>
    </row>
    <row r="6" spans="1:4" ht="15" thickBot="1" x14ac:dyDescent="0.25">
      <c r="A6" s="113"/>
      <c r="B6" s="114"/>
      <c r="C6" s="115"/>
    </row>
    <row r="7" spans="1:4" ht="15" x14ac:dyDescent="0.25">
      <c r="A7" s="116" t="s">
        <v>100</v>
      </c>
      <c r="B7" s="117"/>
      <c r="C7" s="111"/>
    </row>
    <row r="8" spans="1:4" ht="157.5" x14ac:dyDescent="0.25">
      <c r="A8" s="112" t="s">
        <v>40</v>
      </c>
      <c r="B8" s="2" t="s">
        <v>93</v>
      </c>
      <c r="C8" s="4" t="s">
        <v>114</v>
      </c>
    </row>
    <row r="9" spans="1:4" ht="71.25" x14ac:dyDescent="0.2">
      <c r="A9" s="112" t="s">
        <v>94</v>
      </c>
      <c r="B9" s="2" t="s">
        <v>95</v>
      </c>
      <c r="C9" s="4"/>
    </row>
    <row r="10" spans="1:4" ht="71.25" x14ac:dyDescent="0.2">
      <c r="A10" s="112" t="s">
        <v>96</v>
      </c>
      <c r="B10" s="2" t="s">
        <v>97</v>
      </c>
      <c r="C10" s="4"/>
    </row>
    <row r="11" spans="1:4" ht="72" thickBot="1" x14ac:dyDescent="0.25">
      <c r="A11" s="118" t="s">
        <v>98</v>
      </c>
      <c r="B11" s="44" t="s">
        <v>99</v>
      </c>
      <c r="C11" s="14"/>
    </row>
    <row r="12" spans="1:4" ht="15" thickBot="1" x14ac:dyDescent="0.25">
      <c r="A12" s="113"/>
      <c r="B12" s="114"/>
      <c r="C12" s="115"/>
    </row>
    <row r="13" spans="1:4" ht="30" x14ac:dyDescent="0.25">
      <c r="A13" s="116" t="s">
        <v>113</v>
      </c>
      <c r="B13" s="117"/>
      <c r="C13" s="111"/>
    </row>
    <row r="14" spans="1:4" ht="42.75" x14ac:dyDescent="0.2">
      <c r="A14" s="112" t="s">
        <v>109</v>
      </c>
      <c r="B14" s="2" t="s">
        <v>103</v>
      </c>
      <c r="C14" s="4"/>
    </row>
    <row r="15" spans="1:4" ht="114" x14ac:dyDescent="0.2">
      <c r="A15" s="112" t="s">
        <v>104</v>
      </c>
      <c r="B15" s="2" t="s">
        <v>105</v>
      </c>
      <c r="C15" s="4"/>
    </row>
    <row r="16" spans="1:4" ht="114" x14ac:dyDescent="0.2">
      <c r="A16" s="112" t="s">
        <v>106</v>
      </c>
      <c r="B16" s="2" t="s">
        <v>110</v>
      </c>
      <c r="C16" s="4"/>
    </row>
    <row r="17" spans="1:3" ht="57" x14ac:dyDescent="0.2">
      <c r="A17" s="112" t="s">
        <v>107</v>
      </c>
      <c r="B17" s="2" t="s">
        <v>108</v>
      </c>
      <c r="C17" s="4"/>
    </row>
    <row r="18" spans="1:3" ht="114.75" thickBot="1" x14ac:dyDescent="0.25">
      <c r="A18" s="118" t="s">
        <v>111</v>
      </c>
      <c r="B18" s="44" t="s">
        <v>112</v>
      </c>
      <c r="C18" s="14"/>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0FFC6-9C7B-47FB-BF3B-F1BE2789E6B4}">
  <dimension ref="A2:L26"/>
  <sheetViews>
    <sheetView topLeftCell="A9" workbookViewId="0">
      <selection activeCell="I23" sqref="I23"/>
    </sheetView>
  </sheetViews>
  <sheetFormatPr defaultColWidth="10.125" defaultRowHeight="14.25" x14ac:dyDescent="0.2"/>
  <sheetData>
    <row r="2" spans="1:9" x14ac:dyDescent="0.2">
      <c r="A2" s="418" t="s">
        <v>227</v>
      </c>
      <c r="B2" s="418"/>
      <c r="C2" s="418"/>
      <c r="D2" s="418"/>
      <c r="E2" s="418"/>
      <c r="F2" s="418"/>
      <c r="G2" s="418"/>
      <c r="H2" s="418"/>
      <c r="I2" s="418"/>
    </row>
    <row r="3" spans="1:9" x14ac:dyDescent="0.2">
      <c r="A3" s="419" t="s">
        <v>14</v>
      </c>
      <c r="B3" s="418" t="s">
        <v>15</v>
      </c>
      <c r="C3" s="418"/>
      <c r="D3" s="418"/>
      <c r="E3" s="418"/>
      <c r="F3" s="418"/>
      <c r="G3" s="418"/>
      <c r="H3" s="418"/>
      <c r="I3" s="418"/>
    </row>
    <row r="4" spans="1:9" ht="33.75" x14ac:dyDescent="0.2">
      <c r="A4" s="420"/>
      <c r="B4" s="15" t="s">
        <v>16</v>
      </c>
      <c r="C4" s="15" t="s">
        <v>17</v>
      </c>
      <c r="D4" s="15" t="s">
        <v>18</v>
      </c>
      <c r="E4" s="15" t="s">
        <v>19</v>
      </c>
      <c r="F4" s="15" t="s">
        <v>20</v>
      </c>
      <c r="G4" s="15" t="s">
        <v>21</v>
      </c>
      <c r="H4" s="16" t="s">
        <v>22</v>
      </c>
      <c r="I4" s="16" t="s">
        <v>23</v>
      </c>
    </row>
    <row r="5" spans="1:9" x14ac:dyDescent="0.2">
      <c r="A5" s="17"/>
      <c r="B5" s="18"/>
      <c r="C5" s="17"/>
      <c r="D5" s="17"/>
      <c r="E5" s="17"/>
      <c r="F5" s="17"/>
      <c r="G5" s="17"/>
      <c r="H5" s="17"/>
      <c r="I5" s="19"/>
    </row>
    <row r="6" spans="1:9" x14ac:dyDescent="0.2">
      <c r="A6" s="20" t="s">
        <v>24</v>
      </c>
      <c r="B6" s="18" t="s">
        <v>25</v>
      </c>
      <c r="C6" s="193">
        <v>63.75</v>
      </c>
      <c r="D6" s="18">
        <f t="shared" ref="D6:D12" si="0">C6*1.6</f>
        <v>102</v>
      </c>
      <c r="E6" s="21">
        <v>8</v>
      </c>
      <c r="F6" s="17">
        <f t="shared" ref="F6:F11" si="1">80*26</f>
        <v>2080</v>
      </c>
      <c r="G6" s="22">
        <v>1</v>
      </c>
      <c r="H6" s="17">
        <f t="shared" ref="H6:H11" si="2">E6*(F6*G6)</f>
        <v>16640</v>
      </c>
      <c r="I6" s="19">
        <f>(H6*D6)*E6</f>
        <v>13578240</v>
      </c>
    </row>
    <row r="7" spans="1:9" s="199" customFormat="1" x14ac:dyDescent="0.2">
      <c r="A7" s="194" t="s">
        <v>66</v>
      </c>
      <c r="B7" s="195" t="s">
        <v>25</v>
      </c>
      <c r="C7" s="196">
        <f>118042/F7</f>
        <v>56.750961538461539</v>
      </c>
      <c r="D7" s="195">
        <f t="shared" si="0"/>
        <v>90.80153846153847</v>
      </c>
      <c r="E7" s="21">
        <v>1</v>
      </c>
      <c r="F7" s="21">
        <f t="shared" si="1"/>
        <v>2080</v>
      </c>
      <c r="G7" s="197">
        <v>0</v>
      </c>
      <c r="H7" s="21">
        <f t="shared" si="2"/>
        <v>0</v>
      </c>
      <c r="I7" s="198">
        <f>(H7*D7)*E7</f>
        <v>0</v>
      </c>
    </row>
    <row r="8" spans="1:9" x14ac:dyDescent="0.2">
      <c r="A8" s="20" t="s">
        <v>26</v>
      </c>
      <c r="B8" s="18" t="s">
        <v>27</v>
      </c>
      <c r="C8" s="193">
        <v>63.75</v>
      </c>
      <c r="D8" s="18">
        <f t="shared" si="0"/>
        <v>102</v>
      </c>
      <c r="E8" s="21">
        <v>1</v>
      </c>
      <c r="F8" s="17">
        <f t="shared" si="1"/>
        <v>2080</v>
      </c>
      <c r="G8" s="23">
        <v>0.8</v>
      </c>
      <c r="H8" s="17">
        <f t="shared" si="2"/>
        <v>1664</v>
      </c>
      <c r="I8" s="19">
        <f t="shared" ref="I8:I12" si="3">(H8*D8)*E8</f>
        <v>169728</v>
      </c>
    </row>
    <row r="9" spans="1:9" ht="22.5" x14ac:dyDescent="0.2">
      <c r="A9" s="20" t="s">
        <v>122</v>
      </c>
      <c r="B9" s="18" t="s">
        <v>121</v>
      </c>
      <c r="C9" s="193">
        <v>65.819999999999993</v>
      </c>
      <c r="D9" s="18">
        <f t="shared" si="0"/>
        <v>105.312</v>
      </c>
      <c r="E9" s="21">
        <v>3</v>
      </c>
      <c r="F9" s="17">
        <f t="shared" si="1"/>
        <v>2080</v>
      </c>
      <c r="G9" s="23">
        <v>1</v>
      </c>
      <c r="H9" s="17">
        <f t="shared" si="2"/>
        <v>6240</v>
      </c>
      <c r="I9" s="19">
        <f t="shared" si="3"/>
        <v>1971440.6400000001</v>
      </c>
    </row>
    <row r="10" spans="1:9" x14ac:dyDescent="0.2">
      <c r="A10" s="20" t="s">
        <v>28</v>
      </c>
      <c r="B10" s="18" t="s">
        <v>29</v>
      </c>
      <c r="C10" s="396">
        <v>72.19</v>
      </c>
      <c r="D10" s="18">
        <f t="shared" si="0"/>
        <v>115.504</v>
      </c>
      <c r="E10" s="21">
        <v>1</v>
      </c>
      <c r="F10" s="17">
        <f t="shared" si="1"/>
        <v>2080</v>
      </c>
      <c r="G10" s="23">
        <v>0.25</v>
      </c>
      <c r="H10" s="17">
        <f t="shared" si="2"/>
        <v>520</v>
      </c>
      <c r="I10" s="19">
        <f t="shared" si="3"/>
        <v>60062.080000000002</v>
      </c>
    </row>
    <row r="11" spans="1:9" x14ac:dyDescent="0.2">
      <c r="A11" s="20" t="s">
        <v>30</v>
      </c>
      <c r="B11" s="24" t="s">
        <v>25</v>
      </c>
      <c r="C11" s="193">
        <v>63.75</v>
      </c>
      <c r="D11" s="18">
        <f t="shared" si="0"/>
        <v>102</v>
      </c>
      <c r="E11" s="25">
        <v>2</v>
      </c>
      <c r="F11" s="26">
        <f t="shared" si="1"/>
        <v>2080</v>
      </c>
      <c r="G11" s="27">
        <v>0.3</v>
      </c>
      <c r="H11" s="26">
        <f t="shared" si="2"/>
        <v>1248</v>
      </c>
      <c r="I11" s="19">
        <f t="shared" si="3"/>
        <v>254592</v>
      </c>
    </row>
    <row r="12" spans="1:9" x14ac:dyDescent="0.2">
      <c r="A12" s="20" t="s">
        <v>31</v>
      </c>
      <c r="B12" s="32"/>
      <c r="C12" s="33">
        <v>12.72</v>
      </c>
      <c r="D12" s="33">
        <f t="shared" si="0"/>
        <v>20.352000000000004</v>
      </c>
      <c r="E12" s="73">
        <v>4</v>
      </c>
      <c r="F12" s="73">
        <v>2080</v>
      </c>
      <c r="G12" s="74">
        <v>1</v>
      </c>
      <c r="H12" s="75">
        <f>F12*E12</f>
        <v>8320</v>
      </c>
      <c r="I12" s="19">
        <f t="shared" si="3"/>
        <v>677314.56000000017</v>
      </c>
    </row>
    <row r="13" spans="1:9" x14ac:dyDescent="0.2">
      <c r="A13" s="35" t="s">
        <v>32</v>
      </c>
      <c r="B13" s="421"/>
      <c r="C13" s="422"/>
      <c r="D13" s="423"/>
      <c r="E13" s="35">
        <f>SUM(E5:E12)</f>
        <v>20</v>
      </c>
      <c r="F13" s="35" t="s">
        <v>6</v>
      </c>
      <c r="G13" s="35" t="s">
        <v>6</v>
      </c>
      <c r="H13" s="36">
        <f>SUM(H5:H12)</f>
        <v>34632</v>
      </c>
      <c r="I13" s="37">
        <f>SUM(I5:I12)</f>
        <v>16711377.280000001</v>
      </c>
    </row>
    <row r="14" spans="1:9" x14ac:dyDescent="0.2">
      <c r="A14" s="1"/>
      <c r="B14" s="1"/>
      <c r="C14" s="1"/>
      <c r="D14" s="1"/>
      <c r="E14" s="1"/>
      <c r="F14" s="1"/>
      <c r="G14" s="1"/>
      <c r="H14" s="1"/>
      <c r="I14" s="1"/>
    </row>
    <row r="15" spans="1:9" x14ac:dyDescent="0.2">
      <c r="A15" s="424" t="s">
        <v>33</v>
      </c>
      <c r="B15" s="425"/>
      <c r="C15" s="425"/>
      <c r="D15" s="425"/>
      <c r="E15" s="425"/>
      <c r="F15" s="425"/>
      <c r="G15" s="425"/>
      <c r="H15" s="425"/>
      <c r="I15" s="426"/>
    </row>
    <row r="16" spans="1:9" x14ac:dyDescent="0.2">
      <c r="A16" s="38" t="s">
        <v>34</v>
      </c>
      <c r="B16" s="28"/>
      <c r="C16" s="29"/>
      <c r="D16" s="29"/>
      <c r="E16" s="29"/>
      <c r="F16" s="29"/>
      <c r="G16" s="29"/>
      <c r="H16" s="30"/>
      <c r="I16" s="31">
        <v>200000</v>
      </c>
    </row>
    <row r="17" spans="1:12" x14ac:dyDescent="0.2">
      <c r="A17" s="20" t="s">
        <v>35</v>
      </c>
      <c r="B17" s="28"/>
      <c r="C17" s="29"/>
      <c r="D17" s="29"/>
      <c r="E17" s="29"/>
      <c r="F17" s="29"/>
      <c r="G17" s="29"/>
      <c r="H17" s="30"/>
      <c r="I17" s="31">
        <v>20000</v>
      </c>
    </row>
    <row r="18" spans="1:12" x14ac:dyDescent="0.2">
      <c r="A18" s="20" t="s">
        <v>31</v>
      </c>
      <c r="B18" s="28"/>
      <c r="C18" s="29"/>
      <c r="D18" s="29"/>
      <c r="E18" s="29"/>
      <c r="F18" s="29"/>
      <c r="G18" s="29"/>
      <c r="H18" s="30"/>
      <c r="I18" s="31">
        <v>177066</v>
      </c>
    </row>
    <row r="19" spans="1:12" ht="33.75" x14ac:dyDescent="0.2">
      <c r="A19" s="20" t="s">
        <v>36</v>
      </c>
      <c r="B19" s="32"/>
      <c r="C19" s="33"/>
      <c r="D19" s="33"/>
      <c r="E19" s="33"/>
      <c r="F19" s="33"/>
      <c r="G19" s="33"/>
      <c r="H19" s="34"/>
      <c r="I19" s="31">
        <v>83000</v>
      </c>
    </row>
    <row r="20" spans="1:12" ht="33.75" x14ac:dyDescent="0.2">
      <c r="A20" s="20" t="s">
        <v>37</v>
      </c>
      <c r="B20" s="32"/>
      <c r="C20" s="33"/>
      <c r="D20" s="33"/>
      <c r="E20" s="33"/>
      <c r="F20" s="33"/>
      <c r="G20" s="33"/>
      <c r="H20" s="34"/>
      <c r="I20" s="31">
        <v>200000</v>
      </c>
    </row>
    <row r="21" spans="1:12" ht="15" x14ac:dyDescent="0.2">
      <c r="A21" s="39"/>
      <c r="B21" s="39"/>
      <c r="C21" s="39"/>
      <c r="D21" s="1"/>
      <c r="E21" s="1"/>
      <c r="F21" s="1"/>
      <c r="G21" s="1"/>
      <c r="H21" s="16" t="s">
        <v>38</v>
      </c>
      <c r="I21" s="40">
        <f>SUM(I16:I20)</f>
        <v>680066</v>
      </c>
    </row>
    <row r="22" spans="1:12" x14ac:dyDescent="0.2">
      <c r="A22" s="1"/>
      <c r="B22" s="1"/>
      <c r="C22" s="1"/>
      <c r="D22" s="1"/>
      <c r="E22" s="1"/>
      <c r="F22" s="1"/>
      <c r="G22" s="1"/>
      <c r="H22" s="1"/>
      <c r="I22" s="41"/>
    </row>
    <row r="23" spans="1:12" x14ac:dyDescent="0.2">
      <c r="A23" s="1"/>
      <c r="B23" s="1"/>
      <c r="C23" s="1"/>
      <c r="D23" s="1"/>
      <c r="E23" s="1"/>
      <c r="F23" s="42"/>
      <c r="G23" s="1"/>
      <c r="H23" s="16" t="s">
        <v>39</v>
      </c>
      <c r="I23" s="43">
        <f>I13+I21</f>
        <v>17391443.280000001</v>
      </c>
    </row>
    <row r="25" spans="1:12" x14ac:dyDescent="0.2">
      <c r="A25" s="395">
        <f>C10/F10</f>
        <v>3.4706730769230767E-2</v>
      </c>
    </row>
    <row r="26" spans="1:12" x14ac:dyDescent="0.2">
      <c r="L26" s="67"/>
    </row>
  </sheetData>
  <mergeCells count="5">
    <mergeCell ref="A2:I2"/>
    <mergeCell ref="A3:A4"/>
    <mergeCell ref="B3:I3"/>
    <mergeCell ref="B13:D13"/>
    <mergeCell ref="A15:I1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81595-577B-44A8-96FE-29C9FA28063A}">
  <dimension ref="A1:X69"/>
  <sheetViews>
    <sheetView tabSelected="1" topLeftCell="A32" zoomScale="98" zoomScaleNormal="98" workbookViewId="0">
      <pane xSplit="1" topLeftCell="J1" activePane="topRight" state="frozen"/>
      <selection pane="topRight" activeCell="M43" sqref="M43"/>
    </sheetView>
  </sheetViews>
  <sheetFormatPr defaultRowHeight="14.25" x14ac:dyDescent="0.2"/>
  <cols>
    <col min="1" max="1" width="29.5" customWidth="1"/>
    <col min="2" max="5" width="11.625" customWidth="1"/>
    <col min="6" max="6" width="12.625" customWidth="1"/>
    <col min="7" max="7" width="11.625" customWidth="1"/>
    <col min="8" max="8" width="16.125" customWidth="1"/>
    <col min="9" max="9" width="16.875" customWidth="1"/>
    <col min="10" max="13" width="11.625" customWidth="1"/>
    <col min="14" max="14" width="18.875" customWidth="1"/>
    <col min="15" max="15" width="16.125" customWidth="1"/>
    <col min="16" max="16" width="13.875" customWidth="1"/>
    <col min="17" max="19" width="16.125" customWidth="1"/>
  </cols>
  <sheetData>
    <row r="1" spans="1:24" x14ac:dyDescent="0.2"/>
    <row r="2" spans="1:24" x14ac:dyDescent="0.2">
      <c r="A2" s="427" t="s">
        <v>46</v>
      </c>
      <c r="B2" s="427"/>
      <c r="C2" s="427"/>
      <c r="D2" s="427"/>
      <c r="E2" s="427"/>
      <c r="F2" s="427"/>
      <c r="G2" s="427"/>
      <c r="H2" s="427"/>
      <c r="I2" s="427"/>
      <c r="J2" s="427"/>
      <c r="K2" s="427"/>
      <c r="L2" s="427"/>
      <c r="M2" s="427"/>
      <c r="N2" s="427"/>
    </row>
    <row r="3" spans="1:24" ht="15" thickBot="1" x14ac:dyDescent="0.25">
      <c r="A3" s="50"/>
      <c r="B3" s="428" t="s">
        <v>0</v>
      </c>
      <c r="C3" s="428"/>
      <c r="D3" s="428"/>
      <c r="E3" s="428"/>
      <c r="F3" s="428"/>
      <c r="G3" s="428"/>
      <c r="H3" s="428"/>
      <c r="I3" s="428"/>
      <c r="J3" s="428"/>
      <c r="K3" s="428"/>
      <c r="L3" s="140" t="s">
        <v>1</v>
      </c>
      <c r="M3" s="141"/>
      <c r="N3" s="140"/>
    </row>
    <row r="4" spans="1:24" ht="39" thickBot="1" x14ac:dyDescent="0.25">
      <c r="A4" s="145" t="s">
        <v>2</v>
      </c>
      <c r="B4" s="146" t="s">
        <v>128</v>
      </c>
      <c r="C4" s="146" t="s">
        <v>124</v>
      </c>
      <c r="D4" s="146" t="s">
        <v>125</v>
      </c>
      <c r="E4" s="147" t="s">
        <v>126</v>
      </c>
      <c r="F4" s="148" t="s">
        <v>127</v>
      </c>
      <c r="G4" s="146" t="s">
        <v>9</v>
      </c>
      <c r="H4" s="149" t="s">
        <v>134</v>
      </c>
      <c r="I4" s="150" t="s">
        <v>3</v>
      </c>
      <c r="J4" s="151" t="s">
        <v>47</v>
      </c>
      <c r="K4" s="146" t="s">
        <v>48</v>
      </c>
      <c r="L4" s="146" t="s">
        <v>131</v>
      </c>
      <c r="M4" s="152" t="s">
        <v>4</v>
      </c>
      <c r="N4" s="153" t="s">
        <v>5</v>
      </c>
      <c r="O4" s="154" t="s">
        <v>132</v>
      </c>
      <c r="P4" s="155" t="s">
        <v>84</v>
      </c>
      <c r="Q4" s="72" t="s">
        <v>120</v>
      </c>
      <c r="R4" s="221" t="s">
        <v>136</v>
      </c>
      <c r="S4" s="221"/>
    </row>
    <row r="5" spans="1:24" ht="26.25" x14ac:dyDescent="0.25">
      <c r="A5" s="142" t="s">
        <v>49</v>
      </c>
      <c r="B5" s="58">
        <v>18</v>
      </c>
      <c r="C5" s="58">
        <v>9</v>
      </c>
      <c r="D5" s="58">
        <v>4</v>
      </c>
      <c r="E5" s="58">
        <v>4</v>
      </c>
      <c r="F5" s="58">
        <v>1</v>
      </c>
      <c r="G5" s="10">
        <f>SUM(B5:F5)</f>
        <v>36</v>
      </c>
      <c r="H5" s="13">
        <f>(B5*112.71)+(C5*171.07)+(D5*233.39)+(E5*70.52)+(F5*49.81)</f>
        <v>4833.8599999999997</v>
      </c>
      <c r="I5" s="71">
        <v>0</v>
      </c>
      <c r="J5" s="13">
        <f>16.36*1.0282</f>
        <v>16.821352000000001</v>
      </c>
      <c r="K5" s="58">
        <v>1</v>
      </c>
      <c r="L5" s="10">
        <v>393</v>
      </c>
      <c r="M5" s="143">
        <f>G5*O5</f>
        <v>73980</v>
      </c>
      <c r="N5" s="207">
        <f>(H5+I5+J5)*K5*L5</f>
        <v>1906317.7713359999</v>
      </c>
      <c r="O5" s="183">
        <v>2055</v>
      </c>
      <c r="P5" s="144">
        <f>J5*L5</f>
        <v>6610.7913360000002</v>
      </c>
      <c r="Q5" s="139">
        <f>H5*O5</f>
        <v>9933582.2999999989</v>
      </c>
      <c r="R5" s="222"/>
      <c r="S5" s="222"/>
    </row>
    <row r="6" spans="1:24" x14ac:dyDescent="0.2">
      <c r="A6" s="6" t="s">
        <v>50</v>
      </c>
      <c r="B6" s="51">
        <v>15</v>
      </c>
      <c r="C6" s="51">
        <v>3</v>
      </c>
      <c r="D6" s="51">
        <v>1</v>
      </c>
      <c r="E6" s="51">
        <v>0</v>
      </c>
      <c r="F6" s="51">
        <v>1</v>
      </c>
      <c r="G6" s="7">
        <f>SUM(B6:F6)</f>
        <v>20</v>
      </c>
      <c r="H6" s="13">
        <f t="shared" ref="H6:H17" si="0">(B6*112.71)+(C6*171.07)+(D6*233.39)+(E6*70.52)+(F6*49.81)</f>
        <v>2487.0599999999995</v>
      </c>
      <c r="I6" s="68">
        <v>0</v>
      </c>
      <c r="J6" s="11">
        <v>0</v>
      </c>
      <c r="K6" s="51">
        <v>1</v>
      </c>
      <c r="L6" s="7">
        <v>393</v>
      </c>
      <c r="M6" s="143">
        <f t="shared" ref="M6:M41" si="1">G6*O6</f>
        <v>41100</v>
      </c>
      <c r="N6" s="208">
        <f>(H6+I6+J6)*K6*L6</f>
        <v>977414.57999999984</v>
      </c>
      <c r="O6" s="133">
        <v>2055</v>
      </c>
      <c r="P6" s="139">
        <f t="shared" ref="P6:P9" si="2">J6*L6</f>
        <v>0</v>
      </c>
      <c r="Q6" s="139">
        <f t="shared" ref="Q6:Q42" si="3">H6*O6</f>
        <v>5110908.2999999989</v>
      </c>
      <c r="R6" s="222"/>
      <c r="S6" s="222"/>
    </row>
    <row r="7" spans="1:24" x14ac:dyDescent="0.2">
      <c r="A7" s="6" t="s">
        <v>129</v>
      </c>
      <c r="B7" s="51">
        <v>12</v>
      </c>
      <c r="C7" s="51">
        <v>5</v>
      </c>
      <c r="D7" s="51">
        <v>0</v>
      </c>
      <c r="E7" s="51">
        <v>38</v>
      </c>
      <c r="F7" s="51">
        <v>3</v>
      </c>
      <c r="G7" s="7">
        <f>SUM(B7:F7)</f>
        <v>58</v>
      </c>
      <c r="H7" s="13">
        <f t="shared" si="0"/>
        <v>5037.0599999999995</v>
      </c>
      <c r="I7" s="68">
        <v>0</v>
      </c>
      <c r="J7" s="11">
        <v>0</v>
      </c>
      <c r="K7" s="51">
        <f>O7/L7</f>
        <v>5.229007633587786</v>
      </c>
      <c r="L7" s="7">
        <v>393</v>
      </c>
      <c r="M7" s="143">
        <f t="shared" si="1"/>
        <v>119190</v>
      </c>
      <c r="N7" s="208">
        <f>(H7+I7+J7)*K7*L7</f>
        <v>10351158.299999999</v>
      </c>
      <c r="O7" s="133">
        <v>2055</v>
      </c>
      <c r="P7" s="139">
        <f t="shared" si="2"/>
        <v>0</v>
      </c>
      <c r="Q7" s="139">
        <f t="shared" si="3"/>
        <v>10351158.299999999</v>
      </c>
      <c r="R7" s="222"/>
      <c r="S7" s="222"/>
    </row>
    <row r="8" spans="1:24" ht="25.5" x14ac:dyDescent="0.2">
      <c r="A8" s="6" t="s">
        <v>123</v>
      </c>
      <c r="B8" s="51">
        <v>30</v>
      </c>
      <c r="C8" s="51">
        <v>14</v>
      </c>
      <c r="D8" s="51">
        <v>0</v>
      </c>
      <c r="E8" s="51">
        <v>22</v>
      </c>
      <c r="F8" s="51">
        <v>14</v>
      </c>
      <c r="G8" s="7">
        <f>SUM(B8:F8)</f>
        <v>80</v>
      </c>
      <c r="H8" s="13">
        <f t="shared" si="0"/>
        <v>8025.0599999999995</v>
      </c>
      <c r="I8" s="68">
        <v>0</v>
      </c>
      <c r="J8" s="11">
        <v>0</v>
      </c>
      <c r="K8" s="51">
        <f>2133/430</f>
        <v>4.9604651162790701</v>
      </c>
      <c r="L8" s="7">
        <v>393</v>
      </c>
      <c r="M8" s="143">
        <f t="shared" si="1"/>
        <v>11440</v>
      </c>
      <c r="N8" s="208">
        <f>(H8+I8+J8)*K8*L8</f>
        <v>15644555.863116279</v>
      </c>
      <c r="O8" s="135">
        <f>SUM(O11:O17)</f>
        <v>143</v>
      </c>
      <c r="P8" s="139">
        <f t="shared" si="2"/>
        <v>0</v>
      </c>
      <c r="Q8" s="139">
        <f t="shared" si="3"/>
        <v>1147583.5799999998</v>
      </c>
      <c r="R8" s="222"/>
      <c r="S8" s="222"/>
      <c r="T8">
        <f>2556/1661</f>
        <v>1.538832028898254</v>
      </c>
    </row>
    <row r="9" spans="1:24" x14ac:dyDescent="0.2">
      <c r="A9" s="6" t="s">
        <v>51</v>
      </c>
      <c r="B9" s="52">
        <v>200</v>
      </c>
      <c r="C9" s="52">
        <v>150</v>
      </c>
      <c r="D9" s="52">
        <v>0</v>
      </c>
      <c r="E9" s="52">
        <v>400</v>
      </c>
      <c r="F9" s="52">
        <v>0</v>
      </c>
      <c r="G9" s="7">
        <f>SUM(B9:F9)</f>
        <v>750</v>
      </c>
      <c r="H9" s="13">
        <f t="shared" si="0"/>
        <v>76410.5</v>
      </c>
      <c r="I9" s="69">
        <v>0</v>
      </c>
      <c r="J9" s="12">
        <f>79952.08*1.0282</f>
        <v>82206.728656000007</v>
      </c>
      <c r="K9" s="52">
        <v>1</v>
      </c>
      <c r="L9" s="8">
        <f>SUM(L11:L17)</f>
        <v>51.838043166756904</v>
      </c>
      <c r="M9" s="143">
        <f t="shared" si="1"/>
        <v>39000</v>
      </c>
      <c r="N9" s="208">
        <f>(H9+I9+J9)*K9*L9</f>
        <v>8222406.7460610773</v>
      </c>
      <c r="O9" s="133">
        <v>52</v>
      </c>
      <c r="P9" s="139">
        <f t="shared" si="2"/>
        <v>4261435.9486675998</v>
      </c>
      <c r="Q9" s="139">
        <f t="shared" si="3"/>
        <v>3973346</v>
      </c>
      <c r="R9" s="222"/>
      <c r="S9" s="222"/>
      <c r="T9" s="66">
        <f>1661/2556</f>
        <v>0.64984350547730829</v>
      </c>
      <c r="U9">
        <f>2133*0.65</f>
        <v>1386.45</v>
      </c>
    </row>
    <row r="10" spans="1:24" ht="25.5" x14ac:dyDescent="0.2">
      <c r="A10" s="9" t="s">
        <v>52</v>
      </c>
      <c r="B10" s="53"/>
      <c r="C10" s="54"/>
      <c r="D10" s="54"/>
      <c r="E10" s="54"/>
      <c r="F10" s="54"/>
      <c r="G10" s="55"/>
      <c r="H10" s="13">
        <f t="shared" si="0"/>
        <v>0</v>
      </c>
      <c r="I10" s="70"/>
      <c r="J10" s="57"/>
      <c r="K10" s="54"/>
      <c r="L10" s="55"/>
      <c r="M10" s="143">
        <f t="shared" si="1"/>
        <v>0</v>
      </c>
      <c r="N10" s="209"/>
      <c r="O10" s="134"/>
      <c r="P10" s="431" t="s">
        <v>130</v>
      </c>
      <c r="Q10" s="139">
        <f t="shared" si="3"/>
        <v>0</v>
      </c>
      <c r="R10" s="222"/>
      <c r="S10" s="222"/>
      <c r="T10">
        <f>430*0.65</f>
        <v>279.5</v>
      </c>
    </row>
    <row r="11" spans="1:24" x14ac:dyDescent="0.2">
      <c r="A11" s="48" t="s">
        <v>10</v>
      </c>
      <c r="B11" s="58">
        <v>10</v>
      </c>
      <c r="C11" s="58">
        <v>4</v>
      </c>
      <c r="D11" s="58">
        <v>1</v>
      </c>
      <c r="E11" s="58">
        <v>20</v>
      </c>
      <c r="F11" s="58">
        <v>2</v>
      </c>
      <c r="G11" s="7">
        <f t="shared" ref="G11:G17" si="4">SUM(B11:F11)</f>
        <v>37</v>
      </c>
      <c r="H11" s="13">
        <f t="shared" si="0"/>
        <v>3554.79</v>
      </c>
      <c r="I11" s="71">
        <v>0</v>
      </c>
      <c r="J11" s="96"/>
      <c r="K11" s="58">
        <f>O11/L11</f>
        <v>3.3649370328927692</v>
      </c>
      <c r="L11" s="10">
        <v>12.77884239130435</v>
      </c>
      <c r="M11" s="143">
        <f t="shared" si="1"/>
        <v>1591</v>
      </c>
      <c r="N11" s="208">
        <f>(H11+I11+J19)*K11*L11</f>
        <v>389355.97000000003</v>
      </c>
      <c r="O11" s="135">
        <v>43</v>
      </c>
      <c r="P11" s="432"/>
      <c r="Q11" s="139">
        <f t="shared" si="3"/>
        <v>152855.97</v>
      </c>
      <c r="R11" s="222"/>
      <c r="S11" s="222"/>
      <c r="T11" s="108"/>
      <c r="W11" s="67"/>
      <c r="X11" s="104"/>
    </row>
    <row r="12" spans="1:24" x14ac:dyDescent="0.2">
      <c r="A12" s="48" t="s">
        <v>11</v>
      </c>
      <c r="B12" s="51">
        <v>10</v>
      </c>
      <c r="C12" s="51">
        <v>4</v>
      </c>
      <c r="D12" s="51">
        <v>1</v>
      </c>
      <c r="E12" s="51">
        <v>60</v>
      </c>
      <c r="F12" s="51">
        <v>2</v>
      </c>
      <c r="G12" s="7">
        <f t="shared" si="4"/>
        <v>77</v>
      </c>
      <c r="H12" s="13">
        <f t="shared" si="0"/>
        <v>6375.5899999999992</v>
      </c>
      <c r="I12" s="68"/>
      <c r="J12" s="96"/>
      <c r="K12" s="58">
        <f t="shared" ref="K12:K17" si="5">O12/L12</f>
        <v>1.25</v>
      </c>
      <c r="L12" s="7">
        <v>4</v>
      </c>
      <c r="M12" s="143">
        <f t="shared" si="1"/>
        <v>385</v>
      </c>
      <c r="N12" s="208">
        <f>(H12+I12+J20)*K12*L12</f>
        <v>131877.95000000001</v>
      </c>
      <c r="O12" s="136">
        <v>5</v>
      </c>
      <c r="P12" s="432"/>
      <c r="Q12" s="139">
        <f t="shared" si="3"/>
        <v>31877.949999999997</v>
      </c>
      <c r="R12" s="222"/>
      <c r="S12" s="222"/>
    </row>
    <row r="13" spans="1:24" x14ac:dyDescent="0.2">
      <c r="A13" s="48" t="s">
        <v>53</v>
      </c>
      <c r="B13" s="51">
        <v>50</v>
      </c>
      <c r="C13" s="51">
        <v>4</v>
      </c>
      <c r="D13" s="51">
        <v>0</v>
      </c>
      <c r="E13" s="51">
        <v>80</v>
      </c>
      <c r="F13" s="51"/>
      <c r="G13" s="7">
        <f t="shared" si="4"/>
        <v>134</v>
      </c>
      <c r="H13" s="13">
        <f t="shared" si="0"/>
        <v>11961.38</v>
      </c>
      <c r="I13" s="68">
        <v>0</v>
      </c>
      <c r="J13" s="96"/>
      <c r="K13" s="58">
        <f t="shared" si="5"/>
        <v>0.83718401398693065</v>
      </c>
      <c r="L13" s="7">
        <v>13.139285767790261</v>
      </c>
      <c r="M13" s="143">
        <f t="shared" si="1"/>
        <v>1474</v>
      </c>
      <c r="N13" s="208">
        <f>(H13+I13+J21)*K13*L13</f>
        <v>296575.18</v>
      </c>
      <c r="O13" s="136">
        <v>11</v>
      </c>
      <c r="P13" s="432"/>
      <c r="Q13" s="139">
        <f t="shared" si="3"/>
        <v>131575.18</v>
      </c>
      <c r="R13" s="222"/>
      <c r="S13" s="222"/>
    </row>
    <row r="14" spans="1:24" x14ac:dyDescent="0.2">
      <c r="A14" s="48" t="s">
        <v>54</v>
      </c>
      <c r="B14" s="51">
        <v>10</v>
      </c>
      <c r="C14" s="51">
        <v>4</v>
      </c>
      <c r="D14" s="51">
        <v>1</v>
      </c>
      <c r="E14" s="51">
        <v>20</v>
      </c>
      <c r="F14" s="51">
        <v>2</v>
      </c>
      <c r="G14" s="7">
        <f t="shared" si="4"/>
        <v>37</v>
      </c>
      <c r="H14" s="13">
        <f t="shared" si="0"/>
        <v>3554.79</v>
      </c>
      <c r="I14" s="68">
        <v>0</v>
      </c>
      <c r="J14" s="96"/>
      <c r="K14" s="58">
        <f t="shared" si="5"/>
        <v>1.5</v>
      </c>
      <c r="L14" s="7">
        <v>2</v>
      </c>
      <c r="M14" s="143">
        <f t="shared" si="1"/>
        <v>111</v>
      </c>
      <c r="N14" s="208">
        <f>(H14+I14+J22)*K14*L14</f>
        <v>58664.37</v>
      </c>
      <c r="O14" s="136">
        <v>3</v>
      </c>
      <c r="P14" s="432"/>
      <c r="Q14" s="139">
        <f t="shared" si="3"/>
        <v>10664.369999999999</v>
      </c>
      <c r="R14" s="222"/>
      <c r="S14" s="222"/>
    </row>
    <row r="15" spans="1:24" x14ac:dyDescent="0.2">
      <c r="A15" s="48" t="s">
        <v>64</v>
      </c>
      <c r="B15" s="51">
        <v>10</v>
      </c>
      <c r="C15" s="51">
        <v>4</v>
      </c>
      <c r="D15" s="51">
        <v>1</v>
      </c>
      <c r="E15" s="51">
        <v>20</v>
      </c>
      <c r="F15" s="51">
        <v>2</v>
      </c>
      <c r="G15" s="7">
        <f t="shared" si="4"/>
        <v>37</v>
      </c>
      <c r="H15" s="13">
        <f t="shared" si="0"/>
        <v>3554.79</v>
      </c>
      <c r="I15" s="68">
        <v>0</v>
      </c>
      <c r="J15" s="96"/>
      <c r="K15" s="58">
        <f t="shared" si="5"/>
        <v>1.2596099552621294</v>
      </c>
      <c r="L15" s="7">
        <v>1.5877931034482755</v>
      </c>
      <c r="M15" s="143">
        <f t="shared" si="1"/>
        <v>74</v>
      </c>
      <c r="N15" s="208"/>
      <c r="O15" s="135">
        <v>2</v>
      </c>
      <c r="P15" s="432"/>
      <c r="Q15" s="139">
        <f t="shared" si="3"/>
        <v>7109.58</v>
      </c>
      <c r="R15" s="222"/>
      <c r="S15" s="222"/>
    </row>
    <row r="16" spans="1:24" x14ac:dyDescent="0.2">
      <c r="A16" s="48" t="s">
        <v>118</v>
      </c>
      <c r="B16" s="51">
        <v>10</v>
      </c>
      <c r="C16" s="51">
        <v>4</v>
      </c>
      <c r="D16" s="51">
        <v>1</v>
      </c>
      <c r="E16" s="51">
        <v>20</v>
      </c>
      <c r="F16" s="51">
        <v>2</v>
      </c>
      <c r="G16" s="7">
        <f t="shared" si="4"/>
        <v>37</v>
      </c>
      <c r="H16" s="13">
        <f t="shared" si="0"/>
        <v>3554.79</v>
      </c>
      <c r="I16" s="68">
        <v>0</v>
      </c>
      <c r="J16" s="96"/>
      <c r="K16" s="58">
        <f t="shared" si="5"/>
        <v>2.125943387378149</v>
      </c>
      <c r="L16" s="7">
        <v>0.94075882352941176</v>
      </c>
      <c r="M16" s="143">
        <f t="shared" si="1"/>
        <v>74</v>
      </c>
      <c r="N16" s="208"/>
      <c r="O16" s="136">
        <v>2</v>
      </c>
      <c r="P16" s="432"/>
      <c r="Q16" s="139">
        <f t="shared" si="3"/>
        <v>7109.58</v>
      </c>
      <c r="R16" s="222"/>
      <c r="S16" s="222"/>
    </row>
    <row r="17" spans="1:23" ht="15" thickBot="1" x14ac:dyDescent="0.25">
      <c r="A17" s="156" t="s">
        <v>55</v>
      </c>
      <c r="B17" s="52">
        <v>10</v>
      </c>
      <c r="C17" s="52">
        <v>4</v>
      </c>
      <c r="D17" s="52">
        <v>1</v>
      </c>
      <c r="E17" s="52">
        <v>20</v>
      </c>
      <c r="F17" s="52">
        <v>2</v>
      </c>
      <c r="G17" s="8">
        <f t="shared" si="4"/>
        <v>37</v>
      </c>
      <c r="H17" s="13">
        <f t="shared" si="0"/>
        <v>3554.79</v>
      </c>
      <c r="I17" s="69">
        <v>0</v>
      </c>
      <c r="J17" s="105"/>
      <c r="K17" s="58">
        <f t="shared" si="5"/>
        <v>4.4274850477659609</v>
      </c>
      <c r="L17" s="8">
        <v>17.391363080684595</v>
      </c>
      <c r="M17" s="143">
        <f t="shared" si="1"/>
        <v>2849</v>
      </c>
      <c r="N17" s="210">
        <f>(H17+I17+J25)*K17*L17</f>
        <v>966718.83000000019</v>
      </c>
      <c r="O17" s="179">
        <v>77</v>
      </c>
      <c r="P17" s="433"/>
      <c r="Q17" s="139">
        <f t="shared" si="3"/>
        <v>273718.83</v>
      </c>
      <c r="R17" s="222"/>
      <c r="S17" s="222"/>
      <c r="W17" s="104"/>
    </row>
    <row r="18" spans="1:23" ht="51.75" thickBot="1" x14ac:dyDescent="0.25">
      <c r="A18" s="160" t="s">
        <v>116</v>
      </c>
      <c r="B18" s="161"/>
      <c r="C18" s="161"/>
      <c r="D18" s="161"/>
      <c r="E18" s="161"/>
      <c r="F18" s="161"/>
      <c r="G18" s="162"/>
      <c r="H18" s="163"/>
      <c r="I18" s="163"/>
      <c r="J18" s="163" t="s">
        <v>117</v>
      </c>
      <c r="K18" s="161"/>
      <c r="L18" s="177"/>
      <c r="M18" s="143">
        <f t="shared" si="1"/>
        <v>0</v>
      </c>
      <c r="N18" s="211"/>
      <c r="O18" s="180"/>
      <c r="P18" s="173"/>
      <c r="Q18" s="139">
        <f t="shared" si="3"/>
        <v>0</v>
      </c>
      <c r="R18" s="223"/>
      <c r="S18" s="223"/>
      <c r="W18" s="104"/>
    </row>
    <row r="19" spans="1:23" x14ac:dyDescent="0.2">
      <c r="A19" s="158" t="s">
        <v>10</v>
      </c>
      <c r="B19" s="130"/>
      <c r="C19" s="130"/>
      <c r="D19" s="130"/>
      <c r="E19" s="130"/>
      <c r="F19" s="130"/>
      <c r="G19" s="159"/>
      <c r="H19" s="132"/>
      <c r="I19" s="132"/>
      <c r="J19" s="132">
        <v>5500</v>
      </c>
      <c r="K19" s="130">
        <f>O19/L19</f>
        <v>4.9188448321356093</v>
      </c>
      <c r="L19" s="178">
        <v>16.263981225296448</v>
      </c>
      <c r="M19" s="143">
        <f t="shared" si="1"/>
        <v>0</v>
      </c>
      <c r="N19" s="212"/>
      <c r="O19" s="181">
        <v>80</v>
      </c>
      <c r="P19" s="174">
        <f>J19*(L19*O19)</f>
        <v>7156151.7391304374</v>
      </c>
      <c r="Q19" s="139">
        <f t="shared" si="3"/>
        <v>0</v>
      </c>
      <c r="R19" s="223"/>
      <c r="S19" s="223"/>
      <c r="W19" s="104"/>
    </row>
    <row r="20" spans="1:23" x14ac:dyDescent="0.2">
      <c r="A20" s="131" t="s">
        <v>11</v>
      </c>
      <c r="B20" s="127"/>
      <c r="C20" s="127"/>
      <c r="D20" s="127"/>
      <c r="E20" s="127"/>
      <c r="F20" s="127"/>
      <c r="G20" s="128"/>
      <c r="H20" s="129"/>
      <c r="I20" s="129"/>
      <c r="J20" s="129">
        <v>20000</v>
      </c>
      <c r="K20" s="130">
        <f t="shared" ref="K20:K25" si="6">O20/L20</f>
        <v>5</v>
      </c>
      <c r="L20" s="178">
        <v>6</v>
      </c>
      <c r="M20" s="143">
        <f t="shared" si="1"/>
        <v>0</v>
      </c>
      <c r="N20" s="213"/>
      <c r="O20" s="182">
        <v>30</v>
      </c>
      <c r="P20" s="174">
        <f t="shared" ref="P20:P30" si="7">J20*(L20*O20)</f>
        <v>3600000</v>
      </c>
      <c r="Q20" s="139">
        <f t="shared" si="3"/>
        <v>0</v>
      </c>
      <c r="R20" s="223"/>
      <c r="S20" s="223"/>
      <c r="W20" s="104"/>
    </row>
    <row r="21" spans="1:23" x14ac:dyDescent="0.2">
      <c r="A21" s="131" t="s">
        <v>53</v>
      </c>
      <c r="B21" s="127"/>
      <c r="C21" s="127"/>
      <c r="D21" s="127"/>
      <c r="E21" s="127"/>
      <c r="F21" s="127"/>
      <c r="G21" s="128"/>
      <c r="H21" s="129"/>
      <c r="I21" s="129"/>
      <c r="J21" s="129">
        <v>15000</v>
      </c>
      <c r="K21" s="130">
        <f t="shared" si="6"/>
        <v>2.2723566093930976</v>
      </c>
      <c r="L21" s="178">
        <v>16.722727340823965</v>
      </c>
      <c r="M21" s="143">
        <f t="shared" si="1"/>
        <v>0</v>
      </c>
      <c r="N21" s="213"/>
      <c r="O21" s="182">
        <v>38</v>
      </c>
      <c r="P21" s="174">
        <f t="shared" si="7"/>
        <v>9531954.5842696615</v>
      </c>
      <c r="Q21" s="139">
        <f t="shared" si="3"/>
        <v>0</v>
      </c>
      <c r="R21" s="223"/>
      <c r="S21" s="223"/>
      <c r="W21" s="104"/>
    </row>
    <row r="22" spans="1:23" x14ac:dyDescent="0.2">
      <c r="A22" s="131" t="s">
        <v>54</v>
      </c>
      <c r="B22" s="127"/>
      <c r="C22" s="127"/>
      <c r="D22" s="127"/>
      <c r="E22" s="127"/>
      <c r="F22" s="127"/>
      <c r="G22" s="128"/>
      <c r="H22" s="129"/>
      <c r="I22" s="129"/>
      <c r="J22" s="129">
        <v>16000</v>
      </c>
      <c r="K22" s="130">
        <f t="shared" si="6"/>
        <v>6.666666666666667</v>
      </c>
      <c r="L22" s="178">
        <v>3</v>
      </c>
      <c r="M22" s="143">
        <f t="shared" si="1"/>
        <v>0</v>
      </c>
      <c r="N22" s="213"/>
      <c r="O22" s="182">
        <v>20</v>
      </c>
      <c r="P22" s="174">
        <f t="shared" si="7"/>
        <v>960000</v>
      </c>
      <c r="Q22" s="139">
        <f t="shared" si="3"/>
        <v>0</v>
      </c>
      <c r="R22" s="223"/>
      <c r="S22" s="223"/>
      <c r="W22" s="104"/>
    </row>
    <row r="23" spans="1:23" x14ac:dyDescent="0.2">
      <c r="A23" s="131" t="s">
        <v>64</v>
      </c>
      <c r="B23" s="127"/>
      <c r="C23" s="127"/>
      <c r="D23" s="127"/>
      <c r="E23" s="127"/>
      <c r="F23" s="127"/>
      <c r="G23" s="128"/>
      <c r="H23" s="129"/>
      <c r="I23" s="129"/>
      <c r="J23" s="129">
        <v>30000</v>
      </c>
      <c r="K23" s="130">
        <f t="shared" si="6"/>
        <v>0.98969353627738699</v>
      </c>
      <c r="L23" s="178">
        <v>2.020827586206897</v>
      </c>
      <c r="M23" s="143">
        <f t="shared" si="1"/>
        <v>0</v>
      </c>
      <c r="N23" s="213"/>
      <c r="O23" s="182">
        <v>2</v>
      </c>
      <c r="P23" s="174">
        <f t="shared" si="7"/>
        <v>121249.65517241381</v>
      </c>
      <c r="Q23" s="139">
        <f t="shared" si="3"/>
        <v>0</v>
      </c>
      <c r="R23" s="223"/>
      <c r="S23" s="223"/>
      <c r="W23" s="104"/>
    </row>
    <row r="24" spans="1:23" x14ac:dyDescent="0.2">
      <c r="A24" s="131" t="s">
        <v>118</v>
      </c>
      <c r="B24" s="127"/>
      <c r="C24" s="127"/>
      <c r="D24" s="127"/>
      <c r="E24" s="127"/>
      <c r="F24" s="127"/>
      <c r="G24" s="128"/>
      <c r="H24" s="129"/>
      <c r="I24" s="129"/>
      <c r="J24" s="129">
        <v>9000</v>
      </c>
      <c r="K24" s="130">
        <f t="shared" si="6"/>
        <v>2.193548387096774</v>
      </c>
      <c r="L24" s="178">
        <v>1.1973294117647064</v>
      </c>
      <c r="M24" s="143">
        <f t="shared" si="1"/>
        <v>0</v>
      </c>
      <c r="N24" s="213"/>
      <c r="O24" s="182">
        <v>2.6264000000000012</v>
      </c>
      <c r="P24" s="174">
        <f t="shared" si="7"/>
        <v>28301.993703529435</v>
      </c>
      <c r="Q24" s="139">
        <f t="shared" si="3"/>
        <v>0</v>
      </c>
      <c r="R24" s="223"/>
      <c r="S24" s="223"/>
      <c r="W24" s="104"/>
    </row>
    <row r="25" spans="1:23" x14ac:dyDescent="0.2">
      <c r="A25" s="131" t="s">
        <v>55</v>
      </c>
      <c r="B25" s="127"/>
      <c r="C25" s="127"/>
      <c r="D25" s="127"/>
      <c r="E25" s="127"/>
      <c r="F25" s="127"/>
      <c r="G25" s="128"/>
      <c r="H25" s="129"/>
      <c r="I25" s="129"/>
      <c r="J25" s="129">
        <v>9000</v>
      </c>
      <c r="K25" s="130">
        <f t="shared" si="6"/>
        <v>2.5751698747210177</v>
      </c>
      <c r="L25" s="178">
        <v>22.134462102689486</v>
      </c>
      <c r="M25" s="143">
        <f t="shared" si="1"/>
        <v>0</v>
      </c>
      <c r="N25" s="213"/>
      <c r="O25" s="182">
        <v>57</v>
      </c>
      <c r="P25" s="174">
        <f t="shared" si="7"/>
        <v>11354979.058679707</v>
      </c>
      <c r="Q25" s="139">
        <f t="shared" si="3"/>
        <v>0</v>
      </c>
      <c r="R25" s="223"/>
      <c r="S25" s="223"/>
      <c r="W25" s="104"/>
    </row>
    <row r="26" spans="1:23" x14ac:dyDescent="0.2">
      <c r="A26" s="6" t="s">
        <v>56</v>
      </c>
      <c r="B26" s="51">
        <v>6</v>
      </c>
      <c r="C26" s="51">
        <v>4</v>
      </c>
      <c r="D26" s="51">
        <v>1</v>
      </c>
      <c r="E26" s="51">
        <v>0</v>
      </c>
      <c r="F26" s="51">
        <v>1</v>
      </c>
      <c r="G26" s="7">
        <f>SUM(B26:F26)</f>
        <v>12</v>
      </c>
      <c r="H26" s="11">
        <f>(B26*112.71)+(C26*171.07)+(D26*239.39)+(E26*70.52)+(F26*49.81)</f>
        <v>1649.7399999999998</v>
      </c>
      <c r="I26" s="68">
        <v>0</v>
      </c>
      <c r="J26" s="11">
        <v>0</v>
      </c>
      <c r="K26" s="51">
        <v>2.9</v>
      </c>
      <c r="L26" s="7">
        <f>SUM(L11:L17)</f>
        <v>51.838043166756904</v>
      </c>
      <c r="M26" s="143">
        <f t="shared" si="1"/>
        <v>24660</v>
      </c>
      <c r="N26" s="208">
        <f t="shared" ref="N26:N28" si="8">(H26+I26+J26)*K26*L26</f>
        <v>248005.950668384</v>
      </c>
      <c r="O26" s="133">
        <v>2055</v>
      </c>
      <c r="P26" s="174">
        <f t="shared" si="7"/>
        <v>0</v>
      </c>
      <c r="Q26" s="139">
        <f t="shared" si="3"/>
        <v>3390215.6999999997</v>
      </c>
      <c r="R26" s="222"/>
      <c r="S26" s="222"/>
    </row>
    <row r="27" spans="1:23" ht="25.5" x14ac:dyDescent="0.2">
      <c r="A27" s="6" t="s">
        <v>83</v>
      </c>
      <c r="B27" s="51">
        <v>2</v>
      </c>
      <c r="C27" s="51">
        <v>0.5</v>
      </c>
      <c r="D27" s="51">
        <v>1</v>
      </c>
      <c r="E27" s="51">
        <v>0</v>
      </c>
      <c r="F27" s="51">
        <v>1</v>
      </c>
      <c r="G27" s="7">
        <f>SUM(B27:F27)</f>
        <v>4.5</v>
      </c>
      <c r="H27" s="11">
        <f t="shared" ref="H27:H41" si="9">(B27*112.71)+(C27*171.07)+(D27*239.39)+(E27*70.52)+(F27*49.81)</f>
        <v>600.15499999999997</v>
      </c>
      <c r="I27" s="68">
        <v>0</v>
      </c>
      <c r="J27" s="11">
        <v>6</v>
      </c>
      <c r="K27" s="51">
        <f>O27/L27</f>
        <v>5.5391108424149138</v>
      </c>
      <c r="L27" s="7">
        <f>SUM(L19:L25)</f>
        <v>67.3393276667815</v>
      </c>
      <c r="M27" s="143">
        <f t="shared" si="1"/>
        <v>1678.5</v>
      </c>
      <c r="N27" s="208">
        <f t="shared" si="8"/>
        <v>226095.815</v>
      </c>
      <c r="O27" s="137">
        <v>373</v>
      </c>
      <c r="P27" s="174">
        <f t="shared" si="7"/>
        <v>150705.415318257</v>
      </c>
      <c r="Q27" s="139">
        <f t="shared" si="3"/>
        <v>223857.815</v>
      </c>
      <c r="R27" s="222"/>
      <c r="S27" s="222"/>
    </row>
    <row r="28" spans="1:23" ht="25.5" x14ac:dyDescent="0.2">
      <c r="A28" s="6" t="s">
        <v>57</v>
      </c>
      <c r="B28" s="52">
        <v>1</v>
      </c>
      <c r="C28" s="52">
        <v>0.5</v>
      </c>
      <c r="D28" s="52">
        <v>0</v>
      </c>
      <c r="E28" s="52">
        <v>0</v>
      </c>
      <c r="F28" s="52">
        <v>2</v>
      </c>
      <c r="G28" s="7">
        <f>SUM(B28:F28)</f>
        <v>3.5</v>
      </c>
      <c r="H28" s="11">
        <f t="shared" si="9"/>
        <v>297.86500000000001</v>
      </c>
      <c r="I28" s="69">
        <v>0</v>
      </c>
      <c r="J28" s="12">
        <v>3</v>
      </c>
      <c r="K28" s="52">
        <f>O28/L28</f>
        <v>4.6379443052886398</v>
      </c>
      <c r="L28" s="8">
        <f>430-L27</f>
        <v>362.66067233321849</v>
      </c>
      <c r="M28" s="143">
        <f t="shared" si="1"/>
        <v>5887</v>
      </c>
      <c r="N28" s="208">
        <f t="shared" si="8"/>
        <v>506054.93000000005</v>
      </c>
      <c r="O28" s="133">
        <v>1682</v>
      </c>
      <c r="P28" s="174">
        <f t="shared" si="7"/>
        <v>1829985.7525934204</v>
      </c>
      <c r="Q28" s="139">
        <f t="shared" si="3"/>
        <v>501008.93</v>
      </c>
      <c r="R28" s="222"/>
      <c r="S28" s="222"/>
    </row>
    <row r="29" spans="1:23" x14ac:dyDescent="0.2">
      <c r="A29" s="9" t="s">
        <v>58</v>
      </c>
      <c r="B29" s="52">
        <v>0.5</v>
      </c>
      <c r="C29" s="52">
        <v>0.5</v>
      </c>
      <c r="D29" s="52">
        <v>0</v>
      </c>
      <c r="E29" s="52">
        <v>0</v>
      </c>
      <c r="F29" s="52">
        <v>0.5</v>
      </c>
      <c r="G29" s="8">
        <v>3</v>
      </c>
      <c r="H29" s="11">
        <f t="shared" si="9"/>
        <v>166.79499999999999</v>
      </c>
      <c r="I29" s="69">
        <v>0</v>
      </c>
      <c r="J29" s="12">
        <v>1</v>
      </c>
      <c r="K29" s="52">
        <f>M29/L29</f>
        <v>15.687022900763358</v>
      </c>
      <c r="L29" s="7">
        <v>393</v>
      </c>
      <c r="M29" s="143">
        <f t="shared" si="1"/>
        <v>6165</v>
      </c>
      <c r="N29" s="208">
        <f>H29*M29</f>
        <v>1028291.1749999999</v>
      </c>
      <c r="O29" s="133">
        <v>2055</v>
      </c>
      <c r="P29" s="174">
        <f t="shared" si="7"/>
        <v>807615</v>
      </c>
      <c r="Q29" s="139">
        <f t="shared" si="3"/>
        <v>342763.72499999998</v>
      </c>
      <c r="R29" s="222"/>
      <c r="S29" s="222"/>
    </row>
    <row r="30" spans="1:23" x14ac:dyDescent="0.2">
      <c r="A30" s="9" t="s">
        <v>59</v>
      </c>
      <c r="B30" s="59"/>
      <c r="C30" s="59"/>
      <c r="D30" s="59"/>
      <c r="E30" s="59"/>
      <c r="F30" s="59"/>
      <c r="G30" s="60"/>
      <c r="H30" s="11">
        <f t="shared" si="9"/>
        <v>0</v>
      </c>
      <c r="I30" s="68"/>
      <c r="J30" s="56"/>
      <c r="K30" s="59"/>
      <c r="L30" s="60"/>
      <c r="M30" s="143">
        <f t="shared" si="1"/>
        <v>0</v>
      </c>
      <c r="N30" s="214"/>
      <c r="O30" s="133"/>
      <c r="P30" s="174">
        <f t="shared" si="7"/>
        <v>0</v>
      </c>
      <c r="Q30" s="139">
        <f t="shared" si="3"/>
        <v>0</v>
      </c>
      <c r="R30" s="222"/>
      <c r="S30" s="222"/>
    </row>
    <row r="31" spans="1:23" x14ac:dyDescent="0.2">
      <c r="A31" s="48" t="s">
        <v>60</v>
      </c>
      <c r="B31" s="58">
        <v>0</v>
      </c>
      <c r="C31" s="58">
        <v>0</v>
      </c>
      <c r="D31" s="58">
        <v>0</v>
      </c>
      <c r="E31" s="58">
        <v>0</v>
      </c>
      <c r="F31" s="58">
        <v>0</v>
      </c>
      <c r="G31" s="7">
        <f t="shared" ref="G31:G41" si="10">SUM(B31:F31)</f>
        <v>0</v>
      </c>
      <c r="H31" s="11">
        <f t="shared" si="9"/>
        <v>0</v>
      </c>
      <c r="I31" s="71">
        <v>0</v>
      </c>
      <c r="J31" s="13">
        <v>509</v>
      </c>
      <c r="K31" s="58"/>
      <c r="L31" s="10"/>
      <c r="M31" s="143">
        <f t="shared" si="1"/>
        <v>0</v>
      </c>
      <c r="N31" s="208"/>
      <c r="O31" s="133">
        <v>268</v>
      </c>
      <c r="P31" s="174">
        <f>J31*O31</f>
        <v>136412</v>
      </c>
      <c r="Q31" s="139">
        <f t="shared" si="3"/>
        <v>0</v>
      </c>
      <c r="R31" s="222"/>
      <c r="S31" s="222"/>
      <c r="W31" s="67"/>
    </row>
    <row r="32" spans="1:23" x14ac:dyDescent="0.2">
      <c r="A32" s="48" t="s">
        <v>61</v>
      </c>
      <c r="B32" s="51">
        <v>0</v>
      </c>
      <c r="C32" s="51">
        <v>0</v>
      </c>
      <c r="D32" s="51">
        <v>0</v>
      </c>
      <c r="E32" s="51">
        <v>0</v>
      </c>
      <c r="F32" s="51">
        <v>0</v>
      </c>
      <c r="G32" s="7">
        <f t="shared" si="10"/>
        <v>0</v>
      </c>
      <c r="H32" s="11">
        <f t="shared" si="9"/>
        <v>0</v>
      </c>
      <c r="I32" s="68">
        <v>0</v>
      </c>
      <c r="J32" s="11">
        <v>563</v>
      </c>
      <c r="K32" s="51"/>
      <c r="L32" s="7"/>
      <c r="M32" s="143">
        <f t="shared" si="1"/>
        <v>0</v>
      </c>
      <c r="N32" s="208"/>
      <c r="O32" s="133">
        <v>1813</v>
      </c>
      <c r="P32" s="174">
        <f t="shared" ref="P32:P33" si="11">J32*O32</f>
        <v>1020719</v>
      </c>
      <c r="Q32" s="139">
        <f t="shared" si="3"/>
        <v>0</v>
      </c>
      <c r="R32" s="222"/>
      <c r="S32" s="222"/>
    </row>
    <row r="33" spans="1:23" x14ac:dyDescent="0.2">
      <c r="A33" s="48" t="s">
        <v>133</v>
      </c>
      <c r="B33" s="51"/>
      <c r="C33" s="51"/>
      <c r="D33" s="51"/>
      <c r="E33" s="51"/>
      <c r="F33" s="51"/>
      <c r="G33" s="7"/>
      <c r="H33" s="11"/>
      <c r="I33" s="68"/>
      <c r="J33" s="11">
        <v>66477</v>
      </c>
      <c r="K33" s="51"/>
      <c r="L33" s="61"/>
      <c r="M33" s="143">
        <f t="shared" si="1"/>
        <v>0</v>
      </c>
      <c r="N33" s="208"/>
      <c r="O33" s="133">
        <v>26</v>
      </c>
      <c r="P33" s="174">
        <f t="shared" si="11"/>
        <v>1728402</v>
      </c>
      <c r="Q33" s="139">
        <f t="shared" si="3"/>
        <v>0</v>
      </c>
      <c r="R33" s="222"/>
      <c r="S33" s="222"/>
    </row>
    <row r="34" spans="1:23" ht="15" thickBot="1" x14ac:dyDescent="0.25">
      <c r="A34" s="200" t="s">
        <v>12</v>
      </c>
      <c r="B34" s="201">
        <v>3</v>
      </c>
      <c r="C34" s="201">
        <v>1</v>
      </c>
      <c r="D34" s="201">
        <v>1</v>
      </c>
      <c r="E34" s="201">
        <v>0</v>
      </c>
      <c r="F34" s="201">
        <v>7</v>
      </c>
      <c r="G34" s="202">
        <f t="shared" si="10"/>
        <v>12</v>
      </c>
      <c r="H34" s="203">
        <f t="shared" si="9"/>
        <v>1097.26</v>
      </c>
      <c r="I34" s="204">
        <v>0</v>
      </c>
      <c r="J34" s="204">
        <v>6</v>
      </c>
      <c r="K34" s="201">
        <v>1</v>
      </c>
      <c r="L34" s="202">
        <v>393</v>
      </c>
      <c r="M34" s="143">
        <f t="shared" si="1"/>
        <v>0</v>
      </c>
      <c r="N34" s="215">
        <f t="shared" ref="N34:N41" si="12">(H34+I34+J34)*K34*L34</f>
        <v>433581.18</v>
      </c>
      <c r="O34" s="205"/>
      <c r="P34" s="206">
        <f>J34*(O34)</f>
        <v>0</v>
      </c>
      <c r="Q34" s="139">
        <f t="shared" si="3"/>
        <v>0</v>
      </c>
      <c r="R34" s="224"/>
      <c r="S34" s="224"/>
    </row>
    <row r="35" spans="1:23" ht="26.25" thickBot="1" x14ac:dyDescent="0.25">
      <c r="A35" s="85" t="s">
        <v>135</v>
      </c>
      <c r="B35" s="86">
        <v>8</v>
      </c>
      <c r="C35" s="86">
        <v>2</v>
      </c>
      <c r="D35" s="86">
        <v>1</v>
      </c>
      <c r="E35" s="86">
        <v>2</v>
      </c>
      <c r="F35" s="86">
        <v>2</v>
      </c>
      <c r="G35" s="87">
        <f t="shared" si="10"/>
        <v>15</v>
      </c>
      <c r="H35" s="11">
        <f t="shared" si="9"/>
        <v>1723.87</v>
      </c>
      <c r="I35" s="93">
        <v>0</v>
      </c>
      <c r="J35" s="88">
        <v>168</v>
      </c>
      <c r="K35" s="89">
        <v>1</v>
      </c>
      <c r="L35" s="87">
        <v>393</v>
      </c>
      <c r="M35" s="143">
        <f t="shared" si="1"/>
        <v>30825</v>
      </c>
      <c r="N35" s="216">
        <f t="shared" si="12"/>
        <v>743504.90999999992</v>
      </c>
      <c r="O35" s="138">
        <v>2055</v>
      </c>
      <c r="P35" s="206">
        <f>J35*(O35)</f>
        <v>345240</v>
      </c>
      <c r="Q35" s="139">
        <f t="shared" si="3"/>
        <v>3542552.8499999996</v>
      </c>
      <c r="R35" s="224"/>
      <c r="S35" s="224"/>
    </row>
    <row r="36" spans="1:23" ht="15" thickBot="1" x14ac:dyDescent="0.25">
      <c r="A36" s="90" t="s">
        <v>67</v>
      </c>
      <c r="B36" s="78">
        <v>101</v>
      </c>
      <c r="C36" s="78">
        <v>8</v>
      </c>
      <c r="D36" s="78">
        <v>4</v>
      </c>
      <c r="E36" s="78">
        <v>80</v>
      </c>
      <c r="F36" s="78">
        <v>9</v>
      </c>
      <c r="G36" s="87">
        <f t="shared" si="10"/>
        <v>202</v>
      </c>
      <c r="H36" s="11">
        <f t="shared" si="9"/>
        <v>19799.719999999998</v>
      </c>
      <c r="I36" s="92"/>
      <c r="J36" s="80">
        <v>3077.956403269754</v>
      </c>
      <c r="K36" s="77">
        <f>W36/L36</f>
        <v>0</v>
      </c>
      <c r="L36" s="76">
        <v>83</v>
      </c>
      <c r="M36" s="143">
        <f t="shared" si="1"/>
        <v>167458</v>
      </c>
      <c r="N36" s="216">
        <f>(H36+I36+J36)*(K36*L36)</f>
        <v>0</v>
      </c>
      <c r="O36" s="138">
        <v>829</v>
      </c>
      <c r="P36" s="206">
        <f t="shared" ref="P36:P41" si="13">J36*(O36)</f>
        <v>2551625.8583106259</v>
      </c>
      <c r="Q36" s="139">
        <f t="shared" si="3"/>
        <v>16413967.879999997</v>
      </c>
      <c r="R36" s="224"/>
      <c r="S36" s="224"/>
      <c r="W36" s="1"/>
    </row>
    <row r="37" spans="1:23" ht="15" thickBot="1" x14ac:dyDescent="0.25">
      <c r="A37" s="90" t="s">
        <v>68</v>
      </c>
      <c r="B37" s="78">
        <v>40</v>
      </c>
      <c r="C37" s="78">
        <v>10</v>
      </c>
      <c r="D37" s="78">
        <v>5</v>
      </c>
      <c r="E37" s="78">
        <v>0</v>
      </c>
      <c r="F37" s="78">
        <v>10</v>
      </c>
      <c r="G37" s="87">
        <f t="shared" si="10"/>
        <v>65</v>
      </c>
      <c r="H37" s="11">
        <f t="shared" si="9"/>
        <v>7914.15</v>
      </c>
      <c r="I37" s="92"/>
      <c r="J37" s="80">
        <v>168</v>
      </c>
      <c r="K37" s="77">
        <v>1</v>
      </c>
      <c r="L37" s="76">
        <v>37</v>
      </c>
      <c r="M37" s="143">
        <f t="shared" si="1"/>
        <v>7410</v>
      </c>
      <c r="N37" s="216">
        <f t="shared" si="12"/>
        <v>299039.55</v>
      </c>
      <c r="O37" s="138">
        <v>114</v>
      </c>
      <c r="P37" s="206">
        <f t="shared" si="13"/>
        <v>19152</v>
      </c>
      <c r="Q37" s="139">
        <f t="shared" si="3"/>
        <v>902213.1</v>
      </c>
      <c r="R37" s="224"/>
      <c r="S37" s="224"/>
    </row>
    <row r="38" spans="1:23" ht="15" thickBot="1" x14ac:dyDescent="0.25">
      <c r="A38" s="90" t="s">
        <v>71</v>
      </c>
      <c r="B38" s="78">
        <v>95</v>
      </c>
      <c r="C38" s="78">
        <v>4</v>
      </c>
      <c r="D38" s="78">
        <v>4</v>
      </c>
      <c r="E38" s="78">
        <v>11</v>
      </c>
      <c r="F38" s="78">
        <v>82</v>
      </c>
      <c r="G38" s="87">
        <f t="shared" si="10"/>
        <v>196</v>
      </c>
      <c r="H38" s="11">
        <f t="shared" si="9"/>
        <v>17209.43</v>
      </c>
      <c r="I38" s="92"/>
      <c r="J38" s="80">
        <v>3077.956403269754</v>
      </c>
      <c r="K38" s="77">
        <v>1.57</v>
      </c>
      <c r="L38" s="76">
        <v>7</v>
      </c>
      <c r="M38" s="143">
        <f t="shared" si="1"/>
        <v>1372</v>
      </c>
      <c r="N38" s="216">
        <f t="shared" si="12"/>
        <v>222958.37657193458</v>
      </c>
      <c r="O38" s="138">
        <v>7</v>
      </c>
      <c r="P38" s="206">
        <f t="shared" si="13"/>
        <v>21545.694822888279</v>
      </c>
      <c r="Q38" s="139">
        <f t="shared" si="3"/>
        <v>120466.01000000001</v>
      </c>
      <c r="R38" s="224"/>
      <c r="S38" s="224"/>
    </row>
    <row r="39" spans="1:23" ht="15" thickBot="1" x14ac:dyDescent="0.25">
      <c r="A39" s="90" t="s">
        <v>72</v>
      </c>
      <c r="B39" s="78">
        <v>102</v>
      </c>
      <c r="C39" s="78">
        <v>13</v>
      </c>
      <c r="D39" s="78">
        <v>4</v>
      </c>
      <c r="E39" s="78">
        <v>41</v>
      </c>
      <c r="F39" s="78">
        <v>12</v>
      </c>
      <c r="G39" s="87">
        <f t="shared" si="10"/>
        <v>172</v>
      </c>
      <c r="H39" s="11">
        <f t="shared" si="9"/>
        <v>18166.93</v>
      </c>
      <c r="I39" s="92"/>
      <c r="J39" s="80">
        <v>3077.956403269754</v>
      </c>
      <c r="K39" s="77">
        <v>1</v>
      </c>
      <c r="L39" s="76">
        <v>2</v>
      </c>
      <c r="M39" s="143">
        <f t="shared" si="1"/>
        <v>344</v>
      </c>
      <c r="N39" s="216">
        <f t="shared" si="12"/>
        <v>42489.772806539506</v>
      </c>
      <c r="O39" s="138">
        <v>2</v>
      </c>
      <c r="P39" s="206">
        <f t="shared" si="13"/>
        <v>6155.912806539508</v>
      </c>
      <c r="Q39" s="139">
        <f t="shared" si="3"/>
        <v>36333.86</v>
      </c>
      <c r="R39" s="224"/>
      <c r="S39" s="224"/>
    </row>
    <row r="40" spans="1:23" ht="15" thickBot="1" x14ac:dyDescent="0.25">
      <c r="A40" s="90" t="s">
        <v>69</v>
      </c>
      <c r="B40" s="78">
        <v>8</v>
      </c>
      <c r="C40" s="78">
        <v>3</v>
      </c>
      <c r="D40" s="78">
        <v>1</v>
      </c>
      <c r="E40" s="78">
        <v>0</v>
      </c>
      <c r="F40" s="78">
        <v>2</v>
      </c>
      <c r="G40" s="87">
        <f t="shared" si="10"/>
        <v>14</v>
      </c>
      <c r="H40" s="11">
        <f t="shared" si="9"/>
        <v>1753.8999999999996</v>
      </c>
      <c r="I40" s="92"/>
      <c r="J40" s="80">
        <v>168</v>
      </c>
      <c r="K40" s="77">
        <v>1</v>
      </c>
      <c r="L40" s="76">
        <v>19</v>
      </c>
      <c r="M40" s="143">
        <f t="shared" si="1"/>
        <v>756</v>
      </c>
      <c r="N40" s="216">
        <f t="shared" si="12"/>
        <v>36516.099999999991</v>
      </c>
      <c r="O40" s="138">
        <v>54</v>
      </c>
      <c r="P40" s="206">
        <f t="shared" si="13"/>
        <v>9072</v>
      </c>
      <c r="Q40" s="139">
        <f t="shared" si="3"/>
        <v>94710.599999999977</v>
      </c>
      <c r="R40" s="224"/>
      <c r="S40" s="224"/>
    </row>
    <row r="41" spans="1:23" x14ac:dyDescent="0.2">
      <c r="A41" s="91" t="s">
        <v>70</v>
      </c>
      <c r="B41" s="79">
        <v>8</v>
      </c>
      <c r="C41" s="79">
        <v>3</v>
      </c>
      <c r="D41" s="79">
        <v>1</v>
      </c>
      <c r="E41" s="79">
        <v>10</v>
      </c>
      <c r="F41" s="79">
        <v>2</v>
      </c>
      <c r="G41" s="87">
        <f t="shared" si="10"/>
        <v>24</v>
      </c>
      <c r="H41" s="11">
        <f t="shared" si="9"/>
        <v>2459.0999999999995</v>
      </c>
      <c r="I41" s="92"/>
      <c r="J41" s="80">
        <v>168</v>
      </c>
      <c r="K41" s="79">
        <v>4</v>
      </c>
      <c r="L41" s="79">
        <v>5</v>
      </c>
      <c r="M41" s="143">
        <f t="shared" si="1"/>
        <v>384</v>
      </c>
      <c r="N41" s="216">
        <f t="shared" si="12"/>
        <v>52541.999999999985</v>
      </c>
      <c r="O41" s="138">
        <v>16</v>
      </c>
      <c r="P41" s="206">
        <f t="shared" si="13"/>
        <v>2688</v>
      </c>
      <c r="Q41" s="139">
        <f t="shared" si="3"/>
        <v>39345.599999999991</v>
      </c>
      <c r="R41" s="224"/>
      <c r="S41" s="224"/>
    </row>
    <row r="42" spans="1:23" x14ac:dyDescent="0.2">
      <c r="A42" s="81" t="s">
        <v>62</v>
      </c>
      <c r="B42" s="81">
        <f t="shared" ref="B42:H42" si="14">SUM(B5:B35)</f>
        <v>405.5</v>
      </c>
      <c r="C42" s="81">
        <f t="shared" si="14"/>
        <v>217.5</v>
      </c>
      <c r="D42" s="81">
        <f t="shared" si="14"/>
        <v>15</v>
      </c>
      <c r="E42" s="81">
        <f t="shared" si="14"/>
        <v>706</v>
      </c>
      <c r="F42" s="81">
        <f t="shared" si="14"/>
        <v>44.5</v>
      </c>
      <c r="G42" s="83">
        <f t="shared" si="14"/>
        <v>1390</v>
      </c>
      <c r="H42" s="84">
        <f t="shared" si="14"/>
        <v>138440.14499999999</v>
      </c>
      <c r="I42" s="82">
        <v>0</v>
      </c>
      <c r="J42" s="81" t="s">
        <v>13</v>
      </c>
      <c r="K42" s="81" t="s">
        <v>13</v>
      </c>
      <c r="L42" s="81" t="s">
        <v>6</v>
      </c>
      <c r="M42" s="175">
        <f>M43/430</f>
        <v>1251.6453488372092</v>
      </c>
      <c r="N42" s="217" t="s">
        <v>6</v>
      </c>
      <c r="O42" s="133"/>
      <c r="P42" s="139">
        <f>27423224.36/430</f>
        <v>63774.94037209302</v>
      </c>
      <c r="Q42" s="139">
        <f t="shared" si="3"/>
        <v>0</v>
      </c>
      <c r="R42" s="222"/>
      <c r="S42" s="222"/>
    </row>
    <row r="43" spans="1:23" ht="16.5" thickBot="1" x14ac:dyDescent="0.3">
      <c r="A43" s="5" t="s">
        <v>7</v>
      </c>
      <c r="B43" s="5" t="s">
        <v>6</v>
      </c>
      <c r="C43" s="5" t="s">
        <v>6</v>
      </c>
      <c r="D43" s="5" t="s">
        <v>6</v>
      </c>
      <c r="E43" s="5" t="s">
        <v>6</v>
      </c>
      <c r="F43" s="5" t="s">
        <v>6</v>
      </c>
      <c r="G43" s="5" t="s">
        <v>6</v>
      </c>
      <c r="H43" s="49">
        <f>SUMPRODUCT(H5:H35, K5:K35, L5:L35)</f>
        <v>36558585.941178128</v>
      </c>
      <c r="I43" s="164">
        <v>0</v>
      </c>
      <c r="J43" s="165">
        <f>SUMPRODUCT(J5:J34, K5:K34, L5:L34)</f>
        <v>6810491.3400035994</v>
      </c>
      <c r="K43" s="47" t="s">
        <v>13</v>
      </c>
      <c r="L43" s="166">
        <f>SUM(L11:L17)</f>
        <v>51.838043166756904</v>
      </c>
      <c r="M43" s="227">
        <f>SUM(M5:M41)</f>
        <v>538207.5</v>
      </c>
      <c r="N43" s="218">
        <f>SUM(N5:N41)</f>
        <v>42784125.320560202</v>
      </c>
      <c r="O43" s="157">
        <f>SUM(O5:O41)</f>
        <v>18081.626400000001</v>
      </c>
      <c r="P43" s="228">
        <f>SUM(P5:P41)</f>
        <v>45650002.404811077</v>
      </c>
      <c r="Q43" s="228">
        <f>SUM(Q5:Q42)</f>
        <v>56738926.00999999</v>
      </c>
      <c r="R43" s="388">
        <f>P43+Q43</f>
        <v>102388928.41481107</v>
      </c>
      <c r="S43" s="225"/>
    </row>
    <row r="44" spans="1:23" ht="30.75" thickBot="1" x14ac:dyDescent="0.3">
      <c r="A44" s="62" t="s">
        <v>8</v>
      </c>
      <c r="B44" s="62"/>
      <c r="C44" s="63"/>
      <c r="D44" s="63"/>
      <c r="E44" s="62"/>
      <c r="F44" s="62"/>
      <c r="G44" s="1"/>
      <c r="H44" s="102">
        <f>SUM(H5:H34)</f>
        <v>136716.27499999999</v>
      </c>
      <c r="I44" s="167" t="s">
        <v>119</v>
      </c>
      <c r="J44" s="168">
        <f>SUM(J5:J34)</f>
        <v>254288.55000799999</v>
      </c>
      <c r="K44" s="169"/>
      <c r="L44" s="170"/>
      <c r="M44" s="171">
        <f>SUM(M5:M34)</f>
        <v>329658.5</v>
      </c>
      <c r="N44" s="219">
        <f>SUM(N5:N34)</f>
        <v>41387074.611181736</v>
      </c>
      <c r="O44" s="394">
        <f>O43/393</f>
        <v>46.009227480916032</v>
      </c>
      <c r="P44" s="176">
        <f>SUM(P5:P34)</f>
        <v>42694522.938871026</v>
      </c>
      <c r="Q44" s="172">
        <f>SUM(Q5:Q34)</f>
        <v>35589336.109999992</v>
      </c>
      <c r="R44" s="226"/>
      <c r="S44" s="226"/>
    </row>
    <row r="45" spans="1:23" x14ac:dyDescent="0.2">
      <c r="A45" s="62" t="s">
        <v>63</v>
      </c>
      <c r="B45" s="62"/>
      <c r="C45" s="1"/>
      <c r="D45" s="63"/>
      <c r="E45" s="62"/>
      <c r="F45" s="62"/>
      <c r="G45" s="65"/>
      <c r="H45" s="62"/>
      <c r="I45" s="62"/>
      <c r="J45" s="64"/>
      <c r="K45" s="62"/>
      <c r="L45" s="1"/>
      <c r="M45" s="95">
        <f>SUM(M35:M41)</f>
        <v>208549</v>
      </c>
      <c r="N45" s="220">
        <f>N43/430</f>
        <v>99497.965861767909</v>
      </c>
      <c r="P45" s="107">
        <f>SUM(P35:P41)</f>
        <v>2955479.4659400536</v>
      </c>
    </row>
    <row r="46" spans="1:23" ht="15" x14ac:dyDescent="0.25">
      <c r="A46" t="s">
        <v>444</v>
      </c>
      <c r="O46" s="485">
        <f>O26+SUM(O35:O41)</f>
        <v>5132</v>
      </c>
    </row>
    <row r="48" spans="1:23" ht="15" thickBot="1" x14ac:dyDescent="0.25"/>
    <row r="49" spans="1:10" ht="15" thickBot="1" x14ac:dyDescent="0.25">
      <c r="A49" s="97" t="s">
        <v>73</v>
      </c>
    </row>
    <row r="50" spans="1:10" ht="48" thickBot="1" x14ac:dyDescent="0.25">
      <c r="A50" s="98" t="s">
        <v>74</v>
      </c>
      <c r="B50" s="99" t="s">
        <v>75</v>
      </c>
      <c r="C50" s="188" t="s">
        <v>76</v>
      </c>
      <c r="D50" s="100" t="s">
        <v>77</v>
      </c>
      <c r="E50" s="94"/>
      <c r="F50" s="94"/>
      <c r="G50" s="94"/>
      <c r="H50" s="94"/>
      <c r="I50" s="94"/>
      <c r="J50" s="94"/>
    </row>
    <row r="51" spans="1:10" ht="32.25" thickBot="1" x14ac:dyDescent="0.25">
      <c r="A51" s="429" t="s">
        <v>41</v>
      </c>
      <c r="B51" s="101" t="s">
        <v>78</v>
      </c>
      <c r="C51" s="189">
        <v>53.67</v>
      </c>
      <c r="D51" s="185">
        <v>112.70700000000001</v>
      </c>
      <c r="E51" s="45"/>
      <c r="F51" s="45"/>
      <c r="G51" s="45"/>
      <c r="H51" s="45"/>
      <c r="I51" s="45"/>
      <c r="J51" s="45"/>
    </row>
    <row r="52" spans="1:10" ht="32.25" thickBot="1" x14ac:dyDescent="0.25">
      <c r="A52" s="430"/>
      <c r="B52" s="101" t="s">
        <v>79</v>
      </c>
      <c r="C52" s="190">
        <v>81.459999999999994</v>
      </c>
      <c r="D52" s="186">
        <v>171.066</v>
      </c>
      <c r="E52" s="94"/>
      <c r="F52" s="94"/>
      <c r="G52" s="94"/>
      <c r="H52" s="94"/>
      <c r="I52" s="94"/>
      <c r="J52" s="94"/>
    </row>
    <row r="53" spans="1:10" ht="16.5" thickBot="1" x14ac:dyDescent="0.25">
      <c r="A53" s="434" t="s">
        <v>42</v>
      </c>
      <c r="B53" s="101" t="s">
        <v>80</v>
      </c>
      <c r="C53" s="191">
        <v>111.14</v>
      </c>
      <c r="D53" s="186">
        <v>233.39400000000001</v>
      </c>
    </row>
    <row r="54" spans="1:10" ht="63.75" thickBot="1" x14ac:dyDescent="0.25">
      <c r="A54" s="434"/>
      <c r="B54" s="101" t="s">
        <v>81</v>
      </c>
      <c r="C54" s="191">
        <v>23.72</v>
      </c>
      <c r="D54" s="186">
        <v>49.811999999999998</v>
      </c>
    </row>
    <row r="55" spans="1:10" ht="48" thickBot="1" x14ac:dyDescent="0.25">
      <c r="A55" s="434" t="s">
        <v>43</v>
      </c>
      <c r="B55" s="101" t="s">
        <v>82</v>
      </c>
      <c r="C55" s="192">
        <v>33.58</v>
      </c>
      <c r="D55" s="187">
        <v>70.518000000000001</v>
      </c>
    </row>
    <row r="56" spans="1:10" ht="15" thickBot="1" x14ac:dyDescent="0.25">
      <c r="A56" s="434"/>
    </row>
    <row r="57" spans="1:10" ht="15" thickBot="1" x14ac:dyDescent="0.25">
      <c r="A57" s="434" t="s">
        <v>44</v>
      </c>
    </row>
    <row r="58" spans="1:10" ht="15" thickBot="1" x14ac:dyDescent="0.25">
      <c r="A58" s="434"/>
    </row>
    <row r="59" spans="1:10" ht="15" thickBot="1" x14ac:dyDescent="0.25">
      <c r="A59" s="430" t="s">
        <v>45</v>
      </c>
    </row>
    <row r="60" spans="1:10" ht="15" thickBot="1" x14ac:dyDescent="0.25">
      <c r="A60" s="434"/>
    </row>
    <row r="61" spans="1:10" ht="15" thickBot="1" x14ac:dyDescent="0.25"/>
    <row r="62" spans="1:10" ht="15.75" thickBot="1" x14ac:dyDescent="0.3">
      <c r="A62" s="125" t="s">
        <v>115</v>
      </c>
      <c r="B62" s="126"/>
    </row>
    <row r="63" spans="1:10" x14ac:dyDescent="0.2">
      <c r="A63" s="123" t="s">
        <v>10</v>
      </c>
      <c r="B63" s="124">
        <f>17000/3</f>
        <v>5666.666666666667</v>
      </c>
    </row>
    <row r="64" spans="1:10" x14ac:dyDescent="0.2">
      <c r="A64" s="121" t="s">
        <v>11</v>
      </c>
      <c r="B64" s="119">
        <f>35510/3</f>
        <v>11836.666666666666</v>
      </c>
    </row>
    <row r="65" spans="1:2" x14ac:dyDescent="0.2">
      <c r="A65" s="121" t="s">
        <v>53</v>
      </c>
      <c r="B65" s="119">
        <f>22000/3</f>
        <v>7333.333333333333</v>
      </c>
    </row>
    <row r="66" spans="1:2" x14ac:dyDescent="0.2">
      <c r="A66" s="121" t="s">
        <v>54</v>
      </c>
      <c r="B66" s="119">
        <f>45000/3</f>
        <v>15000</v>
      </c>
    </row>
    <row r="67" spans="1:2" x14ac:dyDescent="0.2">
      <c r="A67" s="121" t="s">
        <v>64</v>
      </c>
      <c r="B67" s="119">
        <f>45000/3</f>
        <v>15000</v>
      </c>
    </row>
    <row r="68" spans="1:2" x14ac:dyDescent="0.2">
      <c r="A68" s="121" t="s">
        <v>65</v>
      </c>
      <c r="B68" s="119">
        <f>1000/3</f>
        <v>333.33333333333331</v>
      </c>
    </row>
    <row r="69" spans="1:2" ht="15" thickBot="1" x14ac:dyDescent="0.25">
      <c r="A69" s="122" t="s">
        <v>55</v>
      </c>
      <c r="B69" s="120">
        <f>1000/3</f>
        <v>333.33333333333331</v>
      </c>
    </row>
  </sheetData>
  <mergeCells count="8">
    <mergeCell ref="A55:A56"/>
    <mergeCell ref="A57:A58"/>
    <mergeCell ref="A59:A60"/>
    <mergeCell ref="A2:N2"/>
    <mergeCell ref="B3:K3"/>
    <mergeCell ref="A51:A52"/>
    <mergeCell ref="P10:P17"/>
    <mergeCell ref="A53:A54"/>
  </mergeCells>
  <phoneticPr fontId="16" type="noConversion"/>
  <pageMargins left="0.7" right="0.7" top="0.75" bottom="0.75" header="0.3" footer="0.3"/>
  <pageSetup orientation="portrait" horizontalDpi="200" verticalDpi="200" r:id="rId1"/>
  <ignoredErrors>
    <ignoredError sqref="N36"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11B94-2035-49E7-999F-D8FA0A3E6B8C}">
  <dimension ref="A1:U88"/>
  <sheetViews>
    <sheetView topLeftCell="C1" zoomScale="95" zoomScaleNormal="95" workbookViewId="0">
      <selection activeCell="I37" sqref="I37"/>
    </sheetView>
  </sheetViews>
  <sheetFormatPr defaultColWidth="23" defaultRowHeight="32.1" customHeight="1" x14ac:dyDescent="0.2"/>
  <cols>
    <col min="1" max="1" width="40.625" style="103" customWidth="1"/>
    <col min="2" max="2" width="66.375" style="103" customWidth="1"/>
    <col min="3" max="3" width="11.25" style="103" bestFit="1" customWidth="1"/>
    <col min="4" max="6" width="7.375" style="103" bestFit="1" customWidth="1"/>
    <col min="7" max="7" width="20.75" style="103" customWidth="1"/>
    <col min="8" max="8" width="20.25" style="184" bestFit="1" customWidth="1"/>
    <col min="9" max="11" width="15.625" style="103" customWidth="1"/>
    <col min="12" max="12" width="23" style="103"/>
    <col min="13" max="13" width="22.25" style="103" bestFit="1" customWidth="1"/>
    <col min="14" max="14" width="10.625" style="103" customWidth="1"/>
    <col min="15" max="15" width="11" style="103" customWidth="1"/>
    <col min="16" max="16384" width="23" style="103"/>
  </cols>
  <sheetData>
    <row r="1" spans="1:18" ht="32.1" customHeight="1" thickBot="1" x14ac:dyDescent="0.25"/>
    <row r="2" spans="1:18" ht="47.45" customHeight="1" thickBot="1" x14ac:dyDescent="0.25">
      <c r="A2" s="455" t="s">
        <v>223</v>
      </c>
      <c r="B2" s="456"/>
      <c r="C2" s="457"/>
      <c r="D2" s="387">
        <v>2021</v>
      </c>
      <c r="E2" s="387">
        <v>2022</v>
      </c>
      <c r="F2" s="386">
        <v>2023</v>
      </c>
      <c r="G2" s="385" t="s">
        <v>222</v>
      </c>
      <c r="H2" s="384" t="s">
        <v>221</v>
      </c>
      <c r="I2" s="383" t="s">
        <v>220</v>
      </c>
      <c r="J2" s="383" t="s">
        <v>219</v>
      </c>
      <c r="K2" s="301" t="s">
        <v>218</v>
      </c>
      <c r="L2" s="444" t="s">
        <v>217</v>
      </c>
      <c r="M2" s="445"/>
      <c r="N2" s="446"/>
      <c r="O2" s="382" t="s">
        <v>216</v>
      </c>
    </row>
    <row r="3" spans="1:18" ht="32.1" customHeight="1" x14ac:dyDescent="0.2">
      <c r="A3" s="463" t="s">
        <v>215</v>
      </c>
      <c r="B3" s="447" t="s">
        <v>214</v>
      </c>
      <c r="C3" s="372" t="s">
        <v>196</v>
      </c>
      <c r="D3" s="371">
        <v>101</v>
      </c>
      <c r="E3" s="371">
        <v>101</v>
      </c>
      <c r="F3" s="370">
        <v>94</v>
      </c>
      <c r="G3" s="358">
        <f t="shared" ref="G3:G10" ca="1" si="0">SUM(D3:H3)/3</f>
        <v>147.99972151188936</v>
      </c>
      <c r="H3" s="369"/>
      <c r="I3" s="452">
        <v>5842</v>
      </c>
      <c r="J3" s="378">
        <v>52</v>
      </c>
      <c r="K3" s="301">
        <v>18</v>
      </c>
      <c r="L3" s="381" t="s">
        <v>213</v>
      </c>
      <c r="M3" s="380">
        <v>182</v>
      </c>
      <c r="N3" s="379">
        <v>349</v>
      </c>
      <c r="O3" s="352"/>
    </row>
    <row r="4" spans="1:18" ht="32.1" customHeight="1" thickBot="1" x14ac:dyDescent="0.25">
      <c r="A4" s="465"/>
      <c r="B4" s="448"/>
      <c r="C4" s="367" t="s">
        <v>195</v>
      </c>
      <c r="D4" s="366">
        <v>1006</v>
      </c>
      <c r="E4" s="366">
        <v>1011</v>
      </c>
      <c r="F4" s="365">
        <v>1016</v>
      </c>
      <c r="G4" s="349">
        <f t="shared" ca="1" si="0"/>
        <v>1957.4946569797964</v>
      </c>
      <c r="H4" s="364">
        <v>882</v>
      </c>
      <c r="I4" s="453"/>
      <c r="J4" s="376" t="s">
        <v>212</v>
      </c>
      <c r="K4" s="319">
        <f>162/3</f>
        <v>54</v>
      </c>
      <c r="L4" s="318" t="s">
        <v>211</v>
      </c>
      <c r="M4" s="317">
        <v>63</v>
      </c>
      <c r="N4" s="316">
        <v>77</v>
      </c>
      <c r="O4" s="315"/>
      <c r="P4" s="106">
        <f>1011-882</f>
        <v>129</v>
      </c>
      <c r="Q4" s="103">
        <f>P4*0.33</f>
        <v>42.57</v>
      </c>
    </row>
    <row r="5" spans="1:18" ht="32.1" customHeight="1" thickBot="1" x14ac:dyDescent="0.25">
      <c r="A5" s="465"/>
      <c r="B5" s="447" t="s">
        <v>210</v>
      </c>
      <c r="C5" s="372" t="s">
        <v>196</v>
      </c>
      <c r="D5" s="371">
        <v>20</v>
      </c>
      <c r="E5" s="371">
        <v>18</v>
      </c>
      <c r="F5" s="370">
        <v>18</v>
      </c>
      <c r="G5" s="358">
        <f t="shared" ca="1" si="0"/>
        <v>27.999947313060151</v>
      </c>
      <c r="H5" s="369"/>
      <c r="I5" s="452">
        <v>878</v>
      </c>
      <c r="J5" s="378">
        <f>27/3</f>
        <v>9</v>
      </c>
      <c r="K5" s="302">
        <v>8</v>
      </c>
      <c r="L5" s="377"/>
      <c r="M5" s="354"/>
      <c r="N5" s="353"/>
      <c r="O5" s="352">
        <v>7</v>
      </c>
      <c r="P5" s="106"/>
      <c r="Q5" s="106">
        <f>P4-Q4</f>
        <v>86.43</v>
      </c>
    </row>
    <row r="6" spans="1:18" ht="32.1" customHeight="1" thickBot="1" x14ac:dyDescent="0.25">
      <c r="A6" s="465"/>
      <c r="B6" s="448"/>
      <c r="C6" s="367" t="s">
        <v>195</v>
      </c>
      <c r="D6" s="366">
        <v>150</v>
      </c>
      <c r="E6" s="366">
        <v>150</v>
      </c>
      <c r="F6" s="365">
        <v>154</v>
      </c>
      <c r="G6" s="349">
        <f t="shared" ca="1" si="0"/>
        <v>296.99917770740308</v>
      </c>
      <c r="H6" s="364">
        <v>140</v>
      </c>
      <c r="I6" s="453"/>
      <c r="J6" s="376" t="s">
        <v>209</v>
      </c>
      <c r="K6" s="319">
        <v>15</v>
      </c>
      <c r="L6" s="375" t="s">
        <v>208</v>
      </c>
      <c r="M6" s="317">
        <v>2</v>
      </c>
      <c r="N6" s="316">
        <v>3</v>
      </c>
      <c r="O6" s="315">
        <v>11</v>
      </c>
      <c r="P6" s="374">
        <f>11/151</f>
        <v>7.2847682119205295E-2</v>
      </c>
      <c r="Q6" s="103">
        <f>P6*19</f>
        <v>1.3841059602649006</v>
      </c>
    </row>
    <row r="7" spans="1:18" ht="32.1" customHeight="1" x14ac:dyDescent="0.2">
      <c r="A7" s="465"/>
      <c r="B7" s="447" t="s">
        <v>207</v>
      </c>
      <c r="C7" s="372" t="s">
        <v>196</v>
      </c>
      <c r="D7" s="371">
        <v>37</v>
      </c>
      <c r="E7" s="371">
        <v>36</v>
      </c>
      <c r="F7" s="370">
        <v>36</v>
      </c>
      <c r="G7" s="358">
        <f t="shared" ca="1" si="0"/>
        <v>54.499897448634933</v>
      </c>
      <c r="H7" s="369"/>
      <c r="I7" s="452">
        <v>1181</v>
      </c>
      <c r="J7" s="368">
        <v>16</v>
      </c>
      <c r="K7" s="301">
        <v>0</v>
      </c>
      <c r="L7" s="355" t="s">
        <v>206</v>
      </c>
      <c r="M7" s="354">
        <v>20</v>
      </c>
      <c r="N7" s="353">
        <v>32</v>
      </c>
      <c r="O7" s="352"/>
      <c r="P7" s="106"/>
    </row>
    <row r="8" spans="1:18" ht="32.1" customHeight="1" thickBot="1" x14ac:dyDescent="0.25">
      <c r="A8" s="465"/>
      <c r="B8" s="448"/>
      <c r="C8" s="367" t="s">
        <v>195</v>
      </c>
      <c r="D8" s="366">
        <v>233</v>
      </c>
      <c r="E8" s="366">
        <v>240</v>
      </c>
      <c r="F8" s="365">
        <v>225</v>
      </c>
      <c r="G8" s="349">
        <f t="shared" ca="1" si="0"/>
        <v>448.49878161451602</v>
      </c>
      <c r="H8" s="364">
        <v>199</v>
      </c>
      <c r="I8" s="453"/>
      <c r="J8" s="373" t="s">
        <v>205</v>
      </c>
      <c r="K8" s="319">
        <v>0</v>
      </c>
      <c r="L8" s="318" t="s">
        <v>11</v>
      </c>
      <c r="M8" s="317">
        <v>0</v>
      </c>
      <c r="N8" s="316">
        <v>0</v>
      </c>
      <c r="O8" s="315"/>
      <c r="P8" s="106">
        <f>338-286</f>
        <v>52</v>
      </c>
      <c r="Q8" s="103">
        <f>P8/338</f>
        <v>0.15384615384615385</v>
      </c>
      <c r="R8" s="103">
        <f>Q8*72</f>
        <v>11.076923076923077</v>
      </c>
    </row>
    <row r="9" spans="1:18" ht="32.1" customHeight="1" x14ac:dyDescent="0.2">
      <c r="A9" s="465"/>
      <c r="B9" s="449" t="s">
        <v>204</v>
      </c>
      <c r="C9" s="372" t="s">
        <v>196</v>
      </c>
      <c r="D9" s="371">
        <v>143</v>
      </c>
      <c r="E9" s="371">
        <v>157</v>
      </c>
      <c r="F9" s="370">
        <v>142</v>
      </c>
      <c r="G9" s="358">
        <f t="shared" ca="1" si="0"/>
        <v>220.9995841495105</v>
      </c>
      <c r="H9" s="369"/>
      <c r="I9" s="452">
        <v>4398</v>
      </c>
      <c r="J9" s="368">
        <v>0</v>
      </c>
      <c r="K9" s="301">
        <v>0</v>
      </c>
      <c r="L9" s="355"/>
      <c r="M9" s="354"/>
      <c r="N9" s="353"/>
      <c r="O9" s="352"/>
      <c r="P9" s="362">
        <f>34/233</f>
        <v>0.14592274678111589</v>
      </c>
      <c r="Q9" s="103">
        <f>P9*36</f>
        <v>5.2532188841201721</v>
      </c>
    </row>
    <row r="10" spans="1:18" ht="32.1" customHeight="1" thickBot="1" x14ac:dyDescent="0.25">
      <c r="A10" s="466"/>
      <c r="B10" s="450"/>
      <c r="C10" s="367" t="s">
        <v>195</v>
      </c>
      <c r="D10" s="366">
        <v>279</v>
      </c>
      <c r="E10" s="366">
        <v>257</v>
      </c>
      <c r="F10" s="365">
        <v>269</v>
      </c>
      <c r="G10" s="349">
        <f t="shared" ca="1" si="0"/>
        <v>465.99888416588107</v>
      </c>
      <c r="H10" s="364">
        <v>127</v>
      </c>
      <c r="I10" s="453"/>
      <c r="J10" s="363">
        <v>0</v>
      </c>
      <c r="K10" s="319">
        <v>0</v>
      </c>
      <c r="L10" s="318"/>
      <c r="M10" s="317"/>
      <c r="N10" s="316"/>
      <c r="O10" s="315"/>
      <c r="P10" s="362">
        <f>4/26</f>
        <v>0.15384615384615385</v>
      </c>
      <c r="Q10" s="103">
        <f>P10*10</f>
        <v>1.5384615384615385</v>
      </c>
    </row>
    <row r="11" spans="1:18" ht="23.25" customHeight="1" x14ac:dyDescent="0.25">
      <c r="A11" s="461" t="s">
        <v>203</v>
      </c>
      <c r="B11" s="463" t="s">
        <v>202</v>
      </c>
      <c r="C11" s="361" t="s">
        <v>196</v>
      </c>
      <c r="D11" s="360">
        <v>65</v>
      </c>
      <c r="E11" s="360">
        <v>74</v>
      </c>
      <c r="F11" s="359">
        <v>78</v>
      </c>
      <c r="G11" s="358">
        <f t="shared" ref="G11:G16" si="1">SUM(D11:F11)/3</f>
        <v>72.333333333333329</v>
      </c>
      <c r="H11" s="357"/>
      <c r="I11" s="452">
        <v>2558</v>
      </c>
      <c r="J11" s="356">
        <v>6</v>
      </c>
      <c r="K11" s="301">
        <v>5</v>
      </c>
      <c r="L11" s="355"/>
      <c r="M11" s="354"/>
      <c r="N11" s="353"/>
      <c r="O11" s="352"/>
      <c r="P11" s="106">
        <f>268-127</f>
        <v>141</v>
      </c>
      <c r="Q11" s="103">
        <f>P11/268</f>
        <v>0.52611940298507465</v>
      </c>
      <c r="R11" s="103">
        <f>Q11*147</f>
        <v>77.339552238805979</v>
      </c>
    </row>
    <row r="12" spans="1:18" ht="15.75" thickBot="1" x14ac:dyDescent="0.3">
      <c r="A12" s="462"/>
      <c r="B12" s="464"/>
      <c r="C12" s="344" t="s">
        <v>195</v>
      </c>
      <c r="D12" s="351">
        <v>316</v>
      </c>
      <c r="E12" s="351">
        <v>338</v>
      </c>
      <c r="F12" s="350">
        <v>360</v>
      </c>
      <c r="G12" s="349">
        <f t="shared" si="1"/>
        <v>338</v>
      </c>
      <c r="H12" s="348">
        <v>286</v>
      </c>
      <c r="I12" s="453"/>
      <c r="J12" s="347" t="s">
        <v>201</v>
      </c>
      <c r="K12" s="319">
        <v>11</v>
      </c>
      <c r="L12" s="346"/>
      <c r="M12" s="345"/>
      <c r="N12" s="316"/>
      <c r="O12" s="315"/>
      <c r="P12" s="106"/>
    </row>
    <row r="13" spans="1:18" ht="32.1" customHeight="1" x14ac:dyDescent="0.25">
      <c r="A13" s="458" t="s">
        <v>200</v>
      </c>
      <c r="B13" s="459"/>
      <c r="C13" s="340" t="s">
        <v>196</v>
      </c>
      <c r="D13" s="339">
        <v>10</v>
      </c>
      <c r="E13" s="339">
        <v>10</v>
      </c>
      <c r="F13" s="338">
        <v>10</v>
      </c>
      <c r="G13" s="337">
        <f t="shared" si="1"/>
        <v>10</v>
      </c>
      <c r="H13" s="336"/>
      <c r="I13" s="452">
        <v>251</v>
      </c>
      <c r="J13" s="330">
        <v>0</v>
      </c>
      <c r="K13" s="329">
        <v>6</v>
      </c>
      <c r="L13" s="328"/>
      <c r="M13" s="327"/>
      <c r="N13" s="326"/>
      <c r="O13" s="325"/>
      <c r="P13" s="106"/>
    </row>
    <row r="14" spans="1:18" ht="32.1" customHeight="1" thickBot="1" x14ac:dyDescent="0.3">
      <c r="A14" s="460"/>
      <c r="B14" s="459"/>
      <c r="C14" s="344" t="s">
        <v>195</v>
      </c>
      <c r="D14" s="343">
        <v>26</v>
      </c>
      <c r="E14" s="343">
        <v>29</v>
      </c>
      <c r="F14" s="342">
        <v>22</v>
      </c>
      <c r="G14" s="337">
        <f t="shared" si="1"/>
        <v>25.666666666666668</v>
      </c>
      <c r="H14" s="341">
        <v>22</v>
      </c>
      <c r="I14" s="454"/>
      <c r="J14" s="330">
        <v>0</v>
      </c>
      <c r="K14" s="329">
        <v>34</v>
      </c>
      <c r="L14" s="328"/>
      <c r="M14" s="327"/>
      <c r="N14" s="326"/>
      <c r="O14" s="325"/>
      <c r="P14" s="106"/>
    </row>
    <row r="15" spans="1:18" ht="32.1" customHeight="1" x14ac:dyDescent="0.25">
      <c r="A15" s="460"/>
      <c r="B15" s="459"/>
      <c r="C15" s="340" t="s">
        <v>199</v>
      </c>
      <c r="D15" s="339">
        <v>8</v>
      </c>
      <c r="E15" s="339">
        <v>10</v>
      </c>
      <c r="F15" s="338">
        <v>11</v>
      </c>
      <c r="G15" s="337">
        <f t="shared" si="1"/>
        <v>9.6666666666666661</v>
      </c>
      <c r="H15" s="336"/>
      <c r="I15" s="467">
        <v>110</v>
      </c>
      <c r="J15" s="330">
        <v>0</v>
      </c>
      <c r="K15" s="329">
        <v>0</v>
      </c>
      <c r="L15" s="328"/>
      <c r="M15" s="327"/>
      <c r="N15" s="326"/>
      <c r="O15" s="325"/>
      <c r="P15" s="106"/>
    </row>
    <row r="16" spans="1:18" ht="32.1" customHeight="1" thickBot="1" x14ac:dyDescent="0.3">
      <c r="A16" s="460"/>
      <c r="B16" s="459"/>
      <c r="C16" s="335" t="s">
        <v>198</v>
      </c>
      <c r="D16" s="334">
        <v>29</v>
      </c>
      <c r="E16" s="334">
        <v>28</v>
      </c>
      <c r="F16" s="333">
        <v>26</v>
      </c>
      <c r="G16" s="332">
        <f t="shared" si="1"/>
        <v>27.666666666666668</v>
      </c>
      <c r="H16" s="331">
        <v>26</v>
      </c>
      <c r="I16" s="454"/>
      <c r="J16" s="330">
        <v>0</v>
      </c>
      <c r="K16" s="329">
        <v>0</v>
      </c>
      <c r="L16" s="328"/>
      <c r="M16" s="327"/>
      <c r="N16" s="326"/>
      <c r="O16" s="325"/>
      <c r="P16" s="106"/>
    </row>
    <row r="17" spans="1:17" ht="32.1" customHeight="1" thickBot="1" x14ac:dyDescent="0.3">
      <c r="A17" s="435" t="s">
        <v>197</v>
      </c>
      <c r="B17" s="436"/>
      <c r="C17" s="324" t="s">
        <v>196</v>
      </c>
      <c r="D17" s="323"/>
      <c r="E17" s="323"/>
      <c r="F17" s="323"/>
      <c r="G17" s="322">
        <f>99+19+36+147+72+10+10</f>
        <v>393</v>
      </c>
      <c r="H17" s="321"/>
      <c r="I17" s="320"/>
      <c r="J17" s="309">
        <f>J3+J5+J7+J11</f>
        <v>83</v>
      </c>
      <c r="K17" s="319">
        <f>K3+K5+K7+K9+K11+K13+K15</f>
        <v>37</v>
      </c>
      <c r="L17" s="318" t="s">
        <v>152</v>
      </c>
      <c r="M17" s="317"/>
      <c r="N17" s="316">
        <f>SUM(N4:N12)</f>
        <v>112</v>
      </c>
      <c r="O17" s="315"/>
    </row>
    <row r="18" spans="1:17" ht="32.1" customHeight="1" thickBot="1" x14ac:dyDescent="0.3">
      <c r="A18" s="437"/>
      <c r="B18" s="438"/>
      <c r="C18" s="314" t="s">
        <v>195</v>
      </c>
      <c r="D18" s="313"/>
      <c r="E18" s="313"/>
      <c r="F18" s="313"/>
      <c r="G18" s="312">
        <f>1011+151+233+268+338+26+28</f>
        <v>2055</v>
      </c>
      <c r="H18" s="311">
        <f>(H4+H6+H8+H10+H12+H14+H16)</f>
        <v>1682</v>
      </c>
      <c r="I18" s="310">
        <f>I3+I5+I7+I9+I11+I13+I15</f>
        <v>15218</v>
      </c>
      <c r="J18" s="309">
        <f>675+66+42+46</f>
        <v>829</v>
      </c>
      <c r="K18" s="103">
        <f>K4+K6+K8+K10+K12+K14+K16</f>
        <v>114</v>
      </c>
      <c r="L18" s="308"/>
      <c r="M18" s="308"/>
    </row>
    <row r="19" spans="1:17" ht="73.5" customHeight="1" x14ac:dyDescent="0.2">
      <c r="H19" s="271">
        <f>G18-H18</f>
        <v>373</v>
      </c>
      <c r="M19" s="308"/>
      <c r="N19" s="308"/>
    </row>
    <row r="20" spans="1:17" ht="32.1" customHeight="1" thickBot="1" x14ac:dyDescent="0.25"/>
    <row r="21" spans="1:17" ht="32.1" customHeight="1" thickBot="1" x14ac:dyDescent="0.3">
      <c r="A21" s="307" t="s">
        <v>194</v>
      </c>
      <c r="B21" s="306"/>
      <c r="C21" s="306"/>
      <c r="D21" s="306"/>
      <c r="E21" s="306"/>
      <c r="J21" s="237" t="s">
        <v>10</v>
      </c>
      <c r="K21" s="439" t="s">
        <v>193</v>
      </c>
      <c r="L21" s="440"/>
      <c r="M21" s="270"/>
      <c r="N21" s="439" t="s">
        <v>156</v>
      </c>
      <c r="O21" s="441"/>
      <c r="P21" s="442"/>
    </row>
    <row r="22" spans="1:17" ht="32.1" customHeight="1" x14ac:dyDescent="0.2">
      <c r="A22" s="305"/>
      <c r="B22" s="303" t="s">
        <v>192</v>
      </c>
      <c r="C22" s="304"/>
      <c r="D22" s="301"/>
      <c r="E22" s="303" t="s">
        <v>191</v>
      </c>
      <c r="F22" s="302"/>
      <c r="G22" s="301"/>
      <c r="H22" s="468" t="s">
        <v>190</v>
      </c>
      <c r="I22" s="468" t="s">
        <v>189</v>
      </c>
      <c r="J22" s="287" t="s">
        <v>188</v>
      </c>
      <c r="K22" s="250" t="s">
        <v>155</v>
      </c>
      <c r="L22" s="250" t="s">
        <v>154</v>
      </c>
      <c r="M22" s="250"/>
      <c r="N22" s="250" t="s">
        <v>173</v>
      </c>
      <c r="O22" s="250" t="s">
        <v>155</v>
      </c>
      <c r="P22" s="249" t="s">
        <v>154</v>
      </c>
    </row>
    <row r="23" spans="1:17" ht="32.1" customHeight="1" thickBot="1" x14ac:dyDescent="0.25">
      <c r="A23" s="300" t="s">
        <v>187</v>
      </c>
      <c r="B23" s="277">
        <v>2021</v>
      </c>
      <c r="C23" s="276">
        <v>2022</v>
      </c>
      <c r="D23" s="239">
        <v>2023</v>
      </c>
      <c r="E23" s="277">
        <v>2021</v>
      </c>
      <c r="F23" s="276">
        <v>2022</v>
      </c>
      <c r="G23" s="239">
        <v>2023</v>
      </c>
      <c r="H23" s="469"/>
      <c r="I23" s="469"/>
      <c r="J23" s="287">
        <v>2010</v>
      </c>
      <c r="K23" s="250">
        <v>1</v>
      </c>
      <c r="L23" s="250">
        <v>1</v>
      </c>
      <c r="M23" s="250"/>
      <c r="N23" s="250"/>
      <c r="O23" s="250"/>
      <c r="P23" s="249"/>
    </row>
    <row r="24" spans="1:17" ht="32.1" customHeight="1" x14ac:dyDescent="0.2">
      <c r="A24" s="286" t="s">
        <v>186</v>
      </c>
      <c r="B24" s="298">
        <v>47</v>
      </c>
      <c r="C24" s="297">
        <v>29</v>
      </c>
      <c r="D24" s="299">
        <v>16</v>
      </c>
      <c r="E24" s="298">
        <v>2</v>
      </c>
      <c r="F24" s="297">
        <v>1</v>
      </c>
      <c r="G24" s="296">
        <v>0</v>
      </c>
      <c r="H24" s="285">
        <f>SUM(B24:D24)/3</f>
        <v>30.666666666666668</v>
      </c>
      <c r="I24" s="273">
        <f t="shared" ref="I24:I35" si="2">SUM(E24:G24)/3</f>
        <v>1</v>
      </c>
      <c r="J24" s="287">
        <v>2011</v>
      </c>
      <c r="K24" s="250">
        <v>71</v>
      </c>
      <c r="L24" s="250">
        <v>300</v>
      </c>
      <c r="M24" s="250"/>
      <c r="N24" s="250"/>
      <c r="O24" s="250"/>
      <c r="P24" s="249"/>
    </row>
    <row r="25" spans="1:17" ht="32.1" customHeight="1" x14ac:dyDescent="0.2">
      <c r="A25" s="286" t="s">
        <v>185</v>
      </c>
      <c r="B25" s="283">
        <v>5</v>
      </c>
      <c r="C25" s="282">
        <v>8</v>
      </c>
      <c r="D25" s="249">
        <v>4</v>
      </c>
      <c r="E25" s="283">
        <v>0</v>
      </c>
      <c r="F25" s="282">
        <v>0</v>
      </c>
      <c r="G25" s="281">
        <v>0</v>
      </c>
      <c r="H25" s="285">
        <f>SUM(B25:D25)/3</f>
        <v>5.666666666666667</v>
      </c>
      <c r="I25" s="273">
        <f t="shared" si="2"/>
        <v>0</v>
      </c>
      <c r="J25" s="287">
        <v>2012</v>
      </c>
      <c r="K25" s="250">
        <v>83</v>
      </c>
      <c r="L25" s="250">
        <v>296</v>
      </c>
      <c r="M25" s="250"/>
      <c r="N25" s="250"/>
      <c r="O25" s="250"/>
      <c r="P25" s="249"/>
    </row>
    <row r="26" spans="1:17" ht="32.1" customHeight="1" x14ac:dyDescent="0.2">
      <c r="A26" s="286" t="s">
        <v>184</v>
      </c>
      <c r="B26" s="283">
        <v>5</v>
      </c>
      <c r="C26" s="282">
        <v>5</v>
      </c>
      <c r="D26" s="249">
        <v>2</v>
      </c>
      <c r="E26" s="283">
        <v>0</v>
      </c>
      <c r="F26" s="282">
        <v>0</v>
      </c>
      <c r="G26" s="281">
        <v>0</v>
      </c>
      <c r="H26" s="285">
        <f>SUM(B26:D26)/3</f>
        <v>4</v>
      </c>
      <c r="I26" s="273">
        <f t="shared" si="2"/>
        <v>0</v>
      </c>
      <c r="J26" s="287">
        <v>2013</v>
      </c>
      <c r="K26" s="250">
        <v>52</v>
      </c>
      <c r="L26" s="250">
        <v>187</v>
      </c>
      <c r="M26" s="250"/>
      <c r="N26" s="250"/>
      <c r="O26" s="250"/>
      <c r="P26" s="249"/>
    </row>
    <row r="27" spans="1:17" ht="32.1" customHeight="1" x14ac:dyDescent="0.2">
      <c r="A27" s="286" t="s">
        <v>183</v>
      </c>
      <c r="B27" s="283">
        <v>3</v>
      </c>
      <c r="C27" s="282">
        <v>0</v>
      </c>
      <c r="D27" s="249">
        <v>0</v>
      </c>
      <c r="E27" s="283">
        <v>1</v>
      </c>
      <c r="F27" s="282">
        <v>1</v>
      </c>
      <c r="G27" s="281">
        <v>1</v>
      </c>
      <c r="H27" s="280">
        <f>SUM(B27:D27)/3</f>
        <v>1</v>
      </c>
      <c r="I27" s="273">
        <f t="shared" si="2"/>
        <v>1</v>
      </c>
      <c r="J27" s="287">
        <v>2014</v>
      </c>
      <c r="K27" s="250">
        <v>60</v>
      </c>
      <c r="L27" s="250">
        <v>181</v>
      </c>
      <c r="M27" s="250"/>
      <c r="N27" s="250"/>
      <c r="O27" s="250"/>
      <c r="P27" s="249"/>
    </row>
    <row r="28" spans="1:17" ht="32.1" customHeight="1" x14ac:dyDescent="0.2">
      <c r="A28" s="286" t="s">
        <v>182</v>
      </c>
      <c r="B28" s="283">
        <v>5</v>
      </c>
      <c r="C28" s="295">
        <v>9</v>
      </c>
      <c r="D28" s="249">
        <v>9</v>
      </c>
      <c r="E28" s="283">
        <v>4</v>
      </c>
      <c r="F28" s="295">
        <v>6</v>
      </c>
      <c r="G28" s="281">
        <v>1</v>
      </c>
      <c r="H28" s="285">
        <f>SUM(B28:D28)/3</f>
        <v>7.666666666666667</v>
      </c>
      <c r="I28" s="273">
        <f t="shared" si="2"/>
        <v>3.6666666666666665</v>
      </c>
      <c r="J28" s="287">
        <v>2015</v>
      </c>
      <c r="K28" s="250">
        <v>54</v>
      </c>
      <c r="L28" s="250">
        <v>169</v>
      </c>
      <c r="M28" s="250"/>
      <c r="N28" s="250"/>
      <c r="O28" s="250"/>
      <c r="P28" s="249"/>
    </row>
    <row r="29" spans="1:17" ht="32.1" customHeight="1" x14ac:dyDescent="0.2">
      <c r="A29" s="294" t="s">
        <v>181</v>
      </c>
      <c r="B29" s="291"/>
      <c r="C29" s="290"/>
      <c r="D29" s="292"/>
      <c r="E29" s="291"/>
      <c r="F29" s="290"/>
      <c r="G29" s="289"/>
      <c r="H29" s="288"/>
      <c r="I29" s="273">
        <f t="shared" si="2"/>
        <v>0</v>
      </c>
      <c r="J29" s="287">
        <v>2016</v>
      </c>
      <c r="K29" s="250">
        <v>55</v>
      </c>
      <c r="L29" s="250">
        <v>186</v>
      </c>
      <c r="M29" s="250"/>
      <c r="N29" s="250"/>
      <c r="O29" s="250"/>
      <c r="P29" s="249"/>
    </row>
    <row r="30" spans="1:17" ht="32.1" customHeight="1" x14ac:dyDescent="0.2">
      <c r="A30" s="293" t="s">
        <v>180</v>
      </c>
      <c r="B30" s="291"/>
      <c r="C30" s="290"/>
      <c r="D30" s="292"/>
      <c r="E30" s="291"/>
      <c r="F30" s="290"/>
      <c r="G30" s="289"/>
      <c r="H30" s="288"/>
      <c r="I30" s="273">
        <f t="shared" si="2"/>
        <v>0</v>
      </c>
      <c r="J30" s="287">
        <v>2017</v>
      </c>
      <c r="K30" s="250">
        <v>53</v>
      </c>
      <c r="L30" s="250">
        <v>150</v>
      </c>
      <c r="M30" s="250"/>
      <c r="N30" s="250"/>
      <c r="O30" s="250"/>
      <c r="P30" s="249"/>
    </row>
    <row r="31" spans="1:17" ht="32.1" customHeight="1" x14ac:dyDescent="0.2">
      <c r="A31" s="293" t="s">
        <v>179</v>
      </c>
      <c r="B31" s="291"/>
      <c r="C31" s="290"/>
      <c r="D31" s="292"/>
      <c r="E31" s="291"/>
      <c r="F31" s="290"/>
      <c r="G31" s="289"/>
      <c r="H31" s="288"/>
      <c r="I31" s="273">
        <f t="shared" si="2"/>
        <v>0</v>
      </c>
      <c r="J31" s="287">
        <v>2018</v>
      </c>
      <c r="K31" s="250">
        <v>53</v>
      </c>
      <c r="L31" s="250">
        <v>207</v>
      </c>
      <c r="M31" s="250"/>
      <c r="N31" s="250"/>
      <c r="O31" s="250"/>
      <c r="P31" s="249"/>
    </row>
    <row r="32" spans="1:17" ht="32.1" customHeight="1" x14ac:dyDescent="0.25">
      <c r="A32" s="286" t="s">
        <v>178</v>
      </c>
      <c r="B32" s="283">
        <v>0</v>
      </c>
      <c r="C32" s="282">
        <v>4</v>
      </c>
      <c r="D32" s="249">
        <v>10</v>
      </c>
      <c r="E32" s="283">
        <v>0</v>
      </c>
      <c r="F32" s="282">
        <v>1</v>
      </c>
      <c r="G32" s="281">
        <v>3</v>
      </c>
      <c r="H32" s="285">
        <f>SUM(B32:D32)/3</f>
        <v>4.666666666666667</v>
      </c>
      <c r="I32" s="273">
        <f t="shared" si="2"/>
        <v>1.3333333333333333</v>
      </c>
      <c r="J32" s="284">
        <v>2019</v>
      </c>
      <c r="K32" s="244">
        <v>55</v>
      </c>
      <c r="L32" s="244">
        <v>350</v>
      </c>
      <c r="M32" s="248">
        <f>(K32+K33)/(2)</f>
        <v>59.5</v>
      </c>
      <c r="N32" s="244"/>
      <c r="O32" s="244">
        <v>48</v>
      </c>
      <c r="P32" s="243">
        <v>726</v>
      </c>
      <c r="Q32" s="247">
        <f>(O32+O33)/2</f>
        <v>42</v>
      </c>
    </row>
    <row r="33" spans="1:17" ht="32.1" customHeight="1" x14ac:dyDescent="0.25">
      <c r="A33" s="286" t="s">
        <v>177</v>
      </c>
      <c r="B33" s="283">
        <v>0</v>
      </c>
      <c r="C33" s="282">
        <v>1</v>
      </c>
      <c r="D33" s="249">
        <v>1</v>
      </c>
      <c r="E33" s="283">
        <v>0</v>
      </c>
      <c r="F33" s="282">
        <v>0</v>
      </c>
      <c r="G33" s="281">
        <v>0</v>
      </c>
      <c r="H33" s="285">
        <f>SUM(B33:D33)/3</f>
        <v>0.66666666666666663</v>
      </c>
      <c r="I33" s="273">
        <f t="shared" si="2"/>
        <v>0</v>
      </c>
      <c r="J33" s="284">
        <v>2020</v>
      </c>
      <c r="K33" s="244">
        <v>64</v>
      </c>
      <c r="L33" s="244">
        <v>459</v>
      </c>
      <c r="M33" s="248">
        <f>(L32+L33)/(2)</f>
        <v>404.5</v>
      </c>
      <c r="N33" s="244"/>
      <c r="O33" s="244">
        <v>36</v>
      </c>
      <c r="P33" s="243">
        <v>534</v>
      </c>
      <c r="Q33" s="247">
        <f>(P32+P33)/2</f>
        <v>630</v>
      </c>
    </row>
    <row r="34" spans="1:17" ht="32.1" customHeight="1" thickBot="1" x14ac:dyDescent="0.3">
      <c r="A34" s="278" t="s">
        <v>176</v>
      </c>
      <c r="B34" s="283">
        <f>SUM(B24:B33)</f>
        <v>65</v>
      </c>
      <c r="C34" s="282">
        <f>SUM(C24:C33)</f>
        <v>56</v>
      </c>
      <c r="D34" s="282">
        <f>SUM(D24:D33)</f>
        <v>42</v>
      </c>
      <c r="E34" s="283">
        <f>SUM(E24:E33)</f>
        <v>7</v>
      </c>
      <c r="F34" s="282">
        <f>SUM(F24:F33)</f>
        <v>9</v>
      </c>
      <c r="G34" s="281"/>
      <c r="H34" s="280"/>
      <c r="I34" s="273">
        <f t="shared" si="2"/>
        <v>5.333333333333333</v>
      </c>
      <c r="J34" s="279">
        <v>2021</v>
      </c>
      <c r="K34" s="266">
        <v>38</v>
      </c>
      <c r="L34" s="266">
        <v>108</v>
      </c>
      <c r="M34" s="266"/>
      <c r="N34" s="266"/>
      <c r="O34" s="266"/>
      <c r="P34" s="265"/>
    </row>
    <row r="35" spans="1:17" ht="32.1" customHeight="1" thickBot="1" x14ac:dyDescent="0.3">
      <c r="A35" s="278" t="s">
        <v>175</v>
      </c>
      <c r="B35" s="277">
        <f>B24+B25+B26+B27+B29+B30+B31+B32+B33</f>
        <v>60</v>
      </c>
      <c r="C35" s="276">
        <v>14</v>
      </c>
      <c r="D35" s="239"/>
      <c r="E35" s="277">
        <v>6</v>
      </c>
      <c r="F35" s="276">
        <v>4</v>
      </c>
      <c r="G35" s="275"/>
      <c r="H35" s="274"/>
      <c r="I35" s="273">
        <f t="shared" si="2"/>
        <v>3.3333333333333335</v>
      </c>
      <c r="J35" s="272" t="s">
        <v>174</v>
      </c>
      <c r="K35" s="263" t="s">
        <v>155</v>
      </c>
      <c r="L35" s="263" t="s">
        <v>154</v>
      </c>
      <c r="M35" s="263"/>
      <c r="N35" s="263" t="s">
        <v>173</v>
      </c>
      <c r="O35" s="263" t="s">
        <v>155</v>
      </c>
      <c r="P35" s="262" t="s">
        <v>154</v>
      </c>
    </row>
    <row r="36" spans="1:17" ht="32.1" customHeight="1" x14ac:dyDescent="0.2">
      <c r="H36" s="271">
        <f>SUM(H24:H35)</f>
        <v>54.333333333333329</v>
      </c>
      <c r="I36" s="106">
        <f>SUM(I24:I35)</f>
        <v>15.666666666666666</v>
      </c>
      <c r="J36" s="251">
        <v>2011</v>
      </c>
      <c r="K36" s="250">
        <v>8</v>
      </c>
      <c r="L36" s="250">
        <v>13</v>
      </c>
      <c r="M36" s="250"/>
      <c r="N36" s="250"/>
      <c r="O36" s="250"/>
      <c r="P36" s="249"/>
    </row>
    <row r="37" spans="1:17" ht="32.1" customHeight="1" thickBot="1" x14ac:dyDescent="0.25">
      <c r="A37" s="103" t="s">
        <v>172</v>
      </c>
      <c r="B37" s="106">
        <f>M32+M44+M56+M64+M69</f>
        <v>177.5</v>
      </c>
      <c r="J37" s="251">
        <v>2012</v>
      </c>
      <c r="K37" s="250">
        <v>14</v>
      </c>
      <c r="L37" s="250">
        <v>26</v>
      </c>
      <c r="M37" s="250"/>
      <c r="N37" s="250"/>
      <c r="O37" s="250"/>
      <c r="P37" s="249"/>
    </row>
    <row r="38" spans="1:17" ht="32.1" customHeight="1" thickBot="1" x14ac:dyDescent="0.3">
      <c r="G38" s="451" t="s">
        <v>171</v>
      </c>
      <c r="H38" s="439"/>
      <c r="J38" s="251">
        <v>2013</v>
      </c>
      <c r="K38" s="250">
        <v>13</v>
      </c>
      <c r="L38" s="250">
        <v>44</v>
      </c>
      <c r="M38" s="250"/>
      <c r="N38" s="250"/>
      <c r="O38" s="250"/>
      <c r="P38" s="249"/>
    </row>
    <row r="39" spans="1:17" ht="32.1" customHeight="1" thickBot="1" x14ac:dyDescent="0.3">
      <c r="A39" s="237" t="s">
        <v>170</v>
      </c>
      <c r="B39" s="270" t="s">
        <v>169</v>
      </c>
      <c r="C39" s="270"/>
      <c r="D39" s="236" t="s">
        <v>168</v>
      </c>
      <c r="G39" s="241">
        <f>(B35+C35)/2</f>
        <v>37</v>
      </c>
      <c r="H39" s="269">
        <f>(E35+F35)/2</f>
        <v>5</v>
      </c>
      <c r="J39" s="251">
        <v>2014</v>
      </c>
      <c r="K39" s="250">
        <v>16</v>
      </c>
      <c r="L39" s="250">
        <v>22</v>
      </c>
      <c r="M39" s="250"/>
      <c r="N39" s="250"/>
      <c r="O39" s="250"/>
      <c r="P39" s="249"/>
    </row>
    <row r="40" spans="1:17" ht="32.1" customHeight="1" x14ac:dyDescent="0.2">
      <c r="A40" s="259" t="e">
        <f ca="1">G4-#REF!</f>
        <v>#REF!</v>
      </c>
      <c r="B40" s="258" t="e">
        <f ca="1">A40*0.56</f>
        <v>#REF!</v>
      </c>
      <c r="C40" s="250" t="s">
        <v>10</v>
      </c>
      <c r="D40" s="257" t="e">
        <f t="shared" ref="D40:D46" ca="1" si="3">A40-B40</f>
        <v>#REF!</v>
      </c>
      <c r="E40" s="106">
        <v>41.520503952569172</v>
      </c>
      <c r="J40" s="251">
        <v>2015</v>
      </c>
      <c r="K40" s="250">
        <v>16</v>
      </c>
      <c r="L40" s="250">
        <v>35</v>
      </c>
      <c r="M40" s="250"/>
      <c r="N40" s="250"/>
      <c r="O40" s="250"/>
      <c r="P40" s="249"/>
    </row>
    <row r="41" spans="1:17" ht="32.1" customHeight="1" x14ac:dyDescent="0.2">
      <c r="A41" s="259" t="e">
        <f ca="1">G8-#REF!</f>
        <v>#REF!</v>
      </c>
      <c r="B41" s="258" t="e">
        <f ca="1">A41*0.56</f>
        <v>#REF!</v>
      </c>
      <c r="C41" s="250" t="s">
        <v>11</v>
      </c>
      <c r="D41" s="257" t="e">
        <f t="shared" ca="1" si="3"/>
        <v>#REF!</v>
      </c>
      <c r="E41" s="106">
        <v>4.0695652173913039</v>
      </c>
      <c r="J41" s="251">
        <v>2016</v>
      </c>
      <c r="K41" s="250">
        <v>7</v>
      </c>
      <c r="L41" s="250">
        <v>16</v>
      </c>
      <c r="M41" s="250"/>
      <c r="N41" s="250"/>
      <c r="O41" s="250"/>
      <c r="P41" s="249"/>
    </row>
    <row r="42" spans="1:17" ht="32.1" customHeight="1" x14ac:dyDescent="0.2">
      <c r="A42" s="259"/>
      <c r="B42" s="258"/>
      <c r="C42" s="250" t="s">
        <v>53</v>
      </c>
      <c r="D42" s="257">
        <f t="shared" si="3"/>
        <v>0</v>
      </c>
      <c r="E42" s="106">
        <v>30.385767790262168</v>
      </c>
      <c r="J42" s="251">
        <v>2017</v>
      </c>
      <c r="K42" s="250">
        <v>13</v>
      </c>
      <c r="L42" s="250">
        <v>27</v>
      </c>
      <c r="M42" s="250"/>
      <c r="N42" s="250"/>
      <c r="O42" s="250"/>
      <c r="P42" s="249"/>
    </row>
    <row r="43" spans="1:17" ht="32.1" customHeight="1" x14ac:dyDescent="0.2">
      <c r="A43" s="259" t="e">
        <f ca="1">G6-#REF!</f>
        <v>#REF!</v>
      </c>
      <c r="B43" s="258" t="e">
        <f ca="1">A43*0.56</f>
        <v>#REF!</v>
      </c>
      <c r="C43" s="250" t="s">
        <v>54</v>
      </c>
      <c r="D43" s="257" t="e">
        <f t="shared" ca="1" si="3"/>
        <v>#REF!</v>
      </c>
      <c r="E43" s="106">
        <v>2.8455882352941178</v>
      </c>
      <c r="J43" s="251">
        <v>2018</v>
      </c>
      <c r="K43" s="250">
        <v>8</v>
      </c>
      <c r="L43" s="250">
        <v>26</v>
      </c>
      <c r="M43" s="250"/>
      <c r="N43" s="250"/>
      <c r="O43" s="250"/>
      <c r="P43" s="249"/>
    </row>
    <row r="44" spans="1:17" ht="32.1" customHeight="1" x14ac:dyDescent="0.25">
      <c r="A44" s="259"/>
      <c r="B44" s="258">
        <v>4</v>
      </c>
      <c r="C44" s="250" t="s">
        <v>64</v>
      </c>
      <c r="D44" s="257">
        <f t="shared" si="3"/>
        <v>-4</v>
      </c>
      <c r="E44" s="106">
        <v>4.4827586206896557</v>
      </c>
      <c r="J44" s="246">
        <v>2019</v>
      </c>
      <c r="K44" s="244">
        <v>11</v>
      </c>
      <c r="L44" s="244">
        <v>27</v>
      </c>
      <c r="M44" s="245">
        <f>(K44+K45)/2</f>
        <v>12</v>
      </c>
      <c r="N44" s="244"/>
      <c r="O44" s="244">
        <v>8</v>
      </c>
      <c r="P44" s="243">
        <v>136</v>
      </c>
      <c r="Q44" s="247">
        <f>(O44+O45)/2</f>
        <v>8</v>
      </c>
    </row>
    <row r="45" spans="1:17" ht="32.1" customHeight="1" x14ac:dyDescent="0.25">
      <c r="A45" s="259"/>
      <c r="B45" s="258"/>
      <c r="C45" s="250" t="s">
        <v>118</v>
      </c>
      <c r="D45" s="257">
        <f t="shared" si="3"/>
        <v>0</v>
      </c>
      <c r="E45" s="106">
        <v>2.2794117647058822</v>
      </c>
      <c r="J45" s="246">
        <v>2020</v>
      </c>
      <c r="K45" s="244">
        <v>13</v>
      </c>
      <c r="L45" s="244">
        <v>59</v>
      </c>
      <c r="M45" s="245">
        <f>(L44+L45)/2</f>
        <v>43</v>
      </c>
      <c r="N45" s="244"/>
      <c r="O45" s="244">
        <v>8</v>
      </c>
      <c r="P45" s="243">
        <v>104</v>
      </c>
      <c r="Q45" s="247">
        <f>(P44+P45)/2</f>
        <v>120</v>
      </c>
    </row>
    <row r="46" spans="1:17" ht="32.1" customHeight="1" thickBot="1" x14ac:dyDescent="0.25">
      <c r="A46" s="254" t="e">
        <f ca="1">G10-#REF!</f>
        <v>#REF!</v>
      </c>
      <c r="B46" s="253" t="e">
        <f ca="1">A46*0.56</f>
        <v>#REF!</v>
      </c>
      <c r="C46" s="240" t="s">
        <v>55</v>
      </c>
      <c r="D46" s="252" t="e">
        <f t="shared" ca="1" si="3"/>
        <v>#REF!</v>
      </c>
      <c r="E46" s="106">
        <v>39.37041564792176</v>
      </c>
      <c r="J46" s="267">
        <v>2021</v>
      </c>
      <c r="K46" s="266">
        <v>8</v>
      </c>
      <c r="L46" s="266">
        <v>10</v>
      </c>
      <c r="M46" s="266"/>
      <c r="N46" s="266"/>
      <c r="O46" s="266"/>
      <c r="P46" s="265"/>
    </row>
    <row r="47" spans="1:17" ht="32.1" customHeight="1" thickBot="1" x14ac:dyDescent="0.25">
      <c r="A47" s="103" t="e">
        <f ca="1">SUM(A40:A46)</f>
        <v>#REF!</v>
      </c>
      <c r="B47" s="106" t="e">
        <f ca="1">SUM(B40:B46)</f>
        <v>#REF!</v>
      </c>
      <c r="D47" s="106" t="e">
        <f ca="1">SUM(D40:D46)</f>
        <v>#REF!</v>
      </c>
      <c r="E47" s="106" t="e">
        <f ca="1">B47+D47</f>
        <v>#REF!</v>
      </c>
      <c r="H47" s="184" t="s">
        <v>167</v>
      </c>
      <c r="J47" s="264" t="s">
        <v>157</v>
      </c>
      <c r="K47" s="263" t="s">
        <v>155</v>
      </c>
      <c r="L47" s="263" t="s">
        <v>154</v>
      </c>
      <c r="M47" s="263"/>
      <c r="N47" s="263" t="s">
        <v>156</v>
      </c>
      <c r="O47" s="263" t="s">
        <v>166</v>
      </c>
      <c r="P47" s="262" t="s">
        <v>165</v>
      </c>
    </row>
    <row r="48" spans="1:17" ht="32.1" customHeight="1" x14ac:dyDescent="0.2">
      <c r="A48" s="268" t="s">
        <v>164</v>
      </c>
      <c r="B48" s="268" t="s">
        <v>163</v>
      </c>
      <c r="C48" s="268"/>
      <c r="D48" s="264" t="s">
        <v>162</v>
      </c>
      <c r="E48" s="263"/>
      <c r="F48" s="262"/>
      <c r="J48" s="251">
        <v>2011</v>
      </c>
      <c r="K48" s="250">
        <v>7</v>
      </c>
      <c r="L48" s="250">
        <v>10</v>
      </c>
      <c r="M48" s="250"/>
      <c r="N48" s="250"/>
      <c r="O48" s="250"/>
      <c r="P48" s="249"/>
    </row>
    <row r="49" spans="1:17" ht="32.1" customHeight="1" x14ac:dyDescent="0.2">
      <c r="A49" s="261">
        <v>283.29000000000008</v>
      </c>
      <c r="B49" s="261">
        <v>158.64240000000007</v>
      </c>
      <c r="C49" s="260" t="s">
        <v>10</v>
      </c>
      <c r="D49" s="259">
        <v>124.64760000000001</v>
      </c>
      <c r="E49" s="258">
        <v>0.27993083003952579</v>
      </c>
      <c r="F49" s="257">
        <v>29.042823616600799</v>
      </c>
      <c r="J49" s="251">
        <v>2012</v>
      </c>
      <c r="K49" s="250">
        <v>9</v>
      </c>
      <c r="L49" s="250">
        <v>28</v>
      </c>
      <c r="M49" s="250"/>
      <c r="N49" s="250"/>
      <c r="O49" s="250"/>
      <c r="P49" s="249"/>
    </row>
    <row r="50" spans="1:17" ht="32.1" customHeight="1" x14ac:dyDescent="0.2">
      <c r="A50" s="261">
        <v>64.47</v>
      </c>
      <c r="B50" s="261">
        <v>36.103200000000001</v>
      </c>
      <c r="C50" s="260" t="s">
        <v>11</v>
      </c>
      <c r="D50" s="259">
        <v>28.366799999999998</v>
      </c>
      <c r="E50" s="258">
        <v>0.11304347826086956</v>
      </c>
      <c r="F50" s="257">
        <v>4.0695652173913039</v>
      </c>
      <c r="J50" s="251">
        <v>2013</v>
      </c>
      <c r="K50" s="250">
        <v>12</v>
      </c>
      <c r="L50" s="250">
        <v>26</v>
      </c>
      <c r="M50" s="250"/>
      <c r="N50" s="250"/>
      <c r="O50" s="250"/>
      <c r="P50" s="249"/>
    </row>
    <row r="51" spans="1:17" ht="32.1" customHeight="1" x14ac:dyDescent="0.2">
      <c r="A51" s="261">
        <v>74.69</v>
      </c>
      <c r="B51" s="261">
        <v>41.8264</v>
      </c>
      <c r="C51" s="260" t="s">
        <v>53</v>
      </c>
      <c r="D51" s="259">
        <v>32.863599999999998</v>
      </c>
      <c r="E51" s="258">
        <v>0.27973782771535577</v>
      </c>
      <c r="F51" s="257">
        <v>29.862013108614228</v>
      </c>
      <c r="J51" s="251">
        <v>2014</v>
      </c>
      <c r="K51" s="250">
        <v>15</v>
      </c>
      <c r="L51" s="250">
        <v>41</v>
      </c>
      <c r="M51" s="250"/>
      <c r="N51" s="250"/>
      <c r="O51" s="250"/>
      <c r="P51" s="249"/>
    </row>
    <row r="52" spans="1:17" ht="32.1" customHeight="1" x14ac:dyDescent="0.2">
      <c r="A52" s="261">
        <v>43</v>
      </c>
      <c r="B52" s="261">
        <v>24.080000000000002</v>
      </c>
      <c r="C52" s="260" t="s">
        <v>54</v>
      </c>
      <c r="D52" s="259">
        <v>18.919999999999998</v>
      </c>
      <c r="E52" s="258">
        <v>0.25294117647058822</v>
      </c>
      <c r="F52" s="257">
        <v>2.8455882352941178</v>
      </c>
      <c r="J52" s="251">
        <v>2015</v>
      </c>
      <c r="K52" s="250">
        <v>17</v>
      </c>
      <c r="L52" s="250">
        <v>29</v>
      </c>
      <c r="M52" s="250"/>
      <c r="N52" s="250"/>
      <c r="O52" s="250"/>
      <c r="P52" s="249"/>
    </row>
    <row r="53" spans="1:17" ht="32.1" customHeight="1" x14ac:dyDescent="0.2">
      <c r="A53" s="261">
        <v>8.0500000000000007</v>
      </c>
      <c r="B53" s="261">
        <v>4.5080000000000009</v>
      </c>
      <c r="C53" s="260" t="s">
        <v>64</v>
      </c>
      <c r="D53" s="259">
        <v>3.5419999999999998</v>
      </c>
      <c r="E53" s="258">
        <v>0.27758620689655172</v>
      </c>
      <c r="F53" s="257">
        <v>3.6086206896551722</v>
      </c>
      <c r="J53" s="251">
        <v>2016</v>
      </c>
      <c r="K53" s="250">
        <v>16</v>
      </c>
      <c r="L53" s="250">
        <v>31</v>
      </c>
      <c r="M53" s="250"/>
      <c r="N53" s="250"/>
      <c r="O53" s="250"/>
      <c r="P53" s="249"/>
    </row>
    <row r="54" spans="1:17" ht="32.1" customHeight="1" x14ac:dyDescent="0.2">
      <c r="A54" s="261">
        <v>4.6900000000000013</v>
      </c>
      <c r="B54" s="261">
        <v>2.6264000000000012</v>
      </c>
      <c r="C54" s="260" t="s">
        <v>118</v>
      </c>
      <c r="D54" s="259">
        <v>2.0636000000000001</v>
      </c>
      <c r="E54" s="258">
        <v>0.27588235294117652</v>
      </c>
      <c r="F54" s="257">
        <v>2.1380882352941182</v>
      </c>
      <c r="J54" s="251">
        <v>2017</v>
      </c>
      <c r="K54" s="250">
        <v>15</v>
      </c>
      <c r="L54" s="250">
        <v>36</v>
      </c>
      <c r="M54" s="250"/>
      <c r="N54" s="250"/>
      <c r="O54" s="250"/>
      <c r="P54" s="249"/>
    </row>
    <row r="55" spans="1:17" ht="32.1" customHeight="1" x14ac:dyDescent="0.2">
      <c r="A55" s="261">
        <v>114.44999999999999</v>
      </c>
      <c r="B55" s="261">
        <v>64.091999999999999</v>
      </c>
      <c r="C55" s="260" t="s">
        <v>55</v>
      </c>
      <c r="D55" s="259">
        <v>50.35799999999999</v>
      </c>
      <c r="E55" s="258">
        <v>0.27982885085574571</v>
      </c>
      <c r="F55" s="257">
        <v>39.525825183374081</v>
      </c>
      <c r="J55" s="251">
        <v>2018</v>
      </c>
      <c r="K55" s="250">
        <v>8</v>
      </c>
      <c r="L55" s="250">
        <v>23</v>
      </c>
      <c r="M55" s="250"/>
      <c r="N55" s="250"/>
      <c r="O55" s="250"/>
      <c r="P55" s="249"/>
    </row>
    <row r="56" spans="1:17" ht="32.1" customHeight="1" x14ac:dyDescent="0.25">
      <c r="A56" s="261" t="s">
        <v>161</v>
      </c>
      <c r="B56" s="261" t="s">
        <v>160</v>
      </c>
      <c r="C56" s="260"/>
      <c r="D56" s="259" t="s">
        <v>159</v>
      </c>
      <c r="E56" s="258"/>
      <c r="F56" s="257"/>
      <c r="J56" s="251">
        <v>2019</v>
      </c>
      <c r="K56" s="244">
        <v>14</v>
      </c>
      <c r="L56" s="244">
        <v>21</v>
      </c>
      <c r="M56" s="248">
        <f>(K56+K57)/2</f>
        <v>13.5</v>
      </c>
      <c r="N56" s="244"/>
      <c r="O56" s="244">
        <v>21</v>
      </c>
      <c r="P56" s="243">
        <v>199</v>
      </c>
      <c r="Q56" s="247">
        <f>(O56+O57)/2</f>
        <v>22</v>
      </c>
    </row>
    <row r="57" spans="1:17" ht="32.1" customHeight="1" x14ac:dyDescent="0.25">
      <c r="A57" s="261">
        <v>29.042823616600799</v>
      </c>
      <c r="B57" s="261">
        <v>16.263981225296448</v>
      </c>
      <c r="C57" s="260" t="s">
        <v>10</v>
      </c>
      <c r="D57" s="259">
        <v>12.77884239130435</v>
      </c>
      <c r="E57" s="258"/>
      <c r="F57" s="257"/>
      <c r="J57" s="251">
        <v>2020</v>
      </c>
      <c r="K57" s="244">
        <v>13</v>
      </c>
      <c r="L57" s="244">
        <v>31</v>
      </c>
      <c r="M57" s="245">
        <f>(L56+L57)/2</f>
        <v>26</v>
      </c>
      <c r="N57" s="244"/>
      <c r="O57" s="244">
        <v>23</v>
      </c>
      <c r="P57" s="243">
        <v>213</v>
      </c>
      <c r="Q57" s="247">
        <f>(P56+P57)/2</f>
        <v>206</v>
      </c>
    </row>
    <row r="58" spans="1:17" ht="32.1" customHeight="1" thickBot="1" x14ac:dyDescent="0.25">
      <c r="A58" s="261">
        <v>10</v>
      </c>
      <c r="B58" s="261">
        <v>6</v>
      </c>
      <c r="C58" s="260" t="s">
        <v>11</v>
      </c>
      <c r="D58" s="259">
        <v>4</v>
      </c>
      <c r="E58" s="258"/>
      <c r="F58" s="257"/>
      <c r="J58" s="267">
        <v>2021</v>
      </c>
      <c r="K58" s="266">
        <v>11</v>
      </c>
      <c r="L58" s="266">
        <v>16</v>
      </c>
      <c r="M58" s="266"/>
      <c r="N58" s="266"/>
      <c r="O58" s="266"/>
      <c r="P58" s="265"/>
    </row>
    <row r="59" spans="1:17" ht="32.1" customHeight="1" x14ac:dyDescent="0.2">
      <c r="A59" s="261">
        <v>29.862013108614228</v>
      </c>
      <c r="B59" s="261">
        <v>16.722727340823965</v>
      </c>
      <c r="C59" s="260" t="s">
        <v>53</v>
      </c>
      <c r="D59" s="259">
        <v>13.139285767790261</v>
      </c>
      <c r="E59" s="258"/>
      <c r="F59" s="257"/>
      <c r="H59" s="184" t="s">
        <v>158</v>
      </c>
      <c r="J59" s="264" t="s">
        <v>157</v>
      </c>
      <c r="K59" s="263" t="s">
        <v>155</v>
      </c>
      <c r="L59" s="263" t="s">
        <v>154</v>
      </c>
      <c r="M59" s="263"/>
      <c r="N59" s="263" t="s">
        <v>156</v>
      </c>
      <c r="O59" s="263" t="s">
        <v>155</v>
      </c>
      <c r="P59" s="262" t="s">
        <v>154</v>
      </c>
    </row>
    <row r="60" spans="1:17" ht="32.1" customHeight="1" x14ac:dyDescent="0.2">
      <c r="A60" s="261">
        <v>2.8455882352941178</v>
      </c>
      <c r="B60" s="261">
        <v>3</v>
      </c>
      <c r="C60" s="260" t="s">
        <v>54</v>
      </c>
      <c r="D60" s="259">
        <v>2</v>
      </c>
      <c r="E60" s="258"/>
      <c r="F60" s="257"/>
      <c r="J60" s="251">
        <v>2015</v>
      </c>
      <c r="K60" s="250">
        <v>1</v>
      </c>
      <c r="L60" s="250">
        <v>2</v>
      </c>
      <c r="M60" s="250"/>
      <c r="N60" s="250"/>
      <c r="O60" s="250"/>
      <c r="P60" s="249"/>
    </row>
    <row r="61" spans="1:17" ht="32.1" customHeight="1" x14ac:dyDescent="0.2">
      <c r="A61" s="261">
        <v>3.6086206896551722</v>
      </c>
      <c r="B61" s="261">
        <v>2.020827586206897</v>
      </c>
      <c r="C61" s="260" t="s">
        <v>64</v>
      </c>
      <c r="D61" s="259">
        <v>1.5877931034482755</v>
      </c>
      <c r="E61" s="258"/>
      <c r="F61" s="257"/>
      <c r="J61" s="251">
        <v>2016</v>
      </c>
      <c r="K61" s="250">
        <v>10</v>
      </c>
      <c r="L61" s="250">
        <v>22</v>
      </c>
      <c r="M61" s="250"/>
      <c r="N61" s="250"/>
      <c r="O61" s="250"/>
      <c r="P61" s="249"/>
    </row>
    <row r="62" spans="1:17" ht="32.1" customHeight="1" x14ac:dyDescent="0.2">
      <c r="A62" s="261">
        <v>2.1380882352941182</v>
      </c>
      <c r="B62" s="261">
        <v>1.1973294117647064</v>
      </c>
      <c r="C62" s="260" t="s">
        <v>118</v>
      </c>
      <c r="D62" s="259">
        <v>0.94075882352941176</v>
      </c>
      <c r="E62" s="258"/>
      <c r="F62" s="257"/>
      <c r="J62" s="251">
        <v>2017</v>
      </c>
      <c r="K62" s="250">
        <v>14</v>
      </c>
      <c r="L62" s="250">
        <v>25</v>
      </c>
      <c r="M62" s="250"/>
      <c r="N62" s="250"/>
      <c r="O62" s="250"/>
      <c r="P62" s="249"/>
    </row>
    <row r="63" spans="1:17" ht="32.1" customHeight="1" thickBot="1" x14ac:dyDescent="0.25">
      <c r="A63" s="256">
        <v>39.525825183374081</v>
      </c>
      <c r="B63" s="256">
        <v>22.134462102689486</v>
      </c>
      <c r="C63" s="255" t="s">
        <v>55</v>
      </c>
      <c r="D63" s="254">
        <v>17.391363080684595</v>
      </c>
      <c r="E63" s="253"/>
      <c r="F63" s="252"/>
      <c r="J63" s="251">
        <v>2018</v>
      </c>
      <c r="K63" s="250">
        <v>7</v>
      </c>
      <c r="L63" s="250">
        <v>11</v>
      </c>
      <c r="M63" s="250"/>
      <c r="N63" s="250"/>
      <c r="O63" s="250"/>
      <c r="P63" s="249"/>
    </row>
    <row r="64" spans="1:17" ht="32.1" customHeight="1" x14ac:dyDescent="0.25">
      <c r="J64" s="246">
        <v>2019</v>
      </c>
      <c r="K64" s="244">
        <v>5</v>
      </c>
      <c r="L64" s="244">
        <v>9</v>
      </c>
      <c r="M64" s="248">
        <f>(K64+K65)/2</f>
        <v>6.5</v>
      </c>
      <c r="N64" s="244"/>
      <c r="O64" s="244">
        <v>8</v>
      </c>
      <c r="P64" s="243">
        <v>20</v>
      </c>
      <c r="Q64" s="247">
        <f>(O64+O65)/2</f>
        <v>5</v>
      </c>
    </row>
    <row r="65" spans="8:21" ht="32.1" customHeight="1" x14ac:dyDescent="0.25">
      <c r="J65" s="246">
        <v>2020</v>
      </c>
      <c r="K65" s="244">
        <v>8</v>
      </c>
      <c r="L65" s="244">
        <v>11</v>
      </c>
      <c r="M65" s="245">
        <f>(L64+L65)/2</f>
        <v>10</v>
      </c>
      <c r="N65" s="244"/>
      <c r="O65" s="244">
        <v>2</v>
      </c>
      <c r="P65" s="243">
        <v>11</v>
      </c>
      <c r="Q65" s="242">
        <f>(P64+P65)/2</f>
        <v>15.5</v>
      </c>
    </row>
    <row r="66" spans="8:21" ht="32.1" customHeight="1" thickBot="1" x14ac:dyDescent="0.25">
      <c r="J66" s="241">
        <v>2021</v>
      </c>
      <c r="K66" s="240">
        <v>3</v>
      </c>
      <c r="L66" s="240">
        <v>4</v>
      </c>
      <c r="M66" s="240"/>
      <c r="N66" s="240"/>
      <c r="O66" s="240"/>
      <c r="P66" s="239"/>
    </row>
    <row r="67" spans="8:21" ht="32.1" customHeight="1" thickBot="1" x14ac:dyDescent="0.3">
      <c r="H67" s="238" t="s">
        <v>153</v>
      </c>
      <c r="I67" s="229"/>
      <c r="J67" s="229">
        <v>2019</v>
      </c>
      <c r="K67" s="229"/>
      <c r="L67" s="229"/>
      <c r="M67" s="443" t="s">
        <v>152</v>
      </c>
      <c r="N67" s="443"/>
      <c r="O67" s="103" t="s">
        <v>151</v>
      </c>
      <c r="R67" s="229">
        <v>2019</v>
      </c>
      <c r="S67" s="229"/>
    </row>
    <row r="68" spans="8:21" ht="32.1" customHeight="1" x14ac:dyDescent="0.25">
      <c r="K68" s="103" t="s">
        <v>147</v>
      </c>
      <c r="L68" s="103" t="s">
        <v>146</v>
      </c>
      <c r="M68" s="237" t="s">
        <v>150</v>
      </c>
      <c r="N68" s="236" t="s">
        <v>149</v>
      </c>
      <c r="O68" s="103" t="s">
        <v>147</v>
      </c>
      <c r="P68" s="103" t="s">
        <v>146</v>
      </c>
      <c r="Q68" s="235" t="s">
        <v>148</v>
      </c>
      <c r="R68" s="103" t="s">
        <v>147</v>
      </c>
      <c r="S68" s="103" t="s">
        <v>146</v>
      </c>
    </row>
    <row r="69" spans="8:21" ht="32.1" customHeight="1" thickBot="1" x14ac:dyDescent="0.3">
      <c r="H69" s="184" t="s">
        <v>145</v>
      </c>
      <c r="K69" s="103">
        <v>17</v>
      </c>
      <c r="L69" s="103">
        <v>24</v>
      </c>
      <c r="M69" s="234">
        <f>SUM(K69:K77)</f>
        <v>86</v>
      </c>
      <c r="N69" s="233">
        <f>SUM(L69:L77)</f>
        <v>76</v>
      </c>
      <c r="O69" s="103">
        <f t="shared" ref="O69:O77" si="4">R69-K69</f>
        <v>1</v>
      </c>
      <c r="P69" s="103">
        <f t="shared" ref="P69:P77" si="5">S69-L69</f>
        <v>31</v>
      </c>
      <c r="Q69" s="232">
        <f>SUM(O69:O77)</f>
        <v>14</v>
      </c>
      <c r="R69" s="103">
        <v>18</v>
      </c>
      <c r="S69" s="103">
        <v>55</v>
      </c>
      <c r="T69" s="103">
        <f>SUM(R69:R77)</f>
        <v>100</v>
      </c>
      <c r="U69" s="103">
        <f>SUM(S69:S77)</f>
        <v>254</v>
      </c>
    </row>
    <row r="70" spans="8:21" ht="32.1" customHeight="1" thickBot="1" x14ac:dyDescent="0.3">
      <c r="H70" s="184" t="s">
        <v>144</v>
      </c>
      <c r="K70" s="103">
        <v>11</v>
      </c>
      <c r="L70" s="103">
        <v>6</v>
      </c>
      <c r="O70" s="103">
        <f t="shared" si="4"/>
        <v>1</v>
      </c>
      <c r="P70" s="103">
        <f t="shared" si="5"/>
        <v>16</v>
      </c>
      <c r="Q70" s="231">
        <f>SUM(P69:P78)</f>
        <v>178</v>
      </c>
      <c r="R70" s="103">
        <v>12</v>
      </c>
      <c r="S70" s="103">
        <v>22</v>
      </c>
    </row>
    <row r="71" spans="8:21" ht="32.1" customHeight="1" x14ac:dyDescent="0.2">
      <c r="H71" s="184" t="s">
        <v>143</v>
      </c>
      <c r="K71" s="230">
        <v>12</v>
      </c>
      <c r="L71" s="103">
        <v>8</v>
      </c>
      <c r="O71" s="103">
        <f t="shared" si="4"/>
        <v>-4</v>
      </c>
      <c r="P71" s="103">
        <f t="shared" si="5"/>
        <v>8</v>
      </c>
      <c r="R71" s="103">
        <v>8</v>
      </c>
      <c r="S71" s="103">
        <v>16</v>
      </c>
    </row>
    <row r="72" spans="8:21" ht="32.1" customHeight="1" x14ac:dyDescent="0.2">
      <c r="H72" s="184" t="s">
        <v>142</v>
      </c>
      <c r="K72" s="103">
        <v>18</v>
      </c>
      <c r="L72" s="103">
        <v>12</v>
      </c>
      <c r="O72" s="103">
        <f t="shared" si="4"/>
        <v>8</v>
      </c>
      <c r="P72" s="103">
        <f t="shared" si="5"/>
        <v>62</v>
      </c>
      <c r="R72" s="103">
        <v>26</v>
      </c>
      <c r="S72" s="103">
        <v>74</v>
      </c>
    </row>
    <row r="73" spans="8:21" ht="32.1" customHeight="1" x14ac:dyDescent="0.2">
      <c r="H73" s="184" t="s">
        <v>141</v>
      </c>
      <c r="K73" s="103">
        <v>13</v>
      </c>
      <c r="L73" s="103">
        <v>14</v>
      </c>
      <c r="O73" s="103">
        <f t="shared" si="4"/>
        <v>6</v>
      </c>
      <c r="P73" s="103">
        <f t="shared" si="5"/>
        <v>31</v>
      </c>
      <c r="R73" s="103">
        <v>19</v>
      </c>
      <c r="S73" s="103">
        <v>45</v>
      </c>
    </row>
    <row r="74" spans="8:21" ht="32.1" customHeight="1" x14ac:dyDescent="0.2">
      <c r="H74" s="184" t="s">
        <v>140</v>
      </c>
      <c r="K74" s="103">
        <v>14</v>
      </c>
      <c r="L74" s="103">
        <v>12</v>
      </c>
      <c r="O74" s="103">
        <f t="shared" si="4"/>
        <v>3</v>
      </c>
      <c r="P74" s="103">
        <f t="shared" si="5"/>
        <v>30</v>
      </c>
      <c r="R74" s="103">
        <v>17</v>
      </c>
      <c r="S74" s="103">
        <v>42</v>
      </c>
    </row>
    <row r="75" spans="8:21" ht="32.1" customHeight="1" x14ac:dyDescent="0.2">
      <c r="H75" s="184" t="s">
        <v>139</v>
      </c>
      <c r="K75" s="230">
        <v>1</v>
      </c>
      <c r="L75" s="103">
        <v>0</v>
      </c>
      <c r="O75" s="103">
        <f t="shared" si="4"/>
        <v>-1</v>
      </c>
      <c r="P75" s="103">
        <f t="shared" si="5"/>
        <v>0</v>
      </c>
      <c r="R75" s="103">
        <v>0</v>
      </c>
      <c r="S75" s="103">
        <v>0</v>
      </c>
    </row>
    <row r="76" spans="8:21" ht="32.1" customHeight="1" x14ac:dyDescent="0.2">
      <c r="H76" s="184" t="s">
        <v>138</v>
      </c>
      <c r="K76" s="103">
        <v>0</v>
      </c>
      <c r="L76" s="103">
        <v>0</v>
      </c>
      <c r="O76" s="103">
        <f t="shared" si="4"/>
        <v>0</v>
      </c>
      <c r="P76" s="103">
        <f t="shared" si="5"/>
        <v>0</v>
      </c>
      <c r="R76" s="103">
        <v>0</v>
      </c>
      <c r="S76" s="103">
        <v>0</v>
      </c>
    </row>
    <row r="77" spans="8:21" ht="32.1" customHeight="1" x14ac:dyDescent="0.2">
      <c r="H77" s="184" t="s">
        <v>137</v>
      </c>
      <c r="K77" s="103">
        <v>0</v>
      </c>
      <c r="L77" s="103">
        <v>0</v>
      </c>
      <c r="O77" s="103">
        <f t="shared" si="4"/>
        <v>0</v>
      </c>
      <c r="P77" s="103">
        <f t="shared" si="5"/>
        <v>0</v>
      </c>
      <c r="R77" s="103">
        <v>0</v>
      </c>
      <c r="S77" s="103">
        <v>0</v>
      </c>
    </row>
    <row r="78" spans="8:21" ht="32.1" customHeight="1" x14ac:dyDescent="0.25">
      <c r="J78" s="229">
        <v>2020</v>
      </c>
      <c r="K78" s="229"/>
      <c r="L78" s="229"/>
      <c r="M78" s="229"/>
      <c r="P78" s="103">
        <f>S78-L78</f>
        <v>0</v>
      </c>
      <c r="R78" s="229">
        <v>2020</v>
      </c>
    </row>
    <row r="79" spans="8:21" ht="32.1" customHeight="1" x14ac:dyDescent="0.2">
      <c r="K79" s="103" t="s">
        <v>147</v>
      </c>
      <c r="L79" s="103" t="s">
        <v>146</v>
      </c>
      <c r="R79" s="103" t="s">
        <v>147</v>
      </c>
      <c r="S79" s="103" t="s">
        <v>146</v>
      </c>
    </row>
    <row r="80" spans="8:21" ht="32.1" customHeight="1" x14ac:dyDescent="0.2">
      <c r="H80" s="184" t="s">
        <v>145</v>
      </c>
      <c r="K80" s="103">
        <v>8</v>
      </c>
      <c r="L80" s="103">
        <v>14</v>
      </c>
      <c r="O80" s="103">
        <f t="shared" ref="O80:O88" si="6">R80-K80</f>
        <v>9</v>
      </c>
      <c r="P80" s="103">
        <f t="shared" ref="P80:P88" si="7">S80-L80</f>
        <v>45</v>
      </c>
      <c r="R80" s="103">
        <v>17</v>
      </c>
      <c r="S80" s="103">
        <v>59</v>
      </c>
      <c r="T80" s="103">
        <f>SUM(R80:R88)</f>
        <v>107</v>
      </c>
      <c r="U80" s="103">
        <f>SUM(S80:S88)</f>
        <v>262</v>
      </c>
    </row>
    <row r="81" spans="8:19" ht="32.1" customHeight="1" x14ac:dyDescent="0.2">
      <c r="H81" s="184" t="s">
        <v>144</v>
      </c>
      <c r="K81" s="103">
        <v>10</v>
      </c>
      <c r="L81" s="103">
        <v>3</v>
      </c>
      <c r="O81" s="103">
        <f t="shared" si="6"/>
        <v>1</v>
      </c>
      <c r="P81" s="103">
        <f t="shared" si="7"/>
        <v>20</v>
      </c>
      <c r="R81" s="103">
        <v>11</v>
      </c>
      <c r="S81" s="103">
        <v>23</v>
      </c>
    </row>
    <row r="82" spans="8:19" ht="32.1" customHeight="1" x14ac:dyDescent="0.2">
      <c r="H82" s="184" t="s">
        <v>143</v>
      </c>
      <c r="K82" s="103">
        <v>8</v>
      </c>
      <c r="L82" s="103">
        <v>5</v>
      </c>
      <c r="O82" s="103">
        <f t="shared" si="6"/>
        <v>0</v>
      </c>
      <c r="P82" s="103">
        <f t="shared" si="7"/>
        <v>13</v>
      </c>
      <c r="R82" s="103">
        <v>8</v>
      </c>
      <c r="S82" s="103">
        <v>18</v>
      </c>
    </row>
    <row r="83" spans="8:19" ht="32.1" customHeight="1" x14ac:dyDescent="0.2">
      <c r="H83" s="184" t="s">
        <v>142</v>
      </c>
      <c r="K83" s="103">
        <v>22</v>
      </c>
      <c r="L83" s="103">
        <v>18</v>
      </c>
      <c r="O83" s="103">
        <f t="shared" si="6"/>
        <v>6</v>
      </c>
      <c r="P83" s="103">
        <f t="shared" si="7"/>
        <v>58</v>
      </c>
      <c r="R83" s="103">
        <v>28</v>
      </c>
      <c r="S83" s="103">
        <v>76</v>
      </c>
    </row>
    <row r="84" spans="8:19" ht="32.1" customHeight="1" x14ac:dyDescent="0.2">
      <c r="H84" s="184" t="s">
        <v>141</v>
      </c>
      <c r="K84" s="103">
        <v>11</v>
      </c>
      <c r="L84" s="103">
        <v>11</v>
      </c>
      <c r="O84" s="103">
        <f t="shared" si="6"/>
        <v>13</v>
      </c>
      <c r="P84" s="103">
        <f t="shared" si="7"/>
        <v>31</v>
      </c>
      <c r="R84" s="103">
        <v>24</v>
      </c>
      <c r="S84" s="103">
        <v>42</v>
      </c>
    </row>
    <row r="85" spans="8:19" ht="32.1" customHeight="1" x14ac:dyDescent="0.2">
      <c r="H85" s="184" t="s">
        <v>140</v>
      </c>
      <c r="K85" s="103">
        <v>15</v>
      </c>
      <c r="L85" s="103">
        <v>9</v>
      </c>
      <c r="O85" s="103">
        <f t="shared" si="6"/>
        <v>4</v>
      </c>
      <c r="P85" s="103">
        <f t="shared" si="7"/>
        <v>35</v>
      </c>
      <c r="R85" s="103">
        <v>19</v>
      </c>
      <c r="S85" s="103">
        <v>44</v>
      </c>
    </row>
    <row r="86" spans="8:19" ht="32.1" customHeight="1" x14ac:dyDescent="0.2">
      <c r="H86" s="184" t="s">
        <v>139</v>
      </c>
      <c r="K86" s="103">
        <v>0</v>
      </c>
      <c r="L86" s="103">
        <v>0</v>
      </c>
      <c r="O86" s="103">
        <f t="shared" si="6"/>
        <v>0</v>
      </c>
      <c r="P86" s="103">
        <f t="shared" si="7"/>
        <v>0</v>
      </c>
      <c r="R86" s="103">
        <v>0</v>
      </c>
      <c r="S86" s="103">
        <v>0</v>
      </c>
    </row>
    <row r="87" spans="8:19" ht="32.1" customHeight="1" x14ac:dyDescent="0.2">
      <c r="H87" s="184" t="s">
        <v>138</v>
      </c>
      <c r="K87" s="103">
        <v>0</v>
      </c>
      <c r="L87" s="103">
        <v>0</v>
      </c>
      <c r="O87" s="103">
        <f t="shared" si="6"/>
        <v>0</v>
      </c>
      <c r="P87" s="103">
        <f t="shared" si="7"/>
        <v>0</v>
      </c>
      <c r="R87" s="103">
        <v>0</v>
      </c>
      <c r="S87" s="103">
        <v>0</v>
      </c>
    </row>
    <row r="88" spans="8:19" ht="32.1" customHeight="1" x14ac:dyDescent="0.2">
      <c r="H88" s="184" t="s">
        <v>137</v>
      </c>
      <c r="K88" s="103">
        <v>0</v>
      </c>
      <c r="L88" s="103">
        <v>0</v>
      </c>
      <c r="O88" s="103">
        <f t="shared" si="6"/>
        <v>0</v>
      </c>
      <c r="P88" s="103">
        <f t="shared" si="7"/>
        <v>0</v>
      </c>
      <c r="R88" s="103">
        <v>0</v>
      </c>
      <c r="S88" s="103">
        <v>0</v>
      </c>
    </row>
  </sheetData>
  <mergeCells count="24">
    <mergeCell ref="A3:A10"/>
    <mergeCell ref="I15:I16"/>
    <mergeCell ref="H22:H23"/>
    <mergeCell ref="I22:I23"/>
    <mergeCell ref="I5:I6"/>
    <mergeCell ref="I7:I8"/>
    <mergeCell ref="I11:I12"/>
    <mergeCell ref="I9:I10"/>
    <mergeCell ref="A17:B18"/>
    <mergeCell ref="K21:L21"/>
    <mergeCell ref="N21:P21"/>
    <mergeCell ref="M67:N67"/>
    <mergeCell ref="L2:N2"/>
    <mergeCell ref="B3:B4"/>
    <mergeCell ref="B5:B6"/>
    <mergeCell ref="B7:B8"/>
    <mergeCell ref="B9:B10"/>
    <mergeCell ref="G38:H38"/>
    <mergeCell ref="I3:I4"/>
    <mergeCell ref="I13:I14"/>
    <mergeCell ref="A2:C2"/>
    <mergeCell ref="A13:B16"/>
    <mergeCell ref="A11:A12"/>
    <mergeCell ref="B11:B12"/>
  </mergeCells>
  <pageMargins left="0.7" right="0.7" top="0.75" bottom="0.75" header="0.3" footer="0.3"/>
  <pageSetup orientation="portrait" horizontalDpi="200" verticalDpi="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5C627-B36E-4981-A228-AEB6B198EF11}">
  <dimension ref="A1:D15"/>
  <sheetViews>
    <sheetView workbookViewId="0">
      <selection sqref="A1:D13"/>
    </sheetView>
  </sheetViews>
  <sheetFormatPr defaultRowHeight="50.25" customHeight="1" x14ac:dyDescent="0.2"/>
  <cols>
    <col min="1" max="1" width="26.875" style="1" bestFit="1" customWidth="1"/>
    <col min="2" max="2" width="44.375" style="1" customWidth="1"/>
    <col min="3" max="3" width="9" style="1"/>
    <col min="4" max="4" width="14.375" style="1" customWidth="1"/>
    <col min="5" max="16384" width="9" style="1"/>
  </cols>
  <sheetData>
    <row r="1" spans="1:4" ht="50.25" customHeight="1" thickBot="1" x14ac:dyDescent="0.3">
      <c r="A1" s="477" t="s">
        <v>226</v>
      </c>
      <c r="B1" s="478"/>
      <c r="C1" s="479"/>
    </row>
    <row r="2" spans="1:4" ht="50.25" customHeight="1" x14ac:dyDescent="0.2">
      <c r="A2" s="447" t="s">
        <v>215</v>
      </c>
      <c r="B2" s="480" t="s">
        <v>214</v>
      </c>
      <c r="C2" s="482">
        <v>563</v>
      </c>
    </row>
    <row r="3" spans="1:4" ht="50.25" customHeight="1" x14ac:dyDescent="0.2">
      <c r="A3" s="470"/>
      <c r="B3" s="471"/>
      <c r="C3" s="483"/>
    </row>
    <row r="4" spans="1:4" ht="50.25" customHeight="1" x14ac:dyDescent="0.2">
      <c r="A4" s="470"/>
      <c r="B4" s="471" t="s">
        <v>210</v>
      </c>
      <c r="C4" s="483">
        <v>563</v>
      </c>
    </row>
    <row r="5" spans="1:4" ht="50.25" customHeight="1" x14ac:dyDescent="0.2">
      <c r="A5" s="470"/>
      <c r="B5" s="471"/>
      <c r="C5" s="483"/>
    </row>
    <row r="6" spans="1:4" ht="50.25" customHeight="1" x14ac:dyDescent="0.2">
      <c r="A6" s="470"/>
      <c r="B6" s="471" t="s">
        <v>207</v>
      </c>
      <c r="C6" s="483">
        <v>563</v>
      </c>
    </row>
    <row r="7" spans="1:4" ht="50.25" customHeight="1" x14ac:dyDescent="0.2">
      <c r="A7" s="470"/>
      <c r="B7" s="471"/>
      <c r="C7" s="483"/>
    </row>
    <row r="8" spans="1:4" ht="50.25" customHeight="1" x14ac:dyDescent="0.2">
      <c r="A8" s="470"/>
      <c r="B8" s="481" t="s">
        <v>204</v>
      </c>
      <c r="C8" s="483">
        <v>509</v>
      </c>
    </row>
    <row r="9" spans="1:4" ht="50.25" customHeight="1" x14ac:dyDescent="0.2">
      <c r="A9" s="470"/>
      <c r="B9" s="481"/>
      <c r="C9" s="483"/>
    </row>
    <row r="10" spans="1:4" ht="50.25" customHeight="1" x14ac:dyDescent="0.2">
      <c r="A10" s="470" t="s">
        <v>203</v>
      </c>
      <c r="B10" s="471" t="s">
        <v>202</v>
      </c>
      <c r="C10" s="483">
        <v>563</v>
      </c>
    </row>
    <row r="11" spans="1:4" ht="50.25" customHeight="1" thickBot="1" x14ac:dyDescent="0.25">
      <c r="A11" s="448"/>
      <c r="B11" s="472"/>
      <c r="C11" s="484"/>
    </row>
    <row r="12" spans="1:4" ht="50.25" customHeight="1" x14ac:dyDescent="0.25">
      <c r="A12" s="473" t="s">
        <v>200</v>
      </c>
      <c r="B12" s="474"/>
      <c r="C12" s="393" t="s">
        <v>225</v>
      </c>
      <c r="D12" s="391">
        <v>66477</v>
      </c>
    </row>
    <row r="13" spans="1:4" ht="50.25" customHeight="1" thickBot="1" x14ac:dyDescent="0.3">
      <c r="A13" s="475"/>
      <c r="B13" s="476"/>
      <c r="C13" s="44" t="s">
        <v>224</v>
      </c>
      <c r="D13" s="392">
        <v>563</v>
      </c>
    </row>
    <row r="14" spans="1:4" ht="50.25" customHeight="1" x14ac:dyDescent="0.2">
      <c r="A14" s="390"/>
      <c r="B14" s="389"/>
    </row>
    <row r="15" spans="1:4" ht="50.25" customHeight="1" x14ac:dyDescent="0.2">
      <c r="A15" s="390"/>
      <c r="B15" s="389"/>
    </row>
  </sheetData>
  <mergeCells count="14">
    <mergeCell ref="A10:A11"/>
    <mergeCell ref="B10:B11"/>
    <mergeCell ref="A12:B13"/>
    <mergeCell ref="A1:C1"/>
    <mergeCell ref="A2:A9"/>
    <mergeCell ref="B2:B3"/>
    <mergeCell ref="B4:B5"/>
    <mergeCell ref="B6:B7"/>
    <mergeCell ref="B8:B9"/>
    <mergeCell ref="C2:C3"/>
    <mergeCell ref="C4:C5"/>
    <mergeCell ref="C6:C7"/>
    <mergeCell ref="C8:C9"/>
    <mergeCell ref="C10:C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s_x0020_Date xmlns="ca243fbf-11ff-4731-ae3b-9fc118f3bbf4" xsi:nil="true"/>
    <Record xmlns="4ffa91fb-a0ff-4ac5-b2db-65c790d184a4">Shared</Record>
    <Rights xmlns="4ffa91fb-a0ff-4ac5-b2db-65c790d184a4" xsi:nil="true"/>
    <Records_x0020_Status xmlns="ca243fbf-11ff-4731-ae3b-9fc118f3bbf4">Pending</Records_x0020_Status>
    <Document_x0020_Creation_x0020_Date xmlns="4ffa91fb-a0ff-4ac5-b2db-65c790d184a4">2021-05-03T16:27:14+00:00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A3E377063FFE5489A04E78E6AF321F7" ma:contentTypeVersion="23" ma:contentTypeDescription="Create a new document." ma:contentTypeScope="" ma:versionID="95457356f0839956f36132e605c699af">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ca243fbf-11ff-4731-ae3b-9fc118f3bbf4" xmlns:ns7="d75150bc-12f9-4c92-a7eb-e71bcd8ee9be" targetNamespace="http://schemas.microsoft.com/office/2006/metadata/properties" ma:root="true" ma:fieldsID="123cce14c18657cd7bc3c00f6f2a1702" ns1:_="" ns3:_="" ns4:_="" ns5:_="" ns6:_="" ns7:_="">
    <xsd:import namespace="http://schemas.microsoft.com/sharepoint/v3"/>
    <xsd:import namespace="4ffa91fb-a0ff-4ac5-b2db-65c790d184a4"/>
    <xsd:import namespace="http://schemas.microsoft.com/sharepoint.v3"/>
    <xsd:import namespace="http://schemas.microsoft.com/sharepoint/v3/fields"/>
    <xsd:import namespace="ca243fbf-11ff-4731-ae3b-9fc118f3bbf4"/>
    <xsd:import namespace="d75150bc-12f9-4c92-a7eb-e71bcd8ee9be"/>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6:SharedWithDetails" minOccurs="0"/>
                <xsd:element ref="ns6:SharingHintHash" minOccurs="0"/>
                <xsd:element ref="ns7:MediaServiceMetadata" minOccurs="0"/>
                <xsd:element ref="ns7:MediaServiceFastMetadata" minOccurs="0"/>
                <xsd:element ref="ns6:Records_x0020_Status" minOccurs="0"/>
                <xsd:element ref="ns6:Records_x0020_Date" minOccurs="0"/>
                <xsd:element ref="ns7:MediaServiceDateTaken" minOccurs="0"/>
                <xsd:element ref="ns7:MediaServiceAutoTags" minOccurs="0"/>
                <xsd:element ref="ns7:MediaServiceOCR" minOccurs="0"/>
                <xsd:element ref="ns7:MediaServiceGenerationTime" minOccurs="0"/>
                <xsd:element ref="ns7:MediaServiceEventHashCode" minOccurs="0"/>
                <xsd:element ref="ns7: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60f3e050-a167-4ccb-81b0-6594d9f55f70}" ma:internalName="TaxCatchAllLabel" ma:readOnly="true" ma:showField="CatchAllDataLabel" ma:web="ca243fbf-11ff-4731-ae3b-9fc118f3bbf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60f3e050-a167-4ccb-81b0-6594d9f55f70}" ma:internalName="TaxCatchAll" ma:showField="CatchAllData" ma:web="ca243fbf-11ff-4731-ae3b-9fc118f3bb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243fbf-11ff-4731-ae3b-9fc118f3bbf4" elementFormDefault="qualified">
    <xsd:import namespace="http://schemas.microsoft.com/office/2006/documentManagement/types"/>
    <xsd:import namespace="http://schemas.microsoft.com/office/infopath/2007/PartnerControls"/>
    <xsd:element name="SharedWithUsers" ma:index="2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description="" ma:internalName="SharedWithDetails" ma:readOnly="true">
      <xsd:simpleType>
        <xsd:restriction base="dms:Note">
          <xsd:maxLength value="255"/>
        </xsd:restriction>
      </xsd:simpleType>
    </xsd:element>
    <xsd:element name="SharingHintHash" ma:index="30" nillable="true" ma:displayName="Sharing Hint Hash" ma:description=""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75150bc-12f9-4c92-a7eb-e71bcd8ee9be"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DateTaken" ma:index="35" nillable="true" ma:displayName="MediaServiceDateTaken" ma:hidden="true" ma:internalName="MediaServiceDateTaken" ma:readOnly="true">
      <xsd:simpleType>
        <xsd:restriction base="dms:Text"/>
      </xsd:simpleType>
    </xsd:element>
    <xsd:element name="MediaServiceAutoTags" ma:index="36" nillable="true" ma:displayName="Tags" ma:internalName="MediaServiceAutoTags"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DF963E-0715-4CDD-AFD6-1250DBA0A342}">
  <ds:schemaRefs>
    <ds:schemaRef ds:uri="Microsoft.SharePoint.Taxonomy.ContentTypeSync"/>
  </ds:schemaRefs>
</ds:datastoreItem>
</file>

<file path=customXml/itemProps2.xml><?xml version="1.0" encoding="utf-8"?>
<ds:datastoreItem xmlns:ds="http://schemas.openxmlformats.org/officeDocument/2006/customXml" ds:itemID="{DA353517-DA04-4F3D-85DE-C0D78ECB78CA}">
  <ds:schemaRefs>
    <ds:schemaRef ds:uri="http://schemas.microsoft.com/sharepoint/v3/contenttype/forms"/>
  </ds:schemaRefs>
</ds:datastoreItem>
</file>

<file path=customXml/itemProps3.xml><?xml version="1.0" encoding="utf-8"?>
<ds:datastoreItem xmlns:ds="http://schemas.openxmlformats.org/officeDocument/2006/customXml" ds:itemID="{31F8E6B0-F97B-45D7-9AB1-0E9BC0786497}">
  <ds:schemaRefs>
    <ds:schemaRef ds:uri="http://purl.org/dc/elements/1.1/"/>
    <ds:schemaRef ds:uri="ca243fbf-11ff-4731-ae3b-9fc118f3bbf4"/>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d75150bc-12f9-4c92-a7eb-e71bcd8ee9be"/>
    <ds:schemaRef ds:uri="http://purl.org/dc/terms/"/>
    <ds:schemaRef ds:uri="http://schemas.microsoft.com/sharepoint/v3/fields"/>
    <ds:schemaRef ds:uri="http://schemas.microsoft.com/sharepoint.v3"/>
    <ds:schemaRef ds:uri="4ffa91fb-a0ff-4ac5-b2db-65c790d184a4"/>
    <ds:schemaRef ds:uri="http://schemas.microsoft.com/sharepoint/v3"/>
    <ds:schemaRef ds:uri="http://www.w3.org/XML/1998/namespace"/>
  </ds:schemaRefs>
</ds:datastoreItem>
</file>

<file path=customXml/itemProps4.xml><?xml version="1.0" encoding="utf-8"?>
<ds:datastoreItem xmlns:ds="http://schemas.openxmlformats.org/officeDocument/2006/customXml" ds:itemID="{3F954737-759D-49FF-8DEF-B79594C3D4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ca243fbf-11ff-4731-ae3b-9fc118f3bbf4"/>
    <ds:schemaRef ds:uri="d75150bc-12f9-4c92-a7eb-e71bcd8ee9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Regulatory Appendix</vt:lpstr>
      <vt:lpstr>Regulatory Coverage</vt:lpstr>
      <vt:lpstr>Requirements for Cert and Comp</vt:lpstr>
      <vt:lpstr>EPA Burden </vt:lpstr>
      <vt:lpstr>All Certification and Reporting</vt:lpstr>
      <vt:lpstr>Sector Production</vt:lpstr>
      <vt:lpstr>Fees</vt:lpstr>
      <vt:lpstr>'Regulatory Coverage'!_ftn1</vt:lpstr>
      <vt:lpstr>'Regulatory Coverage'!_ftnref1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Julian</dc:creator>
  <cp:lastModifiedBy>Davis, Julian</cp:lastModifiedBy>
  <dcterms:created xsi:type="dcterms:W3CDTF">2021-04-23T12:56:37Z</dcterms:created>
  <dcterms:modified xsi:type="dcterms:W3CDTF">2025-08-15T16:46:53Z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0x010100AA3E377063FFE5489A04E78E6AF321F7</vt:lpwstr>
  </property>
</Properties>
</file>