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24226"/>
  <mc:AlternateContent xmlns:mc="http://schemas.openxmlformats.org/markup-compatibility/2006">
    <mc:Choice Requires="x15">
      <x15ac:absPath xmlns:x15ac="http://schemas.microsoft.com/office/spreadsheetml/2010/11/ac" url="https://usdagcc.sharepoint.com/sites/FNS-OnlineOrderingandTransactionProposedRuleWorkGroup/Shared Documents/General/ICB/Final Rule 2.0/OOaT FR ICR Package_2025.07.10/Online Shopping Rule ICR - For PRAO/Appendices/"/>
    </mc:Choice>
  </mc:AlternateContent>
  <xr:revisionPtr revIDLastSave="2530" documentId="8_{A914C53E-C369-4738-B3C4-F66EA6DBCA10}" xr6:coauthVersionLast="47" xr6:coauthVersionMax="47" xr10:uidLastSave="{D5197522-7A2B-4605-BB0F-2D1248850AA2}"/>
  <bookViews>
    <workbookView xWindow="-120" yWindow="-120" windowWidth="29040" windowHeight="15720" tabRatio="599" firstSheet="2" xr2:uid="{00000000-000D-0000-FFFF-FFFF00000000}"/>
  </bookViews>
  <sheets>
    <sheet name="WIC + Rule ICR" sheetId="6" r:id="rId1"/>
    <sheet name="Final Rule ICR Only" sheetId="7" r:id="rId2"/>
    <sheet name="Cost Estimates" sheetId="11" r:id="rId3"/>
    <sheet name="Currently Approved WIC ICR" sheetId="10" r:id="rId4"/>
    <sheet name="WIC + Proposed Rule ICR" sheetId="12" r:id="rId5"/>
    <sheet name="2023 - LA" sheetId="4" state="hidden" r:id="rId6"/>
    <sheet name="2023" sheetId="3" state="hidden" r:id="rId7"/>
    <sheet name="2020" sheetId="2"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1" l="1"/>
  <c r="I23" i="7"/>
  <c r="C25" i="7" l="1"/>
  <c r="K9" i="7"/>
  <c r="J5" i="7"/>
  <c r="B19" i="11"/>
  <c r="B21" i="11" s="1"/>
  <c r="B4" i="11"/>
  <c r="B3" i="11"/>
  <c r="C92" i="6"/>
  <c r="C142" i="6"/>
  <c r="C78" i="6"/>
  <c r="C149" i="6"/>
  <c r="C121" i="6"/>
  <c r="H72" i="12"/>
  <c r="C90" i="12" s="1"/>
  <c r="C72" i="12"/>
  <c r="C85" i="12" s="1"/>
  <c r="E71" i="12"/>
  <c r="G71" i="12" s="1"/>
  <c r="C71" i="12"/>
  <c r="G70" i="12"/>
  <c r="J70" i="12" s="1"/>
  <c r="E70" i="12"/>
  <c r="D70" i="12"/>
  <c r="E69" i="12"/>
  <c r="G69" i="12" s="1"/>
  <c r="D69" i="12"/>
  <c r="G68" i="12"/>
  <c r="J68" i="12" s="1"/>
  <c r="E68" i="12"/>
  <c r="C68" i="12"/>
  <c r="E67" i="12"/>
  <c r="G67" i="12" s="1"/>
  <c r="E66" i="12"/>
  <c r="G66" i="12" s="1"/>
  <c r="D66" i="12"/>
  <c r="D65" i="12"/>
  <c r="E65" i="12" s="1"/>
  <c r="G65" i="12" s="1"/>
  <c r="E64" i="12"/>
  <c r="G64" i="12" s="1"/>
  <c r="D64" i="12"/>
  <c r="G63" i="12"/>
  <c r="J63" i="12" s="1"/>
  <c r="E63" i="12"/>
  <c r="C62" i="12"/>
  <c r="E62" i="12" s="1"/>
  <c r="G62" i="12" s="1"/>
  <c r="D61" i="12"/>
  <c r="E61" i="12" s="1"/>
  <c r="G61" i="12" s="1"/>
  <c r="I61" i="12" s="1"/>
  <c r="K61" i="12" s="1"/>
  <c r="E60" i="12"/>
  <c r="G60" i="12" s="1"/>
  <c r="E59" i="12"/>
  <c r="H55" i="12"/>
  <c r="C55" i="12"/>
  <c r="C54" i="12"/>
  <c r="E54" i="12" s="1"/>
  <c r="G54" i="12" s="1"/>
  <c r="E53" i="12"/>
  <c r="G53" i="12" s="1"/>
  <c r="I53" i="12" s="1"/>
  <c r="K53" i="12" s="1"/>
  <c r="C53" i="12"/>
  <c r="G52" i="12"/>
  <c r="J52" i="12" s="1"/>
  <c r="E52" i="12"/>
  <c r="C52" i="12"/>
  <c r="E51" i="12"/>
  <c r="G51" i="12" s="1"/>
  <c r="C50" i="12"/>
  <c r="E50" i="12" s="1"/>
  <c r="G50" i="12" s="1"/>
  <c r="I50" i="12" s="1"/>
  <c r="K50" i="12" s="1"/>
  <c r="F49" i="12"/>
  <c r="E49" i="12"/>
  <c r="G49" i="12" s="1"/>
  <c r="I49" i="12" s="1"/>
  <c r="K49" i="12" s="1"/>
  <c r="D49" i="12"/>
  <c r="C49" i="12"/>
  <c r="F48" i="12"/>
  <c r="D48" i="12"/>
  <c r="C48" i="12"/>
  <c r="J48" i="12" s="1"/>
  <c r="J47" i="12"/>
  <c r="F47" i="12"/>
  <c r="D47" i="12"/>
  <c r="C47" i="12"/>
  <c r="I47" i="12" s="1"/>
  <c r="K47" i="12" s="1"/>
  <c r="F46" i="12"/>
  <c r="E46" i="12"/>
  <c r="G46" i="12" s="1"/>
  <c r="D46" i="12"/>
  <c r="C46" i="12"/>
  <c r="J46" i="12" s="1"/>
  <c r="H44" i="12"/>
  <c r="C44" i="12"/>
  <c r="C56" i="12" s="1"/>
  <c r="C43" i="12"/>
  <c r="E43" i="12" s="1"/>
  <c r="G43" i="12" s="1"/>
  <c r="J42" i="12"/>
  <c r="I42" i="12"/>
  <c r="C42" i="12"/>
  <c r="E42" i="12" s="1"/>
  <c r="F41" i="12"/>
  <c r="E41" i="12"/>
  <c r="G41" i="12" s="1"/>
  <c r="I41" i="12" s="1"/>
  <c r="K41" i="12" s="1"/>
  <c r="C41" i="12"/>
  <c r="G40" i="12"/>
  <c r="I40" i="12" s="1"/>
  <c r="K40" i="12" s="1"/>
  <c r="F40" i="12"/>
  <c r="E40" i="12"/>
  <c r="F39" i="12"/>
  <c r="E39" i="12"/>
  <c r="G39" i="12" s="1"/>
  <c r="I39" i="12" s="1"/>
  <c r="K39" i="12" s="1"/>
  <c r="F38" i="12"/>
  <c r="E38" i="12"/>
  <c r="G38" i="12" s="1"/>
  <c r="C36" i="12"/>
  <c r="I35" i="12"/>
  <c r="K35" i="12" s="1"/>
  <c r="G35" i="12"/>
  <c r="J35" i="12" s="1"/>
  <c r="E35" i="12"/>
  <c r="E34" i="12"/>
  <c r="G34" i="12" s="1"/>
  <c r="D34" i="12"/>
  <c r="G33" i="12"/>
  <c r="J33" i="12" s="1"/>
  <c r="E33" i="12"/>
  <c r="C33" i="12"/>
  <c r="G32" i="12"/>
  <c r="E32" i="12"/>
  <c r="D32" i="12"/>
  <c r="D31" i="12"/>
  <c r="E31" i="12" s="1"/>
  <c r="G31" i="12" s="1"/>
  <c r="G30" i="12"/>
  <c r="J30" i="12" s="1"/>
  <c r="E30" i="12"/>
  <c r="G29" i="12"/>
  <c r="J29" i="12" s="1"/>
  <c r="E29" i="12"/>
  <c r="E28" i="12"/>
  <c r="G28" i="12" s="1"/>
  <c r="D28" i="12"/>
  <c r="G27" i="12"/>
  <c r="J27" i="12" s="1"/>
  <c r="E27" i="12"/>
  <c r="D27" i="12"/>
  <c r="E26" i="12"/>
  <c r="G26" i="12" s="1"/>
  <c r="D26" i="12"/>
  <c r="G25" i="12"/>
  <c r="J25" i="12" s="1"/>
  <c r="E25" i="12"/>
  <c r="H24" i="12"/>
  <c r="D24" i="12"/>
  <c r="E24" i="12" s="1"/>
  <c r="G24" i="12" s="1"/>
  <c r="I24" i="12" s="1"/>
  <c r="K24" i="12" s="1"/>
  <c r="E23" i="12"/>
  <c r="G23" i="12" s="1"/>
  <c r="D22" i="12"/>
  <c r="E22" i="12" s="1"/>
  <c r="G22" i="12" s="1"/>
  <c r="D21" i="12"/>
  <c r="E21" i="12" s="1"/>
  <c r="G21" i="12" s="1"/>
  <c r="G20" i="12"/>
  <c r="I20" i="12" s="1"/>
  <c r="E20" i="12"/>
  <c r="J19" i="12"/>
  <c r="I19" i="12"/>
  <c r="K19" i="12" s="1"/>
  <c r="D19" i="12"/>
  <c r="E19" i="12" s="1"/>
  <c r="C18" i="12"/>
  <c r="E18" i="12" s="1"/>
  <c r="G18" i="12" s="1"/>
  <c r="I18" i="12" s="1"/>
  <c r="K18" i="12" s="1"/>
  <c r="E17" i="12"/>
  <c r="G17" i="12" s="1"/>
  <c r="I17" i="12" s="1"/>
  <c r="K17" i="12" s="1"/>
  <c r="E16" i="12"/>
  <c r="G16" i="12" s="1"/>
  <c r="E15" i="12"/>
  <c r="G15" i="12" s="1"/>
  <c r="I15" i="12" s="1"/>
  <c r="K15" i="12" s="1"/>
  <c r="J14" i="12"/>
  <c r="I14" i="12"/>
  <c r="K14" i="12" s="1"/>
  <c r="E14" i="12"/>
  <c r="D14" i="12"/>
  <c r="I13" i="12"/>
  <c r="G13" i="12"/>
  <c r="J13" i="12" s="1"/>
  <c r="E13" i="12"/>
  <c r="F12" i="12"/>
  <c r="E12" i="12"/>
  <c r="G12" i="12" s="1"/>
  <c r="I12" i="12" s="1"/>
  <c r="K12" i="12" s="1"/>
  <c r="D12" i="12"/>
  <c r="C12" i="12"/>
  <c r="I11" i="12"/>
  <c r="F11" i="12"/>
  <c r="D11" i="12"/>
  <c r="C11" i="12"/>
  <c r="E11" i="12" s="1"/>
  <c r="G11" i="12" s="1"/>
  <c r="F10" i="12"/>
  <c r="D10" i="12"/>
  <c r="J10" i="12" s="1"/>
  <c r="C10" i="12"/>
  <c r="I10" i="12" s="1"/>
  <c r="K10" i="12" s="1"/>
  <c r="F9" i="12"/>
  <c r="I9" i="12" s="1"/>
  <c r="E9" i="12"/>
  <c r="G9" i="12" s="1"/>
  <c r="D9" i="12"/>
  <c r="J9" i="12" s="1"/>
  <c r="C9" i="12"/>
  <c r="I8" i="12"/>
  <c r="G8" i="12"/>
  <c r="J8" i="12" s="1"/>
  <c r="E8" i="12"/>
  <c r="E7" i="12"/>
  <c r="G7" i="12" s="1"/>
  <c r="E6" i="12"/>
  <c r="G6" i="12" s="1"/>
  <c r="G5" i="12"/>
  <c r="I5" i="12" s="1"/>
  <c r="E5" i="12"/>
  <c r="B22" i="11" l="1"/>
  <c r="B23" i="11" s="1"/>
  <c r="B25" i="11" s="1"/>
  <c r="B27" i="11" s="1"/>
  <c r="I31" i="12"/>
  <c r="J31" i="12"/>
  <c r="K9" i="12"/>
  <c r="I54" i="12"/>
  <c r="J54" i="12"/>
  <c r="J66" i="12"/>
  <c r="I66" i="12"/>
  <c r="J6" i="12"/>
  <c r="I6" i="12"/>
  <c r="K6" i="12" s="1"/>
  <c r="J21" i="12"/>
  <c r="I21" i="12"/>
  <c r="K21" i="12" s="1"/>
  <c r="I22" i="12"/>
  <c r="J22" i="12"/>
  <c r="J60" i="12"/>
  <c r="I60" i="12"/>
  <c r="K60" i="12" s="1"/>
  <c r="J23" i="12"/>
  <c r="I23" i="12"/>
  <c r="I34" i="12"/>
  <c r="K34" i="12" s="1"/>
  <c r="J34" i="12"/>
  <c r="I26" i="12"/>
  <c r="J26" i="12"/>
  <c r="J65" i="12"/>
  <c r="I65" i="12"/>
  <c r="K65" i="12" s="1"/>
  <c r="J71" i="12"/>
  <c r="I71" i="12"/>
  <c r="K71" i="12" s="1"/>
  <c r="K11" i="12"/>
  <c r="J62" i="12"/>
  <c r="I62" i="12"/>
  <c r="K62" i="12" s="1"/>
  <c r="G44" i="12"/>
  <c r="F44" i="12" s="1"/>
  <c r="I38" i="12"/>
  <c r="J64" i="12"/>
  <c r="I64" i="12"/>
  <c r="K64" i="12" s="1"/>
  <c r="J43" i="12"/>
  <c r="J44" i="12" s="1"/>
  <c r="I43" i="12"/>
  <c r="K43" i="12" s="1"/>
  <c r="C73" i="12"/>
  <c r="C76" i="12"/>
  <c r="K13" i="12"/>
  <c r="J67" i="12"/>
  <c r="I67" i="12"/>
  <c r="E72" i="12"/>
  <c r="I7" i="12"/>
  <c r="J7" i="12"/>
  <c r="H28" i="12"/>
  <c r="I28" i="12" s="1"/>
  <c r="J51" i="12"/>
  <c r="J55" i="12" s="1"/>
  <c r="I51" i="12"/>
  <c r="K51" i="12" s="1"/>
  <c r="K8" i="12"/>
  <c r="J16" i="12"/>
  <c r="I16" i="12"/>
  <c r="K16" i="12" s="1"/>
  <c r="J69" i="12"/>
  <c r="I69" i="12"/>
  <c r="K69" i="12" s="1"/>
  <c r="J32" i="12"/>
  <c r="J5" i="12"/>
  <c r="J20" i="12"/>
  <c r="K20" i="12" s="1"/>
  <c r="E44" i="12"/>
  <c r="D44" i="12" s="1"/>
  <c r="I46" i="12"/>
  <c r="G59" i="12"/>
  <c r="E36" i="12"/>
  <c r="E48" i="12"/>
  <c r="G48" i="12" s="1"/>
  <c r="K42" i="12"/>
  <c r="I52" i="12"/>
  <c r="K52" i="12" s="1"/>
  <c r="I68" i="12"/>
  <c r="K68" i="12" s="1"/>
  <c r="I70" i="12"/>
  <c r="K70" i="12" s="1"/>
  <c r="E10" i="12"/>
  <c r="G10" i="12" s="1"/>
  <c r="G36" i="12" s="1"/>
  <c r="J11" i="12"/>
  <c r="I25" i="12"/>
  <c r="K25" i="12" s="1"/>
  <c r="I27" i="12"/>
  <c r="K27" i="12" s="1"/>
  <c r="I29" i="12"/>
  <c r="K29" i="12" s="1"/>
  <c r="I33" i="12"/>
  <c r="K33" i="12" s="1"/>
  <c r="I48" i="12"/>
  <c r="K48" i="12" s="1"/>
  <c r="E47" i="12"/>
  <c r="G47" i="12" s="1"/>
  <c r="G55" i="12" s="1"/>
  <c r="F55" i="12" s="1"/>
  <c r="E55" i="12"/>
  <c r="D55" i="12" s="1"/>
  <c r="I30" i="12"/>
  <c r="K30" i="12" s="1"/>
  <c r="H32" i="12"/>
  <c r="I32" i="12" s="1"/>
  <c r="K32" i="12" s="1"/>
  <c r="I63" i="12"/>
  <c r="K63" i="12" s="1"/>
  <c r="K28" i="12" l="1"/>
  <c r="I36" i="12"/>
  <c r="I56" i="12" s="1"/>
  <c r="F36" i="12"/>
  <c r="G56" i="12"/>
  <c r="K22" i="12"/>
  <c r="K26" i="12"/>
  <c r="C87" i="12"/>
  <c r="C86" i="12" s="1"/>
  <c r="D72" i="12"/>
  <c r="K38" i="12"/>
  <c r="K44" i="12" s="1"/>
  <c r="I44" i="12"/>
  <c r="H36" i="12"/>
  <c r="H56" i="12" s="1"/>
  <c r="K67" i="12"/>
  <c r="D36" i="12"/>
  <c r="E56" i="12"/>
  <c r="J36" i="12"/>
  <c r="J56" i="12" s="1"/>
  <c r="J73" i="12" s="1"/>
  <c r="K31" i="12"/>
  <c r="J28" i="12"/>
  <c r="K7" i="12"/>
  <c r="K5" i="12"/>
  <c r="K23" i="12"/>
  <c r="K66" i="12"/>
  <c r="G72" i="12"/>
  <c r="J59" i="12"/>
  <c r="J72" i="12" s="1"/>
  <c r="I59" i="12"/>
  <c r="I55" i="12"/>
  <c r="K46" i="12"/>
  <c r="K54" i="12"/>
  <c r="K55" i="12" l="1"/>
  <c r="C89" i="12"/>
  <c r="F72" i="12"/>
  <c r="E73" i="12"/>
  <c r="D73" i="12" s="1"/>
  <c r="C78" i="12"/>
  <c r="D56" i="12"/>
  <c r="I72" i="12"/>
  <c r="K59" i="12"/>
  <c r="K72" i="12" s="1"/>
  <c r="C81" i="12"/>
  <c r="H73" i="12"/>
  <c r="C96" i="12" s="1"/>
  <c r="I73" i="12"/>
  <c r="K36" i="12"/>
  <c r="C80" i="12"/>
  <c r="F56" i="12"/>
  <c r="G73" i="12"/>
  <c r="C91" i="12" l="1"/>
  <c r="C88" i="12"/>
  <c r="C95" i="12"/>
  <c r="C79" i="12"/>
  <c r="C82" i="12"/>
  <c r="K56" i="12"/>
  <c r="K73" i="12" s="1"/>
  <c r="C94" i="12"/>
  <c r="C77" i="12"/>
  <c r="F73" i="12"/>
  <c r="C97" i="12" l="1"/>
  <c r="H5" i="6" l="1"/>
  <c r="C120" i="6"/>
  <c r="C156" i="6"/>
  <c r="I46" i="7"/>
  <c r="I41" i="7"/>
  <c r="J30" i="7"/>
  <c r="I30" i="7"/>
  <c r="I29" i="7"/>
  <c r="G18" i="7"/>
  <c r="I12" i="7"/>
  <c r="C49" i="7"/>
  <c r="C48" i="7"/>
  <c r="I43" i="7"/>
  <c r="D43" i="7"/>
  <c r="I42" i="7"/>
  <c r="D42" i="7"/>
  <c r="D41" i="7"/>
  <c r="I40" i="7"/>
  <c r="J129" i="6" s="1"/>
  <c r="D40" i="7"/>
  <c r="I39" i="7"/>
  <c r="D39" i="7"/>
  <c r="I33" i="7"/>
  <c r="I32" i="7"/>
  <c r="C32" i="7"/>
  <c r="C30" i="7"/>
  <c r="C29" i="7"/>
  <c r="E29" i="7" s="1"/>
  <c r="G29" i="7" s="1"/>
  <c r="I27" i="7"/>
  <c r="C27" i="7"/>
  <c r="D17" i="7"/>
  <c r="D15" i="7"/>
  <c r="K13" i="7"/>
  <c r="I13" i="7"/>
  <c r="D13" i="7"/>
  <c r="D12" i="7"/>
  <c r="D11" i="7"/>
  <c r="K7" i="7"/>
  <c r="J7" i="7"/>
  <c r="I7" i="7"/>
  <c r="D7" i="7"/>
  <c r="F6" i="6"/>
  <c r="E5" i="7"/>
  <c r="J23" i="7"/>
  <c r="K46" i="6"/>
  <c r="J43" i="6"/>
  <c r="J37" i="6"/>
  <c r="I37" i="6"/>
  <c r="D37" i="6"/>
  <c r="C37" i="6"/>
  <c r="J124" i="6"/>
  <c r="J125" i="6"/>
  <c r="J126" i="6"/>
  <c r="J127" i="6"/>
  <c r="J130" i="6"/>
  <c r="J134" i="6"/>
  <c r="J135" i="6"/>
  <c r="J136" i="6"/>
  <c r="J137" i="6"/>
  <c r="J138" i="6"/>
  <c r="J139" i="6"/>
  <c r="J140" i="6"/>
  <c r="J141" i="6"/>
  <c r="I142" i="6"/>
  <c r="M5" i="6"/>
  <c r="J5" i="6"/>
  <c r="G5" i="6"/>
  <c r="D5" i="6"/>
  <c r="C5" i="6"/>
  <c r="K28" i="7"/>
  <c r="D16" i="7"/>
  <c r="K23" i="7"/>
  <c r="J25" i="7"/>
  <c r="C23" i="7"/>
  <c r="J10" i="7"/>
  <c r="K37" i="6" s="1"/>
  <c r="C24" i="7"/>
  <c r="C35" i="7"/>
  <c r="D14" i="7"/>
  <c r="M30" i="6"/>
  <c r="K30" i="6"/>
  <c r="I30" i="6"/>
  <c r="G30" i="6"/>
  <c r="E30" i="6"/>
  <c r="D30" i="6"/>
  <c r="C30" i="6"/>
  <c r="G6" i="7"/>
  <c r="K6" i="7" s="1"/>
  <c r="L30" i="6" s="1"/>
  <c r="E6" i="7"/>
  <c r="M46" i="6"/>
  <c r="M40" i="6"/>
  <c r="E18" i="7"/>
  <c r="I44" i="7" l="1"/>
  <c r="J29" i="7"/>
  <c r="K29" i="7" s="1"/>
  <c r="H30" i="6"/>
  <c r="I6" i="7"/>
  <c r="J30" i="6" s="1"/>
  <c r="C159" i="6"/>
  <c r="E5" i="6" l="1"/>
  <c r="C7" i="6"/>
  <c r="C10" i="6"/>
  <c r="C12" i="6"/>
  <c r="C16" i="6"/>
  <c r="C18" i="6"/>
  <c r="C25" i="6"/>
  <c r="C26" i="6"/>
  <c r="C27" i="6"/>
  <c r="C28" i="6"/>
  <c r="C29" i="6"/>
  <c r="J147" i="10"/>
  <c r="J148" i="10" s="1"/>
  <c r="H147" i="10"/>
  <c r="H148" i="10" s="1"/>
  <c r="C175" i="10" s="1"/>
  <c r="F147" i="10"/>
  <c r="F148" i="10" s="1"/>
  <c r="C173" i="10" s="1"/>
  <c r="D147" i="10"/>
  <c r="D148" i="10" s="1"/>
  <c r="C171" i="10" s="1"/>
  <c r="C146" i="10"/>
  <c r="C147" i="10" s="1"/>
  <c r="C148" i="10" s="1"/>
  <c r="C170" i="10" s="1"/>
  <c r="J142" i="10"/>
  <c r="H142" i="10"/>
  <c r="C141" i="10"/>
  <c r="E141" i="10" s="1"/>
  <c r="G141" i="10" s="1"/>
  <c r="D140" i="10"/>
  <c r="C140" i="10"/>
  <c r="E140" i="10" s="1"/>
  <c r="G140" i="10" s="1"/>
  <c r="C139" i="10"/>
  <c r="E139" i="10" s="1"/>
  <c r="G139" i="10" s="1"/>
  <c r="C138" i="10"/>
  <c r="E138" i="10" s="1"/>
  <c r="G138" i="10" s="1"/>
  <c r="D137" i="10"/>
  <c r="C137" i="10"/>
  <c r="E137" i="10" s="1"/>
  <c r="G137" i="10" s="1"/>
  <c r="G142" i="10" s="1"/>
  <c r="H135" i="10"/>
  <c r="E134" i="10"/>
  <c r="G134" i="10" s="1"/>
  <c r="C133" i="10"/>
  <c r="E133" i="10" s="1"/>
  <c r="G133" i="10" s="1"/>
  <c r="K133" i="10" s="1"/>
  <c r="D132" i="10"/>
  <c r="C132" i="10"/>
  <c r="E132" i="10" s="1"/>
  <c r="G132" i="10" s="1"/>
  <c r="C131" i="10"/>
  <c r="E131" i="10" s="1"/>
  <c r="G131" i="10" s="1"/>
  <c r="E130" i="10"/>
  <c r="G130" i="10" s="1"/>
  <c r="E129" i="10"/>
  <c r="G129" i="10" s="1"/>
  <c r="K129" i="10" s="1"/>
  <c r="D128" i="10"/>
  <c r="E128" i="10" s="1"/>
  <c r="G128" i="10" s="1"/>
  <c r="E127" i="10"/>
  <c r="G127" i="10" s="1"/>
  <c r="D126" i="10"/>
  <c r="E126" i="10" s="1"/>
  <c r="G126" i="10" s="1"/>
  <c r="D125" i="10"/>
  <c r="E125" i="10" s="1"/>
  <c r="G125" i="10" s="1"/>
  <c r="D124" i="10"/>
  <c r="E124" i="10" s="1"/>
  <c r="G124" i="10" s="1"/>
  <c r="E123" i="10"/>
  <c r="G123" i="10" s="1"/>
  <c r="C122" i="10"/>
  <c r="E122" i="10" s="1"/>
  <c r="G122" i="10" s="1"/>
  <c r="D121" i="10"/>
  <c r="E121" i="10" s="1"/>
  <c r="G121" i="10" s="1"/>
  <c r="I121" i="10" s="1"/>
  <c r="E120" i="10"/>
  <c r="G120" i="10" s="1"/>
  <c r="D119" i="10"/>
  <c r="C119" i="10"/>
  <c r="E119" i="10" s="1"/>
  <c r="G119" i="10" s="1"/>
  <c r="E118" i="10"/>
  <c r="E117" i="10"/>
  <c r="G117" i="10" s="1"/>
  <c r="H113" i="10"/>
  <c r="C113" i="10"/>
  <c r="C112" i="10"/>
  <c r="E112" i="10" s="1"/>
  <c r="G112" i="10" s="1"/>
  <c r="K112" i="10" s="1"/>
  <c r="C111" i="10"/>
  <c r="E111" i="10" s="1"/>
  <c r="G111" i="10" s="1"/>
  <c r="E110" i="10"/>
  <c r="G110" i="10" s="1"/>
  <c r="E109" i="10"/>
  <c r="G109" i="10" s="1"/>
  <c r="E108" i="10"/>
  <c r="G108" i="10" s="1"/>
  <c r="C107" i="10"/>
  <c r="E107" i="10" s="1"/>
  <c r="G107" i="10" s="1"/>
  <c r="C106" i="10"/>
  <c r="E106" i="10" s="1"/>
  <c r="G106" i="10" s="1"/>
  <c r="C105" i="10"/>
  <c r="E105" i="10" s="1"/>
  <c r="G105" i="10" s="1"/>
  <c r="C104" i="10"/>
  <c r="E104" i="10" s="1"/>
  <c r="G104" i="10" s="1"/>
  <c r="C103" i="10"/>
  <c r="E103" i="10" s="1"/>
  <c r="G103" i="10" s="1"/>
  <c r="C102" i="10"/>
  <c r="E102" i="10" s="1"/>
  <c r="G102" i="10" s="1"/>
  <c r="K102" i="10" s="1"/>
  <c r="C101" i="10"/>
  <c r="E101" i="10" s="1"/>
  <c r="G101" i="10" s="1"/>
  <c r="E100" i="10"/>
  <c r="G100" i="10" s="1"/>
  <c r="C99" i="10"/>
  <c r="E99" i="10" s="1"/>
  <c r="G99" i="10" s="1"/>
  <c r="K99" i="10" s="1"/>
  <c r="D98" i="10"/>
  <c r="C98" i="10"/>
  <c r="E98" i="10" s="1"/>
  <c r="G98" i="10" s="1"/>
  <c r="D97" i="10"/>
  <c r="C97" i="10"/>
  <c r="E97" i="10" s="1"/>
  <c r="G97" i="10" s="1"/>
  <c r="C96" i="10"/>
  <c r="E96" i="10" s="1"/>
  <c r="G96" i="10" s="1"/>
  <c r="D95" i="10"/>
  <c r="C95" i="10"/>
  <c r="E95" i="10" s="1"/>
  <c r="G95" i="10" s="1"/>
  <c r="K95" i="10" s="1"/>
  <c r="D94" i="10"/>
  <c r="C94" i="10"/>
  <c r="D93" i="10"/>
  <c r="C93" i="10"/>
  <c r="E93" i="10" s="1"/>
  <c r="G93" i="10" s="1"/>
  <c r="K93" i="10" s="1"/>
  <c r="D92" i="10"/>
  <c r="C92" i="10"/>
  <c r="D91" i="10"/>
  <c r="C91" i="10"/>
  <c r="E91" i="10" s="1"/>
  <c r="G91" i="10" s="1"/>
  <c r="K91" i="10" s="1"/>
  <c r="C90" i="10"/>
  <c r="E90" i="10" s="1"/>
  <c r="G90" i="10" s="1"/>
  <c r="C89" i="10"/>
  <c r="E89" i="10" s="1"/>
  <c r="G89" i="10" s="1"/>
  <c r="C88" i="10"/>
  <c r="E88" i="10" s="1"/>
  <c r="H86" i="10"/>
  <c r="C86" i="10"/>
  <c r="C85" i="10"/>
  <c r="E85" i="10" s="1"/>
  <c r="G85" i="10" s="1"/>
  <c r="C84" i="10"/>
  <c r="E84" i="10" s="1"/>
  <c r="G84" i="10" s="1"/>
  <c r="E83" i="10"/>
  <c r="G83" i="10" s="1"/>
  <c r="K83" i="10" s="1"/>
  <c r="C82" i="10"/>
  <c r="E82" i="10" s="1"/>
  <c r="G82" i="10" s="1"/>
  <c r="C81" i="10"/>
  <c r="E81" i="10" s="1"/>
  <c r="G81" i="10" s="1"/>
  <c r="C80" i="10"/>
  <c r="E80" i="10" s="1"/>
  <c r="G80" i="10" s="1"/>
  <c r="E79" i="10"/>
  <c r="G79" i="10" s="1"/>
  <c r="E78" i="10"/>
  <c r="G78" i="10" s="1"/>
  <c r="I78" i="10" s="1"/>
  <c r="E77" i="10"/>
  <c r="G77" i="10" s="1"/>
  <c r="E76" i="10"/>
  <c r="G76" i="10" s="1"/>
  <c r="E75" i="10"/>
  <c r="G75" i="10" s="1"/>
  <c r="I75" i="10" s="1"/>
  <c r="E74" i="10"/>
  <c r="G74" i="10" s="1"/>
  <c r="G86" i="10" s="1"/>
  <c r="H72" i="10"/>
  <c r="H114" i="10" s="1"/>
  <c r="C157" i="10" s="1"/>
  <c r="C72" i="10"/>
  <c r="C114" i="10" s="1"/>
  <c r="C71" i="10"/>
  <c r="E71" i="10" s="1"/>
  <c r="G71" i="10" s="1"/>
  <c r="E70" i="10"/>
  <c r="G70" i="10" s="1"/>
  <c r="K70" i="10" s="1"/>
  <c r="E69" i="10"/>
  <c r="G69" i="10" s="1"/>
  <c r="E68" i="10"/>
  <c r="G68" i="10" s="1"/>
  <c r="E67" i="10"/>
  <c r="G67" i="10" s="1"/>
  <c r="D66" i="10"/>
  <c r="E66" i="10" s="1"/>
  <c r="G66" i="10" s="1"/>
  <c r="D65" i="10"/>
  <c r="E65" i="10" s="1"/>
  <c r="G65" i="10" s="1"/>
  <c r="E64" i="10"/>
  <c r="G64" i="10" s="1"/>
  <c r="K64" i="10" s="1"/>
  <c r="C63" i="10"/>
  <c r="E63" i="10" s="1"/>
  <c r="G63" i="10" s="1"/>
  <c r="K63" i="10" s="1"/>
  <c r="D62" i="10"/>
  <c r="E62" i="10" s="1"/>
  <c r="G62" i="10" s="1"/>
  <c r="D61" i="10"/>
  <c r="E61" i="10" s="1"/>
  <c r="G61" i="10" s="1"/>
  <c r="E60" i="10"/>
  <c r="G60" i="10" s="1"/>
  <c r="E59" i="10"/>
  <c r="G59" i="10" s="1"/>
  <c r="E58" i="10"/>
  <c r="G58" i="10" s="1"/>
  <c r="K58" i="10" s="1"/>
  <c r="C57" i="10"/>
  <c r="E57" i="10" s="1"/>
  <c r="G57" i="10" s="1"/>
  <c r="E56" i="10"/>
  <c r="G56" i="10" s="1"/>
  <c r="D55" i="10"/>
  <c r="E55" i="10" s="1"/>
  <c r="G55" i="10" s="1"/>
  <c r="J55" i="10" s="1"/>
  <c r="E54" i="10"/>
  <c r="G54" i="10" s="1"/>
  <c r="E53" i="10"/>
  <c r="G53" i="10" s="1"/>
  <c r="E52" i="10"/>
  <c r="G52" i="10" s="1"/>
  <c r="K52" i="10" s="1"/>
  <c r="D51" i="10"/>
  <c r="E51" i="10" s="1"/>
  <c r="G51" i="10" s="1"/>
  <c r="D50" i="10"/>
  <c r="E50" i="10" s="1"/>
  <c r="G50" i="10" s="1"/>
  <c r="K50" i="10" s="1"/>
  <c r="D49" i="10"/>
  <c r="E49" i="10" s="1"/>
  <c r="G49" i="10" s="1"/>
  <c r="K49" i="10" s="1"/>
  <c r="E48" i="10"/>
  <c r="G48" i="10" s="1"/>
  <c r="I48" i="10" s="1"/>
  <c r="E47" i="10"/>
  <c r="G47" i="10" s="1"/>
  <c r="K47" i="10" s="1"/>
  <c r="D46" i="10"/>
  <c r="E46" i="10" s="1"/>
  <c r="G46" i="10" s="1"/>
  <c r="E45" i="10"/>
  <c r="G45" i="10" s="1"/>
  <c r="I45" i="10" s="1"/>
  <c r="D44" i="10"/>
  <c r="E44" i="10" s="1"/>
  <c r="G44" i="10" s="1"/>
  <c r="K44" i="10" s="1"/>
  <c r="E43" i="10"/>
  <c r="G43" i="10" s="1"/>
  <c r="D42" i="10"/>
  <c r="E42" i="10" s="1"/>
  <c r="G42" i="10" s="1"/>
  <c r="D41" i="10"/>
  <c r="E41" i="10" s="1"/>
  <c r="G41" i="10" s="1"/>
  <c r="D40" i="10"/>
  <c r="E40" i="10" s="1"/>
  <c r="G40" i="10" s="1"/>
  <c r="E39" i="10"/>
  <c r="G39" i="10" s="1"/>
  <c r="D38" i="10"/>
  <c r="E38" i="10" s="1"/>
  <c r="G38" i="10" s="1"/>
  <c r="E37" i="10"/>
  <c r="G37" i="10" s="1"/>
  <c r="E36" i="10"/>
  <c r="G36" i="10" s="1"/>
  <c r="K36" i="10" s="1"/>
  <c r="E35" i="10"/>
  <c r="G35" i="10" s="1"/>
  <c r="K35" i="10" s="1"/>
  <c r="E34" i="10"/>
  <c r="G34" i="10" s="1"/>
  <c r="K34" i="10" s="1"/>
  <c r="D33" i="10"/>
  <c r="E33" i="10" s="1"/>
  <c r="G33" i="10" s="1"/>
  <c r="D32" i="10"/>
  <c r="E32" i="10" s="1"/>
  <c r="G32" i="10" s="1"/>
  <c r="E31" i="10"/>
  <c r="G31" i="10" s="1"/>
  <c r="E30" i="10"/>
  <c r="G30" i="10" s="1"/>
  <c r="C29" i="10"/>
  <c r="E29" i="10" s="1"/>
  <c r="G29" i="10" s="1"/>
  <c r="D28" i="10"/>
  <c r="C28" i="10"/>
  <c r="E28" i="10" s="1"/>
  <c r="G28" i="10" s="1"/>
  <c r="C27" i="10"/>
  <c r="E27" i="10" s="1"/>
  <c r="G27" i="10" s="1"/>
  <c r="D26" i="10"/>
  <c r="C26" i="10"/>
  <c r="E26" i="10" s="1"/>
  <c r="G26" i="10" s="1"/>
  <c r="I26" i="10" s="1"/>
  <c r="C25" i="10"/>
  <c r="E25" i="10" s="1"/>
  <c r="G25" i="10" s="1"/>
  <c r="E24" i="10"/>
  <c r="G24" i="10" s="1"/>
  <c r="E23" i="10"/>
  <c r="G23" i="10" s="1"/>
  <c r="E22" i="10"/>
  <c r="G22" i="10" s="1"/>
  <c r="K22" i="10" s="1"/>
  <c r="D21" i="10"/>
  <c r="E21" i="10" s="1"/>
  <c r="G21" i="10" s="1"/>
  <c r="D20" i="10"/>
  <c r="E20" i="10" s="1"/>
  <c r="G20" i="10" s="1"/>
  <c r="E19" i="10"/>
  <c r="G19" i="10" s="1"/>
  <c r="D18" i="10"/>
  <c r="C18" i="10"/>
  <c r="E17" i="10"/>
  <c r="G17" i="10" s="1"/>
  <c r="D16" i="10"/>
  <c r="C16" i="10"/>
  <c r="E16" i="10" s="1"/>
  <c r="G16" i="10" s="1"/>
  <c r="D15" i="10"/>
  <c r="C15" i="10"/>
  <c r="E15" i="10" s="1"/>
  <c r="G15" i="10" s="1"/>
  <c r="D14" i="10"/>
  <c r="C14" i="10"/>
  <c r="E14" i="10" s="1"/>
  <c r="G14" i="10" s="1"/>
  <c r="D13" i="10"/>
  <c r="C13" i="10"/>
  <c r="E13" i="10" s="1"/>
  <c r="G13" i="10" s="1"/>
  <c r="C12" i="10"/>
  <c r="E12" i="10" s="1"/>
  <c r="G12" i="10" s="1"/>
  <c r="D11" i="10"/>
  <c r="E11" i="10" s="1"/>
  <c r="G11" i="10" s="1"/>
  <c r="C10" i="10"/>
  <c r="E10" i="10" s="1"/>
  <c r="G10" i="10" s="1"/>
  <c r="D9" i="10"/>
  <c r="E9" i="10" s="1"/>
  <c r="G9" i="10" s="1"/>
  <c r="E8" i="10"/>
  <c r="G8" i="10" s="1"/>
  <c r="K8" i="10" s="1"/>
  <c r="C7" i="10"/>
  <c r="E7" i="10" s="1"/>
  <c r="G7" i="10" s="1"/>
  <c r="E6" i="10"/>
  <c r="G6" i="10" s="1"/>
  <c r="J6" i="10" s="1"/>
  <c r="E5" i="10"/>
  <c r="G5" i="10" s="1"/>
  <c r="K10" i="10" l="1"/>
  <c r="I10" i="10"/>
  <c r="K17" i="10"/>
  <c r="J17" i="10"/>
  <c r="I17" i="10"/>
  <c r="K19" i="10"/>
  <c r="I19" i="10"/>
  <c r="I21" i="10"/>
  <c r="K21" i="10"/>
  <c r="K24" i="10"/>
  <c r="I24" i="10"/>
  <c r="I25" i="10"/>
  <c r="K25" i="10"/>
  <c r="I31" i="10"/>
  <c r="K31" i="10"/>
  <c r="I37" i="10"/>
  <c r="K37" i="10"/>
  <c r="I39" i="10"/>
  <c r="J39" i="10"/>
  <c r="I54" i="10"/>
  <c r="K54" i="10"/>
  <c r="K57" i="10"/>
  <c r="I57" i="10"/>
  <c r="K60" i="10"/>
  <c r="I60" i="10"/>
  <c r="K62" i="10"/>
  <c r="I62" i="10"/>
  <c r="K67" i="10"/>
  <c r="J67" i="10"/>
  <c r="I67" i="10"/>
  <c r="K68" i="10"/>
  <c r="I68" i="10"/>
  <c r="C149" i="10"/>
  <c r="C179" i="10" s="1"/>
  <c r="C152" i="10"/>
  <c r="K81" i="10"/>
  <c r="J81" i="10"/>
  <c r="E92" i="10"/>
  <c r="G92" i="10" s="1"/>
  <c r="E94" i="10"/>
  <c r="G94" i="10" s="1"/>
  <c r="K97" i="10"/>
  <c r="I97" i="10"/>
  <c r="K104" i="10"/>
  <c r="I104" i="10"/>
  <c r="E135" i="10"/>
  <c r="D135" i="10" s="1"/>
  <c r="G118" i="10"/>
  <c r="K120" i="10"/>
  <c r="J120" i="10"/>
  <c r="I120" i="10"/>
  <c r="I122" i="10"/>
  <c r="K122" i="10"/>
  <c r="J122" i="10"/>
  <c r="K127" i="10"/>
  <c r="I127" i="10"/>
  <c r="K132" i="10"/>
  <c r="I132" i="10"/>
  <c r="H143" i="10"/>
  <c r="I38" i="10"/>
  <c r="K38" i="10"/>
  <c r="K84" i="10"/>
  <c r="I84" i="10"/>
  <c r="K40" i="10"/>
  <c r="I40" i="10"/>
  <c r="K20" i="10"/>
  <c r="I20" i="10"/>
  <c r="K107" i="10"/>
  <c r="I107" i="10"/>
  <c r="I11" i="10"/>
  <c r="K11" i="10"/>
  <c r="K86" i="10"/>
  <c r="I9" i="10"/>
  <c r="K9" i="10"/>
  <c r="J32" i="10"/>
  <c r="K32" i="10"/>
  <c r="K76" i="10"/>
  <c r="I76" i="10"/>
  <c r="I27" i="10"/>
  <c r="K27" i="10"/>
  <c r="K79" i="10"/>
  <c r="I79" i="10"/>
  <c r="K42" i="10"/>
  <c r="I42" i="10"/>
  <c r="I13" i="10"/>
  <c r="K13" i="10"/>
  <c r="K29" i="10"/>
  <c r="I29" i="10"/>
  <c r="I30" i="10"/>
  <c r="K30" i="10"/>
  <c r="I71" i="10"/>
  <c r="K71" i="10"/>
  <c r="K65" i="10"/>
  <c r="I65" i="10"/>
  <c r="I15" i="10"/>
  <c r="K15" i="10"/>
  <c r="J82" i="10"/>
  <c r="J86" i="10" s="1"/>
  <c r="K82" i="10"/>
  <c r="I8" i="10"/>
  <c r="K12" i="10"/>
  <c r="I12" i="10"/>
  <c r="I35" i="10"/>
  <c r="K39" i="10"/>
  <c r="I44" i="10"/>
  <c r="I49" i="10"/>
  <c r="K75" i="10"/>
  <c r="I91" i="10"/>
  <c r="I98" i="10"/>
  <c r="K98" i="10"/>
  <c r="K111" i="10"/>
  <c r="I111" i="10"/>
  <c r="K119" i="10"/>
  <c r="I119" i="10"/>
  <c r="K123" i="10"/>
  <c r="J123" i="10"/>
  <c r="I123" i="10"/>
  <c r="K139" i="10"/>
  <c r="I139" i="10"/>
  <c r="K28" i="10"/>
  <c r="I28" i="10"/>
  <c r="K55" i="10"/>
  <c r="I70" i="10"/>
  <c r="K92" i="10"/>
  <c r="I92" i="10"/>
  <c r="I95" i="10"/>
  <c r="I99" i="10"/>
  <c r="I112" i="10"/>
  <c r="K124" i="10"/>
  <c r="I124" i="10"/>
  <c r="K130" i="10"/>
  <c r="J130" i="10"/>
  <c r="K134" i="10"/>
  <c r="I134" i="10"/>
  <c r="K14" i="10"/>
  <c r="I14" i="10"/>
  <c r="J34" i="10"/>
  <c r="K140" i="10"/>
  <c r="I140" i="10"/>
  <c r="K45" i="10"/>
  <c r="I50" i="10"/>
  <c r="K56" i="10"/>
  <c r="I56" i="10"/>
  <c r="I77" i="10"/>
  <c r="K77" i="10"/>
  <c r="G88" i="10"/>
  <c r="E113" i="10"/>
  <c r="D113" i="10" s="1"/>
  <c r="K105" i="10"/>
  <c r="J105" i="10"/>
  <c r="I130" i="10"/>
  <c r="K141" i="10"/>
  <c r="I141" i="10"/>
  <c r="J5" i="10"/>
  <c r="K33" i="10"/>
  <c r="I33" i="10"/>
  <c r="K46" i="10"/>
  <c r="J46" i="10"/>
  <c r="I46" i="10"/>
  <c r="K51" i="10"/>
  <c r="I51" i="10"/>
  <c r="I61" i="10"/>
  <c r="J61" i="10"/>
  <c r="K61" i="10"/>
  <c r="K66" i="10"/>
  <c r="J66" i="10"/>
  <c r="I96" i="10"/>
  <c r="K96" i="10"/>
  <c r="J100" i="10"/>
  <c r="J113" i="10" s="1"/>
  <c r="K100" i="10"/>
  <c r="K106" i="10"/>
  <c r="I106" i="10"/>
  <c r="I125" i="10"/>
  <c r="K125" i="10"/>
  <c r="K6" i="10"/>
  <c r="K80" i="10"/>
  <c r="I80" i="10"/>
  <c r="K16" i="10"/>
  <c r="I16" i="10"/>
  <c r="K5" i="10"/>
  <c r="K41" i="10"/>
  <c r="I41" i="10"/>
  <c r="K78" i="10"/>
  <c r="K101" i="10"/>
  <c r="I101" i="10"/>
  <c r="K126" i="10"/>
  <c r="J126" i="10"/>
  <c r="K131" i="10"/>
  <c r="I131" i="10"/>
  <c r="E142" i="10"/>
  <c r="K89" i="10"/>
  <c r="I89" i="10"/>
  <c r="F142" i="10"/>
  <c r="E18" i="10"/>
  <c r="G18" i="10" s="1"/>
  <c r="G72" i="10" s="1"/>
  <c r="I34" i="10"/>
  <c r="I47" i="10"/>
  <c r="I52" i="10"/>
  <c r="K90" i="10"/>
  <c r="I90" i="10"/>
  <c r="I93" i="10"/>
  <c r="I137" i="10"/>
  <c r="K7" i="10"/>
  <c r="I7" i="10"/>
  <c r="I22" i="10"/>
  <c r="K26" i="10"/>
  <c r="J48" i="10"/>
  <c r="K48" i="10"/>
  <c r="I53" i="10"/>
  <c r="J53" i="10"/>
  <c r="K53" i="10"/>
  <c r="I58" i="10"/>
  <c r="I63" i="10"/>
  <c r="K94" i="10"/>
  <c r="I94" i="10"/>
  <c r="I102" i="10"/>
  <c r="K109" i="10"/>
  <c r="I109" i="10"/>
  <c r="G135" i="10"/>
  <c r="F135" i="10" s="1"/>
  <c r="K117" i="10"/>
  <c r="I117" i="10"/>
  <c r="K137" i="10"/>
  <c r="H149" i="10"/>
  <c r="C182" i="10" s="1"/>
  <c r="C166" i="10"/>
  <c r="K85" i="10"/>
  <c r="I85" i="10"/>
  <c r="I108" i="10"/>
  <c r="K108" i="10"/>
  <c r="K43" i="10"/>
  <c r="I43" i="10"/>
  <c r="K59" i="10"/>
  <c r="I59" i="10"/>
  <c r="J63" i="10"/>
  <c r="K74" i="10"/>
  <c r="I74" i="10"/>
  <c r="E86" i="10"/>
  <c r="D86" i="10" s="1"/>
  <c r="I128" i="10"/>
  <c r="K128" i="10"/>
  <c r="I138" i="10"/>
  <c r="K138" i="10"/>
  <c r="I23" i="10"/>
  <c r="K23" i="10"/>
  <c r="J23" i="10"/>
  <c r="K69" i="10"/>
  <c r="I69" i="10"/>
  <c r="I103" i="10"/>
  <c r="K103" i="10"/>
  <c r="K110" i="10"/>
  <c r="I110" i="10"/>
  <c r="K118" i="10"/>
  <c r="I118" i="10"/>
  <c r="I133" i="10"/>
  <c r="K121" i="10"/>
  <c r="E146" i="10"/>
  <c r="I36" i="10"/>
  <c r="I64" i="10"/>
  <c r="I83" i="10"/>
  <c r="I129" i="10"/>
  <c r="C142" i="10"/>
  <c r="C143" i="10" s="1"/>
  <c r="C161" i="10" s="1"/>
  <c r="J40" i="6"/>
  <c r="M37" i="6"/>
  <c r="G37" i="6"/>
  <c r="J45" i="6"/>
  <c r="G46" i="6"/>
  <c r="C46" i="6"/>
  <c r="E37" i="6"/>
  <c r="E17" i="7"/>
  <c r="G17" i="7" s="1"/>
  <c r="H46" i="6" s="1"/>
  <c r="E10" i="7"/>
  <c r="G10" i="7" s="1"/>
  <c r="I86" i="10" l="1"/>
  <c r="I142" i="10"/>
  <c r="J135" i="10"/>
  <c r="J143" i="10" s="1"/>
  <c r="K10" i="7"/>
  <c r="L37" i="6" s="1"/>
  <c r="K88" i="10"/>
  <c r="I88" i="10"/>
  <c r="I113" i="10" s="1"/>
  <c r="G113" i="10"/>
  <c r="G114" i="10" s="1"/>
  <c r="E143" i="10"/>
  <c r="D142" i="10"/>
  <c r="K72" i="10"/>
  <c r="K142" i="10"/>
  <c r="I135" i="10"/>
  <c r="I143" i="10" s="1"/>
  <c r="K18" i="10"/>
  <c r="I18" i="10"/>
  <c r="K135" i="10"/>
  <c r="G146" i="10"/>
  <c r="E147" i="10"/>
  <c r="E148" i="10" s="1"/>
  <c r="C172" i="10" s="1"/>
  <c r="I72" i="10"/>
  <c r="I114" i="10" s="1"/>
  <c r="G143" i="10"/>
  <c r="E72" i="10"/>
  <c r="F86" i="10"/>
  <c r="J72" i="10"/>
  <c r="J114" i="10" s="1"/>
  <c r="J149" i="10" s="1"/>
  <c r="H37" i="6"/>
  <c r="D46" i="6"/>
  <c r="E46" i="6"/>
  <c r="I17" i="7"/>
  <c r="J46" i="6" s="1"/>
  <c r="K17" i="7"/>
  <c r="L46" i="6" s="1"/>
  <c r="E13" i="7"/>
  <c r="K143" i="10" l="1"/>
  <c r="C156" i="10"/>
  <c r="F143" i="10"/>
  <c r="C165" i="10"/>
  <c r="C163" i="10"/>
  <c r="C162" i="10" s="1"/>
  <c r="D143" i="10"/>
  <c r="D72" i="10"/>
  <c r="E114" i="10"/>
  <c r="F114" i="10" s="1"/>
  <c r="F72" i="10"/>
  <c r="K113" i="10"/>
  <c r="K114" i="10" s="1"/>
  <c r="F113" i="10"/>
  <c r="G147" i="10"/>
  <c r="G148" i="10" s="1"/>
  <c r="K146" i="10"/>
  <c r="K147" i="10" s="1"/>
  <c r="K148" i="10" s="1"/>
  <c r="I146" i="10"/>
  <c r="I147" i="10" s="1"/>
  <c r="I148" i="10" s="1"/>
  <c r="I149" i="10" s="1"/>
  <c r="E7" i="7"/>
  <c r="C40" i="6"/>
  <c r="C174" i="10" l="1"/>
  <c r="C176" i="10" s="1"/>
  <c r="G149" i="10"/>
  <c r="C167" i="10"/>
  <c r="C164" i="10"/>
  <c r="C181" i="10"/>
  <c r="C183" i="10" s="1"/>
  <c r="K149" i="10"/>
  <c r="E149" i="10"/>
  <c r="C158" i="10"/>
  <c r="C154" i="10"/>
  <c r="C153" i="10" s="1"/>
  <c r="D114" i="10"/>
  <c r="F125" i="6"/>
  <c r="F117" i="6"/>
  <c r="D129" i="6"/>
  <c r="C40" i="7"/>
  <c r="E32" i="7"/>
  <c r="H25" i="7"/>
  <c r="H35" i="7"/>
  <c r="H44" i="7"/>
  <c r="D145" i="6"/>
  <c r="G145" i="6"/>
  <c r="I145" i="6"/>
  <c r="M145" i="6"/>
  <c r="C145" i="6"/>
  <c r="G133" i="6"/>
  <c r="I133" i="6"/>
  <c r="M133" i="6"/>
  <c r="C133" i="6"/>
  <c r="G132" i="6"/>
  <c r="I132" i="6"/>
  <c r="M132" i="6"/>
  <c r="C132" i="6"/>
  <c r="G131" i="6"/>
  <c r="I131" i="6"/>
  <c r="M131" i="6"/>
  <c r="C131" i="6"/>
  <c r="G129" i="6"/>
  <c r="I129" i="6"/>
  <c r="M129" i="6"/>
  <c r="G128" i="6"/>
  <c r="I128" i="6"/>
  <c r="M128" i="6"/>
  <c r="B115" i="6"/>
  <c r="C115" i="6"/>
  <c r="D115" i="6"/>
  <c r="G115" i="6"/>
  <c r="I115" i="6"/>
  <c r="K115" i="6"/>
  <c r="M115" i="6"/>
  <c r="A115" i="6"/>
  <c r="E116" i="6"/>
  <c r="H116" i="6" s="1"/>
  <c r="D112" i="6"/>
  <c r="G112" i="6"/>
  <c r="I112" i="6"/>
  <c r="M112" i="6"/>
  <c r="C112" i="6"/>
  <c r="D111" i="6"/>
  <c r="G111" i="6"/>
  <c r="I111" i="6"/>
  <c r="M111" i="6"/>
  <c r="D110" i="6"/>
  <c r="G110" i="6"/>
  <c r="I110" i="6"/>
  <c r="M110" i="6"/>
  <c r="C110" i="6"/>
  <c r="D109" i="6"/>
  <c r="G109" i="6"/>
  <c r="I109" i="6"/>
  <c r="M109" i="6"/>
  <c r="D108" i="6"/>
  <c r="G108" i="6"/>
  <c r="I108" i="6"/>
  <c r="K108" i="6"/>
  <c r="M108" i="6"/>
  <c r="D107" i="6"/>
  <c r="G107" i="6"/>
  <c r="I107" i="6"/>
  <c r="K107" i="6"/>
  <c r="M107" i="6"/>
  <c r="C107" i="6"/>
  <c r="D106" i="6"/>
  <c r="G106" i="6"/>
  <c r="I106" i="6"/>
  <c r="M106" i="6"/>
  <c r="C106" i="6"/>
  <c r="D91" i="6"/>
  <c r="G91" i="6"/>
  <c r="I91" i="6"/>
  <c r="K91" i="6"/>
  <c r="M91" i="6"/>
  <c r="G90" i="6"/>
  <c r="I90" i="6"/>
  <c r="K90" i="6"/>
  <c r="M90" i="6"/>
  <c r="B57" i="6"/>
  <c r="C57" i="6"/>
  <c r="D57" i="6"/>
  <c r="E57" i="6"/>
  <c r="G57" i="6"/>
  <c r="I57" i="6"/>
  <c r="K57" i="6"/>
  <c r="M57" i="6"/>
  <c r="A57" i="6"/>
  <c r="D59" i="6"/>
  <c r="G59" i="6"/>
  <c r="I59" i="6"/>
  <c r="K59" i="6"/>
  <c r="M59" i="6"/>
  <c r="C59" i="6"/>
  <c r="D58" i="6"/>
  <c r="G58" i="6"/>
  <c r="K58" i="6"/>
  <c r="M58" i="6"/>
  <c r="C58" i="6"/>
  <c r="G45" i="6"/>
  <c r="I45" i="6"/>
  <c r="M45" i="6"/>
  <c r="C45" i="6"/>
  <c r="G44" i="6"/>
  <c r="I44" i="6"/>
  <c r="K44" i="6"/>
  <c r="M44" i="6"/>
  <c r="C44" i="6"/>
  <c r="G43" i="6"/>
  <c r="I43" i="6"/>
  <c r="M43" i="6"/>
  <c r="C43" i="6"/>
  <c r="G42" i="6"/>
  <c r="I42" i="6"/>
  <c r="M42" i="6"/>
  <c r="C42" i="6"/>
  <c r="G40" i="6"/>
  <c r="I40" i="6"/>
  <c r="D38" i="6"/>
  <c r="G38" i="6"/>
  <c r="I38" i="6"/>
  <c r="K38" i="6"/>
  <c r="M38" i="6"/>
  <c r="C38" i="6"/>
  <c r="D35" i="6"/>
  <c r="G35" i="6"/>
  <c r="I35" i="6"/>
  <c r="K35" i="6"/>
  <c r="M35" i="6"/>
  <c r="C35" i="6"/>
  <c r="M34" i="6"/>
  <c r="D34" i="6"/>
  <c r="G34" i="6"/>
  <c r="I34" i="6"/>
  <c r="K34" i="6"/>
  <c r="C34" i="6"/>
  <c r="G33" i="6"/>
  <c r="I33" i="6"/>
  <c r="M33" i="6"/>
  <c r="C33" i="6"/>
  <c r="C47" i="7"/>
  <c r="D133" i="6"/>
  <c r="D132" i="6"/>
  <c r="E41" i="7"/>
  <c r="G41" i="7" s="1"/>
  <c r="D128" i="6"/>
  <c r="C109" i="6"/>
  <c r="D45" i="6"/>
  <c r="E15" i="7"/>
  <c r="G15" i="7" s="1"/>
  <c r="H44" i="6" s="1"/>
  <c r="G13" i="7"/>
  <c r="D40" i="6"/>
  <c r="E8" i="7"/>
  <c r="E11" i="7"/>
  <c r="G11" i="7" s="1"/>
  <c r="K11" i="7" s="1"/>
  <c r="E34" i="7"/>
  <c r="G34" i="7" s="1"/>
  <c r="E83" i="6"/>
  <c r="H83" i="6" s="1"/>
  <c r="I83" i="6" s="1"/>
  <c r="D21" i="6"/>
  <c r="D20" i="6"/>
  <c r="D9" i="6"/>
  <c r="E20" i="7"/>
  <c r="G20" i="7" s="1"/>
  <c r="H59" i="6" s="1"/>
  <c r="E19" i="7"/>
  <c r="G19" i="7" s="1"/>
  <c r="H58" i="6" s="1"/>
  <c r="H47" i="7"/>
  <c r="E46" i="7"/>
  <c r="G46" i="7" s="1"/>
  <c r="C128" i="6"/>
  <c r="E33" i="7"/>
  <c r="G33" i="7" s="1"/>
  <c r="E31" i="7"/>
  <c r="E28" i="7"/>
  <c r="E27" i="7"/>
  <c r="G27" i="7" s="1"/>
  <c r="E24" i="7"/>
  <c r="D23" i="7"/>
  <c r="D90" i="6" s="1"/>
  <c r="E14" i="7"/>
  <c r="G14" i="7" s="1"/>
  <c r="J14" i="7" s="1"/>
  <c r="K43" i="6" s="1"/>
  <c r="E9" i="7"/>
  <c r="G9" i="7" s="1"/>
  <c r="C21" i="7"/>
  <c r="L117" i="6"/>
  <c r="J117" i="6"/>
  <c r="D67" i="6"/>
  <c r="D68" i="6"/>
  <c r="D71" i="6"/>
  <c r="C140" i="6"/>
  <c r="C138" i="6"/>
  <c r="D135" i="6"/>
  <c r="E7" i="6"/>
  <c r="H7" i="6" s="1"/>
  <c r="J7" i="6" s="1"/>
  <c r="D11" i="6"/>
  <c r="C153" i="6"/>
  <c r="D61" i="6"/>
  <c r="D53" i="6"/>
  <c r="E53" i="6" s="1"/>
  <c r="H53" i="6" s="1"/>
  <c r="J53" i="6" s="1"/>
  <c r="D48" i="6"/>
  <c r="E48" i="6" s="1"/>
  <c r="H48" i="6" s="1"/>
  <c r="J48" i="6" s="1"/>
  <c r="D50" i="6"/>
  <c r="E50" i="6" s="1"/>
  <c r="H50" i="6" s="1"/>
  <c r="J50" i="6" s="1"/>
  <c r="E6" i="6"/>
  <c r="H6" i="6" s="1"/>
  <c r="E8" i="6"/>
  <c r="H8" i="6" s="1"/>
  <c r="J8" i="6" s="1"/>
  <c r="E17" i="6"/>
  <c r="H17" i="6" s="1"/>
  <c r="J17" i="6" s="1"/>
  <c r="E19" i="6"/>
  <c r="H19" i="6" s="1"/>
  <c r="J19" i="6" s="1"/>
  <c r="E23" i="6"/>
  <c r="H23" i="6" s="1"/>
  <c r="J23" i="6" s="1"/>
  <c r="E24" i="6"/>
  <c r="H24" i="6" s="1"/>
  <c r="E31" i="6"/>
  <c r="H31" i="6" s="1"/>
  <c r="J31" i="6" s="1"/>
  <c r="E32" i="6"/>
  <c r="H32" i="6" s="1"/>
  <c r="J32" i="6" s="1"/>
  <c r="E36" i="6"/>
  <c r="H36" i="6" s="1"/>
  <c r="J36" i="6" s="1"/>
  <c r="E39" i="6"/>
  <c r="H39" i="6" s="1"/>
  <c r="J39" i="6" s="1"/>
  <c r="E41" i="6"/>
  <c r="H41" i="6" s="1"/>
  <c r="J41" i="6" s="1"/>
  <c r="E47" i="6"/>
  <c r="H47" i="6" s="1"/>
  <c r="J47" i="6" s="1"/>
  <c r="E49" i="6"/>
  <c r="H49" i="6" s="1"/>
  <c r="J49" i="6" s="1"/>
  <c r="E51" i="6"/>
  <c r="H51" i="6" s="1"/>
  <c r="J51" i="6" s="1"/>
  <c r="E52" i="6"/>
  <c r="H52" i="6" s="1"/>
  <c r="J52" i="6" s="1"/>
  <c r="E56" i="6"/>
  <c r="H56" i="6" s="1"/>
  <c r="J56" i="6" s="1"/>
  <c r="E60" i="6"/>
  <c r="H60" i="6" s="1"/>
  <c r="J60" i="6" s="1"/>
  <c r="E62" i="6"/>
  <c r="H62" i="6" s="1"/>
  <c r="J62" i="6" s="1"/>
  <c r="E64" i="6"/>
  <c r="H64" i="6" s="1"/>
  <c r="J64" i="6" s="1"/>
  <c r="E65" i="6"/>
  <c r="H65" i="6" s="1"/>
  <c r="J65" i="6" s="1"/>
  <c r="E66" i="6"/>
  <c r="H66" i="6" s="1"/>
  <c r="E70" i="6"/>
  <c r="H70" i="6" s="1"/>
  <c r="J70" i="6" s="1"/>
  <c r="E73" i="6"/>
  <c r="H73" i="6" s="1"/>
  <c r="J73" i="6" s="1"/>
  <c r="E74" i="6"/>
  <c r="H74" i="6" s="1"/>
  <c r="J74" i="6" s="1"/>
  <c r="E75" i="6"/>
  <c r="H75" i="6" s="1"/>
  <c r="J75" i="6" s="1"/>
  <c r="E76" i="6"/>
  <c r="H76" i="6" s="1"/>
  <c r="J76" i="6" s="1"/>
  <c r="D72" i="6"/>
  <c r="E72" i="6" s="1"/>
  <c r="H72" i="6" s="1"/>
  <c r="J72" i="6" s="1"/>
  <c r="C102" i="6"/>
  <c r="E102" i="6" s="1"/>
  <c r="H102" i="6" s="1"/>
  <c r="D100" i="6"/>
  <c r="C100" i="6"/>
  <c r="F97" i="6"/>
  <c r="F98" i="6"/>
  <c r="F99" i="6"/>
  <c r="C77" i="6"/>
  <c r="E77" i="6" s="1"/>
  <c r="H77" i="6" s="1"/>
  <c r="J77" i="6" s="1"/>
  <c r="C69" i="6"/>
  <c r="E69" i="6" s="1"/>
  <c r="H69" i="6" s="1"/>
  <c r="J69" i="6" s="1"/>
  <c r="D55" i="6"/>
  <c r="E55" i="6" s="1"/>
  <c r="H55" i="6" s="1"/>
  <c r="J55" i="6" s="1"/>
  <c r="D54" i="6"/>
  <c r="E54" i="6" s="1"/>
  <c r="H54" i="6" s="1"/>
  <c r="J54" i="6" s="1"/>
  <c r="F80" i="6"/>
  <c r="F81" i="6"/>
  <c r="F82" i="6"/>
  <c r="E25" i="6"/>
  <c r="H25" i="6" s="1"/>
  <c r="D16" i="6"/>
  <c r="H145" i="6" l="1"/>
  <c r="J46" i="7"/>
  <c r="H131" i="6"/>
  <c r="J41" i="7"/>
  <c r="H112" i="6"/>
  <c r="J33" i="7"/>
  <c r="H42" i="6"/>
  <c r="J13" i="7"/>
  <c r="H106" i="6"/>
  <c r="J27" i="7"/>
  <c r="C129" i="6"/>
  <c r="E40" i="7"/>
  <c r="I92" i="6"/>
  <c r="G28" i="7"/>
  <c r="H35" i="6"/>
  <c r="L35" i="6"/>
  <c r="G8" i="7"/>
  <c r="H34" i="6" s="1"/>
  <c r="H108" i="6"/>
  <c r="J108" i="6"/>
  <c r="I18" i="7"/>
  <c r="J57" i="6" s="1"/>
  <c r="G24" i="7"/>
  <c r="K24" i="7" s="1"/>
  <c r="C155" i="10"/>
  <c r="C180" i="10"/>
  <c r="D149" i="10"/>
  <c r="F149" i="10"/>
  <c r="D44" i="6"/>
  <c r="E42" i="7"/>
  <c r="G42" i="7" s="1"/>
  <c r="H48" i="7"/>
  <c r="H115" i="6"/>
  <c r="K34" i="7"/>
  <c r="L115" i="6" s="1"/>
  <c r="F72" i="6"/>
  <c r="D33" i="6"/>
  <c r="F65" i="6"/>
  <c r="F41" i="6"/>
  <c r="F64" i="6"/>
  <c r="F47" i="6"/>
  <c r="F50" i="6"/>
  <c r="F49" i="6"/>
  <c r="F69" i="6"/>
  <c r="F73" i="6"/>
  <c r="E47" i="7"/>
  <c r="E43" i="6"/>
  <c r="E16" i="7"/>
  <c r="G16" i="7" s="1"/>
  <c r="H45" i="6" s="1"/>
  <c r="D42" i="6"/>
  <c r="E145" i="6"/>
  <c r="F25" i="6"/>
  <c r="F17" i="6"/>
  <c r="F8" i="6"/>
  <c r="F56" i="6"/>
  <c r="F48" i="6"/>
  <c r="F32" i="6"/>
  <c r="F23" i="6"/>
  <c r="F7" i="6"/>
  <c r="F55" i="6"/>
  <c r="F60" i="6"/>
  <c r="F70" i="6"/>
  <c r="F62" i="6"/>
  <c r="F77" i="6"/>
  <c r="F36" i="6"/>
  <c r="F53" i="6"/>
  <c r="F76" i="6"/>
  <c r="F116" i="6"/>
  <c r="F54" i="6"/>
  <c r="F52" i="6"/>
  <c r="F75" i="6"/>
  <c r="F31" i="6"/>
  <c r="F83" i="6"/>
  <c r="F19" i="6"/>
  <c r="F39" i="6"/>
  <c r="F51" i="6"/>
  <c r="F74" i="6"/>
  <c r="F66" i="6"/>
  <c r="F102" i="6"/>
  <c r="G32" i="7"/>
  <c r="E111" i="6"/>
  <c r="E34" i="6"/>
  <c r="E35" i="6"/>
  <c r="E43" i="7"/>
  <c r="C90" i="6"/>
  <c r="C111" i="6"/>
  <c r="E131" i="6"/>
  <c r="E30" i="7"/>
  <c r="E35" i="7" s="1"/>
  <c r="E44" i="6"/>
  <c r="E107" i="6"/>
  <c r="E108" i="6"/>
  <c r="D131" i="6"/>
  <c r="E112" i="6"/>
  <c r="E59" i="6"/>
  <c r="C91" i="6"/>
  <c r="E91" i="6"/>
  <c r="E106" i="6"/>
  <c r="E42" i="6"/>
  <c r="D43" i="6"/>
  <c r="C108" i="6"/>
  <c r="E58" i="6"/>
  <c r="G31" i="7"/>
  <c r="J31" i="7" s="1"/>
  <c r="E110" i="6"/>
  <c r="E33" i="6"/>
  <c r="G7" i="7"/>
  <c r="E115" i="6"/>
  <c r="H43" i="6"/>
  <c r="H57" i="6"/>
  <c r="J116" i="6"/>
  <c r="L116" i="6"/>
  <c r="E15" i="6"/>
  <c r="J97" i="6"/>
  <c r="E100" i="6"/>
  <c r="J24" i="6"/>
  <c r="J81" i="6"/>
  <c r="E16" i="6"/>
  <c r="L102" i="6"/>
  <c r="L99" i="6"/>
  <c r="J98" i="6"/>
  <c r="H38" i="6"/>
  <c r="E38" i="6"/>
  <c r="I34" i="7"/>
  <c r="J115" i="6" s="1"/>
  <c r="E12" i="7"/>
  <c r="K18" i="7"/>
  <c r="L57" i="6" s="1"/>
  <c r="E39" i="7"/>
  <c r="J6" i="6"/>
  <c r="L98" i="6"/>
  <c r="E14" i="6"/>
  <c r="J66" i="6"/>
  <c r="L97" i="6"/>
  <c r="L83" i="6"/>
  <c r="E13" i="6"/>
  <c r="E22" i="6"/>
  <c r="J80" i="6"/>
  <c r="J83" i="6"/>
  <c r="J82" i="6"/>
  <c r="J99" i="6"/>
  <c r="K19" i="7"/>
  <c r="L58" i="6" s="1"/>
  <c r="I19" i="7"/>
  <c r="J58" i="6" s="1"/>
  <c r="K20" i="7"/>
  <c r="L59" i="6" s="1"/>
  <c r="I20" i="7"/>
  <c r="J59" i="6" s="1"/>
  <c r="E23" i="7"/>
  <c r="G23" i="7" s="1"/>
  <c r="I9" i="7"/>
  <c r="J35" i="6" s="1"/>
  <c r="L38" i="6"/>
  <c r="I11" i="7"/>
  <c r="J38" i="6" s="1"/>
  <c r="J42" i="6"/>
  <c r="K14" i="7"/>
  <c r="L43" i="6" s="1"/>
  <c r="K15" i="7"/>
  <c r="L44" i="6" s="1"/>
  <c r="I15" i="7"/>
  <c r="J44" i="6" s="1"/>
  <c r="L108" i="6"/>
  <c r="J112" i="6"/>
  <c r="J131" i="6"/>
  <c r="J145" i="6"/>
  <c r="L25" i="6"/>
  <c r="K7" i="6"/>
  <c r="L7" i="6"/>
  <c r="K46" i="7" l="1"/>
  <c r="L145" i="6" s="1"/>
  <c r="J47" i="7"/>
  <c r="K145" i="6"/>
  <c r="H132" i="6"/>
  <c r="J42" i="7"/>
  <c r="K41" i="7"/>
  <c r="L131" i="6" s="1"/>
  <c r="K131" i="6"/>
  <c r="K33" i="7"/>
  <c r="L112" i="6" s="1"/>
  <c r="K112" i="6"/>
  <c r="K31" i="7"/>
  <c r="L110" i="6" s="1"/>
  <c r="K110" i="6"/>
  <c r="L42" i="6"/>
  <c r="K42" i="6"/>
  <c r="H111" i="6"/>
  <c r="J32" i="7"/>
  <c r="K27" i="7"/>
  <c r="L106" i="6" s="1"/>
  <c r="K106" i="6"/>
  <c r="H107" i="6"/>
  <c r="E25" i="7"/>
  <c r="D25" i="7" s="1"/>
  <c r="I28" i="7"/>
  <c r="J107" i="6" s="1"/>
  <c r="E21" i="7"/>
  <c r="D21" i="7" s="1"/>
  <c r="L107" i="6"/>
  <c r="I24" i="7"/>
  <c r="I25" i="7" s="1"/>
  <c r="I8" i="7"/>
  <c r="J34" i="6" s="1"/>
  <c r="K8" i="7"/>
  <c r="L34" i="6" s="1"/>
  <c r="C36" i="7"/>
  <c r="C52" i="7" s="1"/>
  <c r="H91" i="6"/>
  <c r="G25" i="7"/>
  <c r="L91" i="6"/>
  <c r="K25" i="7"/>
  <c r="L33" i="6"/>
  <c r="J33" i="6"/>
  <c r="K33" i="6"/>
  <c r="J132" i="6"/>
  <c r="E132" i="6"/>
  <c r="H110" i="6"/>
  <c r="J110" i="6"/>
  <c r="E45" i="6"/>
  <c r="K16" i="7"/>
  <c r="L45" i="6" s="1"/>
  <c r="J16" i="7"/>
  <c r="K45" i="6" s="1"/>
  <c r="J111" i="6"/>
  <c r="H14" i="6"/>
  <c r="J14" i="6" s="1"/>
  <c r="F14" i="6"/>
  <c r="H100" i="6"/>
  <c r="F100" i="6"/>
  <c r="H22" i="6"/>
  <c r="J22" i="6" s="1"/>
  <c r="F22" i="6"/>
  <c r="H16" i="6"/>
  <c r="J16" i="6" s="1"/>
  <c r="F16" i="6"/>
  <c r="H13" i="6"/>
  <c r="J13" i="6" s="1"/>
  <c r="F13" i="6"/>
  <c r="H15" i="6"/>
  <c r="J15" i="6" s="1"/>
  <c r="F15" i="6"/>
  <c r="E90" i="6"/>
  <c r="G43" i="7"/>
  <c r="J43" i="7" s="1"/>
  <c r="E133" i="6"/>
  <c r="G39" i="7"/>
  <c r="J39" i="7" s="1"/>
  <c r="E128" i="6"/>
  <c r="G30" i="7"/>
  <c r="E109" i="6"/>
  <c r="G12" i="7"/>
  <c r="E40" i="6"/>
  <c r="H33" i="6"/>
  <c r="G40" i="7"/>
  <c r="J40" i="7" s="1"/>
  <c r="K129" i="6" s="1"/>
  <c r="E129" i="6"/>
  <c r="E44" i="7"/>
  <c r="E48" i="7" s="1"/>
  <c r="C61" i="7"/>
  <c r="D35" i="7"/>
  <c r="J106" i="6"/>
  <c r="L24" i="6"/>
  <c r="J102" i="6"/>
  <c r="G5" i="7"/>
  <c r="J25" i="6"/>
  <c r="C66" i="7"/>
  <c r="G47" i="7"/>
  <c r="I47" i="7"/>
  <c r="D47" i="7"/>
  <c r="K47" i="7" l="1"/>
  <c r="K43" i="7"/>
  <c r="K133" i="6"/>
  <c r="K42" i="7"/>
  <c r="L132" i="6" s="1"/>
  <c r="K132" i="6"/>
  <c r="K39" i="7"/>
  <c r="K128" i="6"/>
  <c r="G35" i="7"/>
  <c r="J35" i="7"/>
  <c r="K5" i="6"/>
  <c r="K5" i="7"/>
  <c r="L5" i="6" s="1"/>
  <c r="K40" i="7"/>
  <c r="L129" i="6" s="1"/>
  <c r="J44" i="7"/>
  <c r="J48" i="7" s="1"/>
  <c r="K32" i="7"/>
  <c r="L111" i="6" s="1"/>
  <c r="K111" i="6"/>
  <c r="G21" i="7"/>
  <c r="J12" i="7"/>
  <c r="H40" i="6"/>
  <c r="J91" i="6"/>
  <c r="L100" i="6"/>
  <c r="H128" i="6"/>
  <c r="L128" i="6"/>
  <c r="J100" i="6"/>
  <c r="E36" i="7"/>
  <c r="H129" i="6"/>
  <c r="L16" i="6"/>
  <c r="H90" i="6"/>
  <c r="G44" i="7"/>
  <c r="H109" i="6"/>
  <c r="I35" i="7"/>
  <c r="H133" i="6"/>
  <c r="L133" i="6"/>
  <c r="J133" i="6"/>
  <c r="D44" i="7"/>
  <c r="J128" i="6"/>
  <c r="J142" i="6" s="1"/>
  <c r="F47" i="7"/>
  <c r="K30" i="7" l="1"/>
  <c r="K35" i="7" s="1"/>
  <c r="K109" i="6"/>
  <c r="K12" i="7"/>
  <c r="K21" i="7" s="1"/>
  <c r="K40" i="6"/>
  <c r="J21" i="7"/>
  <c r="J36" i="7" s="1"/>
  <c r="J49" i="7" s="1"/>
  <c r="G48" i="7"/>
  <c r="C65" i="7" s="1"/>
  <c r="D36" i="7"/>
  <c r="C54" i="7"/>
  <c r="C53" i="7" s="1"/>
  <c r="F35" i="7"/>
  <c r="D4" i="11"/>
  <c r="E4" i="11" s="1"/>
  <c r="F4" i="11" s="1"/>
  <c r="F25" i="7"/>
  <c r="B5" i="11"/>
  <c r="D5" i="11" s="1"/>
  <c r="E5" i="11" s="1"/>
  <c r="F5" i="11" s="1"/>
  <c r="F21" i="7"/>
  <c r="I48" i="7"/>
  <c r="F44" i="7"/>
  <c r="E49" i="7"/>
  <c r="J109" i="6"/>
  <c r="G36" i="7"/>
  <c r="F36" i="7" s="1"/>
  <c r="J90" i="6"/>
  <c r="L90" i="6"/>
  <c r="K44" i="7"/>
  <c r="K48" i="7" s="1"/>
  <c r="D48" i="7"/>
  <c r="C63" i="7"/>
  <c r="C62" i="7" s="1"/>
  <c r="L109" i="6" l="1"/>
  <c r="L40" i="6"/>
  <c r="F48" i="7"/>
  <c r="G49" i="7"/>
  <c r="D72" i="7" s="1"/>
  <c r="C71" i="7"/>
  <c r="D49" i="7"/>
  <c r="D3" i="11"/>
  <c r="E3" i="11" s="1"/>
  <c r="F3" i="11" s="1"/>
  <c r="F6" i="11" s="1"/>
  <c r="B6" i="11"/>
  <c r="K36" i="7"/>
  <c r="K49" i="7" s="1"/>
  <c r="C56" i="7"/>
  <c r="C67" i="7"/>
  <c r="C64" i="7"/>
  <c r="F49" i="7" l="1"/>
  <c r="C55" i="7"/>
  <c r="C154" i="6"/>
  <c r="C155" i="6" s="1"/>
  <c r="C177" i="6" s="1"/>
  <c r="E135" i="6"/>
  <c r="E140" i="6"/>
  <c r="E138" i="6"/>
  <c r="K72" i="6"/>
  <c r="L53" i="6"/>
  <c r="K48" i="6"/>
  <c r="E9" i="6"/>
  <c r="F9" i="6" s="1"/>
  <c r="L77" i="6"/>
  <c r="L69" i="6"/>
  <c r="I154" i="6"/>
  <c r="I155" i="6" s="1"/>
  <c r="C182" i="6" s="1"/>
  <c r="G154" i="6"/>
  <c r="G155" i="6" s="1"/>
  <c r="C180" i="6" s="1"/>
  <c r="D154" i="6"/>
  <c r="D155" i="6" s="1"/>
  <c r="C178" i="6" s="1"/>
  <c r="K149" i="6"/>
  <c r="C148" i="6"/>
  <c r="E148" i="6" s="1"/>
  <c r="D147" i="6"/>
  <c r="C147" i="6"/>
  <c r="C146" i="6"/>
  <c r="E146" i="6" s="1"/>
  <c r="I149" i="6"/>
  <c r="D144" i="6"/>
  <c r="C144" i="6"/>
  <c r="E141" i="6"/>
  <c r="D139" i="6"/>
  <c r="C139" i="6"/>
  <c r="E137" i="6"/>
  <c r="E136" i="6"/>
  <c r="E134" i="6"/>
  <c r="E130" i="6"/>
  <c r="E127" i="6"/>
  <c r="D126" i="6"/>
  <c r="C126" i="6"/>
  <c r="C150" i="6" s="1"/>
  <c r="E124" i="6"/>
  <c r="C119" i="6"/>
  <c r="E119" i="6" s="1"/>
  <c r="C118" i="6"/>
  <c r="E118" i="6" s="1"/>
  <c r="E114" i="6"/>
  <c r="C113" i="6"/>
  <c r="E113" i="6" s="1"/>
  <c r="C105" i="6"/>
  <c r="E105" i="6" s="1"/>
  <c r="D104" i="6"/>
  <c r="C104" i="6"/>
  <c r="D103" i="6"/>
  <c r="C103" i="6"/>
  <c r="D101" i="6"/>
  <c r="C101" i="6"/>
  <c r="C96" i="6"/>
  <c r="E96" i="6" s="1"/>
  <c r="C95" i="6"/>
  <c r="E95" i="6" s="1"/>
  <c r="C94" i="6"/>
  <c r="E94" i="6" s="1"/>
  <c r="F94" i="6" s="1"/>
  <c r="E89" i="6"/>
  <c r="C88" i="6"/>
  <c r="E88" i="6" s="1"/>
  <c r="C87" i="6"/>
  <c r="E87" i="6" s="1"/>
  <c r="C86" i="6"/>
  <c r="E86" i="6" s="1"/>
  <c r="E85" i="6"/>
  <c r="E84" i="6"/>
  <c r="K76" i="6"/>
  <c r="L74" i="6"/>
  <c r="K73" i="6"/>
  <c r="K70" i="6"/>
  <c r="L64" i="6"/>
  <c r="C63" i="6"/>
  <c r="K60" i="6"/>
  <c r="K56" i="6"/>
  <c r="K52" i="6"/>
  <c r="K51" i="6"/>
  <c r="K47" i="6"/>
  <c r="L41" i="6"/>
  <c r="K39" i="6"/>
  <c r="K36" i="6"/>
  <c r="L32" i="6"/>
  <c r="K31" i="6"/>
  <c r="D28" i="6"/>
  <c r="D26" i="6"/>
  <c r="K19" i="6"/>
  <c r="D18" i="6"/>
  <c r="L8" i="6"/>
  <c r="H133" i="4"/>
  <c r="H121" i="4"/>
  <c r="G39" i="3"/>
  <c r="G27" i="3"/>
  <c r="H117" i="3"/>
  <c r="J131" i="4"/>
  <c r="I131" i="4"/>
  <c r="H131" i="4"/>
  <c r="G131" i="4"/>
  <c r="E131" i="4"/>
  <c r="D117" i="3"/>
  <c r="C131" i="4"/>
  <c r="D129" i="4"/>
  <c r="E129" i="4" s="1"/>
  <c r="G129" i="4" s="1"/>
  <c r="J129" i="4" s="1"/>
  <c r="D121" i="4"/>
  <c r="C130" i="4"/>
  <c r="C129" i="4"/>
  <c r="C128" i="4"/>
  <c r="E128" i="4" s="1"/>
  <c r="G128" i="4" s="1"/>
  <c r="J128" i="4" s="1"/>
  <c r="C122" i="4"/>
  <c r="E122" i="4" s="1"/>
  <c r="G122" i="4" s="1"/>
  <c r="C121" i="4"/>
  <c r="C120" i="4"/>
  <c r="C103" i="4"/>
  <c r="C69" i="4"/>
  <c r="H130" i="4"/>
  <c r="E130" i="4"/>
  <c r="G130" i="4" s="1"/>
  <c r="J130" i="4" s="1"/>
  <c r="H129" i="4"/>
  <c r="H128" i="4"/>
  <c r="D126" i="4"/>
  <c r="C126" i="4"/>
  <c r="D108" i="4"/>
  <c r="C108" i="4"/>
  <c r="D24" i="3"/>
  <c r="D88" i="4"/>
  <c r="D26" i="3"/>
  <c r="D26" i="4"/>
  <c r="D24" i="4"/>
  <c r="E24" i="4" s="1"/>
  <c r="G24" i="4" s="1"/>
  <c r="J24" i="4" s="1"/>
  <c r="D18" i="4"/>
  <c r="D90" i="4"/>
  <c r="D89" i="4"/>
  <c r="C91" i="4"/>
  <c r="E91" i="4" s="1"/>
  <c r="G91" i="4" s="1"/>
  <c r="J91" i="4" s="1"/>
  <c r="C90" i="4"/>
  <c r="E90" i="4" s="1"/>
  <c r="G90" i="4" s="1"/>
  <c r="I90" i="4" s="1"/>
  <c r="C89" i="4"/>
  <c r="C88" i="4"/>
  <c r="C27" i="4"/>
  <c r="C26" i="4"/>
  <c r="C24" i="4"/>
  <c r="C18" i="4"/>
  <c r="H126" i="4"/>
  <c r="H91" i="4"/>
  <c r="H89" i="4"/>
  <c r="H88" i="4"/>
  <c r="E92" i="4"/>
  <c r="G92" i="4" s="1"/>
  <c r="H92" i="4"/>
  <c r="C132" i="4"/>
  <c r="C145" i="4" s="1"/>
  <c r="E127" i="4"/>
  <c r="G127" i="4" s="1"/>
  <c r="E123" i="4"/>
  <c r="G123" i="4" s="1"/>
  <c r="I123" i="4" s="1"/>
  <c r="H122" i="4"/>
  <c r="H120" i="4"/>
  <c r="E120" i="4"/>
  <c r="G120" i="4" s="1"/>
  <c r="H119" i="4"/>
  <c r="E119" i="4"/>
  <c r="G119" i="4" s="1"/>
  <c r="E118" i="4"/>
  <c r="G118" i="4" s="1"/>
  <c r="I118" i="4" s="1"/>
  <c r="D117" i="4"/>
  <c r="E117" i="4" s="1"/>
  <c r="G117" i="4" s="1"/>
  <c r="I117" i="4" s="1"/>
  <c r="E116" i="4"/>
  <c r="G116" i="4" s="1"/>
  <c r="I116" i="4" s="1"/>
  <c r="H115" i="4"/>
  <c r="D115" i="4"/>
  <c r="E115" i="4" s="1"/>
  <c r="G115" i="4" s="1"/>
  <c r="H114" i="4"/>
  <c r="D114" i="4"/>
  <c r="E114" i="4" s="1"/>
  <c r="G114" i="4" s="1"/>
  <c r="H113" i="4"/>
  <c r="D113" i="4"/>
  <c r="E113" i="4" s="1"/>
  <c r="G113" i="4" s="1"/>
  <c r="J113" i="4" s="1"/>
  <c r="H112" i="4"/>
  <c r="E112" i="4"/>
  <c r="G112" i="4" s="1"/>
  <c r="H111" i="4"/>
  <c r="C111" i="4"/>
  <c r="E111" i="4" s="1"/>
  <c r="G111" i="4" s="1"/>
  <c r="H110" i="4"/>
  <c r="D110" i="4"/>
  <c r="E110" i="4" s="1"/>
  <c r="G110" i="4" s="1"/>
  <c r="H109" i="4"/>
  <c r="E109" i="4"/>
  <c r="G109" i="4" s="1"/>
  <c r="H108" i="4"/>
  <c r="E108" i="4"/>
  <c r="G108" i="4" s="1"/>
  <c r="E107" i="4"/>
  <c r="G107" i="4" s="1"/>
  <c r="I107" i="4" s="1"/>
  <c r="C102" i="4"/>
  <c r="E102" i="4" s="1"/>
  <c r="G102" i="4" s="1"/>
  <c r="I102" i="4" s="1"/>
  <c r="C101" i="4"/>
  <c r="E101" i="4" s="1"/>
  <c r="G101" i="4" s="1"/>
  <c r="I101" i="4" s="1"/>
  <c r="E100" i="4"/>
  <c r="G100" i="4" s="1"/>
  <c r="I100" i="4" s="1"/>
  <c r="C99" i="4"/>
  <c r="E99" i="4" s="1"/>
  <c r="G99" i="4" s="1"/>
  <c r="I99" i="4" s="1"/>
  <c r="E98" i="4"/>
  <c r="G98" i="4" s="1"/>
  <c r="J98" i="4" s="1"/>
  <c r="H97" i="4"/>
  <c r="C97" i="4"/>
  <c r="E97" i="4" s="1"/>
  <c r="G97" i="4" s="1"/>
  <c r="E96" i="4"/>
  <c r="G96" i="4" s="1"/>
  <c r="J96" i="4" s="1"/>
  <c r="H95" i="4"/>
  <c r="C95" i="4"/>
  <c r="E95" i="4" s="1"/>
  <c r="G95" i="4" s="1"/>
  <c r="C94" i="4"/>
  <c r="E94" i="4" s="1"/>
  <c r="G94" i="4" s="1"/>
  <c r="I94" i="4" s="1"/>
  <c r="H93" i="4"/>
  <c r="C93" i="4"/>
  <c r="E93" i="4" s="1"/>
  <c r="G93" i="4" s="1"/>
  <c r="J93" i="4" s="1"/>
  <c r="D87" i="4"/>
  <c r="C87" i="4"/>
  <c r="D86" i="4"/>
  <c r="C86" i="4"/>
  <c r="D85" i="4"/>
  <c r="C85" i="4"/>
  <c r="C84" i="4"/>
  <c r="E84" i="4" s="1"/>
  <c r="C82" i="4"/>
  <c r="C81" i="4"/>
  <c r="E81" i="4" s="1"/>
  <c r="G81" i="4" s="1"/>
  <c r="I81" i="4" s="1"/>
  <c r="C80" i="4"/>
  <c r="E80" i="4" s="1"/>
  <c r="G80" i="4" s="1"/>
  <c r="I80" i="4" s="1"/>
  <c r="E79" i="4"/>
  <c r="G79" i="4" s="1"/>
  <c r="I79" i="4" s="1"/>
  <c r="H78" i="4"/>
  <c r="C78" i="4"/>
  <c r="E78" i="4" s="1"/>
  <c r="G78" i="4" s="1"/>
  <c r="H77" i="4"/>
  <c r="C77" i="4"/>
  <c r="E77" i="4" s="1"/>
  <c r="G77" i="4" s="1"/>
  <c r="C76" i="4"/>
  <c r="E76" i="4" s="1"/>
  <c r="G76" i="4" s="1"/>
  <c r="I76" i="4" s="1"/>
  <c r="E75" i="4"/>
  <c r="G75" i="4" s="1"/>
  <c r="I75" i="4" s="1"/>
  <c r="E74" i="4"/>
  <c r="G74" i="4" s="1"/>
  <c r="I74" i="4" s="1"/>
  <c r="H73" i="4"/>
  <c r="E73" i="4"/>
  <c r="G73" i="4" s="1"/>
  <c r="H72" i="4"/>
  <c r="E72" i="4"/>
  <c r="G72" i="4" s="1"/>
  <c r="H71" i="4"/>
  <c r="E71" i="4"/>
  <c r="G71" i="4" s="1"/>
  <c r="C68" i="4"/>
  <c r="E68" i="4" s="1"/>
  <c r="G68" i="4" s="1"/>
  <c r="I68" i="4" s="1"/>
  <c r="E67" i="4"/>
  <c r="G67" i="4" s="1"/>
  <c r="I67" i="4" s="1"/>
  <c r="E66" i="4"/>
  <c r="G66" i="4" s="1"/>
  <c r="I66" i="4" s="1"/>
  <c r="E65" i="4"/>
  <c r="G65" i="4" s="1"/>
  <c r="I65" i="4" s="1"/>
  <c r="H64" i="4"/>
  <c r="E64" i="4"/>
  <c r="G64" i="4" s="1"/>
  <c r="H63" i="4"/>
  <c r="D63" i="4"/>
  <c r="E63" i="4" s="1"/>
  <c r="G63" i="4" s="1"/>
  <c r="D62" i="4"/>
  <c r="E62" i="4" s="1"/>
  <c r="G62" i="4" s="1"/>
  <c r="I62" i="4" s="1"/>
  <c r="H61" i="4"/>
  <c r="C61" i="4"/>
  <c r="E61" i="4" s="1"/>
  <c r="G61" i="4" s="1"/>
  <c r="E60" i="4"/>
  <c r="G60" i="4" s="1"/>
  <c r="I60" i="4" s="1"/>
  <c r="D59" i="4"/>
  <c r="E59" i="4" s="1"/>
  <c r="G59" i="4" s="1"/>
  <c r="I59" i="4" s="1"/>
  <c r="H58" i="4"/>
  <c r="D58" i="4"/>
  <c r="E58" i="4" s="1"/>
  <c r="G58" i="4" s="1"/>
  <c r="E57" i="4"/>
  <c r="G57" i="4" s="1"/>
  <c r="I57" i="4" s="1"/>
  <c r="E56" i="4"/>
  <c r="G56" i="4" s="1"/>
  <c r="I56" i="4" s="1"/>
  <c r="C55" i="4"/>
  <c r="E55" i="4" s="1"/>
  <c r="G55" i="4" s="1"/>
  <c r="I55" i="4" s="1"/>
  <c r="E54" i="4"/>
  <c r="G54" i="4" s="1"/>
  <c r="I54" i="4" s="1"/>
  <c r="H53" i="4"/>
  <c r="D53" i="4"/>
  <c r="E53" i="4" s="1"/>
  <c r="G53" i="4" s="1"/>
  <c r="E52" i="4"/>
  <c r="G52" i="4" s="1"/>
  <c r="I52" i="4" s="1"/>
  <c r="H51" i="4"/>
  <c r="E51" i="4"/>
  <c r="G51" i="4" s="1"/>
  <c r="E50" i="4"/>
  <c r="G50" i="4" s="1"/>
  <c r="I50" i="4" s="1"/>
  <c r="D49" i="4"/>
  <c r="E49" i="4" s="1"/>
  <c r="G49" i="4" s="1"/>
  <c r="I49" i="4" s="1"/>
  <c r="D48" i="4"/>
  <c r="E48" i="4" s="1"/>
  <c r="G48" i="4" s="1"/>
  <c r="I48" i="4" s="1"/>
  <c r="D47" i="4"/>
  <c r="E47" i="4" s="1"/>
  <c r="G47" i="4" s="1"/>
  <c r="I47" i="4" s="1"/>
  <c r="H46" i="4"/>
  <c r="E46" i="4"/>
  <c r="G46" i="4" s="1"/>
  <c r="E45" i="4"/>
  <c r="G45" i="4" s="1"/>
  <c r="I45" i="4" s="1"/>
  <c r="H44" i="4"/>
  <c r="D44" i="4"/>
  <c r="E44" i="4" s="1"/>
  <c r="G44" i="4" s="1"/>
  <c r="E43" i="4"/>
  <c r="G43" i="4" s="1"/>
  <c r="I43" i="4" s="1"/>
  <c r="D42" i="4"/>
  <c r="E42" i="4" s="1"/>
  <c r="G42" i="4" s="1"/>
  <c r="I42" i="4" s="1"/>
  <c r="E41" i="4"/>
  <c r="G41" i="4" s="1"/>
  <c r="I41" i="4" s="1"/>
  <c r="H40" i="4"/>
  <c r="D40" i="4"/>
  <c r="E40" i="4" s="1"/>
  <c r="G40" i="4" s="1"/>
  <c r="D39" i="4"/>
  <c r="E39" i="4" s="1"/>
  <c r="G39" i="4" s="1"/>
  <c r="I39" i="4" s="1"/>
  <c r="H38" i="4"/>
  <c r="D38" i="4"/>
  <c r="E38" i="4" s="1"/>
  <c r="G38" i="4" s="1"/>
  <c r="J38" i="4" s="1"/>
  <c r="H37" i="4"/>
  <c r="E37" i="4"/>
  <c r="G37" i="4" s="1"/>
  <c r="D36" i="4"/>
  <c r="E36" i="4" s="1"/>
  <c r="G36" i="4" s="1"/>
  <c r="I36" i="4" s="1"/>
  <c r="E35" i="4"/>
  <c r="G35" i="4" s="1"/>
  <c r="I35" i="4" s="1"/>
  <c r="E34" i="4"/>
  <c r="G34" i="4" s="1"/>
  <c r="I34" i="4" s="1"/>
  <c r="E33" i="4"/>
  <c r="G33" i="4" s="1"/>
  <c r="I33" i="4" s="1"/>
  <c r="H32" i="4"/>
  <c r="E32" i="4"/>
  <c r="G32" i="4" s="1"/>
  <c r="H31" i="4"/>
  <c r="D31" i="4"/>
  <c r="E31" i="4" s="1"/>
  <c r="G31" i="4" s="1"/>
  <c r="H30" i="4"/>
  <c r="D30" i="4"/>
  <c r="E30" i="4" s="1"/>
  <c r="G30" i="4" s="1"/>
  <c r="E29" i="4"/>
  <c r="G29" i="4" s="1"/>
  <c r="I29" i="4" s="1"/>
  <c r="E28" i="4"/>
  <c r="G28" i="4" s="1"/>
  <c r="I28" i="4" s="1"/>
  <c r="H27" i="4"/>
  <c r="E27" i="4"/>
  <c r="G27" i="4" s="1"/>
  <c r="J27" i="4" s="1"/>
  <c r="E26" i="4"/>
  <c r="G26" i="4" s="1"/>
  <c r="I26" i="4" s="1"/>
  <c r="C25" i="4"/>
  <c r="E25" i="4" s="1"/>
  <c r="G25" i="4" s="1"/>
  <c r="H24" i="4"/>
  <c r="H23" i="4"/>
  <c r="E23" i="4"/>
  <c r="G23" i="4" s="1"/>
  <c r="H22" i="4"/>
  <c r="E22" i="4"/>
  <c r="G22" i="4" s="1"/>
  <c r="D21" i="4"/>
  <c r="E21" i="4" s="1"/>
  <c r="G21" i="4" s="1"/>
  <c r="I21" i="4" s="1"/>
  <c r="D20" i="4"/>
  <c r="E20" i="4" s="1"/>
  <c r="G20" i="4" s="1"/>
  <c r="I20" i="4" s="1"/>
  <c r="E19" i="4"/>
  <c r="G19" i="4" s="1"/>
  <c r="I19" i="4" s="1"/>
  <c r="H18" i="4"/>
  <c r="H17" i="4"/>
  <c r="E17" i="4"/>
  <c r="G17" i="4" s="1"/>
  <c r="H16" i="4"/>
  <c r="D16" i="4"/>
  <c r="C16" i="4"/>
  <c r="H15" i="4"/>
  <c r="D15" i="4"/>
  <c r="C15" i="4"/>
  <c r="H14" i="4"/>
  <c r="D14" i="4"/>
  <c r="C14" i="4"/>
  <c r="H13" i="4"/>
  <c r="E13" i="4"/>
  <c r="G13" i="4" s="1"/>
  <c r="H12" i="4"/>
  <c r="C12" i="4"/>
  <c r="E12" i="4" s="1"/>
  <c r="G12" i="4" s="1"/>
  <c r="D11" i="4"/>
  <c r="E11" i="4" s="1"/>
  <c r="G11" i="4" s="1"/>
  <c r="I11" i="4" s="1"/>
  <c r="H10" i="4"/>
  <c r="C10" i="4"/>
  <c r="E10" i="4" s="1"/>
  <c r="G10" i="4" s="1"/>
  <c r="D9" i="4"/>
  <c r="E9" i="4" s="1"/>
  <c r="G9" i="4" s="1"/>
  <c r="I9" i="4" s="1"/>
  <c r="C8" i="4"/>
  <c r="E8" i="4" s="1"/>
  <c r="G8" i="4" s="1"/>
  <c r="I8" i="4" s="1"/>
  <c r="E7" i="4"/>
  <c r="G7" i="4" s="1"/>
  <c r="I7" i="4" s="1"/>
  <c r="H6" i="4"/>
  <c r="C6" i="4"/>
  <c r="E6" i="4" s="1"/>
  <c r="G6" i="4" s="1"/>
  <c r="H5" i="4"/>
  <c r="E5" i="4"/>
  <c r="C125" i="3"/>
  <c r="I124" i="3"/>
  <c r="C124" i="3"/>
  <c r="F123" i="3"/>
  <c r="D123" i="3"/>
  <c r="J123" i="3"/>
  <c r="I123" i="3"/>
  <c r="G123" i="3"/>
  <c r="E123" i="3"/>
  <c r="C123" i="3"/>
  <c r="H120" i="3"/>
  <c r="H124" i="3" s="1"/>
  <c r="I120" i="3"/>
  <c r="D104" i="3"/>
  <c r="E122" i="3"/>
  <c r="G122" i="3" s="1"/>
  <c r="I122" i="3" s="1"/>
  <c r="C81" i="3"/>
  <c r="C69" i="3"/>
  <c r="I150" i="6" l="1"/>
  <c r="H88" i="6"/>
  <c r="J88" i="6" s="1"/>
  <c r="F88" i="6"/>
  <c r="H140" i="6"/>
  <c r="F140" i="6"/>
  <c r="H89" i="6"/>
  <c r="J89" i="6" s="1"/>
  <c r="F89" i="6"/>
  <c r="H124" i="6"/>
  <c r="F124" i="6"/>
  <c r="H135" i="6"/>
  <c r="F135" i="6"/>
  <c r="H119" i="6"/>
  <c r="L119" i="6" s="1"/>
  <c r="F119" i="6"/>
  <c r="H148" i="6"/>
  <c r="L148" i="6" s="1"/>
  <c r="F148" i="6"/>
  <c r="H146" i="6"/>
  <c r="J146" i="6" s="1"/>
  <c r="F146" i="6"/>
  <c r="H95" i="6"/>
  <c r="L95" i="6" s="1"/>
  <c r="F95" i="6"/>
  <c r="H127" i="6"/>
  <c r="F127" i="6"/>
  <c r="H85" i="6"/>
  <c r="J85" i="6" s="1"/>
  <c r="F85" i="6"/>
  <c r="H96" i="6"/>
  <c r="L96" i="6" s="1"/>
  <c r="F96" i="6"/>
  <c r="H113" i="6"/>
  <c r="L113" i="6" s="1"/>
  <c r="F113" i="6"/>
  <c r="H130" i="6"/>
  <c r="F130" i="6"/>
  <c r="H137" i="6"/>
  <c r="F137" i="6"/>
  <c r="H86" i="6"/>
  <c r="J86" i="6" s="1"/>
  <c r="F86" i="6"/>
  <c r="H114" i="6"/>
  <c r="J114" i="6" s="1"/>
  <c r="F114" i="6"/>
  <c r="H134" i="6"/>
  <c r="F134" i="6"/>
  <c r="H84" i="6"/>
  <c r="J84" i="6" s="1"/>
  <c r="F84" i="6"/>
  <c r="H105" i="6"/>
  <c r="J105" i="6" s="1"/>
  <c r="F105" i="6"/>
  <c r="H141" i="6"/>
  <c r="F141" i="6"/>
  <c r="H87" i="6"/>
  <c r="J87" i="6" s="1"/>
  <c r="F87" i="6"/>
  <c r="H118" i="6"/>
  <c r="J118" i="6" s="1"/>
  <c r="F118" i="6"/>
  <c r="H136" i="6"/>
  <c r="K136" i="6" s="1"/>
  <c r="F136" i="6"/>
  <c r="H138" i="6"/>
  <c r="K138" i="6" s="1"/>
  <c r="F138" i="6"/>
  <c r="E26" i="6"/>
  <c r="E18" i="6"/>
  <c r="C168" i="6"/>
  <c r="E27" i="6"/>
  <c r="H9" i="6"/>
  <c r="E67" i="6"/>
  <c r="E10" i="6"/>
  <c r="E28" i="6"/>
  <c r="E11" i="6"/>
  <c r="E68" i="6"/>
  <c r="E71" i="6"/>
  <c r="E29" i="6"/>
  <c r="E63" i="6"/>
  <c r="E21" i="6"/>
  <c r="E12" i="6"/>
  <c r="E20" i="6"/>
  <c r="E61" i="6"/>
  <c r="F61" i="6" s="1"/>
  <c r="E104" i="6"/>
  <c r="E139" i="6"/>
  <c r="E101" i="6"/>
  <c r="L73" i="6"/>
  <c r="K49" i="6"/>
  <c r="L17" i="6"/>
  <c r="K17" i="6"/>
  <c r="K23" i="6"/>
  <c r="K55" i="6"/>
  <c r="K41" i="6"/>
  <c r="E147" i="6"/>
  <c r="K77" i="6"/>
  <c r="K69" i="6"/>
  <c r="K50" i="6"/>
  <c r="K8" i="6"/>
  <c r="K75" i="6"/>
  <c r="K74" i="6"/>
  <c r="K65" i="6"/>
  <c r="E103" i="6"/>
  <c r="K64" i="6"/>
  <c r="K32" i="6"/>
  <c r="K53" i="6"/>
  <c r="K62" i="6"/>
  <c r="L55" i="6"/>
  <c r="L60" i="6"/>
  <c r="L76" i="6"/>
  <c r="E126" i="6"/>
  <c r="L49" i="6"/>
  <c r="E144" i="6"/>
  <c r="F144" i="6" s="1"/>
  <c r="E153" i="6"/>
  <c r="L65" i="6"/>
  <c r="L48" i="6"/>
  <c r="L19" i="6"/>
  <c r="L62" i="6"/>
  <c r="L23" i="6"/>
  <c r="L52" i="6"/>
  <c r="L72" i="6"/>
  <c r="L75" i="6"/>
  <c r="H94" i="6"/>
  <c r="L39" i="6"/>
  <c r="L51" i="6"/>
  <c r="J148" i="6"/>
  <c r="L36" i="6"/>
  <c r="L31" i="6"/>
  <c r="L70" i="6"/>
  <c r="L47" i="6"/>
  <c r="L50" i="6"/>
  <c r="L56" i="6"/>
  <c r="I120" i="6"/>
  <c r="E121" i="4"/>
  <c r="G121" i="4" s="1"/>
  <c r="J121" i="4" s="1"/>
  <c r="J12" i="4"/>
  <c r="E88" i="4"/>
  <c r="G88" i="4" s="1"/>
  <c r="J88" i="4" s="1"/>
  <c r="J122" i="4"/>
  <c r="E126" i="4"/>
  <c r="G126" i="4" s="1"/>
  <c r="E89" i="4"/>
  <c r="G89" i="4" s="1"/>
  <c r="J89" i="4" s="1"/>
  <c r="E18" i="4"/>
  <c r="G18" i="4" s="1"/>
  <c r="J18" i="4" s="1"/>
  <c r="J126" i="4"/>
  <c r="I126" i="4"/>
  <c r="J17" i="4"/>
  <c r="J64" i="4"/>
  <c r="J77" i="4"/>
  <c r="J92" i="4"/>
  <c r="H82" i="4"/>
  <c r="E16" i="4"/>
  <c r="G16" i="4" s="1"/>
  <c r="J16" i="4" s="1"/>
  <c r="J31" i="4"/>
  <c r="J78" i="4"/>
  <c r="E15" i="4"/>
  <c r="G15" i="4" s="1"/>
  <c r="J15" i="4" s="1"/>
  <c r="C104" i="4"/>
  <c r="C136" i="4" s="1"/>
  <c r="J95" i="4"/>
  <c r="J114" i="4"/>
  <c r="J10" i="4"/>
  <c r="E14" i="4"/>
  <c r="G14" i="4" s="1"/>
  <c r="J14" i="4" s="1"/>
  <c r="J37" i="4"/>
  <c r="J115" i="4"/>
  <c r="J120" i="4"/>
  <c r="I58" i="4"/>
  <c r="J58" i="4"/>
  <c r="I13" i="4"/>
  <c r="J13" i="4"/>
  <c r="I92" i="4"/>
  <c r="I82" i="4"/>
  <c r="H103" i="4"/>
  <c r="E85" i="4"/>
  <c r="G85" i="4" s="1"/>
  <c r="I85" i="4" s="1"/>
  <c r="H124" i="4"/>
  <c r="H132" i="4" s="1"/>
  <c r="J6" i="4"/>
  <c r="J40" i="4"/>
  <c r="J72" i="4"/>
  <c r="E86" i="4"/>
  <c r="G86" i="4" s="1"/>
  <c r="I86" i="4" s="1"/>
  <c r="J53" i="4"/>
  <c r="J63" i="4"/>
  <c r="J73" i="4"/>
  <c r="E87" i="4"/>
  <c r="G87" i="4" s="1"/>
  <c r="I87" i="4" s="1"/>
  <c r="J110" i="4"/>
  <c r="J22" i="4"/>
  <c r="I22" i="4"/>
  <c r="J30" i="4"/>
  <c r="I30" i="4"/>
  <c r="J23" i="4"/>
  <c r="I23" i="4"/>
  <c r="I51" i="4"/>
  <c r="J51" i="4"/>
  <c r="I61" i="4"/>
  <c r="J61" i="4"/>
  <c r="J111" i="4"/>
  <c r="I111" i="4"/>
  <c r="J119" i="4"/>
  <c r="I119" i="4"/>
  <c r="J108" i="4"/>
  <c r="I108" i="4"/>
  <c r="J44" i="4"/>
  <c r="I44" i="4"/>
  <c r="I32" i="4"/>
  <c r="J32" i="4"/>
  <c r="I46" i="4"/>
  <c r="J46" i="4"/>
  <c r="J112" i="4"/>
  <c r="I112" i="4"/>
  <c r="I127" i="4"/>
  <c r="J25" i="4"/>
  <c r="I25" i="4"/>
  <c r="J71" i="4"/>
  <c r="G82" i="4"/>
  <c r="J97" i="4"/>
  <c r="J103" i="4" s="1"/>
  <c r="I97" i="4"/>
  <c r="I109" i="4"/>
  <c r="J109" i="4"/>
  <c r="I17" i="4"/>
  <c r="E82" i="4"/>
  <c r="D82" i="4" s="1"/>
  <c r="G84" i="4"/>
  <c r="G5" i="4"/>
  <c r="I37" i="4"/>
  <c r="I64" i="4"/>
  <c r="D9" i="3"/>
  <c r="E9" i="3" s="1"/>
  <c r="G9" i="3" s="1"/>
  <c r="I9" i="3" s="1"/>
  <c r="C80" i="3"/>
  <c r="C55" i="3"/>
  <c r="E55" i="3" s="1"/>
  <c r="G55" i="3" s="1"/>
  <c r="I55" i="3" s="1"/>
  <c r="E43" i="3"/>
  <c r="G43" i="3" s="1"/>
  <c r="I43" i="3" s="1"/>
  <c r="E60" i="3"/>
  <c r="G60" i="3" s="1"/>
  <c r="I60" i="3" s="1"/>
  <c r="D111" i="3"/>
  <c r="D30" i="3"/>
  <c r="C25" i="3"/>
  <c r="E25" i="3" s="1"/>
  <c r="G25" i="3" s="1"/>
  <c r="C97" i="3"/>
  <c r="E97" i="3" s="1"/>
  <c r="G97" i="3" s="1"/>
  <c r="I97" i="3" s="1"/>
  <c r="C98" i="3"/>
  <c r="D106" i="3"/>
  <c r="C8" i="3"/>
  <c r="E8" i="3" s="1"/>
  <c r="G8" i="3" s="1"/>
  <c r="I8" i="3" s="1"/>
  <c r="C90" i="3"/>
  <c r="E90" i="3" s="1"/>
  <c r="G90" i="3" s="1"/>
  <c r="I90" i="3" s="1"/>
  <c r="E50" i="3"/>
  <c r="G50" i="3" s="1"/>
  <c r="I50" i="3" s="1"/>
  <c r="D113" i="3"/>
  <c r="E113" i="3" s="1"/>
  <c r="G113" i="3" s="1"/>
  <c r="I113" i="3" s="1"/>
  <c r="C76" i="3"/>
  <c r="E76" i="3" s="1"/>
  <c r="G76" i="3" s="1"/>
  <c r="I76" i="3" s="1"/>
  <c r="E80" i="3"/>
  <c r="G80" i="3" s="1"/>
  <c r="I80" i="3" s="1"/>
  <c r="E81" i="3"/>
  <c r="G81" i="3" s="1"/>
  <c r="I81" i="3" s="1"/>
  <c r="E56" i="3"/>
  <c r="G56" i="3" s="1"/>
  <c r="I56" i="3" s="1"/>
  <c r="C68" i="3"/>
  <c r="E68" i="3" s="1"/>
  <c r="G68" i="3" s="1"/>
  <c r="I68" i="3" s="1"/>
  <c r="D62" i="3"/>
  <c r="E62" i="3" s="1"/>
  <c r="G62" i="3" s="1"/>
  <c r="I62" i="3" s="1"/>
  <c r="D59" i="3"/>
  <c r="E59" i="3" s="1"/>
  <c r="G59" i="3" s="1"/>
  <c r="I59" i="3" s="1"/>
  <c r="D49" i="3"/>
  <c r="E49" i="3" s="1"/>
  <c r="G49" i="3" s="1"/>
  <c r="I49" i="3" s="1"/>
  <c r="D47" i="3"/>
  <c r="E47" i="3" s="1"/>
  <c r="G47" i="3" s="1"/>
  <c r="I47" i="3" s="1"/>
  <c r="D21" i="3"/>
  <c r="E21" i="3" s="1"/>
  <c r="G21" i="3" s="1"/>
  <c r="I21" i="3" s="1"/>
  <c r="D42" i="3"/>
  <c r="E42" i="3" s="1"/>
  <c r="G42" i="3" s="1"/>
  <c r="I42" i="3" s="1"/>
  <c r="D40" i="3"/>
  <c r="D20" i="3"/>
  <c r="E20" i="3" s="1"/>
  <c r="G20" i="3" s="1"/>
  <c r="I20" i="3" s="1"/>
  <c r="D39" i="3"/>
  <c r="E39" i="3" s="1"/>
  <c r="I39" i="3" s="1"/>
  <c r="D31" i="3"/>
  <c r="D110" i="3"/>
  <c r="E110" i="3" s="1"/>
  <c r="G110" i="3" s="1"/>
  <c r="D109" i="3"/>
  <c r="E109" i="3" s="1"/>
  <c r="G109" i="3" s="1"/>
  <c r="C89" i="3"/>
  <c r="E89" i="3" s="1"/>
  <c r="G89" i="3" s="1"/>
  <c r="D48" i="3"/>
  <c r="E48" i="3" s="1"/>
  <c r="G48" i="3" s="1"/>
  <c r="I48" i="3" s="1"/>
  <c r="D36" i="3"/>
  <c r="E36" i="3" s="1"/>
  <c r="G36" i="3" s="1"/>
  <c r="I36" i="3" s="1"/>
  <c r="C118" i="3"/>
  <c r="C116" i="3"/>
  <c r="E116" i="3" s="1"/>
  <c r="G116" i="3" s="1"/>
  <c r="C78" i="3"/>
  <c r="E78" i="3" s="1"/>
  <c r="G78" i="3" s="1"/>
  <c r="J78" i="3" s="1"/>
  <c r="C77" i="3"/>
  <c r="E77" i="3" s="1"/>
  <c r="G77" i="3" s="1"/>
  <c r="J77" i="3" s="1"/>
  <c r="D63" i="3"/>
  <c r="D53" i="3"/>
  <c r="D38" i="3"/>
  <c r="C91" i="3"/>
  <c r="E91" i="3" s="1"/>
  <c r="G91" i="3" s="1"/>
  <c r="C95" i="3"/>
  <c r="E95" i="3" s="1"/>
  <c r="G95" i="3" s="1"/>
  <c r="I95" i="3" s="1"/>
  <c r="D86" i="3"/>
  <c r="D85" i="3"/>
  <c r="D15" i="3"/>
  <c r="D14" i="3"/>
  <c r="E72" i="3"/>
  <c r="G72" i="3" s="1"/>
  <c r="E73" i="3"/>
  <c r="G73" i="3" s="1"/>
  <c r="E74" i="3"/>
  <c r="G74" i="3" s="1"/>
  <c r="I74" i="3" s="1"/>
  <c r="E75" i="3"/>
  <c r="G75" i="3" s="1"/>
  <c r="I75" i="3" s="1"/>
  <c r="E79" i="3"/>
  <c r="G79" i="3" s="1"/>
  <c r="I79" i="3" s="1"/>
  <c r="E26" i="3"/>
  <c r="G26" i="3" s="1"/>
  <c r="I26" i="3" s="1"/>
  <c r="D11" i="3"/>
  <c r="E11" i="3" s="1"/>
  <c r="G11" i="3" s="1"/>
  <c r="I11" i="3" s="1"/>
  <c r="E104" i="3"/>
  <c r="G104" i="3" s="1"/>
  <c r="E105" i="3"/>
  <c r="G105" i="3" s="1"/>
  <c r="E108" i="3"/>
  <c r="G108" i="3" s="1"/>
  <c r="E112" i="3"/>
  <c r="G112" i="3" s="1"/>
  <c r="I112" i="3" s="1"/>
  <c r="E114" i="3"/>
  <c r="G114" i="3" s="1"/>
  <c r="I114" i="3" s="1"/>
  <c r="E115" i="3"/>
  <c r="G115" i="3" s="1"/>
  <c r="E119" i="3"/>
  <c r="G119" i="3" s="1"/>
  <c r="I119" i="3" s="1"/>
  <c r="E103" i="3"/>
  <c r="C84" i="3"/>
  <c r="E84" i="3" s="1"/>
  <c r="E88" i="3"/>
  <c r="G88" i="3" s="1"/>
  <c r="E92" i="3"/>
  <c r="G92" i="3" s="1"/>
  <c r="J92" i="3" s="1"/>
  <c r="E94" i="3"/>
  <c r="G94" i="3" s="1"/>
  <c r="J94" i="3" s="1"/>
  <c r="E96" i="3"/>
  <c r="G96" i="3" s="1"/>
  <c r="I96" i="3" s="1"/>
  <c r="E98" i="3"/>
  <c r="G98" i="3" s="1"/>
  <c r="I98" i="3" s="1"/>
  <c r="D87" i="3"/>
  <c r="C15" i="3"/>
  <c r="D16" i="3"/>
  <c r="C87" i="3"/>
  <c r="C86" i="3"/>
  <c r="E86" i="3" s="1"/>
  <c r="G86" i="3" s="1"/>
  <c r="I86" i="3" s="1"/>
  <c r="C85" i="3"/>
  <c r="C16" i="3"/>
  <c r="C14" i="3"/>
  <c r="E7" i="3"/>
  <c r="G7" i="3" s="1"/>
  <c r="I7" i="3" s="1"/>
  <c r="E13" i="3"/>
  <c r="G13" i="3" s="1"/>
  <c r="E17" i="3"/>
  <c r="G17" i="3" s="1"/>
  <c r="E19" i="3"/>
  <c r="G19" i="3" s="1"/>
  <c r="I19" i="3" s="1"/>
  <c r="E22" i="3"/>
  <c r="G22" i="3" s="1"/>
  <c r="E23" i="3"/>
  <c r="G23" i="3" s="1"/>
  <c r="E27" i="3"/>
  <c r="E28" i="3"/>
  <c r="G28" i="3" s="1"/>
  <c r="I28" i="3" s="1"/>
  <c r="E29" i="3"/>
  <c r="G29" i="3" s="1"/>
  <c r="I29" i="3" s="1"/>
  <c r="E32" i="3"/>
  <c r="G32" i="3" s="1"/>
  <c r="J32" i="3" s="1"/>
  <c r="E33" i="3"/>
  <c r="G33" i="3" s="1"/>
  <c r="I33" i="3" s="1"/>
  <c r="E34" i="3"/>
  <c r="G34" i="3" s="1"/>
  <c r="I34" i="3" s="1"/>
  <c r="E35" i="3"/>
  <c r="G35" i="3" s="1"/>
  <c r="I35" i="3" s="1"/>
  <c r="E37" i="3"/>
  <c r="E41" i="3"/>
  <c r="G41" i="3" s="1"/>
  <c r="I41" i="3" s="1"/>
  <c r="E45" i="3"/>
  <c r="G45" i="3" s="1"/>
  <c r="I45" i="3" s="1"/>
  <c r="E46" i="3"/>
  <c r="G46" i="3" s="1"/>
  <c r="E51" i="3"/>
  <c r="G51" i="3" s="1"/>
  <c r="E52" i="3"/>
  <c r="G52" i="3" s="1"/>
  <c r="I52" i="3" s="1"/>
  <c r="E54" i="3"/>
  <c r="G54" i="3" s="1"/>
  <c r="I54" i="3" s="1"/>
  <c r="E57" i="3"/>
  <c r="G57" i="3" s="1"/>
  <c r="E64" i="3"/>
  <c r="G64" i="3" s="1"/>
  <c r="E65" i="3"/>
  <c r="G65" i="3" s="1"/>
  <c r="I65" i="3" s="1"/>
  <c r="E66" i="3"/>
  <c r="G66" i="3" s="1"/>
  <c r="I66" i="3" s="1"/>
  <c r="E67" i="3"/>
  <c r="G67" i="3" s="1"/>
  <c r="I67" i="3" s="1"/>
  <c r="D18" i="3"/>
  <c r="E18" i="3" s="1"/>
  <c r="G18" i="3" s="1"/>
  <c r="C12" i="3"/>
  <c r="E12" i="3" s="1"/>
  <c r="G12" i="3" s="1"/>
  <c r="J12" i="3" s="1"/>
  <c r="C10" i="3"/>
  <c r="E10" i="3" s="1"/>
  <c r="G10" i="3" s="1"/>
  <c r="C6" i="3"/>
  <c r="E6" i="3" s="1"/>
  <c r="G6" i="3" s="1"/>
  <c r="J6" i="3" s="1"/>
  <c r="H115" i="3"/>
  <c r="H104" i="3"/>
  <c r="H105" i="3"/>
  <c r="I105" i="3" s="1"/>
  <c r="H106" i="3"/>
  <c r="H107" i="3"/>
  <c r="H108" i="3"/>
  <c r="H109" i="3"/>
  <c r="H110" i="3"/>
  <c r="H111" i="3"/>
  <c r="H116" i="3"/>
  <c r="H118" i="3"/>
  <c r="H88" i="3"/>
  <c r="H89" i="3"/>
  <c r="H91" i="3"/>
  <c r="H93" i="3"/>
  <c r="H71" i="3"/>
  <c r="H72" i="3"/>
  <c r="H73" i="3"/>
  <c r="H77" i="3"/>
  <c r="H78" i="3"/>
  <c r="H5" i="3"/>
  <c r="H6" i="3"/>
  <c r="H10" i="3"/>
  <c r="H12" i="3"/>
  <c r="H13" i="3"/>
  <c r="H14" i="3"/>
  <c r="H15" i="3"/>
  <c r="H16" i="3"/>
  <c r="H17" i="3"/>
  <c r="H18" i="3"/>
  <c r="H22" i="3"/>
  <c r="H23" i="3"/>
  <c r="H24" i="3"/>
  <c r="H27" i="3"/>
  <c r="H30" i="3"/>
  <c r="H31" i="3"/>
  <c r="H32" i="3"/>
  <c r="H37" i="3"/>
  <c r="H38" i="3"/>
  <c r="H40" i="3"/>
  <c r="H44" i="3"/>
  <c r="H46" i="3"/>
  <c r="H51" i="3"/>
  <c r="H53" i="3"/>
  <c r="H58" i="3"/>
  <c r="H61" i="3"/>
  <c r="H63" i="3"/>
  <c r="H64" i="3"/>
  <c r="C137" i="3"/>
  <c r="E118" i="3"/>
  <c r="G118" i="3" s="1"/>
  <c r="E117" i="3"/>
  <c r="E111" i="3"/>
  <c r="G111" i="3" s="1"/>
  <c r="C107" i="3"/>
  <c r="E107" i="3" s="1"/>
  <c r="G107" i="3" s="1"/>
  <c r="J107" i="3" s="1"/>
  <c r="E106" i="3"/>
  <c r="G106" i="3" s="1"/>
  <c r="C93" i="3"/>
  <c r="E93" i="3" s="1"/>
  <c r="G93" i="3" s="1"/>
  <c r="C82" i="3"/>
  <c r="E71" i="3"/>
  <c r="C61" i="3"/>
  <c r="D58" i="3"/>
  <c r="D44" i="3"/>
  <c r="G37" i="3"/>
  <c r="I37" i="3" s="1"/>
  <c r="E5" i="3"/>
  <c r="H40" i="2"/>
  <c r="K88" i="6" l="1"/>
  <c r="J9" i="6"/>
  <c r="L89" i="6"/>
  <c r="J119" i="6"/>
  <c r="L86" i="6"/>
  <c r="L114" i="6"/>
  <c r="L146" i="6"/>
  <c r="K87" i="6"/>
  <c r="K92" i="6" s="1"/>
  <c r="L134" i="6"/>
  <c r="K127" i="6"/>
  <c r="L127" i="6"/>
  <c r="L135" i="6"/>
  <c r="K130" i="6"/>
  <c r="L87" i="6"/>
  <c r="L140" i="6"/>
  <c r="L130" i="6"/>
  <c r="K140" i="6"/>
  <c r="J113" i="6"/>
  <c r="L105" i="6"/>
  <c r="L88" i="6"/>
  <c r="F92" i="6"/>
  <c r="L138" i="6"/>
  <c r="J95" i="6"/>
  <c r="K124" i="6"/>
  <c r="L136" i="6"/>
  <c r="J96" i="6"/>
  <c r="L141" i="6"/>
  <c r="L118" i="6"/>
  <c r="L124" i="6"/>
  <c r="H147" i="6"/>
  <c r="L147" i="6" s="1"/>
  <c r="F147" i="6"/>
  <c r="F149" i="6" s="1"/>
  <c r="H29" i="6"/>
  <c r="J29" i="6" s="1"/>
  <c r="F29" i="6"/>
  <c r="H139" i="6"/>
  <c r="L139" i="6" s="1"/>
  <c r="F139" i="6"/>
  <c r="K137" i="6"/>
  <c r="H104" i="6"/>
  <c r="J104" i="6" s="1"/>
  <c r="F104" i="6"/>
  <c r="H68" i="6"/>
  <c r="K68" i="6" s="1"/>
  <c r="F68" i="6"/>
  <c r="H103" i="6"/>
  <c r="L103" i="6" s="1"/>
  <c r="F103" i="6"/>
  <c r="H101" i="6"/>
  <c r="H120" i="6" s="1"/>
  <c r="F101" i="6"/>
  <c r="H27" i="6"/>
  <c r="J27" i="6" s="1"/>
  <c r="F27" i="6"/>
  <c r="H71" i="6"/>
  <c r="J71" i="6" s="1"/>
  <c r="F71" i="6"/>
  <c r="L137" i="6"/>
  <c r="H11" i="6"/>
  <c r="K11" i="6" s="1"/>
  <c r="F11" i="6"/>
  <c r="H26" i="6"/>
  <c r="J26" i="6" s="1"/>
  <c r="F26" i="6"/>
  <c r="E154" i="6"/>
  <c r="E155" i="6" s="1"/>
  <c r="C179" i="6" s="1"/>
  <c r="F153" i="6"/>
  <c r="F154" i="6" s="1"/>
  <c r="F155" i="6" s="1"/>
  <c r="H20" i="6"/>
  <c r="J20" i="6" s="1"/>
  <c r="F20" i="6"/>
  <c r="H10" i="6"/>
  <c r="J10" i="6" s="1"/>
  <c r="F10" i="6"/>
  <c r="L84" i="6"/>
  <c r="H21" i="6"/>
  <c r="J21" i="6" s="1"/>
  <c r="F21" i="6"/>
  <c r="H67" i="6"/>
  <c r="K67" i="6" s="1"/>
  <c r="F67" i="6"/>
  <c r="H18" i="6"/>
  <c r="J18" i="6" s="1"/>
  <c r="F18" i="6"/>
  <c r="H28" i="6"/>
  <c r="J28" i="6" s="1"/>
  <c r="F28" i="6"/>
  <c r="H12" i="6"/>
  <c r="K12" i="6" s="1"/>
  <c r="F12" i="6"/>
  <c r="L85" i="6"/>
  <c r="H126" i="6"/>
  <c r="F126" i="6"/>
  <c r="H63" i="6"/>
  <c r="J63" i="6" s="1"/>
  <c r="F63" i="6"/>
  <c r="K26" i="6"/>
  <c r="K9" i="6"/>
  <c r="K63" i="6"/>
  <c r="J94" i="6"/>
  <c r="L94" i="6"/>
  <c r="L9" i="6"/>
  <c r="H61" i="6"/>
  <c r="E78" i="6"/>
  <c r="D78" i="6" s="1"/>
  <c r="H92" i="6"/>
  <c r="E92" i="6"/>
  <c r="D92" i="6" s="1"/>
  <c r="E149" i="6"/>
  <c r="D149" i="6" s="1"/>
  <c r="E120" i="6"/>
  <c r="E142" i="6"/>
  <c r="C173" i="6"/>
  <c r="H144" i="6"/>
  <c r="J144" i="6" s="1"/>
  <c r="H153" i="6"/>
  <c r="H154" i="6" s="1"/>
  <c r="H155" i="6" s="1"/>
  <c r="C181" i="6" s="1"/>
  <c r="C183" i="6" s="1"/>
  <c r="K120" i="6"/>
  <c r="J92" i="6"/>
  <c r="G117" i="3"/>
  <c r="E120" i="3"/>
  <c r="E124" i="3" s="1"/>
  <c r="G124" i="4"/>
  <c r="F124" i="4" s="1"/>
  <c r="E124" i="4"/>
  <c r="D124" i="4" s="1"/>
  <c r="C133" i="4"/>
  <c r="C150" i="4"/>
  <c r="J82" i="4"/>
  <c r="E69" i="4"/>
  <c r="D69" i="4" s="1"/>
  <c r="H104" i="4"/>
  <c r="C141" i="4" s="1"/>
  <c r="E103" i="4"/>
  <c r="D103" i="4" s="1"/>
  <c r="I124" i="4"/>
  <c r="I132" i="4" s="1"/>
  <c r="F82" i="4"/>
  <c r="J124" i="4"/>
  <c r="J132" i="4" s="1"/>
  <c r="G103" i="4"/>
  <c r="I84" i="4"/>
  <c r="I103" i="4" s="1"/>
  <c r="F131" i="4"/>
  <c r="I5" i="4"/>
  <c r="I69" i="4" s="1"/>
  <c r="J5" i="4"/>
  <c r="J69" i="4" s="1"/>
  <c r="G69" i="4"/>
  <c r="E132" i="4"/>
  <c r="D131" i="4"/>
  <c r="J111" i="3"/>
  <c r="J27" i="3"/>
  <c r="J110" i="3"/>
  <c r="J13" i="3"/>
  <c r="J116" i="3"/>
  <c r="E15" i="3"/>
  <c r="G15" i="3" s="1"/>
  <c r="J108" i="3"/>
  <c r="I51" i="3"/>
  <c r="J106" i="3"/>
  <c r="I88" i="3"/>
  <c r="J73" i="3"/>
  <c r="J91" i="3"/>
  <c r="J46" i="3"/>
  <c r="J64" i="3"/>
  <c r="J15" i="3"/>
  <c r="J104" i="3"/>
  <c r="J89" i="3"/>
  <c r="J18" i="3"/>
  <c r="I115" i="3"/>
  <c r="J23" i="3"/>
  <c r="I23" i="3"/>
  <c r="I32" i="3"/>
  <c r="J10" i="3"/>
  <c r="I108" i="3"/>
  <c r="H99" i="3"/>
  <c r="I107" i="3"/>
  <c r="J105" i="3"/>
  <c r="J72" i="3"/>
  <c r="J17" i="3"/>
  <c r="J22" i="3"/>
  <c r="J118" i="3"/>
  <c r="I46" i="3"/>
  <c r="E16" i="3"/>
  <c r="G16" i="3" s="1"/>
  <c r="J16" i="3" s="1"/>
  <c r="E14" i="3"/>
  <c r="G14" i="3" s="1"/>
  <c r="J14" i="3" s="1"/>
  <c r="J109" i="3"/>
  <c r="I93" i="3"/>
  <c r="I104" i="3"/>
  <c r="J115" i="3"/>
  <c r="G84" i="3"/>
  <c r="J25" i="3"/>
  <c r="I25" i="3"/>
  <c r="I13" i="3"/>
  <c r="J51" i="3"/>
  <c r="J88" i="3"/>
  <c r="I64" i="3"/>
  <c r="E85" i="3"/>
  <c r="G85" i="3" s="1"/>
  <c r="I85" i="3" s="1"/>
  <c r="G103" i="3"/>
  <c r="G71" i="3"/>
  <c r="G82" i="3" s="1"/>
  <c r="E82" i="3"/>
  <c r="D82" i="3" s="1"/>
  <c r="H82" i="3"/>
  <c r="J93" i="3"/>
  <c r="I22" i="3"/>
  <c r="E87" i="3"/>
  <c r="G87" i="3" s="1"/>
  <c r="I87" i="3" s="1"/>
  <c r="J37" i="3"/>
  <c r="I17" i="3"/>
  <c r="I57" i="3"/>
  <c r="E24" i="3"/>
  <c r="G24" i="3" s="1"/>
  <c r="J24" i="3" s="1"/>
  <c r="E30" i="3"/>
  <c r="G30" i="3" s="1"/>
  <c r="E31" i="3"/>
  <c r="G31" i="3" s="1"/>
  <c r="J31" i="3" s="1"/>
  <c r="E38" i="3"/>
  <c r="G38" i="3" s="1"/>
  <c r="J38" i="3" s="1"/>
  <c r="E40" i="3"/>
  <c r="G40" i="3" s="1"/>
  <c r="J40" i="3" s="1"/>
  <c r="E44" i="3"/>
  <c r="G44" i="3" s="1"/>
  <c r="E53" i="3"/>
  <c r="G53" i="3" s="1"/>
  <c r="J53" i="3" s="1"/>
  <c r="E58" i="3"/>
  <c r="G58" i="3" s="1"/>
  <c r="E61" i="3"/>
  <c r="G61" i="3" s="1"/>
  <c r="E63" i="3"/>
  <c r="G63" i="3" s="1"/>
  <c r="J63" i="3" s="1"/>
  <c r="C142" i="3"/>
  <c r="C100" i="3"/>
  <c r="G5" i="3"/>
  <c r="D10" i="2"/>
  <c r="E150" i="6" l="1"/>
  <c r="H142" i="6"/>
  <c r="G142" i="6" s="1"/>
  <c r="H78" i="6"/>
  <c r="F142" i="6"/>
  <c r="F150" i="6" s="1"/>
  <c r="L21" i="6"/>
  <c r="K20" i="6"/>
  <c r="L12" i="6"/>
  <c r="L104" i="6"/>
  <c r="L26" i="6"/>
  <c r="K27" i="6"/>
  <c r="J147" i="6"/>
  <c r="J149" i="6" s="1"/>
  <c r="K21" i="6"/>
  <c r="L27" i="6"/>
  <c r="L92" i="6"/>
  <c r="K142" i="6"/>
  <c r="K150" i="6" s="1"/>
  <c r="L20" i="6"/>
  <c r="L67" i="6"/>
  <c r="K10" i="6"/>
  <c r="L18" i="6"/>
  <c r="J11" i="6"/>
  <c r="J68" i="6"/>
  <c r="J103" i="6"/>
  <c r="F120" i="6"/>
  <c r="L68" i="6"/>
  <c r="F78" i="6"/>
  <c r="G120" i="6"/>
  <c r="J67" i="6"/>
  <c r="K71" i="6"/>
  <c r="L28" i="6"/>
  <c r="L11" i="6"/>
  <c r="K28" i="6"/>
  <c r="L126" i="6"/>
  <c r="L142" i="6" s="1"/>
  <c r="L10" i="6"/>
  <c r="L29" i="6"/>
  <c r="K18" i="6"/>
  <c r="L101" i="6"/>
  <c r="L120" i="6" s="1"/>
  <c r="L63" i="6"/>
  <c r="J12" i="6"/>
  <c r="L71" i="6"/>
  <c r="J101" i="6"/>
  <c r="K29" i="6"/>
  <c r="D120" i="6"/>
  <c r="D142" i="6"/>
  <c r="J61" i="6"/>
  <c r="L61" i="6"/>
  <c r="K61" i="6"/>
  <c r="G92" i="6"/>
  <c r="H149" i="6"/>
  <c r="L144" i="6"/>
  <c r="L149" i="6" s="1"/>
  <c r="E121" i="6"/>
  <c r="C161" i="6" s="1"/>
  <c r="C160" i="6" s="1"/>
  <c r="J154" i="6"/>
  <c r="J155" i="6" s="1"/>
  <c r="K153" i="6"/>
  <c r="K154" i="6" s="1"/>
  <c r="K155" i="6" s="1"/>
  <c r="L153" i="6"/>
  <c r="L154" i="6" s="1"/>
  <c r="L155" i="6" s="1"/>
  <c r="J117" i="3"/>
  <c r="J120" i="3" s="1"/>
  <c r="J124" i="3" s="1"/>
  <c r="G120" i="3"/>
  <c r="G124" i="3" s="1"/>
  <c r="F124" i="3" s="1"/>
  <c r="G132" i="4"/>
  <c r="F132" i="4" s="1"/>
  <c r="C156" i="4"/>
  <c r="F103" i="4"/>
  <c r="E104" i="4"/>
  <c r="E133" i="4" s="1"/>
  <c r="D133" i="4" s="1"/>
  <c r="C147" i="4"/>
  <c r="C146" i="4" s="1"/>
  <c r="D132" i="4"/>
  <c r="F69" i="4"/>
  <c r="G104" i="4"/>
  <c r="I104" i="4"/>
  <c r="I133" i="4" s="1"/>
  <c r="J99" i="3"/>
  <c r="E69" i="3"/>
  <c r="D69" i="3" s="1"/>
  <c r="J58" i="3"/>
  <c r="I58" i="3"/>
  <c r="I103" i="3"/>
  <c r="E99" i="3"/>
  <c r="D99" i="3" s="1"/>
  <c r="I30" i="3"/>
  <c r="J30" i="3"/>
  <c r="J71" i="3"/>
  <c r="J82" i="3" s="1"/>
  <c r="I82" i="3"/>
  <c r="G99" i="3"/>
  <c r="F99" i="3" s="1"/>
  <c r="I84" i="3"/>
  <c r="I99" i="3" s="1"/>
  <c r="G69" i="3"/>
  <c r="J5" i="3"/>
  <c r="I5" i="3"/>
  <c r="J61" i="3"/>
  <c r="I61" i="3"/>
  <c r="I44" i="3"/>
  <c r="J44" i="3"/>
  <c r="H100" i="3"/>
  <c r="C128" i="3"/>
  <c r="C139" i="3"/>
  <c r="C138" i="3" s="1"/>
  <c r="D124" i="3"/>
  <c r="F82" i="3"/>
  <c r="C62" i="2"/>
  <c r="L150" i="6" l="1"/>
  <c r="E156" i="6"/>
  <c r="D150" i="6"/>
  <c r="C170" i="6"/>
  <c r="C169" i="6" s="1"/>
  <c r="F121" i="6"/>
  <c r="F156" i="6" s="1"/>
  <c r="J78" i="6"/>
  <c r="J120" i="6"/>
  <c r="H150" i="6"/>
  <c r="C172" i="6" s="1"/>
  <c r="L78" i="6"/>
  <c r="L121" i="6" s="1"/>
  <c r="K78" i="6"/>
  <c r="K121" i="6" s="1"/>
  <c r="K156" i="6" s="1"/>
  <c r="J150" i="6"/>
  <c r="G149" i="6"/>
  <c r="D121" i="6"/>
  <c r="C149" i="4"/>
  <c r="C151" i="4" s="1"/>
  <c r="D104" i="4"/>
  <c r="C138" i="4"/>
  <c r="C154" i="4" s="1"/>
  <c r="J104" i="4"/>
  <c r="J133" i="4" s="1"/>
  <c r="C140" i="4"/>
  <c r="F104" i="4"/>
  <c r="G133" i="4"/>
  <c r="F133" i="4" s="1"/>
  <c r="F69" i="3"/>
  <c r="C133" i="3"/>
  <c r="I69" i="3"/>
  <c r="I100" i="3" s="1"/>
  <c r="I125" i="3" s="1"/>
  <c r="J69" i="3"/>
  <c r="E100" i="3"/>
  <c r="C148" i="3"/>
  <c r="G100" i="3"/>
  <c r="G125" i="3" s="1"/>
  <c r="C141" i="3"/>
  <c r="C72" i="2"/>
  <c r="L156" i="6" l="1"/>
  <c r="D156" i="6"/>
  <c r="J121" i="6"/>
  <c r="J156" i="6" s="1"/>
  <c r="G150" i="6"/>
  <c r="C186" i="6"/>
  <c r="C174" i="6"/>
  <c r="C171" i="6"/>
  <c r="C148" i="4"/>
  <c r="D120" i="3"/>
  <c r="E125" i="3"/>
  <c r="D125" i="3" s="1"/>
  <c r="C137" i="4"/>
  <c r="D155" i="4"/>
  <c r="C157" i="4" s="1"/>
  <c r="C142" i="4"/>
  <c r="C139" i="4"/>
  <c r="D100" i="3"/>
  <c r="C130" i="3"/>
  <c r="C146" i="3" s="1"/>
  <c r="F100" i="3"/>
  <c r="F120" i="3"/>
  <c r="J100" i="3"/>
  <c r="J125" i="3" s="1"/>
  <c r="C132" i="3"/>
  <c r="C143" i="3"/>
  <c r="C140" i="3"/>
  <c r="C63" i="2"/>
  <c r="C33" i="2"/>
  <c r="F125" i="3" l="1"/>
  <c r="C129" i="3"/>
  <c r="C131" i="3"/>
  <c r="C134" i="3"/>
  <c r="D147" i="3"/>
  <c r="C149" i="3" s="1"/>
  <c r="D61" i="2"/>
  <c r="D60" i="2"/>
  <c r="C59" i="2"/>
  <c r="D57" i="2"/>
  <c r="D56" i="2"/>
  <c r="D55" i="2"/>
  <c r="C53" i="2"/>
  <c r="C52" i="2"/>
  <c r="H51" i="2"/>
  <c r="C45" i="2"/>
  <c r="C44" i="2" l="1"/>
  <c r="C43" i="2"/>
  <c r="C39" i="2"/>
  <c r="C38" i="2"/>
  <c r="D31" i="2"/>
  <c r="C30" i="2"/>
  <c r="D29" i="2"/>
  <c r="D28" i="2"/>
  <c r="D25" i="2"/>
  <c r="D24" i="2"/>
  <c r="D23" i="2"/>
  <c r="D20" i="2"/>
  <c r="D19" i="2"/>
  <c r="D17" i="2"/>
  <c r="D14" i="2"/>
  <c r="D12" i="2"/>
  <c r="D11" i="2"/>
  <c r="C40" i="2" l="1"/>
  <c r="E16" i="2" l="1"/>
  <c r="G16" i="2" s="1"/>
  <c r="E5" i="2" l="1"/>
  <c r="G5" i="2" s="1"/>
  <c r="E6" i="2"/>
  <c r="G6" i="2" s="1"/>
  <c r="J6" i="2" s="1"/>
  <c r="E7" i="2"/>
  <c r="G7" i="2" s="1"/>
  <c r="J7" i="2" s="1"/>
  <c r="E8" i="2"/>
  <c r="G8" i="2" s="1"/>
  <c r="J8" i="2" s="1"/>
  <c r="E10" i="2"/>
  <c r="J10" i="2" s="1"/>
  <c r="E11" i="2"/>
  <c r="J11" i="2" s="1"/>
  <c r="E12" i="2"/>
  <c r="G12" i="2" s="1"/>
  <c r="J12" i="2" s="1"/>
  <c r="E13" i="2"/>
  <c r="G13" i="2" s="1"/>
  <c r="J13" i="2" s="1"/>
  <c r="E14" i="2"/>
  <c r="E15" i="2"/>
  <c r="G15" i="2" s="1"/>
  <c r="E17" i="2"/>
  <c r="J17" i="2" s="1"/>
  <c r="E18" i="2"/>
  <c r="G18" i="2" s="1"/>
  <c r="J18" i="2" s="1"/>
  <c r="E19" i="2"/>
  <c r="G19" i="2" s="1"/>
  <c r="J19" i="2" s="1"/>
  <c r="E20" i="2"/>
  <c r="G20" i="2" s="1"/>
  <c r="J20" i="2" s="1"/>
  <c r="E21" i="2"/>
  <c r="G21" i="2" s="1"/>
  <c r="E22" i="2"/>
  <c r="G22" i="2" s="1"/>
  <c r="E23" i="2"/>
  <c r="G23" i="2" s="1"/>
  <c r="J23" i="2" s="1"/>
  <c r="E24" i="2"/>
  <c r="G24" i="2" s="1"/>
  <c r="J24" i="2" s="1"/>
  <c r="E25" i="2"/>
  <c r="G25" i="2" s="1"/>
  <c r="H25" i="2" s="1"/>
  <c r="J25" i="2" s="1"/>
  <c r="E26" i="2"/>
  <c r="G26" i="2" s="1"/>
  <c r="E27" i="2"/>
  <c r="G27" i="2" s="1"/>
  <c r="E28" i="2"/>
  <c r="G28" i="2" s="1"/>
  <c r="J28" i="2" s="1"/>
  <c r="E30" i="2"/>
  <c r="G30" i="2" s="1"/>
  <c r="E31" i="2"/>
  <c r="G31" i="2" s="1"/>
  <c r="J31" i="2" s="1"/>
  <c r="E32" i="2"/>
  <c r="G32" i="2" s="1"/>
  <c r="J32" i="2" s="1"/>
  <c r="E35" i="2"/>
  <c r="G35" i="2" s="1"/>
  <c r="I35" i="2" s="1"/>
  <c r="E36" i="2"/>
  <c r="G36" i="2" s="1"/>
  <c r="I36" i="2" s="1"/>
  <c r="E37" i="2"/>
  <c r="G37" i="2" s="1"/>
  <c r="I37" i="2" s="1"/>
  <c r="E38" i="2"/>
  <c r="E39" i="2"/>
  <c r="G39" i="2" s="1"/>
  <c r="J39" i="2" s="1"/>
  <c r="E42" i="2"/>
  <c r="G42" i="2" s="1"/>
  <c r="J42" i="2" s="1"/>
  <c r="E43" i="2"/>
  <c r="G43" i="2" s="1"/>
  <c r="J43" i="2" s="1"/>
  <c r="E44" i="2"/>
  <c r="G44" i="2" s="1"/>
  <c r="J44" i="2" s="1"/>
  <c r="E45" i="2"/>
  <c r="G45" i="2" s="1"/>
  <c r="J45" i="2" s="1"/>
  <c r="E50" i="2"/>
  <c r="E51" i="2"/>
  <c r="G51" i="2" s="1"/>
  <c r="E52" i="2"/>
  <c r="G52" i="2" s="1"/>
  <c r="J52" i="2" s="1"/>
  <c r="E53" i="2"/>
  <c r="G53" i="2" s="1"/>
  <c r="J53" i="2" s="1"/>
  <c r="E54" i="2"/>
  <c r="G54" i="2" s="1"/>
  <c r="E55" i="2"/>
  <c r="G55" i="2" s="1"/>
  <c r="E56" i="2"/>
  <c r="G56" i="2" s="1"/>
  <c r="J56" i="2" s="1"/>
  <c r="E57" i="2"/>
  <c r="G57" i="2" s="1"/>
  <c r="E58" i="2"/>
  <c r="G58" i="2" s="1"/>
  <c r="E59" i="2"/>
  <c r="G59" i="2" s="1"/>
  <c r="J59" i="2" s="1"/>
  <c r="E60" i="2"/>
  <c r="G60" i="2" s="1"/>
  <c r="J60" i="2" s="1"/>
  <c r="E61" i="2"/>
  <c r="G61" i="2" s="1"/>
  <c r="J61" i="2" s="1"/>
  <c r="E62" i="2"/>
  <c r="G62" i="2" s="1"/>
  <c r="J62" i="2" s="1"/>
  <c r="C47" i="2"/>
  <c r="C76" i="2"/>
  <c r="I46" i="2"/>
  <c r="I63" i="2"/>
  <c r="I33" i="2"/>
  <c r="I40" i="2" l="1"/>
  <c r="E40" i="2"/>
  <c r="D40" i="2" s="1"/>
  <c r="C64" i="2"/>
  <c r="J14" i="2"/>
  <c r="J46" i="2"/>
  <c r="I47" i="2"/>
  <c r="I64" i="2" s="1"/>
  <c r="E29" i="2"/>
  <c r="G29" i="2" s="1"/>
  <c r="G46" i="2"/>
  <c r="E46" i="2"/>
  <c r="D46" i="2" s="1"/>
  <c r="G9" i="2"/>
  <c r="H9" i="2" s="1"/>
  <c r="J9" i="2" s="1"/>
  <c r="H46" i="2"/>
  <c r="C67" i="2"/>
  <c r="E63" i="2"/>
  <c r="G50" i="2"/>
  <c r="J50" i="2" s="1"/>
  <c r="J40" i="2" l="1"/>
  <c r="G40" i="2"/>
  <c r="F40" i="2" s="1"/>
  <c r="E33" i="2"/>
  <c r="E47" i="2" s="1"/>
  <c r="D47" i="2" s="1"/>
  <c r="H29" i="2"/>
  <c r="G33" i="2"/>
  <c r="F46" i="2"/>
  <c r="G63" i="2"/>
  <c r="C78" i="2"/>
  <c r="C77" i="2" s="1"/>
  <c r="D63" i="2"/>
  <c r="G47" i="2" l="1"/>
  <c r="J47" i="2" s="1"/>
  <c r="F33" i="2"/>
  <c r="D33" i="2"/>
  <c r="H63" i="2"/>
  <c r="C81" i="2" s="1"/>
  <c r="J63" i="2"/>
  <c r="J29" i="2"/>
  <c r="J33" i="2" s="1"/>
  <c r="C69" i="2"/>
  <c r="E64" i="2"/>
  <c r="D64" i="2" s="1"/>
  <c r="F63" i="2"/>
  <c r="C80" i="2"/>
  <c r="J64" i="2" l="1"/>
  <c r="G64" i="2"/>
  <c r="F64" i="2" s="1"/>
  <c r="C71" i="2"/>
  <c r="D86" i="2" s="1"/>
  <c r="F47" i="2"/>
  <c r="C68" i="2"/>
  <c r="C85" i="2"/>
  <c r="C79" i="2"/>
  <c r="C82" i="2"/>
  <c r="C88" i="2" s="1"/>
  <c r="H33" i="2"/>
  <c r="H64" i="2" s="1"/>
  <c r="C87" i="2" s="1"/>
  <c r="C70" i="2" l="1"/>
  <c r="I78" i="6" l="1"/>
  <c r="I121" i="6" s="1"/>
  <c r="I156" i="6" s="1"/>
  <c r="C188" i="6" s="1"/>
  <c r="H121" i="6"/>
  <c r="I21" i="7"/>
  <c r="I36" i="7" s="1"/>
  <c r="I49" i="7" s="1"/>
  <c r="G121" i="6" l="1"/>
  <c r="H156" i="6"/>
  <c r="G78" i="6"/>
  <c r="H21" i="7"/>
  <c r="H36" i="7" s="1"/>
  <c r="C163" i="6"/>
  <c r="C164" i="6"/>
  <c r="C165" i="6" l="1"/>
  <c r="C162" i="6"/>
  <c r="H49" i="7"/>
  <c r="C73" i="7" s="1"/>
  <c r="C74" i="7" s="1"/>
  <c r="C57" i="7"/>
  <c r="C58" i="7" s="1"/>
  <c r="G156" i="6"/>
  <c r="D187" i="6"/>
  <c r="C18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tc={10EB286F-C105-4D91-8566-B6044961D4B8}</author>
    <author>tc={954E69EB-61FD-47F7-AD6C-E3B4A55B7900}</author>
    <author>tc={4E838C85-A621-403D-BBDE-A893B60CAC58}</author>
    <author>tc={C6E657BC-A666-4305-A93D-7B30E91873C0}</author>
    <author>tc={4D0F926E-9D4F-41A8-ACEC-26EA8641FC09}</author>
  </authors>
  <commentList>
    <comment ref="T3" authorId="0" shapeId="0" xr:uid="{10EB286F-C105-4D91-8566-B6044961D4B8}">
      <text>
        <t xml:space="preserve">[Threaded comment]
Your version of Excel allows you to read this threaded comment; however, any edits to it will get removed if the file is opened in a newer version of Excel. Learn more: https://go.microsoft.com/fwlink/?linkid=870924
Comment:
    Used numbers provided by SAs who indicated they do accept WIC CVB at farmers markets.  For those, that did not provide a number, we used the number of authorized farmers/markets in the FMNP.  For those that don't administer FMNP, we came up with an average number of 173 farmers/markets per SA. </t>
      </text>
    </comment>
    <comment ref="K14" authorId="1" shapeId="0" xr:uid="{954E69EB-61FD-47F7-AD6C-E3B4A55B7900}">
      <text>
        <t xml:space="preserve">[Threaded comment]
Your version of Excel allows you to read this threaded comment; however, any edits to it will get removed if the file is opened in a newer version of Excel. Learn more: https://go.microsoft.com/fwlink/?linkid=870924
Comment:
    Note to include mention of drug and substance abuse screening in the burden narrative under certification. 246.7(n), initial nutrition education, and referrals. </t>
      </text>
    </comment>
    <comment ref="B55" authorId="2" shapeId="0" xr:uid="{4E838C85-A621-403D-BBDE-A893B60CAC58}">
      <text>
        <t>[Threaded comment]
Your version of Excel allows you to read this threaded comment; however, any edits to it will get removed if the file is opened in a newer version of Excel. Learn more: https://go.microsoft.com/fwlink/?linkid=870924
Comment:
    Reaching out to other PIMB folks for this information</t>
      </text>
    </comment>
    <comment ref="K79" authorId="3" shapeId="0" xr:uid="{C6E657BC-A666-4305-A93D-7B30E91873C0}">
      <text>
        <t xml:space="preserve">[Threaded comment]
Your version of Excel allows you to read this threaded comment; however, any edits to it will get removed if the file is opened in a newer version of Excel. Learn more: https://go.microsoft.com/fwlink/?linkid=870924
Comment:
    first nut ed contact is done during certification. Was this counted for  in certification section? How about  in section 246.4 (state plan section) where Nut Ed may be reported in State plans.   For the second Nut Ed contact, it may have decreased due to online options.  I am just thinking that 1st Nut Ed contact may have been reported in State Plan or Certification sections.  Just to check for any duplication as Nut Ed is a regulatory requirement, I am not sure how this was missed previously. I think in this section we can estimate the 2nd Nut Ed  session because the first one is embedded in Certification section. Please let me know for any further discussions. Thanks
</t>
      </text>
    </comment>
    <comment ref="B97" authorId="4" shapeId="0" xr:uid="{4D0F926E-9D4F-41A8-ACEC-26EA8641FC09}">
      <text>
        <t>[Threaded comment]
Your version of Excel allows you to read this threaded comment; however, any edits to it will get removed if the file is opened in a newer version of Excel. Learn more: https://go.microsoft.com/fwlink/?linkid=870924
Comment:
    Melanie may have this info- PIMB does not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tc={EAB4E216-C085-414A-AA09-6D9192754CDD}</author>
    <author>tc={9A8023AB-ACE0-42FC-97E2-CA10AF2BBA19}</author>
    <author>tc={A9A62B19-3A02-47CA-BD57-EDE0DC448F61}</author>
    <author>tc={C1DE83B4-C4A1-42FB-8EF9-F3C6F05FD020}</author>
    <author>tc={86658071-540F-4A31-8058-118BE172CFFC}</author>
    <author>tc={A38985B1-6D04-4483-AFBF-41A0D4582F0C}</author>
    <author>tc={0DFD45B5-73D1-4E3F-96F3-962835D44EA8}</author>
  </authors>
  <commentList>
    <comment ref="T3" authorId="0" shapeId="0" xr:uid="{EAB4E216-C085-414A-AA09-6D9192754CDD}">
      <text>
        <t xml:space="preserve">[Threaded comment]
Your version of Excel allows you to read this threaded comment; however, any edits to it will get removed if the file is opened in a newer version of Excel. Learn more: https://go.microsoft.com/fwlink/?linkid=870924
Comment:
    Used numbers provided by SAs who indicated they do accept WIC CVB at farmers markets.  For those, that did not provide a number, we used the number of authorized farmers/markets in the FMNP.  For those that don't administer FMNP, we came up with an average number of 173 farmers/markets per SA. </t>
      </text>
    </comment>
    <comment ref="B9" authorId="1" shapeId="0" xr:uid="{9A8023AB-ACE0-42FC-97E2-CA10AF2BBA19}">
      <text>
        <t xml:space="preserve">[Threaded comment]
Your version of Excel allows you to read this threaded comment; however, any edits to it will get removed if the file is opened in a newer version of Excel. Learn more: https://go.microsoft.com/fwlink/?linkid=870924
Comment:
    V&amp;T may have this info </t>
      </text>
    </comment>
    <comment ref="K14" authorId="2" shapeId="0" xr:uid="{A9A62B19-3A02-47CA-BD57-EDE0DC448F61}">
      <text>
        <t xml:space="preserve">[Threaded comment]
Your version of Excel allows you to read this threaded comment; however, any edits to it will get removed if the file is opened in a newer version of Excel. Learn more: https://go.microsoft.com/fwlink/?linkid=870924
Comment:
    Note to include mention of drug and substance abuse screening in the burden narrative under certification. 246.7(n), initial nutrition education, and referrals. </t>
      </text>
    </comment>
    <comment ref="B55" authorId="3" shapeId="0" xr:uid="{C1DE83B4-C4A1-42FB-8EF9-F3C6F05FD020}">
      <text>
        <t>[Threaded comment]
Your version of Excel allows you to read this threaded comment; however, any edits to it will get removed if the file is opened in a newer version of Excel. Learn more: https://go.microsoft.com/fwlink/?linkid=870924
Comment:
    Reaching out to other PIMB folks for this information</t>
      </text>
    </comment>
    <comment ref="K79" authorId="4" shapeId="0" xr:uid="{86658071-540F-4A31-8058-118BE172CFFC}">
      <text>
        <t xml:space="preserve">[Threaded comment]
Your version of Excel allows you to read this threaded comment; however, any edits to it will get removed if the file is opened in a newer version of Excel. Learn more: https://go.microsoft.com/fwlink/?linkid=870924
Comment:
    first nut ed contact is done during certification. Was this counted for  in certification section? How about  in section 246.4 (state plan section) where Nut Ed may be reported in State plans.   For the second Nut Ed contact, it may have decreased due to online options.  I am just thinking that 1st Nut Ed contact may have been reported in State Plan or Certification sections.  Just to check for any duplication as Nut Ed is a regulatory requirement, I am not sure how this was missed previously. I think in this section we can estimate the 2nd Nut Ed  session because the first one is embedded in Certification section. Please let me know for any further discussions. Thanks
</t>
      </text>
    </comment>
    <comment ref="B93" authorId="5" shapeId="0" xr:uid="{A38985B1-6D04-4483-AFBF-41A0D4582F0C}">
      <text>
        <t>[Threaded comment]
Your version of Excel allows you to read this threaded comment; however, any edits to it will get removed if the file is opened in a newer version of Excel. Learn more: https://go.microsoft.com/fwlink/?linkid=870924
Comment:
    Melanie may have this info- PIMB does not</t>
      </text>
    </comment>
    <comment ref="B122" authorId="6" shapeId="0" xr:uid="{0DFD45B5-73D1-4E3F-96F3-962835D44EA8}">
      <text>
        <t>[Threaded comment]
Your version of Excel allows you to read this threaded comment; however, any edits to it will get removed if the file is opened in a newer version of Excel. Learn more: https://go.microsoft.com/fwlink/?linkid=870924
Comment:
    putting here for now, but will need to create a new section for vendor recordkeeping</t>
      </text>
    </comment>
  </commentList>
</comments>
</file>

<file path=xl/sharedStrings.xml><?xml version="1.0" encoding="utf-8"?>
<sst xmlns="http://schemas.openxmlformats.org/spreadsheetml/2006/main" count="2111" uniqueCount="415">
  <si>
    <t xml:space="preserve">                 APPENDIX O:  WIC Burden Table                                            </t>
  </si>
  <si>
    <t>Regulatory Section</t>
  </si>
  <si>
    <t>Information Collected</t>
  </si>
  <si>
    <t>Estimated Number of Respondents</t>
  </si>
  <si>
    <t>Annual Responses per Respondent</t>
  </si>
  <si>
    <t>Total Annual Responses</t>
  </si>
  <si>
    <t>Previous Submission: Total Annual Responses</t>
  </si>
  <si>
    <t>Number of Burden Hours per Request</t>
  </si>
  <si>
    <t>Estimated Total Annual Burden Hours</t>
  </si>
  <si>
    <t>Previous Submission: Total Annual Burden Hours</t>
  </si>
  <si>
    <t>Difference Due to Program Changes</t>
  </si>
  <si>
    <t>Difference Due to Adjustments</t>
  </si>
  <si>
    <t>Total Difference</t>
  </si>
  <si>
    <t>Explanation of Differences</t>
  </si>
  <si>
    <t>REPORTING BURDEN ESTIMATES</t>
  </si>
  <si>
    <t>Affected Public:  State and Local Agencies (including Indian Tribal Organizations and U.S. Territories)</t>
  </si>
  <si>
    <t>State Plan</t>
  </si>
  <si>
    <t>246.4(a)(30)</t>
  </si>
  <si>
    <t>Implementation of Alternate Operating Procedures</t>
  </si>
  <si>
    <t>246.5(b)</t>
  </si>
  <si>
    <t>Local Agency (LA) applications</t>
  </si>
  <si>
    <t>246.5(c)(2)</t>
  </si>
  <si>
    <t>SA notification re not funding LA</t>
  </si>
  <si>
    <t>246.5(e)(3)(ii)</t>
  </si>
  <si>
    <t>SA notification of LA disqualification</t>
  </si>
  <si>
    <t>LA Agreements</t>
  </si>
  <si>
    <t>246.7(d)</t>
  </si>
  <si>
    <t>Provision of income eligibility determinations</t>
  </si>
  <si>
    <t>246.7(f)(2)(iii)(A)</t>
  </si>
  <si>
    <t>LA requests for notice extension</t>
  </si>
  <si>
    <t>246.7(b),(i),(n)</t>
  </si>
  <si>
    <t xml:space="preserve">Cert. data for women </t>
  </si>
  <si>
    <t>246.7(i)</t>
  </si>
  <si>
    <t xml:space="preserve">Cert. data for children </t>
  </si>
  <si>
    <t xml:space="preserve">Certification data for infants </t>
  </si>
  <si>
    <t>Explaining food package updates</t>
  </si>
  <si>
    <t>246.7(j)(9)</t>
  </si>
  <si>
    <t>SA notification re funding shortfall</t>
  </si>
  <si>
    <t>246.7(k)</t>
  </si>
  <si>
    <t>Verification of Certification cards</t>
  </si>
  <si>
    <t>Provision of Non-English Materials</t>
  </si>
  <si>
    <t>246.9(c)</t>
  </si>
  <si>
    <t>Informing WIC participants of the details of the appeal process and their individual rights.</t>
  </si>
  <si>
    <t>246.9(h)</t>
  </si>
  <si>
    <t>Fair hearing procedures for participants</t>
  </si>
  <si>
    <t>246.10(b)(1)</t>
  </si>
  <si>
    <t>Identification of acceptable foods</t>
  </si>
  <si>
    <t>246.10(b(2)</t>
  </si>
  <si>
    <t>Submit APL as food list</t>
  </si>
  <si>
    <t>246.10(b)(2)(i);
246.10(e)</t>
  </si>
  <si>
    <t>Revised food list &amp; food packages training/implementation</t>
  </si>
  <si>
    <t>246.10(b)(2)(i)</t>
  </si>
  <si>
    <t>LA training on revised food list</t>
  </si>
  <si>
    <t>246.10(d)(1)</t>
  </si>
  <si>
    <t>Medical documentation, 1% of infants</t>
  </si>
  <si>
    <t>246.10(i)</t>
  </si>
  <si>
    <t>Plans for Substitutions</t>
  </si>
  <si>
    <t>246.11(d)(1), 246.7(b)</t>
  </si>
  <si>
    <t>LA nutrition education provision</t>
  </si>
  <si>
    <t>246.11(d)(2)</t>
  </si>
  <si>
    <t>LA nutrition education plan</t>
  </si>
  <si>
    <t>Implementation of food delivery system changes</t>
  </si>
  <si>
    <t>246.12(f)(3)</t>
  </si>
  <si>
    <t xml:space="preserve">Vendor identification </t>
  </si>
  <si>
    <t>246.12(f)(4)</t>
  </si>
  <si>
    <t>Split tender transactions</t>
  </si>
  <si>
    <t>246.12(g)(4)(i)</t>
  </si>
  <si>
    <t>Vendor food sales data</t>
  </si>
  <si>
    <t>246.12(g)(4)(ii)(B)</t>
  </si>
  <si>
    <t>Vendor shelf prices</t>
  </si>
  <si>
    <t xml:space="preserve">Vendor shelf prices exemption </t>
  </si>
  <si>
    <t>246.12(g)(4)(iii)</t>
  </si>
  <si>
    <t>Price Increases</t>
  </si>
  <si>
    <t>246.12(g)(5)</t>
  </si>
  <si>
    <t>Vendor initial preauthorization visits (onsite)</t>
  </si>
  <si>
    <t>Vendor initial preauthorization visits (virtual)</t>
  </si>
  <si>
    <t>246.12(g)(8)</t>
  </si>
  <si>
    <t>Application periods</t>
  </si>
  <si>
    <t>246.12(h)</t>
  </si>
  <si>
    <t xml:space="preserve">Review vendor applications &amp; agreements </t>
  </si>
  <si>
    <t>246.12(i)(1)</t>
  </si>
  <si>
    <t>Vendor training development</t>
  </si>
  <si>
    <t>Vendor training</t>
  </si>
  <si>
    <t>246.12(j)(2)</t>
  </si>
  <si>
    <t>Routine vendor monitoring (onsite)</t>
  </si>
  <si>
    <t>Routine vendor monitoring (virtual)</t>
  </si>
  <si>
    <t>246.12(j)(4)</t>
  </si>
  <si>
    <t>Vendor compliance investigations (onsite)</t>
  </si>
  <si>
    <t>Vendor compliance investigations (virtual)</t>
  </si>
  <si>
    <t>246.12(k)(5)</t>
  </si>
  <si>
    <t>FI and CVV redeemed after the specified period.</t>
  </si>
  <si>
    <t>246.12(l)(3)</t>
  </si>
  <si>
    <t>Notification of vendor violations</t>
  </si>
  <si>
    <t>246.12(m)</t>
  </si>
  <si>
    <t>Home food delivery systems</t>
  </si>
  <si>
    <t>246.12(o)</t>
  </si>
  <si>
    <t>Complaints</t>
  </si>
  <si>
    <t>246.12(p)</t>
  </si>
  <si>
    <t>Food instrument and cash-value voucher security</t>
  </si>
  <si>
    <t>246.12(q)</t>
  </si>
  <si>
    <t>Disposition of food instruments</t>
  </si>
  <si>
    <t>246.12(u)</t>
  </si>
  <si>
    <t>Participant Sanctions</t>
  </si>
  <si>
    <t>246.12(v)</t>
  </si>
  <si>
    <t>Farmers Market applications/agreements</t>
  </si>
  <si>
    <t>246.12(v)(6)</t>
  </si>
  <si>
    <t>Farmers Market Disqualificaitons</t>
  </si>
  <si>
    <t>246.12(bb)</t>
  </si>
  <si>
    <t>EBT Technical standards and requirements</t>
  </si>
  <si>
    <t>246.12(bb)(2)</t>
  </si>
  <si>
    <t>Transaction authentication policy development</t>
  </si>
  <si>
    <t>246.14(d)</t>
  </si>
  <si>
    <t>ADP proposals</t>
  </si>
  <si>
    <t>246.16(b)(3)(i)&amp;(ii)</t>
  </si>
  <si>
    <t>Food backspend and NSA spendforward authority</t>
  </si>
  <si>
    <t>246.16(d)</t>
  </si>
  <si>
    <t>Distribution of funds to LAs</t>
  </si>
  <si>
    <t>246.16(e)(2)(i) &amp; (ii)</t>
  </si>
  <si>
    <t xml:space="preserve">Food expenditure requirement waiver; NSA expenditure requirement good cause justification </t>
  </si>
  <si>
    <t>246.16a</t>
  </si>
  <si>
    <t>Infant Formula Cost Containment Procedures</t>
  </si>
  <si>
    <t>246.16a(f)</t>
  </si>
  <si>
    <t>Postponement Request</t>
  </si>
  <si>
    <t>246.16a(g)(1)-(4)</t>
  </si>
  <si>
    <t>Cost containment Procedures for other supplemental foods</t>
  </si>
  <si>
    <t>246.16a(j)</t>
  </si>
  <si>
    <t>Infant formula cost containment contracts remedies</t>
  </si>
  <si>
    <t>246.17(c)(1)</t>
  </si>
  <si>
    <t>Termination of SAs &amp; LAs</t>
  </si>
  <si>
    <t>Administrative Review of State agency actions</t>
  </si>
  <si>
    <t>246.19(a)(2)</t>
  </si>
  <si>
    <t>SA corrective action plans to FNS</t>
  </si>
  <si>
    <t>Observations</t>
  </si>
  <si>
    <t>246.19(b)(3)</t>
  </si>
  <si>
    <t>LA Monitoring</t>
  </si>
  <si>
    <t>246.19(b)(5)</t>
  </si>
  <si>
    <t>Targeted LA reviews</t>
  </si>
  <si>
    <t>246.20(a)(2)</t>
  </si>
  <si>
    <t>SA response to OIG audits</t>
  </si>
  <si>
    <t>246.20(b)</t>
  </si>
  <si>
    <t>SA Annual Audits</t>
  </si>
  <si>
    <t>246.22(b)(2)</t>
  </si>
  <si>
    <t>Administrative appeal</t>
  </si>
  <si>
    <t>246.23(a)(3)</t>
  </si>
  <si>
    <t>Claims against State agencies</t>
  </si>
  <si>
    <t>246.26(h)(3)</t>
  </si>
  <si>
    <t>Written agreements with public organization</t>
  </si>
  <si>
    <r>
      <t xml:space="preserve">Subtotal </t>
    </r>
    <r>
      <rPr>
        <b/>
        <i/>
        <sz val="11"/>
        <rFont val="Arial"/>
        <family val="2"/>
      </rPr>
      <t>Reporting: State and Local Agencies</t>
    </r>
  </si>
  <si>
    <t>Affected Public:  Individuals and Households:  Applicants for Program Benefits</t>
  </si>
  <si>
    <t>Cert. data for children</t>
  </si>
  <si>
    <t>Travel time for certification appointments</t>
  </si>
  <si>
    <t>246.7(o)</t>
  </si>
  <si>
    <t>Certification appointments</t>
  </si>
  <si>
    <t>Participant Appeals</t>
  </si>
  <si>
    <t>Medical documentation</t>
  </si>
  <si>
    <t>246.11(e)</t>
  </si>
  <si>
    <t xml:space="preserve">Nutrition Education </t>
  </si>
  <si>
    <t>246.12(r)(4) &amp; (r)(5)</t>
  </si>
  <si>
    <t>Offline EBT State agencies: Food instrument and cash-value voucher pick up (non-certification clinic visits)</t>
  </si>
  <si>
    <t>Online EBT State agencies: Food instrument and cash-value voucher pick up (non-certification clinic visits)</t>
  </si>
  <si>
    <t>Subtotal Reporting: Applicants</t>
  </si>
  <si>
    <t>Affected Public:  Business:  Retail Vendors (WIC-Authorized Food Stores) and Nonprofit Businesses</t>
  </si>
  <si>
    <t>Nonprofit Applications</t>
  </si>
  <si>
    <t>Local Agency Agreements</t>
  </si>
  <si>
    <t>Vendor food sales data for A50s</t>
  </si>
  <si>
    <t>Vendor initial preauthorization visits</t>
  </si>
  <si>
    <t xml:space="preserve">Vendor applications &amp; agreements </t>
  </si>
  <si>
    <t>246.12(h)(3)(xiii)</t>
  </si>
  <si>
    <t>Vendor training of staff</t>
  </si>
  <si>
    <t>246.12(h)(8)(i)</t>
  </si>
  <si>
    <t>Vendor incentive items</t>
  </si>
  <si>
    <t>246.12(i)</t>
  </si>
  <si>
    <t xml:space="preserve">Farmer/Market applications &amp; agreements </t>
  </si>
  <si>
    <t>246.12(v)(1)(v)</t>
  </si>
  <si>
    <t>Farmer/Market Training</t>
  </si>
  <si>
    <t>Infant Formula Manufacturer Rebates</t>
  </si>
  <si>
    <t>Infant formula contractor action plan</t>
  </si>
  <si>
    <t>246.18(a)(1)</t>
  </si>
  <si>
    <t>Vendor Appeals</t>
  </si>
  <si>
    <t>246.18(a)(4)</t>
  </si>
  <si>
    <t>Farmers Market Appeals</t>
  </si>
  <si>
    <t>Subtotal Reporting: Businesses</t>
  </si>
  <si>
    <t>GRAND SUBTOTAL: REPORTING</t>
  </si>
  <si>
    <t>RECORDKEEPING BURDEN ESTIMATES</t>
  </si>
  <si>
    <t>246.4(d)</t>
  </si>
  <si>
    <t>State Plan Record Maintenance</t>
  </si>
  <si>
    <t xml:space="preserve">246.4(a)(30); 246.16a(j) </t>
  </si>
  <si>
    <t>Emergency Period and Supply Chain Disruption Recordkeeping</t>
  </si>
  <si>
    <t xml:space="preserve"> </t>
  </si>
  <si>
    <t>246.12(g)(10)</t>
  </si>
  <si>
    <t>Vendor infant formula suppliers</t>
  </si>
  <si>
    <t>246.12(h)(1)(i)</t>
  </si>
  <si>
    <t>246.12(i)(4)</t>
  </si>
  <si>
    <t>Vendor training content</t>
  </si>
  <si>
    <t>246.12(j)(6)</t>
  </si>
  <si>
    <t>Routine vendor monitoring</t>
  </si>
  <si>
    <t>246.12(j)(6)(ii)</t>
  </si>
  <si>
    <t>Vendor compliance investigations</t>
  </si>
  <si>
    <t>Vendor notice of violations</t>
  </si>
  <si>
    <t>246.12(m)(2)(iii)</t>
  </si>
  <si>
    <t>246.19(b)</t>
  </si>
  <si>
    <t>SA Annual Audit</t>
  </si>
  <si>
    <t>246.23(c)(1)</t>
  </si>
  <si>
    <t>Disposition of participant claims</t>
  </si>
  <si>
    <t>246.25(a)</t>
  </si>
  <si>
    <t>Financial ops. &amp; food delivery sys.</t>
  </si>
  <si>
    <t xml:space="preserve">Nutrition education for women, infants, and children </t>
  </si>
  <si>
    <t>Fair hearings</t>
  </si>
  <si>
    <t>Subtotal Recordkeeping: State and Local Agencies</t>
  </si>
  <si>
    <t>246.12(h)(3)(xvi)</t>
  </si>
  <si>
    <t>Vendor inventory records</t>
  </si>
  <si>
    <t>Subtotal Recordkeeping: Businesses</t>
  </si>
  <si>
    <t>GRAND SUBTOTAL:  RECORDKEEPING</t>
  </si>
  <si>
    <t>PUBLIC DISCLOSURE BURDEN ESTIMATES</t>
  </si>
  <si>
    <t>246.5(d)(2)</t>
  </si>
  <si>
    <t>SA Public Notice for new LA</t>
  </si>
  <si>
    <t>Subtotal Public Disclosure: State and Local Agencies</t>
  </si>
  <si>
    <t>GRAND SUBTOTAL:  PUBLIC DISCLOSURE</t>
  </si>
  <si>
    <t>GRAND TOTAL: REPORTING, RECORDKEEPING, and PUBLIC DISCLOSURE</t>
  </si>
  <si>
    <t>SUMMARY OF REPORTING BURDEN (OMB #0584-0043)</t>
  </si>
  <si>
    <t>TOTAL NO. RESPONDENTS</t>
  </si>
  <si>
    <t>AVERAGE NO. RESPONSES PER RESPONDENT</t>
  </si>
  <si>
    <t>TOTAL ANNUAL RESPONSES</t>
  </si>
  <si>
    <t>AVERAGE HOURS PER RESPONSE</t>
  </si>
  <si>
    <t>TOTAL ANNUAL BURDEN HOURS REQUESTED</t>
  </si>
  <si>
    <t>CURRENT OMB INVENTORY</t>
  </si>
  <si>
    <t>DIFFERENCE</t>
  </si>
  <si>
    <t>SUMMARY OF RECORDKEEPING BURDEN (OMB #0584-0043)</t>
  </si>
  <si>
    <t>TOTAL NO. RECORDKEEPERS</t>
  </si>
  <si>
    <t>SUMMARY OF PUBLIC DISCLOSURE BURDEN (OMB #0584-0043)</t>
  </si>
  <si>
    <t>ANNUAL REPORTING &amp; RECORDKEEPING BURDEN (OMB #0584-0043)</t>
  </si>
  <si>
    <t>GRAND TOTAL - RESPONSES</t>
  </si>
  <si>
    <t>GRAND TOTAL - ANNUAL BURDEN HOURS</t>
  </si>
  <si>
    <t xml:space="preserve">                 APPENDIX F:  WIC Burden Table                                            </t>
  </si>
  <si>
    <t>Number of respondents per category</t>
  </si>
  <si>
    <t>Estimated Total Burden Hours</t>
  </si>
  <si>
    <t>Previous Submission: Total Hours per Person</t>
  </si>
  <si>
    <t>Explanation of Difference</t>
  </si>
  <si>
    <t>Program adjustment: Decrease in the number of State agencies. Re-estimate of burden from the proposed rule to the final rule results in no program changes.</t>
  </si>
  <si>
    <t>Program change: Implementation burden for trainings, status reports, and other State agency start up costs related to the final rule.</t>
  </si>
  <si>
    <t>Program change: Addition of internet vendors due to final rule. Program adjustments: Decrease in the number of A50 vendors and State agencies.</t>
  </si>
  <si>
    <t>Program change: Final rule permanently removes this requirement.</t>
  </si>
  <si>
    <t>Program adjustments: Adjustment of burden hours estimated for this activity based on public comment, decrease in the number of State agencies.</t>
  </si>
  <si>
    <t>Program change: Addition of internet vendors due to final rule.</t>
  </si>
  <si>
    <t>Program change: Addition of internet vendors due to final rule. Program adjustments: Adjustment of burden hours estimated for this activity based on public comment, increase in number of vendors.</t>
  </si>
  <si>
    <t>Program change: Addition of internet vendors due to final rule. Program adjustment: Increase in number of brick-and-mortar vendors.</t>
  </si>
  <si>
    <t>Program adjustments: Adjustment of burden hours estimated for this activity based on public comment, increase in number of vendors.</t>
  </si>
  <si>
    <t>246.12(bb)(1)</t>
  </si>
  <si>
    <t>System updates to allow online shopping, including return of benefits</t>
  </si>
  <si>
    <t>Program change: Implementation burden related to updating EBT and MIS systems due to the final rule.</t>
  </si>
  <si>
    <t>Program change: Implementation burden related to developing new authentication policies due to final rule.</t>
  </si>
  <si>
    <t>Re-estimate of burden from the proposed rule to the final rule results in no change in burden hours.</t>
  </si>
  <si>
    <t>Subtotal Reporting: State and Local Agencies</t>
  </si>
  <si>
    <t>Program change: Decrease in the frequency of responses due to the final rule. Program adjustments: Decrease in the number of offline EBT State agencies and increase in the number of participants.</t>
  </si>
  <si>
    <t>Program change: Final rule removes this requirement.</t>
  </si>
  <si>
    <t>Program change: Addition of internet vendors due to final rule. Program adjustment: Decrease in number of A50 vendors.</t>
  </si>
  <si>
    <t xml:space="preserve">Program change: Addition of internet vendors due to final rule. Program adjustment: Decrease in number of State agencies. </t>
  </si>
  <si>
    <t>Program change: Addition of internet vendors due to final rule. Program adjustments: Decrease in number of A50 vendors, increase in number of brick-and-mortar vendors.</t>
  </si>
  <si>
    <t>Program change: Implementation burden related to updating vendor systems due to the final rule.</t>
  </si>
  <si>
    <t>Program change: Addition of internet vendors due to final rule. Program adjustments: Increase in number of vendors, decrease in number of State agencies.</t>
  </si>
  <si>
    <t>Program change: Addition of internet vendors due to final rule. Program adjustment: More accurate reporting of number of A50 vendors.</t>
  </si>
  <si>
    <t>Annualized costs to respondents (A12.B)</t>
  </si>
  <si>
    <t>Respondent Type</t>
  </si>
  <si>
    <t>Mean Wage</t>
  </si>
  <si>
    <t xml:space="preserve">Base Annual </t>
  </si>
  <si>
    <t>Fringe (33%)</t>
  </si>
  <si>
    <t>Total Annual Cost</t>
  </si>
  <si>
    <t>State and local agency staff</t>
  </si>
  <si>
    <t>Vendor staff</t>
  </si>
  <si>
    <t>Applicants</t>
  </si>
  <si>
    <t>Totals</t>
  </si>
  <si>
    <t>2026 Pay Rates</t>
  </si>
  <si>
    <t>GS-11, Step 6</t>
  </si>
  <si>
    <t>Cost per FTE</t>
  </si>
  <si>
    <t>GS-12, Step 6</t>
  </si>
  <si>
    <t>Fringe per FTE</t>
  </si>
  <si>
    <t>GS-13, Step 6</t>
  </si>
  <si>
    <t>Total per FTE</t>
  </si>
  <si>
    <t>Average</t>
  </si>
  <si>
    <t>Source:</t>
  </si>
  <si>
    <t>https://www.opm.gov/policy-data-oversight/pay-leave/salaries-wages/2026/general-schedule/</t>
  </si>
  <si>
    <t>Costs to the Federal government (A14)</t>
  </si>
  <si>
    <t>Hours</t>
  </si>
  <si>
    <t>Hourly Wage</t>
  </si>
  <si>
    <t>Base</t>
  </si>
  <si>
    <t>Total for 1</t>
  </si>
  <si>
    <t>Num. FNS staff</t>
  </si>
  <si>
    <t>Total for all</t>
  </si>
  <si>
    <t>Mailing and telehpone</t>
  </si>
  <si>
    <t>Total Cost</t>
  </si>
  <si>
    <t>Explanation of Differences/Comments</t>
  </si>
  <si>
    <t>N/A</t>
  </si>
  <si>
    <t>Increase in number of burden hours due to program change due to final rule.</t>
  </si>
  <si>
    <t>One-time burden to explain program changes in the final rule to participants.</t>
  </si>
  <si>
    <t>246.9 (c)</t>
  </si>
  <si>
    <t>246.9 (h)</t>
  </si>
  <si>
    <t>Increase in burden hours due to program change due to final rule.</t>
  </si>
  <si>
    <t>246.10(b)(2)</t>
  </si>
  <si>
    <t>State agency burden for implementation and training activities related to the revised food lists and food packages in the final rule.</t>
  </si>
  <si>
    <t>One-time burden for SLT local agencies to attend training on revised food list.</t>
  </si>
  <si>
    <t xml:space="preserve">Decrease in number of retail vendors due to program change due to final rule. </t>
  </si>
  <si>
    <t>Review Vendor applications/agreements</t>
  </si>
  <si>
    <t>246.12(j)(2),(6)</t>
  </si>
  <si>
    <t>246.12(j)(4),(6)</t>
  </si>
  <si>
    <t>Farmers' Market applications/agreements</t>
  </si>
  <si>
    <t>Farmers' Market Disqualifications</t>
  </si>
  <si>
    <t>246.12(r)(4)</t>
  </si>
  <si>
    <t>One-time burden for non-profit local agencies to attend training on revised food list.</t>
  </si>
  <si>
    <t>Vendor Training</t>
  </si>
  <si>
    <t>Farmers' Market Appeals</t>
  </si>
  <si>
    <t>Vendor compliance Investigations</t>
  </si>
  <si>
    <t>Vendor Inventory Records</t>
  </si>
  <si>
    <t>ANNUAL TOTAL BURDEN (OMB #0584-0043)</t>
  </si>
  <si>
    <t>GRAND TOTAL - RESPONDENTS</t>
  </si>
  <si>
    <t>Previous Submission Totals</t>
  </si>
  <si>
    <t xml:space="preserve">                 APPENDIX F:  WIC Burden Table      OMB #0584-0043                                      </t>
  </si>
  <si>
    <t>Previous Submission: Total Hours Requested***</t>
  </si>
  <si>
    <t>Cert. data for women</t>
  </si>
  <si>
    <t>Increase in number of burden hours per request due to program change due to proposed rule. Decrease due to program adjustment from excluding estimate of non-profit businesses from SLT.</t>
  </si>
  <si>
    <t>One-time burden to explain program changes in the proposed rule to participants.</t>
  </si>
  <si>
    <t>Increase in burden hours due to program change due to proposed rule.</t>
  </si>
  <si>
    <r>
      <t>Submit APL as food list</t>
    </r>
    <r>
      <rPr>
        <sz val="11"/>
        <color rgb="FFFF0000"/>
        <rFont val="Arial"/>
        <family val="2"/>
      </rPr>
      <t xml:space="preserve"> </t>
    </r>
  </si>
  <si>
    <t>Develop and provide LAs training on revised food list</t>
  </si>
  <si>
    <t>One-time burden for State agencies to attend training (1 hour), and develop (3 hours) and provide training (1 hour) to local agencies, on revised food list.</t>
  </si>
  <si>
    <t xml:space="preserve">Decrease in number of retail vendors due to program change due to proposed rule. </t>
  </si>
  <si>
    <r>
      <t xml:space="preserve">Subtotal </t>
    </r>
    <r>
      <rPr>
        <b/>
        <i/>
        <sz val="11"/>
        <rFont val="Arial"/>
        <family val="2"/>
      </rPr>
      <t>Reporting: Applicants</t>
    </r>
  </si>
  <si>
    <t>Affected Public:  Retail Vendors (WIC-Authorized Food Stores) and Businesses (Non-Profit WIC Local Agencies)</t>
  </si>
  <si>
    <t>Increase due to program change due to proposed rule and program adjustment from separating out estimate of non-profit local agencies.</t>
  </si>
  <si>
    <t xml:space="preserve">Vendor applications &amp; Agreements </t>
  </si>
  <si>
    <r>
      <t xml:space="preserve">Subtotal </t>
    </r>
    <r>
      <rPr>
        <b/>
        <i/>
        <sz val="11"/>
        <rFont val="Arial"/>
        <family val="2"/>
      </rPr>
      <t>Reporting: Retail Vendors and Businesses *</t>
    </r>
  </si>
  <si>
    <t>GRAND SUBTOTAL: REPORTING**</t>
  </si>
  <si>
    <t>Nutrition ed. for women &amp; children</t>
  </si>
  <si>
    <t>Nutrition education for infants</t>
  </si>
  <si>
    <t>SUBTOTAL:  RECORDKEEPING</t>
  </si>
  <si>
    <t xml:space="preserve">GRAND TOTAL: REPORTING AND RECORDKEEPING </t>
  </si>
  <si>
    <t xml:space="preserve">*Total retail vendor data provided from The Integrity Profile (TIP) database on WIC vendor population. </t>
  </si>
  <si>
    <t xml:space="preserve">**In the Grand Subtotal: Reporting for the previous submission total burden hours was adjusted to 3,165,043 to match the ROCIS calculatuions. In the Excel calculations, this total is actually 3,165,043.8, which Excel rounds to 3,165,044.  ROCIS, however, did not round this total so </t>
  </si>
  <si>
    <t>the total previously submitted hours were adjusted to match.</t>
  </si>
  <si>
    <t>CURRENT OMB INVENTORY***</t>
  </si>
  <si>
    <t xml:space="preserve">***Previous Submission: Total Hours Requested reflects the currently approved burden hours from 2020 and hours identified as in use without OMB approval (10,188 for SA review of vendor agreements; 246.12(h)(1)(i)), which FNS is currently seeking approval for through a revision to OMB Control Number 0584-0043. </t>
  </si>
  <si>
    <t xml:space="preserve">                 APPENDIX I:  WIC Burden Table                                            </t>
  </si>
  <si>
    <t>Previous Sumbission: Total Hours per Person</t>
  </si>
  <si>
    <t>State Agencies</t>
  </si>
  <si>
    <t>Local Agencies</t>
  </si>
  <si>
    <t>Participants- Total</t>
  </si>
  <si>
    <t>Participants- Women</t>
  </si>
  <si>
    <t xml:space="preserve">Participants- Infants </t>
  </si>
  <si>
    <t>Participants- Children</t>
  </si>
  <si>
    <t>Vendors</t>
  </si>
  <si>
    <t>Farmers/Markets</t>
  </si>
  <si>
    <t>No Change</t>
  </si>
  <si>
    <t>Increase</t>
  </si>
  <si>
    <t>decrease</t>
  </si>
  <si>
    <t xml:space="preserve">Increase in number of local agencies. </t>
  </si>
  <si>
    <t>Increase due to not being reported in previous submission</t>
  </si>
  <si>
    <t>Cert. data for women and children</t>
  </si>
  <si>
    <t xml:space="preserve">Decrease in number of women certifications. </t>
  </si>
  <si>
    <t xml:space="preserve">Decrease in the number of children certifications but overall increase due to an increase in number of buden hours per request. </t>
  </si>
  <si>
    <t xml:space="preserve">Decrease in the number of infant certifications but overall increase due to an increase in number of buden hours per request. </t>
  </si>
  <si>
    <t>Decrease in number of total certifications.</t>
  </si>
  <si>
    <t xml:space="preserve">Decrease in number of infant certifications. (1% of infants) </t>
  </si>
  <si>
    <t>Decrease due to nonprofit local agencies being reported as businesses</t>
  </si>
  <si>
    <t xml:space="preserve">Decrease in the number of above-50-percent vendors. </t>
  </si>
  <si>
    <t xml:space="preserve">Decrease in the number of vendors. </t>
  </si>
  <si>
    <t>Review Vendor applicaitons/agreements</t>
  </si>
  <si>
    <t xml:space="preserve">Increase in the number of local agencies. </t>
  </si>
  <si>
    <t xml:space="preserve">Decrease in the number of women certificaitons, but an overall  increase in the number of burden hours per request. </t>
  </si>
  <si>
    <t xml:space="preserve">Decrease in the number of children certificaitons, but an overall  increase in the number of burden hours per request. </t>
  </si>
  <si>
    <t xml:space="preserve">Decrease in the number of infant certificaitons, but an overall  increase in the number of burden hours per request. </t>
  </si>
  <si>
    <t xml:space="preserve">Decrease in the number of infants. </t>
  </si>
  <si>
    <t>Decrease in number of participants.</t>
  </si>
  <si>
    <t>Nonprofit Applicaitons</t>
  </si>
  <si>
    <t xml:space="preserve">Increase in number of infant certifications. (1% of infants) </t>
  </si>
  <si>
    <t>Decrease in number of retail vendors.</t>
  </si>
  <si>
    <t xml:space="preserve">Decrease in number of retail vendors. </t>
  </si>
  <si>
    <t>246.12(h)(3)(viii)</t>
  </si>
  <si>
    <t xml:space="preserve">N/A </t>
  </si>
  <si>
    <t>246.18(a)(1),(3)</t>
  </si>
  <si>
    <t xml:space="preserve">Decrease in the number of retail vendors. </t>
  </si>
  <si>
    <t>246.19(a),(b),(c)</t>
  </si>
  <si>
    <t xml:space="preserve">Decrease in the number of participants. </t>
  </si>
  <si>
    <t xml:space="preserve">Subtotal Reporting: Retail Vendors </t>
  </si>
  <si>
    <t xml:space="preserve">Subtotal Recordkeeping: Retail Vendors </t>
  </si>
  <si>
    <t>Change in number of State agencies</t>
  </si>
  <si>
    <t>Change in number of local agencies.</t>
  </si>
  <si>
    <t>Decrease in number of child certifications.</t>
  </si>
  <si>
    <t xml:space="preserve">Decrease in number of infant certifciations.  </t>
  </si>
  <si>
    <t>Decrease due to use of minutes to hours conversion chart</t>
  </si>
  <si>
    <t>Decrease in number of State agencies.</t>
  </si>
  <si>
    <t>Change in number of local agencies</t>
  </si>
  <si>
    <t xml:space="preserve">Respondent group = the number of vendors that derive more of their revenue from WIC than from SNAP.  The number of respondents increased.  </t>
  </si>
  <si>
    <t>Decrease in number of vendors and State agencies results in proportionate decrease in reporting for vendor shelf prices.</t>
  </si>
  <si>
    <t>Decrease of 8 hours due to program change from streamlining the process. Increase in adjustment hours due to an expected increase in State agencies requesting this exemption (due to reduced hours to respond).</t>
  </si>
  <si>
    <t>Change in number of State agencies.</t>
  </si>
  <si>
    <t>Decrease in number of vendors results in proportionate decrease in training.</t>
  </si>
  <si>
    <t>Decrease in number of vendors results in proportionate decrease in estimated compliance investigations.</t>
  </si>
  <si>
    <t>Increase in the number of State agencies that have already transitioned to EBT due to the legislative mandate of state-wide EBT by October 1, 2020. Thus, fewer ADP proposals are anticipated.</t>
  </si>
  <si>
    <t>Program change decrease in 10 hours to develop action plan due to streamlining process. Decrease in 8.90 hours due to  change in number of State agencies and ME cycle.</t>
  </si>
  <si>
    <t xml:space="preserve">Increase due to items not previously included in estimate. Decrease in number of women certifications.  </t>
  </si>
  <si>
    <t xml:space="preserve">Increase due to items not previously included in estimate.  Decrease in number of children certifications. </t>
  </si>
  <si>
    <t xml:space="preserve">Increase due to items not previously included in estimate.  Decrease in number of infant certifications.  </t>
  </si>
  <si>
    <t>Increase in number of infant certifications. (1% of infants)</t>
  </si>
  <si>
    <t>Affected Public:  Business:  Retail Vendors (WIC-Authorized Food Stores)</t>
  </si>
  <si>
    <t>Decrease in number of retail vendors (% of total).</t>
  </si>
  <si>
    <t xml:space="preserve">Decrease in the number of above 50 percent vendors. </t>
  </si>
  <si>
    <t>Subtotal Reporting: Retail Vendors *</t>
  </si>
  <si>
    <t>increase due to use of minutes to hours conversion chart</t>
  </si>
  <si>
    <t>Decrease due to change in number of State agencies.</t>
  </si>
  <si>
    <t>Decrease in number of retail vendors results in proportionate decrease in applications and agreements</t>
  </si>
  <si>
    <t>Program change decrease in 1,029.1 hours due use of technology to streamline process. Decrease in 178 hours due to  change in number of State agencies and vendors</t>
  </si>
  <si>
    <t>Decrease in number of retail vendors results in proportionate decrease in vendor compliance investigations</t>
  </si>
  <si>
    <t>Decrease due to a decrease in the n umber of vendor violations.</t>
  </si>
  <si>
    <t>Decrease in number of local agencies.</t>
  </si>
  <si>
    <t>Decrease due to a decrease in women and child participants.</t>
  </si>
  <si>
    <t xml:space="preserve">Decrease in infant participants.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</si>
</sst>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4" formatCode="_(&quot;$&quot;* #,##0.00_);_(&quot;$&quot;* \(#,##0.00\);_(&quot;$&quot;* &quot;-&quot;??_);_(@_)"/>
    <numFmt numFmtId="43" formatCode="_(* #,##0.00_);_(* \(#,##0.00\);_(* &quot;-&quot;??_);_(@_)"/>
    <numFmt numFmtId="164" formatCode="#,##0.0"/>
    <numFmt numFmtId="165" formatCode="#,##0.0000"/>
    <numFmt numFmtId="166" formatCode="_(* #,##0.0000_);_(* \(#,##0.0000\);_(* &quot;-&quot;??_);_(@_)"/>
    <numFmt numFmtId="167" formatCode="_(&quot;$&quot;* #,##0_);_(&quot;$&quot;* \(#,##0\);_(&quot;$&quot;* &quot;-&quot;??_);_(@_)"/>
    <numFmt numFmtId="168" formatCode="#,##0.00000"/>
    <numFmt numFmtId="169" formatCode="#,##0.000"/>
    <numFmt numFmtId="170" formatCode="0.000000"/>
  </numFmts>
  <fonts count="28">
    <font>
      <sz val="10"/>
      <name val="Arial"/>
    </font>
    <font>
      <sz val="10"/>
      <name val="Arial"/>
      <family val="2"/>
    </font>
    <font>
      <sz val="11"/>
      <name val="Arial"/>
      <family val="2"/>
    </font>
    <font>
      <b/>
      <sz val="11"/>
      <name val="Arial"/>
      <family val="2"/>
    </font>
    <font>
      <i/>
      <sz val="11"/>
      <name val="Arial"/>
      <family val="2"/>
    </font>
    <font>
      <b/>
      <sz val="10"/>
      <name val="Arial"/>
      <family val="2"/>
    </font>
    <font>
      <b/>
      <i/>
      <sz val="11"/>
      <name val="Arial"/>
      <family val="2"/>
    </font>
    <font>
      <b/>
      <sz val="11"/>
      <color indexed="8"/>
      <name val="Arial Narrow"/>
      <family val="2"/>
    </font>
    <font>
      <sz val="11"/>
      <name val="Arial Narrow"/>
      <family val="2"/>
    </font>
    <font>
      <sz val="10"/>
      <color rgb="FFFF0000"/>
      <name val="Arial"/>
      <family val="2"/>
    </font>
    <font>
      <b/>
      <sz val="10"/>
      <color rgb="FFFF0000"/>
      <name val="Arial"/>
      <family val="2"/>
    </font>
    <font>
      <sz val="11"/>
      <color rgb="FF000000"/>
      <name val="Arial"/>
      <family val="2"/>
    </font>
    <font>
      <b/>
      <sz val="11"/>
      <color rgb="FF000000"/>
      <name val="Arial"/>
      <family val="2"/>
    </font>
    <font>
      <i/>
      <sz val="11"/>
      <color rgb="FF000000"/>
      <name val="Arial"/>
      <family val="2"/>
    </font>
    <font>
      <sz val="11"/>
      <color rgb="FF444444"/>
      <name val="Arial"/>
      <family val="2"/>
    </font>
    <font>
      <b/>
      <sz val="11"/>
      <color indexed="8"/>
      <name val="Arial"/>
      <family val="2"/>
    </font>
    <font>
      <sz val="11"/>
      <color rgb="FFFF0000"/>
      <name val="Arial"/>
      <family val="2"/>
    </font>
    <font>
      <b/>
      <sz val="11"/>
      <color rgb="FFFF0000"/>
      <name val="Arial"/>
      <family val="2"/>
    </font>
    <font>
      <i/>
      <sz val="11"/>
      <color rgb="FFFF0000"/>
      <name val="Arial"/>
      <family val="2"/>
    </font>
    <font>
      <sz val="11"/>
      <color rgb="FF00B050"/>
      <name val="Arial"/>
      <family val="2"/>
    </font>
    <font>
      <sz val="10"/>
      <name val="Arial"/>
      <family val="2"/>
    </font>
    <font>
      <sz val="10"/>
      <name val="Arial"/>
      <family val="2"/>
    </font>
    <font>
      <sz val="11"/>
      <color rgb="FF0070C0"/>
      <name val="Arial"/>
      <family val="2"/>
    </font>
    <font>
      <sz val="11"/>
      <name val="Aptos"/>
      <family val="2"/>
    </font>
    <font>
      <sz val="10"/>
      <name val="Arial"/>
      <family val="2"/>
    </font>
    <font>
      <b/>
      <sz val="11"/>
      <color rgb="FF000000"/>
      <name val="Calibri"/>
      <family val="2"/>
    </font>
    <font>
      <sz val="11"/>
      <color rgb="FF000000"/>
      <name val="Calibri"/>
      <family val="2"/>
    </font>
    <font>
      <u/>
      <sz val="10"/>
      <color theme="10"/>
      <name val="Arial"/>
    </font>
  </fonts>
  <fills count="18">
    <fill>
      <patternFill patternType="none"/>
    </fill>
    <fill>
      <patternFill patternType="gray125"/>
    </fill>
    <fill>
      <patternFill patternType="solid">
        <fgColor theme="6"/>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7B6CC"/>
        <bgColor indexed="64"/>
      </patternFill>
    </fill>
    <fill>
      <patternFill patternType="solid">
        <fgColor rgb="FFF2F2F2"/>
        <bgColor rgb="FF000000"/>
      </patternFill>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rgb="FFEDEDED"/>
        <bgColor rgb="FF000000"/>
      </patternFill>
    </fill>
  </fills>
  <borders count="56">
    <border>
      <left/>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theme="3" tint="0.79998168889431442"/>
      </top>
      <bottom/>
      <diagonal/>
    </border>
    <border>
      <left style="thin">
        <color indexed="64"/>
      </left>
      <right style="thin">
        <color indexed="64"/>
      </right>
      <top style="thin">
        <color theme="3" tint="0.79998168889431442"/>
      </top>
      <bottom style="thin">
        <color theme="3" tint="0.79998168889431442"/>
      </bottom>
      <diagonal/>
    </border>
    <border>
      <left style="thin">
        <color indexed="64"/>
      </left>
      <right style="thin">
        <color indexed="64"/>
      </right>
      <top/>
      <bottom style="thin">
        <color theme="3" tint="0.79998168889431442"/>
      </bottom>
      <diagonal/>
    </border>
    <border>
      <left/>
      <right style="thin">
        <color rgb="FF000000"/>
      </right>
      <top/>
      <bottom/>
      <diagonal/>
    </border>
    <border>
      <left/>
      <right style="thin">
        <color rgb="FF000000"/>
      </right>
      <top style="thin">
        <color rgb="FF000000"/>
      </top>
      <bottom/>
      <diagonal/>
    </border>
    <border>
      <left style="thin">
        <color indexed="64"/>
      </left>
      <right style="thin">
        <color rgb="FF000000"/>
      </right>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bottom style="thin">
        <color indexed="64"/>
      </bottom>
      <diagonal/>
    </border>
    <border>
      <left style="medium">
        <color indexed="64"/>
      </left>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indexed="64"/>
      </left>
      <right/>
      <top style="medium">
        <color indexed="64"/>
      </top>
      <bottom/>
      <diagonal/>
    </border>
    <border>
      <left style="medium">
        <color rgb="FF000000"/>
      </left>
      <right style="medium">
        <color rgb="FF000000"/>
      </right>
      <top style="medium">
        <color rgb="FF000000"/>
      </top>
      <bottom/>
      <diagonal/>
    </border>
    <border>
      <left/>
      <right style="thin">
        <color rgb="FF000000"/>
      </right>
      <top style="medium">
        <color indexed="64"/>
      </top>
      <bottom/>
      <diagonal/>
    </border>
    <border>
      <left/>
      <right/>
      <top style="medium">
        <color rgb="FF000000"/>
      </top>
      <bottom style="medium">
        <color rgb="FF000000"/>
      </bottom>
      <diagonal/>
    </border>
    <border>
      <left/>
      <right/>
      <top/>
      <bottom style="thin">
        <color indexed="64"/>
      </bottom>
      <diagonal/>
    </border>
    <border>
      <left/>
      <right style="medium">
        <color rgb="FF000000"/>
      </right>
      <top style="medium">
        <color indexed="64"/>
      </top>
      <bottom style="medium">
        <color indexed="64"/>
      </bottom>
      <diagonal/>
    </border>
    <border>
      <left/>
      <right style="thin">
        <color rgb="FF000000"/>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thin">
        <color rgb="FF000000"/>
      </left>
      <right style="thin">
        <color indexed="64"/>
      </right>
      <top/>
      <bottom style="medium">
        <color indexed="64"/>
      </bottom>
      <diagonal/>
    </border>
    <border>
      <left style="thin">
        <color rgb="FF000000"/>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thin">
        <color theme="3" tint="0.79998168889431442"/>
      </top>
      <bottom style="thin">
        <color theme="3" tint="0.79998168889431442"/>
      </bottom>
      <diagonal/>
    </border>
  </borders>
  <cellStyleXfs count="9">
    <xf numFmtId="0" fontId="0" fillId="0" borderId="0"/>
    <xf numFmtId="43" fontId="1" fillId="0" borderId="0" applyFont="0" applyFill="0" applyBorder="0" applyAlignment="0" applyProtection="0"/>
    <xf numFmtId="0" fontId="1" fillId="0" borderId="0"/>
    <xf numFmtId="44" fontId="20" fillId="0" borderId="0" applyFont="0" applyFill="0" applyBorder="0" applyAlignment="0" applyProtection="0"/>
    <xf numFmtId="44" fontId="2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0" fontId="27" fillId="0" borderId="0" applyNumberFormat="0" applyFill="0" applyBorder="0" applyAlignment="0" applyProtection="0"/>
  </cellStyleXfs>
  <cellXfs count="648">
    <xf numFmtId="0" fontId="0" fillId="0" borderId="0" xfId="0"/>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43" fontId="3" fillId="0" borderId="0" xfId="1" applyFont="1" applyBorder="1" applyAlignment="1">
      <alignment horizontal="center" vertical="center" wrapText="1"/>
    </xf>
    <xf numFmtId="43" fontId="3" fillId="0" borderId="1" xfId="1" applyFont="1" applyBorder="1" applyAlignment="1">
      <alignment horizontal="center" vertical="center" wrapText="1"/>
    </xf>
    <xf numFmtId="43" fontId="3" fillId="0" borderId="2" xfId="1" applyFont="1" applyBorder="1" applyAlignment="1">
      <alignment horizontal="center" vertical="center" wrapText="1"/>
    </xf>
    <xf numFmtId="0" fontId="4" fillId="0" borderId="5"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wrapText="1"/>
    </xf>
    <xf numFmtId="3" fontId="3" fillId="7" borderId="13" xfId="1" applyNumberFormat="1" applyFont="1" applyFill="1" applyBorder="1" applyAlignment="1">
      <alignment horizontal="right" vertical="center" wrapText="1"/>
    </xf>
    <xf numFmtId="4" fontId="4" fillId="0" borderId="4" xfId="1" applyNumberFormat="1" applyFont="1" applyBorder="1" applyAlignment="1">
      <alignment horizontal="right" vertical="center" wrapText="1"/>
    </xf>
    <xf numFmtId="3" fontId="3" fillId="7" borderId="8" xfId="1" applyNumberFormat="1" applyFont="1" applyFill="1" applyBorder="1" applyAlignment="1">
      <alignment horizontal="right" vertical="center" wrapText="1"/>
    </xf>
    <xf numFmtId="3" fontId="6" fillId="7" borderId="8" xfId="1" applyNumberFormat="1" applyFont="1" applyFill="1" applyBorder="1" applyAlignment="1">
      <alignment horizontal="right" vertical="center" wrapText="1"/>
    </xf>
    <xf numFmtId="3" fontId="3" fillId="7" borderId="14" xfId="1" applyNumberFormat="1" applyFont="1" applyFill="1" applyBorder="1" applyAlignment="1">
      <alignment horizontal="right" vertical="center" wrapText="1"/>
    </xf>
    <xf numFmtId="3" fontId="3" fillId="6" borderId="8" xfId="1" applyNumberFormat="1" applyFont="1" applyFill="1" applyBorder="1" applyAlignment="1">
      <alignment horizontal="right" vertical="center" wrapText="1"/>
    </xf>
    <xf numFmtId="0" fontId="9" fillId="0" borderId="0" xfId="0" applyFont="1" applyAlignment="1">
      <alignment horizontal="center" vertical="center" wrapText="1"/>
    </xf>
    <xf numFmtId="4" fontId="2" fillId="0" borderId="6" xfId="1" applyNumberFormat="1" applyFont="1" applyBorder="1" applyAlignment="1">
      <alignment horizontal="right" vertical="center" wrapText="1"/>
    </xf>
    <xf numFmtId="4" fontId="2" fillId="0" borderId="6" xfId="1" applyNumberFormat="1" applyFont="1" applyFill="1" applyBorder="1" applyAlignment="1">
      <alignment horizontal="right" vertical="center" wrapText="1"/>
    </xf>
    <xf numFmtId="43" fontId="3" fillId="8" borderId="0" xfId="1" applyFont="1" applyFill="1" applyBorder="1" applyAlignment="1">
      <alignment horizontal="center" vertical="center" wrapText="1"/>
    </xf>
    <xf numFmtId="43" fontId="3" fillId="8" borderId="1" xfId="1" applyFont="1" applyFill="1" applyBorder="1" applyAlignment="1">
      <alignment horizontal="center" vertical="center" wrapText="1"/>
    </xf>
    <xf numFmtId="4" fontId="2" fillId="0" borderId="4" xfId="1" applyNumberFormat="1" applyFont="1" applyBorder="1" applyAlignment="1">
      <alignment horizontal="right" vertical="center" wrapText="1"/>
    </xf>
    <xf numFmtId="4" fontId="2" fillId="0" borderId="4" xfId="1" applyNumberFormat="1" applyFont="1" applyFill="1" applyBorder="1" applyAlignment="1">
      <alignment horizontal="right" vertical="center" wrapText="1"/>
    </xf>
    <xf numFmtId="4" fontId="2" fillId="0" borderId="4" xfId="0" applyNumberFormat="1" applyFont="1" applyBorder="1" applyAlignment="1">
      <alignment horizontal="right" vertical="center" wrapText="1"/>
    </xf>
    <xf numFmtId="4" fontId="4" fillId="0" borderId="4" xfId="1" applyNumberFormat="1" applyFont="1" applyFill="1" applyBorder="1" applyAlignment="1">
      <alignment horizontal="right" vertical="center" wrapText="1"/>
    </xf>
    <xf numFmtId="0" fontId="10" fillId="0" borderId="0" xfId="0" applyFont="1" applyAlignment="1">
      <alignment horizontal="center" vertical="center" wrapText="1"/>
    </xf>
    <xf numFmtId="4" fontId="2" fillId="0" borderId="0" xfId="1" applyNumberFormat="1" applyFont="1" applyFill="1" applyBorder="1" applyAlignment="1">
      <alignment horizontal="right" vertical="center" wrapText="1"/>
    </xf>
    <xf numFmtId="4" fontId="3" fillId="6" borderId="8" xfId="1" applyNumberFormat="1" applyFont="1" applyFill="1" applyBorder="1" applyAlignment="1">
      <alignment horizontal="right" vertical="center" wrapText="1"/>
    </xf>
    <xf numFmtId="0" fontId="1" fillId="0" borderId="0" xfId="0" applyFont="1" applyAlignment="1">
      <alignment wrapText="1"/>
    </xf>
    <xf numFmtId="43" fontId="3" fillId="0" borderId="0" xfId="1" applyFont="1" applyFill="1" applyBorder="1" applyAlignment="1">
      <alignment horizontal="center" vertical="center" wrapText="1"/>
    </xf>
    <xf numFmtId="3" fontId="3" fillId="0" borderId="0" xfId="0" applyNumberFormat="1" applyFont="1" applyAlignment="1">
      <alignment wrapText="1"/>
    </xf>
    <xf numFmtId="4" fontId="2" fillId="0" borderId="12" xfId="0" applyNumberFormat="1" applyFont="1" applyBorder="1" applyAlignment="1">
      <alignment horizontal="center" vertical="center" wrapText="1"/>
    </xf>
    <xf numFmtId="4" fontId="3" fillId="7" borderId="13" xfId="1" applyNumberFormat="1" applyFont="1" applyFill="1" applyBorder="1" applyAlignment="1">
      <alignment horizontal="right" vertical="center" wrapText="1"/>
    </xf>
    <xf numFmtId="4" fontId="3" fillId="7" borderId="8" xfId="1" applyNumberFormat="1" applyFont="1" applyFill="1" applyBorder="1" applyAlignment="1">
      <alignment horizontal="right" vertical="center" wrapText="1"/>
    </xf>
    <xf numFmtId="4" fontId="2" fillId="0" borderId="0" xfId="0" applyNumberFormat="1" applyFont="1" applyAlignment="1">
      <alignment wrapText="1"/>
    </xf>
    <xf numFmtId="4" fontId="0" fillId="0" borderId="0" xfId="0" applyNumberFormat="1" applyAlignment="1">
      <alignment wrapText="1"/>
    </xf>
    <xf numFmtId="4" fontId="2" fillId="9" borderId="0" xfId="1" applyNumberFormat="1" applyFont="1" applyFill="1" applyBorder="1" applyAlignment="1">
      <alignment horizontal="right" vertical="center" wrapText="1"/>
    </xf>
    <xf numFmtId="4" fontId="2" fillId="9" borderId="4" xfId="1" applyNumberFormat="1" applyFont="1" applyFill="1" applyBorder="1" applyAlignment="1">
      <alignment horizontal="right" vertical="center" wrapText="1"/>
    </xf>
    <xf numFmtId="4" fontId="2" fillId="9" borderId="0" xfId="0" applyNumberFormat="1" applyFont="1" applyFill="1" applyAlignment="1">
      <alignment horizontal="right" vertical="center" wrapText="1"/>
    </xf>
    <xf numFmtId="4" fontId="2" fillId="9" borderId="4" xfId="0" applyNumberFormat="1" applyFont="1" applyFill="1" applyBorder="1" applyAlignment="1">
      <alignment horizontal="right" vertical="center" wrapText="1"/>
    </xf>
    <xf numFmtId="4" fontId="2" fillId="8" borderId="4" xfId="1" applyNumberFormat="1" applyFont="1" applyFill="1" applyBorder="1" applyAlignment="1">
      <alignment horizontal="right" vertical="center" wrapText="1"/>
    </xf>
    <xf numFmtId="4" fontId="2" fillId="8" borderId="5" xfId="1" applyNumberFormat="1" applyFont="1" applyFill="1" applyBorder="1" applyAlignment="1">
      <alignment horizontal="right" vertical="center" wrapText="1"/>
    </xf>
    <xf numFmtId="4" fontId="2" fillId="9" borderId="6" xfId="1" applyNumberFormat="1" applyFont="1" applyFill="1" applyBorder="1" applyAlignment="1">
      <alignment horizontal="right" vertical="center" wrapText="1"/>
    </xf>
    <xf numFmtId="4" fontId="4" fillId="9" borderId="4" xfId="1" applyNumberFormat="1" applyFont="1" applyFill="1" applyBorder="1" applyAlignment="1">
      <alignment horizontal="right" vertical="center" wrapText="1"/>
    </xf>
    <xf numFmtId="0" fontId="10" fillId="0" borderId="0" xfId="0" applyFont="1" applyAlignment="1">
      <alignment horizontal="left" vertical="center" wrapText="1"/>
    </xf>
    <xf numFmtId="3" fontId="9" fillId="0" borderId="0" xfId="0" applyNumberFormat="1" applyFont="1" applyAlignment="1">
      <alignment horizontal="right" vertical="center" wrapText="1"/>
    </xf>
    <xf numFmtId="3" fontId="9" fillId="0" borderId="0" xfId="0" applyNumberFormat="1" applyFont="1" applyAlignment="1">
      <alignment horizontal="center" vertical="center" wrapText="1"/>
    </xf>
    <xf numFmtId="3" fontId="9" fillId="0" borderId="0" xfId="0" applyNumberFormat="1" applyFont="1" applyAlignment="1">
      <alignment wrapText="1"/>
    </xf>
    <xf numFmtId="0" fontId="5" fillId="0" borderId="0" xfId="0" applyFont="1" applyAlignment="1">
      <alignment horizontal="center" vertical="center" wrapText="1"/>
    </xf>
    <xf numFmtId="0" fontId="9" fillId="0" borderId="0" xfId="0" applyFont="1" applyAlignment="1">
      <alignment wrapText="1"/>
    </xf>
    <xf numFmtId="43" fontId="0" fillId="0" borderId="0" xfId="1" applyFont="1" applyAlignment="1">
      <alignment wrapText="1"/>
    </xf>
    <xf numFmtId="164" fontId="0" fillId="0" borderId="0" xfId="0" applyNumberFormat="1" applyAlignment="1">
      <alignment wrapText="1"/>
    </xf>
    <xf numFmtId="4" fontId="2" fillId="0" borderId="23" xfId="0" applyNumberFormat="1" applyFont="1" applyBorder="1" applyAlignment="1">
      <alignment horizontal="right" vertical="center" wrapText="1"/>
    </xf>
    <xf numFmtId="4" fontId="2" fillId="0" borderId="24" xfId="0" applyNumberFormat="1" applyFont="1" applyBorder="1" applyAlignment="1">
      <alignment horizontal="right" vertical="center" wrapText="1"/>
    </xf>
    <xf numFmtId="4" fontId="2" fillId="0" borderId="25" xfId="0" applyNumberFormat="1" applyFont="1" applyBorder="1" applyAlignment="1">
      <alignment horizontal="right" vertical="center" wrapText="1"/>
    </xf>
    <xf numFmtId="4" fontId="2" fillId="9" borderId="24" xfId="0" applyNumberFormat="1" applyFont="1" applyFill="1" applyBorder="1" applyAlignment="1">
      <alignment horizontal="right" vertical="center" wrapText="1"/>
    </xf>
    <xf numFmtId="4" fontId="2" fillId="0" borderId="6" xfId="0" applyNumberFormat="1" applyFont="1" applyBorder="1" applyAlignment="1">
      <alignment horizontal="right" vertical="center" wrapText="1"/>
    </xf>
    <xf numFmtId="0" fontId="3" fillId="9" borderId="4" xfId="0" applyFont="1" applyFill="1" applyBorder="1" applyAlignment="1">
      <alignment horizontal="left" vertical="center" wrapText="1"/>
    </xf>
    <xf numFmtId="4" fontId="1" fillId="9" borderId="4" xfId="2" applyNumberFormat="1" applyFill="1" applyBorder="1" applyAlignment="1">
      <alignment vertical="center" wrapText="1"/>
    </xf>
    <xf numFmtId="0" fontId="2" fillId="9" borderId="4" xfId="0" applyFont="1" applyFill="1" applyBorder="1" applyAlignment="1">
      <alignment horizontal="left" vertical="center" wrapText="1"/>
    </xf>
    <xf numFmtId="4" fontId="1" fillId="0" borderId="0" xfId="0" applyNumberFormat="1" applyFont="1" applyAlignment="1">
      <alignment wrapText="1"/>
    </xf>
    <xf numFmtId="0" fontId="2" fillId="0" borderId="0" xfId="0" applyFont="1"/>
    <xf numFmtId="4" fontId="4" fillId="9" borderId="5" xfId="1" applyNumberFormat="1" applyFont="1" applyFill="1" applyBorder="1" applyAlignment="1">
      <alignment horizontal="right" vertical="center" wrapText="1"/>
    </xf>
    <xf numFmtId="0" fontId="2" fillId="0" borderId="4" xfId="0" applyFont="1" applyBorder="1" applyAlignment="1">
      <alignment horizontal="left" vertical="center" wrapText="1"/>
    </xf>
    <xf numFmtId="4" fontId="0" fillId="0" borderId="4" xfId="0" applyNumberFormat="1" applyBorder="1" applyAlignment="1">
      <alignment vertical="center" wrapText="1"/>
    </xf>
    <xf numFmtId="4" fontId="1" fillId="0" borderId="4" xfId="0" applyNumberFormat="1" applyFont="1" applyBorder="1" applyAlignment="1">
      <alignment vertical="center" wrapText="1"/>
    </xf>
    <xf numFmtId="0" fontId="1" fillId="0" borderId="4" xfId="0" applyFont="1" applyBorder="1" applyAlignment="1">
      <alignment vertical="center" wrapText="1"/>
    </xf>
    <xf numFmtId="0" fontId="1" fillId="9" borderId="4" xfId="0" applyFont="1" applyFill="1" applyBorder="1" applyAlignment="1">
      <alignment vertical="center" wrapText="1"/>
    </xf>
    <xf numFmtId="4" fontId="0" fillId="9" borderId="24" xfId="0" applyNumberFormat="1" applyFill="1" applyBorder="1" applyAlignment="1">
      <alignment vertical="center" wrapText="1"/>
    </xf>
    <xf numFmtId="0" fontId="1" fillId="0" borderId="23" xfId="0" applyFont="1" applyBorder="1" applyAlignment="1">
      <alignment vertical="center" wrapText="1"/>
    </xf>
    <xf numFmtId="4" fontId="1" fillId="0" borderId="23" xfId="0" applyNumberFormat="1" applyFont="1" applyBorder="1" applyAlignment="1">
      <alignment vertical="center" wrapText="1"/>
    </xf>
    <xf numFmtId="4" fontId="1" fillId="9" borderId="4" xfId="0" applyNumberFormat="1" applyFont="1" applyFill="1" applyBorder="1" applyAlignment="1">
      <alignment vertical="center" wrapText="1"/>
    </xf>
    <xf numFmtId="0" fontId="3" fillId="0" borderId="4" xfId="0" applyFont="1" applyBorder="1" applyAlignment="1">
      <alignment horizontal="left" vertical="center" wrapText="1"/>
    </xf>
    <xf numFmtId="49" fontId="3" fillId="9" borderId="4" xfId="0" applyNumberFormat="1" applyFont="1" applyFill="1" applyBorder="1" applyAlignment="1">
      <alignment horizontal="left" vertical="center" wrapText="1"/>
    </xf>
    <xf numFmtId="4" fontId="0" fillId="7" borderId="7" xfId="0" applyNumberFormat="1" applyFill="1" applyBorder="1" applyAlignment="1">
      <alignment vertical="center" wrapText="1"/>
    </xf>
    <xf numFmtId="0" fontId="1" fillId="0" borderId="12" xfId="0" applyFont="1" applyBorder="1" applyAlignment="1">
      <alignment vertical="center" wrapText="1"/>
    </xf>
    <xf numFmtId="0" fontId="3" fillId="0" borderId="5" xfId="0" applyFont="1" applyBorder="1" applyAlignment="1">
      <alignment horizontal="left" vertical="center" wrapText="1"/>
    </xf>
    <xf numFmtId="0" fontId="1" fillId="0" borderId="11" xfId="0" applyFont="1" applyBorder="1" applyAlignment="1">
      <alignment vertical="center" wrapText="1"/>
    </xf>
    <xf numFmtId="4" fontId="0" fillId="7" borderId="19" xfId="0" applyNumberFormat="1" applyFill="1" applyBorder="1" applyAlignment="1">
      <alignment vertical="center" wrapText="1"/>
    </xf>
    <xf numFmtId="4" fontId="0" fillId="7" borderId="20" xfId="0" applyNumberFormat="1" applyFill="1" applyBorder="1" applyAlignment="1">
      <alignment vertical="center" wrapText="1"/>
    </xf>
    <xf numFmtId="0" fontId="3" fillId="9" borderId="5" xfId="0" applyFont="1" applyFill="1" applyBorder="1" applyAlignment="1">
      <alignment horizontal="left" vertical="center" wrapText="1"/>
    </xf>
    <xf numFmtId="49" fontId="1" fillId="9" borderId="4" xfId="0" applyNumberFormat="1" applyFont="1" applyFill="1" applyBorder="1" applyAlignment="1">
      <alignment vertical="center" wrapText="1"/>
    </xf>
    <xf numFmtId="0" fontId="1" fillId="0" borderId="4" xfId="2" applyBorder="1" applyAlignment="1">
      <alignment vertical="center" wrapText="1"/>
    </xf>
    <xf numFmtId="4" fontId="1" fillId="0" borderId="4" xfId="2" applyNumberFormat="1" applyBorder="1" applyAlignment="1">
      <alignment vertical="center" wrapText="1"/>
    </xf>
    <xf numFmtId="4" fontId="0" fillId="0" borderId="4" xfId="0" applyNumberFormat="1" applyBorder="1" applyAlignment="1">
      <alignment vertical="center"/>
    </xf>
    <xf numFmtId="4" fontId="2" fillId="0" borderId="0" xfId="0" applyNumberFormat="1" applyFont="1" applyAlignment="1">
      <alignment vertical="center" wrapText="1"/>
    </xf>
    <xf numFmtId="4" fontId="0" fillId="7" borderId="8" xfId="0" applyNumberFormat="1" applyFill="1" applyBorder="1" applyAlignment="1">
      <alignment vertical="center" wrapText="1"/>
    </xf>
    <xf numFmtId="4" fontId="0" fillId="6" borderId="22" xfId="0" applyNumberFormat="1" applyFill="1" applyBorder="1" applyAlignment="1">
      <alignment vertical="center" wrapText="1"/>
    </xf>
    <xf numFmtId="3" fontId="11" fillId="0" borderId="0" xfId="0" applyNumberFormat="1" applyFont="1"/>
    <xf numFmtId="3" fontId="2" fillId="0" borderId="0" xfId="0" applyNumberFormat="1" applyFont="1"/>
    <xf numFmtId="0" fontId="1" fillId="0" borderId="11" xfId="0" applyFont="1" applyBorder="1" applyAlignment="1">
      <alignment horizontal="left" vertical="center" wrapText="1"/>
    </xf>
    <xf numFmtId="2" fontId="2" fillId="0" borderId="6" xfId="1" applyNumberFormat="1" applyFont="1" applyBorder="1" applyAlignment="1">
      <alignment horizontal="right" vertical="center" wrapText="1"/>
    </xf>
    <xf numFmtId="3" fontId="3" fillId="10" borderId="8" xfId="1" applyNumberFormat="1" applyFont="1" applyFill="1" applyBorder="1" applyAlignment="1">
      <alignment horizontal="right" vertical="center" wrapText="1"/>
    </xf>
    <xf numFmtId="3" fontId="3" fillId="11" borderId="8" xfId="1" applyNumberFormat="1" applyFont="1" applyFill="1" applyBorder="1" applyAlignment="1">
      <alignment horizontal="right" vertical="center" wrapText="1"/>
    </xf>
    <xf numFmtId="3" fontId="6" fillId="6" borderId="8" xfId="1" applyNumberFormat="1" applyFont="1" applyFill="1" applyBorder="1" applyAlignment="1">
      <alignment horizontal="right" vertical="center" wrapText="1"/>
    </xf>
    <xf numFmtId="4" fontId="0" fillId="9" borderId="4" xfId="0" applyNumberFormat="1" applyFill="1" applyBorder="1" applyAlignment="1">
      <alignment vertical="center" wrapText="1"/>
    </xf>
    <xf numFmtId="4" fontId="2" fillId="9" borderId="5" xfId="0" applyNumberFormat="1" applyFont="1" applyFill="1" applyBorder="1" applyAlignment="1">
      <alignment horizontal="right" vertical="center" wrapText="1"/>
    </xf>
    <xf numFmtId="0" fontId="3" fillId="0" borderId="4" xfId="0" applyFont="1" applyBorder="1" applyAlignment="1">
      <alignment horizontal="right" vertical="center" wrapText="1"/>
    </xf>
    <xf numFmtId="0" fontId="3" fillId="0" borderId="3" xfId="0" applyFont="1" applyBorder="1" applyAlignment="1">
      <alignment horizontal="left" vertical="center" wrapText="1"/>
    </xf>
    <xf numFmtId="0" fontId="2" fillId="0" borderId="0" xfId="0" applyFont="1" applyAlignment="1">
      <alignment horizontal="left" wrapText="1"/>
    </xf>
    <xf numFmtId="0" fontId="2" fillId="0" borderId="21" xfId="0" applyFont="1" applyBorder="1" applyAlignment="1">
      <alignment horizontal="left" vertical="center" wrapText="1"/>
    </xf>
    <xf numFmtId="0" fontId="2" fillId="0" borderId="4" xfId="0" applyFont="1" applyBorder="1" applyAlignment="1">
      <alignment horizontal="left" vertical="center"/>
    </xf>
    <xf numFmtId="0" fontId="12" fillId="0" borderId="4" xfId="0" applyFont="1" applyBorder="1" applyAlignment="1">
      <alignment horizontal="right" vertical="center" wrapText="1"/>
    </xf>
    <xf numFmtId="0" fontId="11" fillId="0" borderId="4" xfId="0" applyFont="1" applyBorder="1" applyAlignment="1">
      <alignment horizontal="left" vertical="center" wrapText="1"/>
    </xf>
    <xf numFmtId="4" fontId="11" fillId="0" borderId="4" xfId="1" applyNumberFormat="1" applyFont="1" applyFill="1" applyBorder="1" applyAlignment="1">
      <alignment horizontal="right" vertical="center" wrapText="1"/>
    </xf>
    <xf numFmtId="4" fontId="11" fillId="0" borderId="6" xfId="1" applyNumberFormat="1" applyFont="1" applyFill="1" applyBorder="1" applyAlignment="1">
      <alignment horizontal="right" vertical="center" wrapText="1"/>
    </xf>
    <xf numFmtId="4" fontId="13" fillId="0" borderId="4" xfId="1" applyNumberFormat="1" applyFont="1" applyFill="1" applyBorder="1" applyAlignment="1">
      <alignment horizontal="right" vertical="center" wrapText="1"/>
    </xf>
    <xf numFmtId="49" fontId="3" fillId="0" borderId="4" xfId="0" applyNumberFormat="1" applyFont="1" applyBorder="1" applyAlignment="1">
      <alignment horizontal="right" vertical="center" wrapText="1"/>
    </xf>
    <xf numFmtId="49" fontId="3" fillId="0" borderId="26" xfId="0" applyNumberFormat="1" applyFont="1" applyBorder="1" applyAlignment="1">
      <alignment horizontal="right" vertical="center" wrapText="1"/>
    </xf>
    <xf numFmtId="0" fontId="2" fillId="0" borderId="0" xfId="0" applyFont="1" applyAlignment="1">
      <alignment horizontal="left" vertical="center" wrapText="1"/>
    </xf>
    <xf numFmtId="0" fontId="2" fillId="0" borderId="26" xfId="0" applyFont="1" applyBorder="1" applyAlignment="1">
      <alignment horizontal="left" vertical="center" wrapText="1"/>
    </xf>
    <xf numFmtId="4" fontId="2" fillId="0" borderId="5" xfId="0" applyNumberFormat="1" applyFont="1" applyBorder="1" applyAlignment="1">
      <alignment horizontal="right" vertical="center" wrapText="1"/>
    </xf>
    <xf numFmtId="4" fontId="4" fillId="0" borderId="5" xfId="1" applyNumberFormat="1" applyFont="1" applyFill="1" applyBorder="1" applyAlignment="1">
      <alignment horizontal="right" vertical="center" wrapText="1"/>
    </xf>
    <xf numFmtId="0" fontId="3" fillId="0" borderId="26" xfId="0" applyFont="1" applyBorder="1" applyAlignment="1">
      <alignment horizontal="right" vertical="center" wrapText="1"/>
    </xf>
    <xf numFmtId="0" fontId="3" fillId="0" borderId="26" xfId="0" applyFont="1" applyBorder="1" applyAlignment="1">
      <alignment horizontal="left" vertical="center"/>
    </xf>
    <xf numFmtId="0" fontId="2" fillId="0" borderId="26" xfId="0" applyFont="1" applyBorder="1" applyAlignment="1">
      <alignment horizontal="left" vertical="center"/>
    </xf>
    <xf numFmtId="0" fontId="2" fillId="0" borderId="26" xfId="0" applyFont="1" applyBorder="1" applyAlignment="1">
      <alignment horizontal="right" vertical="center"/>
    </xf>
    <xf numFmtId="0" fontId="2" fillId="0" borderId="0" xfId="0" applyFont="1" applyAlignment="1">
      <alignment horizontal="right" vertical="center"/>
    </xf>
    <xf numFmtId="0" fontId="4" fillId="0" borderId="26" xfId="0" applyFont="1" applyBorder="1" applyAlignment="1">
      <alignment horizontal="right" vertical="center"/>
    </xf>
    <xf numFmtId="2" fontId="11" fillId="0" borderId="26" xfId="0" applyNumberFormat="1" applyFont="1" applyBorder="1" applyAlignment="1">
      <alignment horizontal="right" vertical="center"/>
    </xf>
    <xf numFmtId="2" fontId="2" fillId="0" borderId="26" xfId="0" applyNumberFormat="1" applyFont="1" applyBorder="1" applyAlignment="1">
      <alignment horizontal="right" vertical="center"/>
    </xf>
    <xf numFmtId="0" fontId="3" fillId="0" borderId="26" xfId="0" applyFont="1" applyBorder="1" applyAlignment="1">
      <alignment horizontal="left" vertical="center" wrapText="1"/>
    </xf>
    <xf numFmtId="0" fontId="2" fillId="0" borderId="5" xfId="0" applyFont="1" applyBorder="1" applyAlignment="1">
      <alignment horizontal="left" vertical="center" wrapText="1"/>
    </xf>
    <xf numFmtId="0" fontId="2" fillId="0" borderId="26" xfId="0" applyFont="1" applyBorder="1" applyAlignment="1">
      <alignment horizontal="right" vertical="center" wrapText="1"/>
    </xf>
    <xf numFmtId="0" fontId="4" fillId="0" borderId="26" xfId="0" applyFont="1" applyBorder="1" applyAlignment="1">
      <alignment horizontal="right" vertical="center" wrapText="1"/>
    </xf>
    <xf numFmtId="4" fontId="2" fillId="0" borderId="28" xfId="1" applyNumberFormat="1" applyFont="1" applyFill="1" applyBorder="1" applyAlignment="1">
      <alignment horizontal="right" vertical="center" wrapText="1"/>
    </xf>
    <xf numFmtId="0" fontId="3" fillId="0" borderId="0" xfId="0" applyFont="1" applyAlignment="1">
      <alignment horizontal="left" vertical="center" wrapText="1"/>
    </xf>
    <xf numFmtId="0" fontId="2" fillId="0" borderId="33" xfId="0" applyFont="1" applyBorder="1" applyAlignment="1">
      <alignment horizontal="left" vertical="center" wrapText="1"/>
    </xf>
    <xf numFmtId="4" fontId="2" fillId="0" borderId="33" xfId="1" applyNumberFormat="1" applyFont="1" applyFill="1" applyBorder="1" applyAlignment="1">
      <alignment horizontal="right" vertical="center" wrapText="1"/>
    </xf>
    <xf numFmtId="4" fontId="4" fillId="0" borderId="32" xfId="1" applyNumberFormat="1" applyFont="1" applyFill="1" applyBorder="1" applyAlignment="1">
      <alignment horizontal="right" vertical="center" wrapText="1"/>
    </xf>
    <xf numFmtId="2" fontId="2" fillId="0" borderId="28" xfId="1" applyNumberFormat="1" applyFont="1" applyFill="1" applyBorder="1" applyAlignment="1">
      <alignment horizontal="right" vertical="center" wrapText="1"/>
    </xf>
    <xf numFmtId="4" fontId="4" fillId="0" borderId="26" xfId="1" applyNumberFormat="1" applyFont="1" applyFill="1" applyBorder="1" applyAlignment="1">
      <alignment horizontal="right" vertical="center" wrapText="1"/>
    </xf>
    <xf numFmtId="4" fontId="11" fillId="8" borderId="4" xfId="1" applyNumberFormat="1" applyFont="1" applyFill="1" applyBorder="1" applyAlignment="1">
      <alignment horizontal="right" vertical="center" wrapText="1"/>
    </xf>
    <xf numFmtId="0" fontId="2" fillId="8" borderId="26" xfId="0" applyFont="1" applyFill="1" applyBorder="1" applyAlignment="1">
      <alignment horizontal="right" vertical="center"/>
    </xf>
    <xf numFmtId="2" fontId="2" fillId="8" borderId="26" xfId="0" applyNumberFormat="1" applyFont="1" applyFill="1" applyBorder="1" applyAlignment="1">
      <alignment horizontal="right" vertical="center"/>
    </xf>
    <xf numFmtId="0" fontId="2" fillId="8" borderId="32" xfId="0" applyFont="1" applyFill="1" applyBorder="1" applyAlignment="1">
      <alignment horizontal="right" vertical="center"/>
    </xf>
    <xf numFmtId="2" fontId="2" fillId="8" borderId="32" xfId="0" applyNumberFormat="1" applyFont="1" applyFill="1" applyBorder="1" applyAlignment="1">
      <alignment horizontal="right" vertical="center"/>
    </xf>
    <xf numFmtId="0" fontId="2" fillId="8" borderId="26" xfId="0" applyFont="1" applyFill="1" applyBorder="1" applyAlignment="1">
      <alignment horizontal="right" vertical="center" wrapText="1"/>
    </xf>
    <xf numFmtId="0" fontId="2" fillId="8" borderId="33" xfId="0" applyFont="1" applyFill="1" applyBorder="1" applyAlignment="1">
      <alignment horizontal="right" vertical="center" wrapText="1"/>
    </xf>
    <xf numFmtId="2" fontId="2" fillId="8" borderId="26" xfId="0" applyNumberFormat="1" applyFont="1" applyFill="1" applyBorder="1" applyAlignment="1">
      <alignment horizontal="right" vertical="center" wrapText="1"/>
    </xf>
    <xf numFmtId="2" fontId="2" fillId="0" borderId="0" xfId="0" applyNumberFormat="1" applyFont="1" applyAlignment="1">
      <alignment horizontal="right" vertical="center"/>
    </xf>
    <xf numFmtId="0" fontId="14" fillId="0" borderId="0" xfId="0" applyFont="1"/>
    <xf numFmtId="0" fontId="14" fillId="0" borderId="0" xfId="0" applyFont="1" applyAlignment="1">
      <alignment horizontal="right"/>
    </xf>
    <xf numFmtId="0" fontId="12" fillId="0" borderId="26" xfId="0" applyFont="1" applyBorder="1" applyAlignment="1">
      <alignment horizontal="right" vertical="center"/>
    </xf>
    <xf numFmtId="0" fontId="2" fillId="0" borderId="0" xfId="0" applyFont="1" applyAlignment="1">
      <alignment horizontal="right" vertical="center" wrapText="1"/>
    </xf>
    <xf numFmtId="0" fontId="14" fillId="0" borderId="0" xfId="0" applyFont="1" applyAlignment="1">
      <alignment horizontal="right" vertical="center"/>
    </xf>
    <xf numFmtId="0" fontId="11" fillId="0" borderId="26" xfId="0" applyFont="1" applyBorder="1" applyAlignment="1">
      <alignment wrapText="1"/>
    </xf>
    <xf numFmtId="3" fontId="11" fillId="0" borderId="0" xfId="0" applyNumberFormat="1"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6" fillId="0" borderId="0" xfId="0" applyFont="1" applyAlignment="1">
      <alignment horizontal="center" vertical="center" wrapText="1"/>
    </xf>
    <xf numFmtId="0" fontId="11" fillId="0" borderId="0" xfId="0" applyFont="1" applyAlignment="1">
      <alignment horizontal="center" vertical="center" wrapText="1"/>
    </xf>
    <xf numFmtId="43" fontId="11" fillId="0" borderId="0" xfId="1" applyFont="1" applyFill="1" applyBorder="1" applyAlignment="1">
      <alignment horizontal="center" vertical="center" wrapText="1"/>
    </xf>
    <xf numFmtId="0" fontId="17" fillId="0" borderId="0" xfId="0" applyFont="1" applyAlignment="1">
      <alignment horizontal="center" vertical="center" wrapText="1"/>
    </xf>
    <xf numFmtId="3" fontId="2" fillId="0" borderId="0" xfId="0" applyNumberFormat="1" applyFont="1" applyAlignment="1">
      <alignment horizontal="center" vertical="center" wrapText="1"/>
    </xf>
    <xf numFmtId="3" fontId="11" fillId="0" borderId="0" xfId="0" applyNumberFormat="1" applyFont="1" applyAlignment="1">
      <alignment horizontal="center" vertical="center" wrapText="1"/>
    </xf>
    <xf numFmtId="3" fontId="16" fillId="0" borderId="0" xfId="0" applyNumberFormat="1" applyFont="1" applyAlignment="1">
      <alignment wrapText="1"/>
    </xf>
    <xf numFmtId="0" fontId="3" fillId="0" borderId="0" xfId="0" applyFont="1" applyAlignment="1">
      <alignment horizontal="center" vertical="center" wrapText="1"/>
    </xf>
    <xf numFmtId="4" fontId="2" fillId="0" borderId="4" xfId="0" applyNumberFormat="1" applyFont="1" applyBorder="1" applyAlignment="1">
      <alignment horizontal="left" vertical="center" wrapText="1"/>
    </xf>
    <xf numFmtId="3" fontId="16" fillId="0" borderId="0" xfId="0" applyNumberFormat="1" applyFont="1" applyAlignment="1">
      <alignment horizontal="right" vertical="center" wrapText="1"/>
    </xf>
    <xf numFmtId="0" fontId="17" fillId="0" borderId="0" xfId="0" applyFont="1" applyAlignment="1">
      <alignment horizontal="left" vertical="center" wrapText="1"/>
    </xf>
    <xf numFmtId="0" fontId="2" fillId="9" borderId="34" xfId="0" applyFont="1" applyFill="1" applyBorder="1" applyAlignment="1">
      <alignment vertical="center" wrapText="1"/>
    </xf>
    <xf numFmtId="0" fontId="16" fillId="0" borderId="0" xfId="0" applyFont="1" applyAlignment="1">
      <alignment wrapText="1"/>
    </xf>
    <xf numFmtId="43" fontId="2" fillId="0" borderId="0" xfId="1" applyFont="1" applyAlignment="1">
      <alignment wrapText="1"/>
    </xf>
    <xf numFmtId="164" fontId="2" fillId="0" borderId="0" xfId="0" applyNumberFormat="1" applyFont="1" applyAlignment="1">
      <alignment wrapText="1"/>
    </xf>
    <xf numFmtId="4" fontId="11" fillId="0" borderId="4" xfId="0" applyNumberFormat="1" applyFont="1" applyBorder="1" applyAlignment="1">
      <alignment horizontal="left" vertical="center" wrapText="1"/>
    </xf>
    <xf numFmtId="4" fontId="2" fillId="0" borderId="24" xfId="0" applyNumberFormat="1" applyFont="1" applyBorder="1" applyAlignment="1">
      <alignment horizontal="left" vertical="center" wrapText="1"/>
    </xf>
    <xf numFmtId="0" fontId="2" fillId="0" borderId="23" xfId="0" applyFont="1" applyBorder="1" applyAlignment="1">
      <alignment horizontal="left" vertical="center" wrapText="1"/>
    </xf>
    <xf numFmtId="4" fontId="2" fillId="0" borderId="23" xfId="0" applyNumberFormat="1" applyFont="1" applyBorder="1" applyAlignment="1">
      <alignment horizontal="left" vertical="center" wrapText="1"/>
    </xf>
    <xf numFmtId="0" fontId="11" fillId="0" borderId="0" xfId="0" applyFont="1" applyAlignment="1">
      <alignment horizontal="left" vertical="center" wrapText="1"/>
    </xf>
    <xf numFmtId="4" fontId="2" fillId="0" borderId="0" xfId="0" applyNumberFormat="1" applyFont="1" applyAlignment="1">
      <alignment horizontal="left" vertical="center" wrapText="1"/>
    </xf>
    <xf numFmtId="4" fontId="2" fillId="7" borderId="7" xfId="0" applyNumberFormat="1"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27" xfId="0" applyFont="1" applyBorder="1" applyAlignment="1">
      <alignment horizontal="left" vertical="center" wrapText="1"/>
    </xf>
    <xf numFmtId="0" fontId="2" fillId="0" borderId="12" xfId="0" applyFont="1" applyBorder="1" applyAlignment="1">
      <alignment horizontal="left" vertical="center" wrapText="1"/>
    </xf>
    <xf numFmtId="4" fontId="2" fillId="7" borderId="19" xfId="0" applyNumberFormat="1" applyFont="1" applyFill="1" applyBorder="1" applyAlignment="1">
      <alignment horizontal="left" vertical="center" wrapText="1"/>
    </xf>
    <xf numFmtId="4" fontId="2" fillId="7" borderId="20" xfId="0" applyNumberFormat="1" applyFont="1" applyFill="1" applyBorder="1" applyAlignment="1">
      <alignment horizontal="left" vertical="center" wrapText="1"/>
    </xf>
    <xf numFmtId="49" fontId="2" fillId="0" borderId="4" xfId="0" applyNumberFormat="1" applyFont="1" applyBorder="1" applyAlignment="1">
      <alignment horizontal="left" vertical="center" wrapText="1"/>
    </xf>
    <xf numFmtId="0" fontId="2" fillId="0" borderId="4" xfId="2" applyFont="1" applyBorder="1" applyAlignment="1">
      <alignment horizontal="left" vertical="center" wrapText="1"/>
    </xf>
    <xf numFmtId="4" fontId="2" fillId="0" borderId="4" xfId="2" applyNumberFormat="1" applyFont="1" applyBorder="1" applyAlignment="1">
      <alignment horizontal="left" vertical="center" wrapText="1"/>
    </xf>
    <xf numFmtId="4" fontId="2" fillId="0" borderId="4" xfId="0" applyNumberFormat="1" applyFont="1" applyBorder="1" applyAlignment="1">
      <alignment horizontal="left" vertical="center"/>
    </xf>
    <xf numFmtId="4" fontId="2" fillId="0" borderId="31" xfId="2" applyNumberFormat="1" applyFont="1" applyBorder="1" applyAlignment="1">
      <alignment horizontal="left" vertical="center" wrapText="1"/>
    </xf>
    <xf numFmtId="4" fontId="2" fillId="0" borderId="0" xfId="0" applyNumberFormat="1" applyFont="1" applyAlignment="1">
      <alignment horizontal="left" vertical="center"/>
    </xf>
    <xf numFmtId="4" fontId="2" fillId="0" borderId="0" xfId="2" applyNumberFormat="1" applyFont="1" applyAlignment="1">
      <alignment horizontal="left" vertical="center" wrapText="1"/>
    </xf>
    <xf numFmtId="4" fontId="2" fillId="7" borderId="8" xfId="0" applyNumberFormat="1" applyFont="1" applyFill="1" applyBorder="1" applyAlignment="1">
      <alignment horizontal="left" vertical="center" wrapText="1"/>
    </xf>
    <xf numFmtId="4" fontId="2" fillId="6" borderId="22" xfId="0" applyNumberFormat="1" applyFont="1" applyFill="1" applyBorder="1" applyAlignment="1">
      <alignment horizontal="left" vertical="center" wrapText="1"/>
    </xf>
    <xf numFmtId="3" fontId="6" fillId="7" borderId="13" xfId="1" applyNumberFormat="1" applyFont="1" applyFill="1" applyBorder="1" applyAlignment="1">
      <alignment horizontal="right" vertical="center" wrapText="1"/>
    </xf>
    <xf numFmtId="2" fontId="2" fillId="0" borderId="26" xfId="0" applyNumberFormat="1" applyFont="1" applyBorder="1" applyAlignment="1">
      <alignment horizontal="right" vertical="center" wrapText="1"/>
    </xf>
    <xf numFmtId="4" fontId="2" fillId="8" borderId="4" xfId="1" applyNumberFormat="1" applyFont="1" applyFill="1" applyBorder="1" applyAlignment="1">
      <alignment horizontal="center" vertical="center" wrapText="1"/>
    </xf>
    <xf numFmtId="37" fontId="15" fillId="0" borderId="9" xfId="0" applyNumberFormat="1" applyFont="1" applyBorder="1" applyAlignment="1">
      <alignment horizontal="left" vertical="center" wrapText="1"/>
    </xf>
    <xf numFmtId="0" fontId="12" fillId="0" borderId="4" xfId="0" applyFont="1" applyBorder="1" applyAlignment="1">
      <alignment horizontal="left" vertical="center" wrapText="1"/>
    </xf>
    <xf numFmtId="49" fontId="12" fillId="0" borderId="4" xfId="0" applyNumberFormat="1" applyFont="1" applyBorder="1" applyAlignment="1">
      <alignment horizontal="left" vertical="center" wrapText="1"/>
    </xf>
    <xf numFmtId="0" fontId="12" fillId="0" borderId="26" xfId="0" applyFont="1" applyBorder="1" applyAlignment="1">
      <alignment horizontal="left" vertical="center"/>
    </xf>
    <xf numFmtId="0" fontId="12" fillId="0" borderId="26"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3" fontId="3" fillId="7" borderId="20" xfId="1" applyNumberFormat="1" applyFont="1" applyFill="1" applyBorder="1" applyAlignment="1">
      <alignment horizontal="right" vertical="center" wrapText="1"/>
    </xf>
    <xf numFmtId="3" fontId="3" fillId="6" borderId="22" xfId="1" applyNumberFormat="1" applyFont="1" applyFill="1" applyBorder="1" applyAlignment="1">
      <alignment horizontal="right" vertical="center" wrapText="1"/>
    </xf>
    <xf numFmtId="0" fontId="11" fillId="0" borderId="26" xfId="0" applyFont="1" applyBorder="1" applyAlignment="1">
      <alignment horizontal="left" vertical="center"/>
    </xf>
    <xf numFmtId="3" fontId="3" fillId="7" borderId="37" xfId="1" applyNumberFormat="1" applyFont="1" applyFill="1" applyBorder="1" applyAlignment="1">
      <alignment horizontal="right" vertical="center" wrapText="1"/>
    </xf>
    <xf numFmtId="4" fontId="3" fillId="7" borderId="37" xfId="1" applyNumberFormat="1" applyFont="1" applyFill="1" applyBorder="1" applyAlignment="1">
      <alignment horizontal="right" vertical="center" wrapText="1"/>
    </xf>
    <xf numFmtId="3" fontId="3" fillId="7" borderId="38" xfId="1" applyNumberFormat="1" applyFont="1" applyFill="1" applyBorder="1" applyAlignment="1">
      <alignment horizontal="right" vertical="center" wrapText="1"/>
    </xf>
    <xf numFmtId="3" fontId="3" fillId="7" borderId="22" xfId="1" applyNumberFormat="1" applyFont="1" applyFill="1" applyBorder="1" applyAlignment="1">
      <alignment horizontal="right" vertical="center" wrapText="1"/>
    </xf>
    <xf numFmtId="4" fontId="3" fillId="7" borderId="9" xfId="1" applyNumberFormat="1" applyFont="1" applyFill="1" applyBorder="1" applyAlignment="1">
      <alignment horizontal="right" vertical="center" wrapText="1"/>
    </xf>
    <xf numFmtId="3" fontId="6" fillId="7" borderId="22" xfId="1" applyNumberFormat="1" applyFont="1" applyFill="1" applyBorder="1" applyAlignment="1">
      <alignment horizontal="right" vertical="center" wrapText="1"/>
    </xf>
    <xf numFmtId="3" fontId="6" fillId="7" borderId="38" xfId="1" applyNumberFormat="1" applyFont="1" applyFill="1" applyBorder="1" applyAlignment="1">
      <alignment horizontal="right" vertical="center" wrapText="1"/>
    </xf>
    <xf numFmtId="4" fontId="3" fillId="7" borderId="11" xfId="1" applyNumberFormat="1" applyFont="1" applyFill="1" applyBorder="1" applyAlignment="1">
      <alignment horizontal="right" vertical="center" wrapText="1"/>
    </xf>
    <xf numFmtId="4" fontId="3" fillId="7" borderId="38" xfId="1" applyNumberFormat="1" applyFont="1" applyFill="1" applyBorder="1" applyAlignment="1">
      <alignment horizontal="right" vertical="center" wrapText="1"/>
    </xf>
    <xf numFmtId="4" fontId="2" fillId="0" borderId="0" xfId="0" applyNumberFormat="1" applyFont="1" applyAlignment="1">
      <alignment horizontal="right" vertical="center" wrapText="1"/>
    </xf>
    <xf numFmtId="4" fontId="2" fillId="0" borderId="28" xfId="0" applyNumberFormat="1" applyFont="1" applyBorder="1" applyAlignment="1">
      <alignment horizontal="left" vertical="center" wrapText="1"/>
    </xf>
    <xf numFmtId="0" fontId="11" fillId="0" borderId="26" xfId="0" applyFont="1" applyBorder="1" applyAlignment="1">
      <alignment horizontal="left" vertical="center" wrapText="1"/>
    </xf>
    <xf numFmtId="3" fontId="3" fillId="7" borderId="12" xfId="1" applyNumberFormat="1" applyFont="1" applyFill="1" applyBorder="1" applyAlignment="1">
      <alignment horizontal="right" vertical="center" wrapText="1"/>
    </xf>
    <xf numFmtId="4" fontId="3" fillId="7" borderId="12" xfId="1" applyNumberFormat="1" applyFont="1" applyFill="1" applyBorder="1" applyAlignment="1">
      <alignment horizontal="right" vertical="center" wrapText="1"/>
    </xf>
    <xf numFmtId="3" fontId="6" fillId="7" borderId="12" xfId="1" applyNumberFormat="1" applyFont="1" applyFill="1" applyBorder="1" applyAlignment="1">
      <alignment horizontal="right" vertical="center" wrapText="1"/>
    </xf>
    <xf numFmtId="4" fontId="3" fillId="7" borderId="42" xfId="1" applyNumberFormat="1" applyFont="1" applyFill="1" applyBorder="1" applyAlignment="1">
      <alignment horizontal="right" vertical="center" wrapText="1"/>
    </xf>
    <xf numFmtId="4" fontId="3" fillId="12" borderId="43" xfId="0" applyNumberFormat="1" applyFont="1" applyFill="1" applyBorder="1" applyAlignment="1">
      <alignment horizontal="right" vertical="center" wrapText="1"/>
    </xf>
    <xf numFmtId="3" fontId="3" fillId="7" borderId="18" xfId="1" applyNumberFormat="1" applyFont="1" applyFill="1" applyBorder="1" applyAlignment="1">
      <alignment horizontal="right" vertical="center" wrapText="1"/>
    </xf>
    <xf numFmtId="4" fontId="3" fillId="7" borderId="44" xfId="1" applyNumberFormat="1" applyFont="1" applyFill="1" applyBorder="1" applyAlignment="1">
      <alignment horizontal="right" vertical="center" wrapText="1"/>
    </xf>
    <xf numFmtId="0" fontId="2" fillId="0" borderId="32" xfId="0" applyFont="1" applyBorder="1" applyAlignment="1">
      <alignment horizontal="left" vertical="center" wrapText="1"/>
    </xf>
    <xf numFmtId="4" fontId="2" fillId="8" borderId="32" xfId="1" applyNumberFormat="1" applyFont="1" applyFill="1" applyBorder="1" applyAlignment="1">
      <alignment horizontal="right" vertical="center" wrapText="1"/>
    </xf>
    <xf numFmtId="4" fontId="2" fillId="8" borderId="26" xfId="0" applyNumberFormat="1" applyFont="1" applyFill="1" applyBorder="1" applyAlignment="1">
      <alignment horizontal="right" vertical="center" wrapText="1"/>
    </xf>
    <xf numFmtId="165" fontId="2" fillId="0" borderId="33" xfId="1" applyNumberFormat="1" applyFont="1" applyFill="1" applyBorder="1" applyAlignment="1">
      <alignment horizontal="right" vertical="center" wrapText="1"/>
    </xf>
    <xf numFmtId="0" fontId="16" fillId="0" borderId="4" xfId="0" applyFont="1" applyBorder="1" applyAlignment="1">
      <alignment horizontal="left" vertical="center" wrapText="1"/>
    </xf>
    <xf numFmtId="4" fontId="16" fillId="0" borderId="4" xfId="1" applyNumberFormat="1" applyFont="1" applyFill="1" applyBorder="1" applyAlignment="1">
      <alignment horizontal="right" vertical="center" wrapText="1"/>
    </xf>
    <xf numFmtId="4" fontId="16" fillId="8" borderId="4" xfId="1" applyNumberFormat="1" applyFont="1" applyFill="1" applyBorder="1" applyAlignment="1">
      <alignment horizontal="right" vertical="center" wrapText="1"/>
    </xf>
    <xf numFmtId="4" fontId="16" fillId="0" borderId="6" xfId="1" applyNumberFormat="1" applyFont="1" applyFill="1" applyBorder="1" applyAlignment="1">
      <alignment horizontal="right" vertical="center" wrapText="1"/>
    </xf>
    <xf numFmtId="4" fontId="18" fillId="0" borderId="4" xfId="1" applyNumberFormat="1" applyFont="1" applyFill="1" applyBorder="1" applyAlignment="1">
      <alignment horizontal="right" vertical="center" wrapText="1"/>
    </xf>
    <xf numFmtId="4" fontId="16" fillId="0" borderId="4" xfId="0" applyNumberFormat="1" applyFont="1" applyBorder="1" applyAlignment="1">
      <alignment horizontal="right" vertical="center" wrapText="1"/>
    </xf>
    <xf numFmtId="4" fontId="16" fillId="0" borderId="0" xfId="1" applyNumberFormat="1" applyFont="1" applyFill="1" applyBorder="1" applyAlignment="1">
      <alignment horizontal="right" vertical="center" wrapText="1"/>
    </xf>
    <xf numFmtId="4" fontId="18" fillId="0" borderId="5" xfId="1" applyNumberFormat="1" applyFont="1" applyFill="1" applyBorder="1" applyAlignment="1">
      <alignment horizontal="right" vertical="center" wrapText="1"/>
    </xf>
    <xf numFmtId="0" fontId="16" fillId="0" borderId="5" xfId="0" applyFont="1" applyBorder="1" applyAlignment="1">
      <alignment horizontal="left" vertical="center" wrapText="1"/>
    </xf>
    <xf numFmtId="4" fontId="16" fillId="8" borderId="26" xfId="0" applyNumberFormat="1" applyFont="1" applyFill="1" applyBorder="1" applyAlignment="1">
      <alignment horizontal="right" vertical="center" wrapText="1"/>
    </xf>
    <xf numFmtId="4" fontId="16" fillId="0" borderId="28" xfId="1" applyNumberFormat="1" applyFont="1" applyFill="1" applyBorder="1" applyAlignment="1">
      <alignment horizontal="right" vertical="center" wrapText="1"/>
    </xf>
    <xf numFmtId="4" fontId="19" fillId="0" borderId="4" xfId="0" applyNumberFormat="1" applyFont="1" applyBorder="1" applyAlignment="1">
      <alignment horizontal="left" vertical="center" wrapText="1"/>
    </xf>
    <xf numFmtId="0" fontId="16" fillId="0" borderId="26" xfId="0" applyFont="1" applyBorder="1" applyAlignment="1">
      <alignment wrapText="1"/>
    </xf>
    <xf numFmtId="0" fontId="16" fillId="0" borderId="4" xfId="0" applyFont="1" applyBorder="1" applyAlignment="1">
      <alignmen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17" fillId="0" borderId="26" xfId="0" applyFont="1" applyBorder="1" applyAlignment="1">
      <alignment horizontal="left" vertical="center" wrapText="1"/>
    </xf>
    <xf numFmtId="0" fontId="2" fillId="0" borderId="0" xfId="2" applyFont="1" applyAlignment="1">
      <alignment horizontal="center" vertical="center" wrapText="1"/>
    </xf>
    <xf numFmtId="0" fontId="14" fillId="0" borderId="0" xfId="2" applyFont="1"/>
    <xf numFmtId="0" fontId="2" fillId="0" borderId="0" xfId="2" applyFont="1" applyAlignment="1">
      <alignment horizontal="center" vertical="center"/>
    </xf>
    <xf numFmtId="0" fontId="2" fillId="0" borderId="21" xfId="2" applyFont="1" applyBorder="1" applyAlignment="1">
      <alignment horizontal="left" vertical="center" wrapText="1"/>
    </xf>
    <xf numFmtId="0" fontId="16" fillId="0" borderId="0" xfId="2" applyFont="1" applyAlignment="1">
      <alignment horizontal="center" vertical="center" wrapText="1"/>
    </xf>
    <xf numFmtId="0" fontId="11" fillId="0" borderId="0" xfId="2" applyFont="1" applyAlignment="1">
      <alignment horizontal="center" vertical="center" wrapText="1"/>
    </xf>
    <xf numFmtId="0" fontId="17" fillId="0" borderId="0" xfId="2" applyFont="1" applyAlignment="1">
      <alignment horizontal="center" vertical="center" wrapText="1"/>
    </xf>
    <xf numFmtId="3" fontId="2" fillId="0" borderId="0" xfId="2" applyNumberFormat="1" applyFont="1" applyAlignment="1">
      <alignment horizontal="center" vertical="center" wrapText="1"/>
    </xf>
    <xf numFmtId="3" fontId="11" fillId="0" borderId="0" xfId="2" applyNumberFormat="1" applyFont="1" applyAlignment="1">
      <alignment horizontal="center" vertical="center" wrapText="1"/>
    </xf>
    <xf numFmtId="3" fontId="16" fillId="0" borderId="0" xfId="2" applyNumberFormat="1" applyFont="1" applyAlignment="1">
      <alignment wrapText="1"/>
    </xf>
    <xf numFmtId="0" fontId="3" fillId="0" borderId="0" xfId="2" applyFont="1" applyAlignment="1">
      <alignment horizontal="center" vertical="center" wrapText="1"/>
    </xf>
    <xf numFmtId="0" fontId="14" fillId="0" borderId="0" xfId="2" applyFont="1" applyAlignment="1">
      <alignment horizontal="right"/>
    </xf>
    <xf numFmtId="3" fontId="11" fillId="0" borderId="0" xfId="2" applyNumberFormat="1" applyFont="1" applyAlignment="1">
      <alignment horizontal="right" vertical="center" wrapText="1"/>
    </xf>
    <xf numFmtId="0" fontId="12" fillId="0" borderId="4" xfId="2" applyFont="1" applyBorder="1" applyAlignment="1">
      <alignment horizontal="left" vertical="center" wrapText="1"/>
    </xf>
    <xf numFmtId="4" fontId="2" fillId="0" borderId="4" xfId="2" applyNumberFormat="1" applyFont="1" applyBorder="1" applyAlignment="1">
      <alignment horizontal="right" vertical="center" wrapText="1"/>
    </xf>
    <xf numFmtId="0" fontId="2" fillId="0" borderId="0" xfId="2" applyFont="1" applyAlignment="1">
      <alignment wrapText="1"/>
    </xf>
    <xf numFmtId="4" fontId="2" fillId="0" borderId="0" xfId="2" applyNumberFormat="1" applyFont="1" applyAlignment="1">
      <alignment wrapText="1"/>
    </xf>
    <xf numFmtId="3" fontId="16" fillId="0" borderId="0" xfId="2" applyNumberFormat="1" applyFont="1" applyAlignment="1">
      <alignment horizontal="right" vertical="center" wrapText="1"/>
    </xf>
    <xf numFmtId="0" fontId="17" fillId="0" borderId="0" xfId="2" applyFont="1" applyAlignment="1">
      <alignment horizontal="left" vertical="center" wrapText="1"/>
    </xf>
    <xf numFmtId="0" fontId="2" fillId="0" borderId="4" xfId="2" applyFont="1" applyBorder="1" applyAlignment="1">
      <alignment horizontal="left" vertical="center"/>
    </xf>
    <xf numFmtId="0" fontId="17" fillId="0" borderId="4" xfId="2" applyFont="1" applyBorder="1" applyAlignment="1">
      <alignment horizontal="left" vertical="center" wrapText="1"/>
    </xf>
    <xf numFmtId="0" fontId="16" fillId="0" borderId="4" xfId="2" applyFont="1" applyBorder="1" applyAlignment="1">
      <alignment horizontal="left" vertical="center" wrapText="1"/>
    </xf>
    <xf numFmtId="4" fontId="16" fillId="0" borderId="4" xfId="2" applyNumberFormat="1" applyFont="1" applyBorder="1" applyAlignment="1">
      <alignment horizontal="right" vertical="center" wrapText="1"/>
    </xf>
    <xf numFmtId="0" fontId="16" fillId="0" borderId="0" xfId="2" applyFont="1" applyAlignment="1">
      <alignment wrapText="1"/>
    </xf>
    <xf numFmtId="164" fontId="2" fillId="0" borderId="0" xfId="2" applyNumberFormat="1" applyFont="1" applyAlignment="1">
      <alignment wrapText="1"/>
    </xf>
    <xf numFmtId="0" fontId="11" fillId="0" borderId="4" xfId="2" applyFont="1" applyBorder="1" applyAlignment="1">
      <alignment horizontal="left" vertical="center" wrapText="1"/>
    </xf>
    <xf numFmtId="49" fontId="12" fillId="0" borderId="4" xfId="2" applyNumberFormat="1" applyFont="1" applyBorder="1" applyAlignment="1">
      <alignment horizontal="left" vertical="center" wrapText="1"/>
    </xf>
    <xf numFmtId="49" fontId="12" fillId="0" borderId="26" xfId="2" applyNumberFormat="1" applyFont="1" applyBorder="1" applyAlignment="1">
      <alignment horizontal="left" vertical="center" wrapText="1"/>
    </xf>
    <xf numFmtId="0" fontId="2" fillId="0" borderId="0" xfId="2" applyFont="1" applyAlignment="1">
      <alignment horizontal="left" vertical="center" wrapText="1"/>
    </xf>
    <xf numFmtId="0" fontId="12" fillId="0" borderId="26" xfId="2" applyFont="1" applyBorder="1" applyAlignment="1">
      <alignment horizontal="left" vertical="center"/>
    </xf>
    <xf numFmtId="0" fontId="2" fillId="0" borderId="26" xfId="2" applyFont="1" applyBorder="1" applyAlignment="1">
      <alignment horizontal="left" vertical="center" wrapText="1"/>
    </xf>
    <xf numFmtId="4" fontId="3" fillId="12" borderId="43" xfId="2" applyNumberFormat="1" applyFont="1" applyFill="1" applyBorder="1" applyAlignment="1">
      <alignment horizontal="right" vertical="center" wrapText="1"/>
    </xf>
    <xf numFmtId="4" fontId="2" fillId="7" borderId="19" xfId="2" applyNumberFormat="1" applyFont="1" applyFill="1" applyBorder="1" applyAlignment="1">
      <alignment horizontal="left" vertical="center" wrapText="1"/>
    </xf>
    <xf numFmtId="43" fontId="16" fillId="0" borderId="0" xfId="1" applyFont="1" applyAlignment="1">
      <alignment horizontal="right" vertical="center" wrapText="1"/>
    </xf>
    <xf numFmtId="4" fontId="16" fillId="0" borderId="5" xfId="2" applyNumberFormat="1" applyFont="1" applyBorder="1" applyAlignment="1">
      <alignment horizontal="right" vertical="center" wrapText="1"/>
    </xf>
    <xf numFmtId="43" fontId="16" fillId="0" borderId="0" xfId="1" applyFont="1" applyAlignment="1">
      <alignment horizontal="right" vertical="center"/>
    </xf>
    <xf numFmtId="4" fontId="2" fillId="0" borderId="5" xfId="2" applyNumberFormat="1" applyFont="1" applyBorder="1" applyAlignment="1">
      <alignment horizontal="right" vertical="center" wrapText="1"/>
    </xf>
    <xf numFmtId="0" fontId="12" fillId="0" borderId="26" xfId="2" applyFont="1" applyBorder="1" applyAlignment="1">
      <alignment horizontal="left" vertical="center" wrapText="1"/>
    </xf>
    <xf numFmtId="0" fontId="11" fillId="0" borderId="26" xfId="2" applyFont="1" applyBorder="1" applyAlignment="1">
      <alignment wrapText="1"/>
    </xf>
    <xf numFmtId="0" fontId="11" fillId="0" borderId="26" xfId="2" applyFont="1" applyBorder="1" applyAlignment="1">
      <alignment horizontal="left" vertical="center"/>
    </xf>
    <xf numFmtId="2" fontId="2" fillId="0" borderId="26" xfId="2" applyNumberFormat="1" applyFont="1" applyBorder="1" applyAlignment="1">
      <alignment horizontal="right" vertical="center"/>
    </xf>
    <xf numFmtId="43" fontId="2" fillId="0" borderId="26" xfId="1" applyFont="1" applyBorder="1" applyAlignment="1">
      <alignment horizontal="right" vertical="center" indent="1"/>
    </xf>
    <xf numFmtId="0" fontId="2" fillId="8" borderId="26" xfId="2" applyFont="1" applyFill="1" applyBorder="1" applyAlignment="1">
      <alignment horizontal="right" vertical="center"/>
    </xf>
    <xf numFmtId="0" fontId="2" fillId="0" borderId="0" xfId="2" applyFont="1" applyAlignment="1">
      <alignment horizontal="right" vertical="center"/>
    </xf>
    <xf numFmtId="0" fontId="2" fillId="8" borderId="32" xfId="2" applyFont="1" applyFill="1" applyBorder="1" applyAlignment="1">
      <alignment horizontal="right" vertical="center"/>
    </xf>
    <xf numFmtId="39" fontId="4" fillId="0" borderId="26" xfId="1" applyNumberFormat="1" applyFont="1" applyBorder="1" applyAlignment="1">
      <alignment horizontal="right" vertical="center"/>
    </xf>
    <xf numFmtId="0" fontId="2" fillId="0" borderId="26" xfId="2" applyFont="1" applyBorder="1" applyAlignment="1">
      <alignment horizontal="right" vertical="center"/>
    </xf>
    <xf numFmtId="4" fontId="2" fillId="0" borderId="26" xfId="2" applyNumberFormat="1" applyFont="1" applyBorder="1" applyAlignment="1">
      <alignment horizontal="right" vertical="center"/>
    </xf>
    <xf numFmtId="4" fontId="2" fillId="8" borderId="32" xfId="2" applyNumberFormat="1" applyFont="1" applyFill="1" applyBorder="1" applyAlignment="1">
      <alignment horizontal="right" vertical="center"/>
    </xf>
    <xf numFmtId="2" fontId="16" fillId="0" borderId="26" xfId="2" applyNumberFormat="1" applyFont="1" applyBorder="1" applyAlignment="1">
      <alignment horizontal="right" vertical="center"/>
    </xf>
    <xf numFmtId="43" fontId="16" fillId="0" borderId="26" xfId="1" applyFont="1" applyBorder="1" applyAlignment="1">
      <alignment horizontal="right" vertical="center" indent="1"/>
    </xf>
    <xf numFmtId="4" fontId="16" fillId="8" borderId="26" xfId="2" applyNumberFormat="1" applyFont="1" applyFill="1" applyBorder="1" applyAlignment="1">
      <alignment horizontal="right" vertical="center"/>
    </xf>
    <xf numFmtId="4" fontId="16" fillId="8" borderId="32" xfId="2" applyNumberFormat="1" applyFont="1" applyFill="1" applyBorder="1" applyAlignment="1">
      <alignment horizontal="right" vertical="center"/>
    </xf>
    <xf numFmtId="39" fontId="18" fillId="0" borderId="26" xfId="1" applyNumberFormat="1" applyFont="1" applyBorder="1" applyAlignment="1">
      <alignment horizontal="right" vertical="center"/>
    </xf>
    <xf numFmtId="4" fontId="16" fillId="0" borderId="26" xfId="2" applyNumberFormat="1" applyFont="1" applyBorder="1" applyAlignment="1">
      <alignment horizontal="right" vertical="center"/>
    </xf>
    <xf numFmtId="2" fontId="2" fillId="0" borderId="4" xfId="1" applyNumberFormat="1" applyFont="1" applyFill="1" applyBorder="1" applyAlignment="1">
      <alignment horizontal="right" vertical="center" wrapText="1"/>
    </xf>
    <xf numFmtId="43" fontId="2"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16" fillId="0" borderId="4" xfId="1" applyFont="1" applyFill="1" applyBorder="1" applyAlignment="1">
      <alignment horizontal="right" vertical="center" wrapText="1"/>
    </xf>
    <xf numFmtId="0" fontId="12" fillId="0" borderId="5" xfId="2" applyFont="1" applyBorder="1" applyAlignment="1">
      <alignment horizontal="left" vertical="center" wrapText="1"/>
    </xf>
    <xf numFmtId="0" fontId="2" fillId="0" borderId="5" xfId="2" applyFont="1" applyBorder="1" applyAlignment="1">
      <alignment horizontal="left" vertical="center" wrapText="1"/>
    </xf>
    <xf numFmtId="4" fontId="2" fillId="7" borderId="20" xfId="2" applyNumberFormat="1" applyFont="1" applyFill="1" applyBorder="1" applyAlignment="1">
      <alignment horizontal="left" vertical="center" wrapText="1"/>
    </xf>
    <xf numFmtId="0" fontId="2" fillId="8" borderId="26" xfId="2" applyFont="1" applyFill="1" applyBorder="1" applyAlignment="1">
      <alignment horizontal="right" vertical="center" wrapText="1"/>
    </xf>
    <xf numFmtId="0" fontId="4" fillId="0" borderId="26" xfId="2" applyFont="1" applyBorder="1" applyAlignment="1">
      <alignment horizontal="right" vertical="center" wrapText="1"/>
    </xf>
    <xf numFmtId="4" fontId="2" fillId="0" borderId="26" xfId="2" applyNumberFormat="1" applyFont="1" applyBorder="1" applyAlignment="1">
      <alignment horizontal="right" vertical="center" wrapText="1"/>
    </xf>
    <xf numFmtId="4" fontId="2" fillId="8" borderId="26" xfId="2" applyNumberFormat="1" applyFont="1" applyFill="1" applyBorder="1" applyAlignment="1">
      <alignment horizontal="right" vertical="center" wrapText="1"/>
    </xf>
    <xf numFmtId="0" fontId="17" fillId="0" borderId="5" xfId="2" applyFont="1" applyBorder="1" applyAlignment="1">
      <alignment horizontal="left" vertical="center" wrapText="1"/>
    </xf>
    <xf numFmtId="4" fontId="16" fillId="8" borderId="26" xfId="2" applyNumberFormat="1" applyFont="1" applyFill="1" applyBorder="1" applyAlignment="1">
      <alignment horizontal="right" vertical="center" wrapText="1"/>
    </xf>
    <xf numFmtId="4" fontId="16" fillId="0" borderId="26" xfId="2" applyNumberFormat="1" applyFont="1" applyBorder="1" applyAlignment="1">
      <alignment horizontal="right" vertical="center" wrapText="1"/>
    </xf>
    <xf numFmtId="2" fontId="16" fillId="0" borderId="26" xfId="2" applyNumberFormat="1" applyFont="1" applyBorder="1" applyAlignment="1">
      <alignment horizontal="right" vertical="center" wrapText="1"/>
    </xf>
    <xf numFmtId="0" fontId="12" fillId="0" borderId="0" xfId="2" applyFont="1" applyAlignment="1">
      <alignment horizontal="left" vertical="center" wrapText="1"/>
    </xf>
    <xf numFmtId="0" fontId="2" fillId="0" borderId="33" xfId="2" applyFont="1" applyBorder="1" applyAlignment="1">
      <alignment horizontal="left" vertical="center" wrapText="1"/>
    </xf>
    <xf numFmtId="4" fontId="2" fillId="8" borderId="32" xfId="2" applyNumberFormat="1" applyFont="1" applyFill="1" applyBorder="1" applyAlignment="1">
      <alignment horizontal="right" vertical="center" wrapText="1"/>
    </xf>
    <xf numFmtId="2" fontId="2" fillId="0" borderId="26" xfId="2" applyNumberFormat="1" applyFont="1" applyBorder="1" applyAlignment="1">
      <alignment horizontal="right" vertical="center" wrapText="1"/>
    </xf>
    <xf numFmtId="4" fontId="2" fillId="7" borderId="8" xfId="2" applyNumberFormat="1" applyFont="1" applyFill="1" applyBorder="1" applyAlignment="1">
      <alignment horizontal="left" vertical="center" wrapText="1"/>
    </xf>
    <xf numFmtId="4" fontId="2" fillId="0" borderId="0" xfId="2" applyNumberFormat="1" applyFont="1" applyAlignment="1">
      <alignment horizontal="right" vertical="center" wrapText="1"/>
    </xf>
    <xf numFmtId="4" fontId="2" fillId="6" borderId="22" xfId="2" applyNumberFormat="1" applyFont="1" applyFill="1" applyBorder="1" applyAlignment="1">
      <alignment horizontal="left" vertical="center" wrapText="1"/>
    </xf>
    <xf numFmtId="0" fontId="2" fillId="0" borderId="0" xfId="2" applyFont="1" applyAlignment="1">
      <alignment horizontal="left" wrapText="1"/>
    </xf>
    <xf numFmtId="3" fontId="3" fillId="0" borderId="0" xfId="2" applyNumberFormat="1" applyFont="1" applyAlignment="1">
      <alignment wrapText="1"/>
    </xf>
    <xf numFmtId="3" fontId="11" fillId="0" borderId="0" xfId="2" applyNumberFormat="1" applyFont="1"/>
    <xf numFmtId="3" fontId="2" fillId="0" borderId="0" xfId="2" applyNumberFormat="1" applyFont="1"/>
    <xf numFmtId="37" fontId="15" fillId="0" borderId="9" xfId="2" applyNumberFormat="1" applyFont="1" applyBorder="1" applyAlignment="1">
      <alignment horizontal="left" vertical="center" wrapText="1"/>
    </xf>
    <xf numFmtId="3" fontId="3" fillId="0" borderId="9" xfId="2" applyNumberFormat="1" applyFont="1" applyBorder="1" applyAlignment="1">
      <alignment horizontal="right" vertical="center" wrapText="1"/>
    </xf>
    <xf numFmtId="3" fontId="2" fillId="0" borderId="0" xfId="2" applyNumberFormat="1" applyFont="1" applyAlignment="1">
      <alignment wrapText="1"/>
    </xf>
    <xf numFmtId="4" fontId="18" fillId="0" borderId="4" xfId="0" applyNumberFormat="1" applyFont="1" applyBorder="1" applyAlignment="1">
      <alignment horizontal="right" vertical="center" wrapText="1"/>
    </xf>
    <xf numFmtId="0" fontId="11" fillId="0" borderId="0" xfId="0" applyFont="1"/>
    <xf numFmtId="0" fontId="3" fillId="0" borderId="0" xfId="0" applyFont="1" applyAlignment="1">
      <alignment wrapText="1"/>
    </xf>
    <xf numFmtId="49" fontId="3" fillId="0" borderId="26" xfId="0" applyNumberFormat="1" applyFont="1" applyBorder="1" applyAlignment="1">
      <alignment horizontal="left" vertical="center" wrapText="1"/>
    </xf>
    <xf numFmtId="4" fontId="13" fillId="0" borderId="4" xfId="0" applyNumberFormat="1" applyFont="1" applyBorder="1" applyAlignment="1">
      <alignment horizontal="right" vertical="center" wrapText="1"/>
    </xf>
    <xf numFmtId="4" fontId="11" fillId="0" borderId="4" xfId="0" applyNumberFormat="1" applyFont="1" applyBorder="1" applyAlignment="1">
      <alignment horizontal="right" vertical="center" wrapText="1"/>
    </xf>
    <xf numFmtId="4" fontId="11" fillId="0" borderId="4" xfId="2" applyNumberFormat="1" applyFont="1" applyBorder="1" applyAlignment="1">
      <alignment horizontal="right" vertical="center" wrapText="1"/>
    </xf>
    <xf numFmtId="0" fontId="12" fillId="0" borderId="4" xfId="0" applyFont="1" applyBorder="1" applyAlignment="1">
      <alignment wrapText="1"/>
    </xf>
    <xf numFmtId="0" fontId="11" fillId="0" borderId="4" xfId="0" applyFont="1" applyBorder="1" applyAlignment="1">
      <alignment wrapText="1"/>
    </xf>
    <xf numFmtId="4" fontId="13" fillId="0" borderId="4" xfId="0" applyNumberFormat="1" applyFont="1" applyBorder="1" applyAlignment="1">
      <alignment wrapText="1"/>
    </xf>
    <xf numFmtId="4" fontId="11" fillId="0" borderId="5" xfId="0" applyNumberFormat="1" applyFont="1" applyBorder="1" applyAlignment="1">
      <alignment horizontal="right" vertical="center" wrapText="1"/>
    </xf>
    <xf numFmtId="4" fontId="11" fillId="0" borderId="5" xfId="2" applyNumberFormat="1" applyFont="1" applyBorder="1" applyAlignment="1">
      <alignment horizontal="right" vertical="center" wrapText="1"/>
    </xf>
    <xf numFmtId="0" fontId="11" fillId="0" borderId="32" xfId="0" applyFont="1" applyBorder="1" applyAlignment="1">
      <alignment horizontal="left" vertical="center" wrapText="1"/>
    </xf>
    <xf numFmtId="0" fontId="12" fillId="0" borderId="26" xfId="0" applyFont="1" applyBorder="1" applyAlignment="1">
      <alignment wrapText="1"/>
    </xf>
    <xf numFmtId="3" fontId="2" fillId="0" borderId="0" xfId="0" applyNumberFormat="1" applyFont="1" applyAlignment="1">
      <alignment wrapText="1"/>
    </xf>
    <xf numFmtId="4" fontId="16" fillId="0" borderId="4" xfId="1" applyNumberFormat="1" applyFont="1" applyFill="1" applyBorder="1" applyAlignment="1">
      <alignment horizontal="left" vertical="center" wrapText="1"/>
    </xf>
    <xf numFmtId="4" fontId="16" fillId="0" borderId="4" xfId="0" applyNumberFormat="1" applyFont="1" applyBorder="1" applyAlignment="1">
      <alignment horizontal="left" vertical="center" wrapText="1"/>
    </xf>
    <xf numFmtId="4" fontId="16" fillId="0" borderId="4" xfId="1" applyNumberFormat="1" applyFont="1" applyFill="1" applyBorder="1" applyAlignment="1">
      <alignment vertical="center" wrapText="1"/>
    </xf>
    <xf numFmtId="0" fontId="2" fillId="0" borderId="26" xfId="0" applyFont="1" applyBorder="1" applyAlignment="1">
      <alignment vertical="center" wrapText="1"/>
    </xf>
    <xf numFmtId="0" fontId="16" fillId="0" borderId="26" xfId="0" applyFont="1" applyBorder="1" applyAlignment="1">
      <alignment vertical="center" wrapText="1"/>
    </xf>
    <xf numFmtId="0" fontId="2" fillId="0" borderId="0" xfId="0" applyFont="1" applyAlignment="1">
      <alignment vertical="top" wrapText="1"/>
    </xf>
    <xf numFmtId="4" fontId="16" fillId="0" borderId="4" xfId="1" applyNumberFormat="1" applyFont="1" applyFill="1" applyBorder="1" applyAlignment="1">
      <alignment horizontal="left" vertical="top" wrapText="1"/>
    </xf>
    <xf numFmtId="4" fontId="19" fillId="0" borderId="4" xfId="0" applyNumberFormat="1" applyFont="1" applyBorder="1" applyAlignment="1">
      <alignment horizontal="left" vertical="top" wrapText="1"/>
    </xf>
    <xf numFmtId="4" fontId="2" fillId="0" borderId="4" xfId="2" applyNumberFormat="1" applyFont="1" applyBorder="1" applyAlignment="1">
      <alignment horizontal="left" vertical="top" wrapText="1"/>
    </xf>
    <xf numFmtId="4" fontId="3" fillId="7" borderId="22" xfId="1" applyNumberFormat="1" applyFont="1" applyFill="1" applyBorder="1" applyAlignment="1">
      <alignment horizontal="right" vertical="center" wrapText="1"/>
    </xf>
    <xf numFmtId="3" fontId="3" fillId="7" borderId="49" xfId="1" applyNumberFormat="1" applyFont="1" applyFill="1" applyBorder="1" applyAlignment="1">
      <alignment horizontal="right" vertical="center" wrapText="1"/>
    </xf>
    <xf numFmtId="4" fontId="3" fillId="7" borderId="47" xfId="1" applyNumberFormat="1" applyFont="1" applyFill="1" applyBorder="1" applyAlignment="1">
      <alignment horizontal="right" vertical="center" wrapText="1"/>
    </xf>
    <xf numFmtId="3" fontId="3" fillId="7" borderId="47" xfId="1" applyNumberFormat="1" applyFont="1" applyFill="1" applyBorder="1" applyAlignment="1">
      <alignment horizontal="right" vertical="center" wrapText="1"/>
    </xf>
    <xf numFmtId="3" fontId="6" fillId="7" borderId="47" xfId="1" applyNumberFormat="1" applyFont="1" applyFill="1" applyBorder="1" applyAlignment="1">
      <alignment horizontal="right" vertical="center" wrapText="1"/>
    </xf>
    <xf numFmtId="4" fontId="3" fillId="7" borderId="49" xfId="1" applyNumberFormat="1" applyFont="1" applyFill="1" applyBorder="1" applyAlignment="1">
      <alignment horizontal="right" vertical="center" wrapText="1"/>
    </xf>
    <xf numFmtId="4" fontId="16" fillId="0" borderId="51" xfId="1" applyNumberFormat="1" applyFont="1" applyFill="1" applyBorder="1" applyAlignment="1">
      <alignment horizontal="right" vertical="center" wrapText="1"/>
    </xf>
    <xf numFmtId="4" fontId="16" fillId="0" borderId="11" xfId="1" applyNumberFormat="1" applyFont="1" applyFill="1" applyBorder="1" applyAlignment="1">
      <alignment horizontal="right" vertical="center" wrapText="1"/>
    </xf>
    <xf numFmtId="4" fontId="18" fillId="0" borderId="11" xfId="1" applyNumberFormat="1" applyFont="1" applyFill="1" applyBorder="1" applyAlignment="1">
      <alignment horizontal="right" vertical="center" wrapText="1"/>
    </xf>
    <xf numFmtId="4" fontId="16" fillId="0" borderId="11" xfId="1" applyNumberFormat="1" applyFont="1" applyFill="1" applyBorder="1" applyAlignment="1">
      <alignment horizontal="left" vertical="center" wrapText="1"/>
    </xf>
    <xf numFmtId="0" fontId="4" fillId="0" borderId="0" xfId="0" applyFont="1" applyAlignment="1">
      <alignment wrapText="1"/>
    </xf>
    <xf numFmtId="43" fontId="3" fillId="0" borderId="22" xfId="1" applyFont="1" applyBorder="1" applyAlignment="1">
      <alignment horizontal="center" vertical="center" wrapText="1"/>
    </xf>
    <xf numFmtId="43" fontId="3" fillId="8" borderId="22" xfId="1" applyFont="1" applyFill="1" applyBorder="1" applyAlignment="1">
      <alignment horizontal="center" vertical="center" wrapText="1"/>
    </xf>
    <xf numFmtId="9" fontId="2" fillId="0" borderId="0" xfId="0" applyNumberFormat="1" applyFont="1" applyAlignment="1">
      <alignment wrapText="1"/>
    </xf>
    <xf numFmtId="4" fontId="3" fillId="0" borderId="0" xfId="0" applyNumberFormat="1" applyFont="1" applyAlignment="1">
      <alignment wrapText="1"/>
    </xf>
    <xf numFmtId="44" fontId="2" fillId="0" borderId="0" xfId="3" applyFont="1" applyAlignment="1">
      <alignment wrapText="1"/>
    </xf>
    <xf numFmtId="44" fontId="2" fillId="0" borderId="0" xfId="0" applyNumberFormat="1" applyFont="1" applyAlignment="1">
      <alignment wrapText="1"/>
    </xf>
    <xf numFmtId="4" fontId="2" fillId="0" borderId="0" xfId="0" applyNumberFormat="1" applyFont="1" applyAlignment="1">
      <alignment horizontal="left" wrapText="1"/>
    </xf>
    <xf numFmtId="3" fontId="3" fillId="0" borderId="9" xfId="0" applyNumberFormat="1" applyFont="1" applyBorder="1" applyAlignment="1">
      <alignment horizontal="right" vertical="center" wrapText="1"/>
    </xf>
    <xf numFmtId="4" fontId="16" fillId="0" borderId="0" xfId="0" applyNumberFormat="1" applyFont="1" applyAlignment="1">
      <alignment wrapText="1"/>
    </xf>
    <xf numFmtId="4" fontId="16" fillId="0" borderId="6" xfId="0" applyNumberFormat="1" applyFont="1" applyBorder="1" applyAlignment="1">
      <alignment horizontal="right" vertical="center" wrapText="1"/>
    </xf>
    <xf numFmtId="0" fontId="3" fillId="0" borderId="4" xfId="2" applyFont="1" applyBorder="1" applyAlignment="1">
      <alignment horizontal="left" vertical="center" wrapText="1"/>
    </xf>
    <xf numFmtId="4" fontId="16" fillId="0" borderId="6" xfId="1" applyNumberFormat="1" applyFont="1" applyFill="1" applyBorder="1" applyAlignment="1">
      <alignment vertical="center" wrapText="1"/>
    </xf>
    <xf numFmtId="4" fontId="18" fillId="0" borderId="4" xfId="1" applyNumberFormat="1" applyFont="1" applyFill="1" applyBorder="1" applyAlignment="1">
      <alignment vertical="center" wrapText="1"/>
    </xf>
    <xf numFmtId="4" fontId="16" fillId="0" borderId="4" xfId="0" applyNumberFormat="1" applyFont="1" applyBorder="1" applyAlignment="1">
      <alignment vertical="center" wrapText="1"/>
    </xf>
    <xf numFmtId="0" fontId="3" fillId="0" borderId="8" xfId="2" applyFont="1" applyBorder="1" applyAlignment="1">
      <alignment horizontal="center" vertical="center" wrapText="1"/>
    </xf>
    <xf numFmtId="43" fontId="3" fillId="0" borderId="8" xfId="1" applyFont="1" applyBorder="1" applyAlignment="1">
      <alignment horizontal="center" vertical="center" wrapText="1"/>
    </xf>
    <xf numFmtId="43" fontId="3" fillId="8" borderId="8" xfId="1" applyFont="1" applyFill="1" applyBorder="1" applyAlignment="1">
      <alignment horizontal="center" vertical="center" wrapText="1"/>
    </xf>
    <xf numFmtId="0" fontId="4" fillId="0" borderId="8" xfId="2" applyFont="1" applyBorder="1" applyAlignment="1">
      <alignment horizontal="center" vertical="center" wrapText="1"/>
    </xf>
    <xf numFmtId="4" fontId="2" fillId="0" borderId="8" xfId="2" applyNumberFormat="1" applyFont="1" applyBorder="1" applyAlignment="1">
      <alignment horizontal="center" vertical="center" wrapText="1"/>
    </xf>
    <xf numFmtId="0" fontId="2" fillId="0" borderId="7" xfId="2" applyFont="1" applyBorder="1" applyAlignment="1">
      <alignment horizontal="center" vertical="center" wrapText="1"/>
    </xf>
    <xf numFmtId="0" fontId="2" fillId="0" borderId="54" xfId="2" applyFont="1" applyBorder="1" applyAlignment="1">
      <alignment horizontal="center" vertical="center" wrapText="1"/>
    </xf>
    <xf numFmtId="0" fontId="12" fillId="14" borderId="4" xfId="2" applyFont="1" applyFill="1" applyBorder="1" applyAlignment="1">
      <alignment horizontal="left" vertical="center" wrapText="1"/>
    </xf>
    <xf numFmtId="3" fontId="3" fillId="15" borderId="12" xfId="1" applyNumberFormat="1" applyFont="1" applyFill="1" applyBorder="1" applyAlignment="1">
      <alignment horizontal="right" vertical="center" wrapText="1"/>
    </xf>
    <xf numFmtId="0" fontId="17" fillId="0" borderId="26" xfId="2" applyFont="1" applyBorder="1" applyAlignment="1">
      <alignment horizontal="left" vertical="center" wrapText="1"/>
    </xf>
    <xf numFmtId="0" fontId="16" fillId="0" borderId="5" xfId="2" applyFont="1" applyBorder="1" applyAlignment="1">
      <alignment horizontal="left" vertical="center" wrapText="1"/>
    </xf>
    <xf numFmtId="2" fontId="2" fillId="8" borderId="26" xfId="2" applyNumberFormat="1" applyFont="1" applyFill="1" applyBorder="1" applyAlignment="1">
      <alignment horizontal="right" vertical="center"/>
    </xf>
    <xf numFmtId="2" fontId="2" fillId="8" borderId="32" xfId="2" applyNumberFormat="1" applyFont="1" applyFill="1" applyBorder="1" applyAlignment="1">
      <alignment horizontal="right" vertical="center"/>
    </xf>
    <xf numFmtId="3" fontId="3" fillId="14" borderId="37" xfId="1" applyNumberFormat="1" applyFont="1" applyFill="1" applyBorder="1" applyAlignment="1">
      <alignment horizontal="right" vertical="center" wrapText="1"/>
    </xf>
    <xf numFmtId="3" fontId="3" fillId="14" borderId="38" xfId="1" applyNumberFormat="1" applyFont="1" applyFill="1" applyBorder="1" applyAlignment="1">
      <alignment horizontal="right" vertical="center" wrapText="1"/>
    </xf>
    <xf numFmtId="2" fontId="2" fillId="8" borderId="26" xfId="2" applyNumberFormat="1" applyFont="1" applyFill="1" applyBorder="1" applyAlignment="1">
      <alignment horizontal="right" vertical="center" wrapText="1"/>
    </xf>
    <xf numFmtId="4" fontId="2" fillId="0" borderId="12" xfId="2" applyNumberFormat="1" applyFont="1" applyBorder="1" applyAlignment="1">
      <alignment horizontal="right" vertical="center" wrapText="1"/>
    </xf>
    <xf numFmtId="4" fontId="16" fillId="0" borderId="0" xfId="2" applyNumberFormat="1" applyFont="1" applyAlignment="1">
      <alignment horizontal="right" vertical="center" wrapText="1"/>
    </xf>
    <xf numFmtId="4" fontId="2" fillId="0" borderId="11" xfId="2" applyNumberFormat="1" applyFont="1" applyBorder="1" applyAlignment="1">
      <alignment horizontal="right" vertical="center" wrapText="1"/>
    </xf>
    <xf numFmtId="3" fontId="3" fillId="14" borderId="8" xfId="1" applyNumberFormat="1" applyFont="1" applyFill="1" applyBorder="1" applyAlignment="1">
      <alignment horizontal="right" vertical="center" wrapText="1"/>
    </xf>
    <xf numFmtId="3" fontId="3" fillId="15" borderId="8" xfId="1" applyNumberFormat="1" applyFont="1" applyFill="1" applyBorder="1" applyAlignment="1">
      <alignment horizontal="right" vertical="center" wrapText="1"/>
    </xf>
    <xf numFmtId="3" fontId="6" fillId="14" borderId="8" xfId="1" applyNumberFormat="1" applyFont="1" applyFill="1" applyBorder="1" applyAlignment="1">
      <alignment horizontal="right" vertical="center" wrapText="1"/>
    </xf>
    <xf numFmtId="43" fontId="2" fillId="0" borderId="0" xfId="1" applyFont="1" applyFill="1" applyAlignment="1">
      <alignment wrapText="1"/>
    </xf>
    <xf numFmtId="166" fontId="2" fillId="0" borderId="0" xfId="2" applyNumberFormat="1" applyFont="1"/>
    <xf numFmtId="10" fontId="2" fillId="0" borderId="0" xfId="6" applyNumberFormat="1" applyFont="1" applyFill="1" applyAlignment="1">
      <alignment wrapText="1"/>
    </xf>
    <xf numFmtId="10" fontId="11" fillId="0" borderId="0" xfId="2" applyNumberFormat="1" applyFont="1"/>
    <xf numFmtId="4" fontId="2" fillId="0" borderId="32" xfId="0" applyNumberFormat="1" applyFont="1" applyBorder="1" applyAlignment="1">
      <alignment horizontal="right" vertical="center" wrapText="1"/>
    </xf>
    <xf numFmtId="4" fontId="16" fillId="0" borderId="26" xfId="0" applyNumberFormat="1" applyFont="1" applyBorder="1" applyAlignment="1">
      <alignment horizontal="right" vertical="center" wrapText="1"/>
    </xf>
    <xf numFmtId="4" fontId="16" fillId="0" borderId="0" xfId="0" applyNumberFormat="1" applyFont="1" applyAlignment="1">
      <alignment horizontal="right" vertical="center" wrapText="1"/>
    </xf>
    <xf numFmtId="4" fontId="16" fillId="0" borderId="0" xfId="0" applyNumberFormat="1" applyFont="1" applyAlignment="1">
      <alignment vertical="center" wrapText="1"/>
    </xf>
    <xf numFmtId="0" fontId="16" fillId="0" borderId="0" xfId="0" applyFont="1" applyAlignment="1">
      <alignment vertical="center" wrapText="1"/>
    </xf>
    <xf numFmtId="4" fontId="16" fillId="0" borderId="5" xfId="0" applyNumberFormat="1" applyFont="1" applyBorder="1" applyAlignment="1">
      <alignment vertical="center" wrapText="1"/>
    </xf>
    <xf numFmtId="49" fontId="16" fillId="0" borderId="4" xfId="0" applyNumberFormat="1" applyFont="1" applyBorder="1" applyAlignment="1">
      <alignment vertical="center" wrapText="1"/>
    </xf>
    <xf numFmtId="4" fontId="19" fillId="0" borderId="5" xfId="0" applyNumberFormat="1" applyFont="1" applyBorder="1" applyAlignment="1">
      <alignment vertical="center" wrapText="1"/>
    </xf>
    <xf numFmtId="0" fontId="22" fillId="0" borderId="4" xfId="0" applyFont="1" applyBorder="1" applyAlignment="1">
      <alignment wrapText="1"/>
    </xf>
    <xf numFmtId="4" fontId="11" fillId="0" borderId="4" xfId="0" applyNumberFormat="1" applyFont="1" applyBorder="1" applyAlignment="1">
      <alignment vertical="center" wrapText="1"/>
    </xf>
    <xf numFmtId="4" fontId="11" fillId="0" borderId="5" xfId="0" applyNumberFormat="1" applyFont="1" applyBorder="1" applyAlignment="1">
      <alignment vertical="center" wrapText="1"/>
    </xf>
    <xf numFmtId="44" fontId="2" fillId="0" borderId="0" xfId="5" applyFont="1"/>
    <xf numFmtId="167" fontId="2" fillId="0" borderId="0" xfId="0" applyNumberFormat="1" applyFont="1" applyAlignment="1">
      <alignment wrapText="1"/>
    </xf>
    <xf numFmtId="4" fontId="16" fillId="0" borderId="6" xfId="0" applyNumberFormat="1" applyFont="1" applyBorder="1" applyAlignment="1">
      <alignment horizontal="left" vertical="center" wrapText="1"/>
    </xf>
    <xf numFmtId="3" fontId="3" fillId="7" borderId="50" xfId="1" applyNumberFormat="1" applyFont="1" applyFill="1" applyBorder="1" applyAlignment="1">
      <alignment horizontal="right" vertical="center" wrapText="1"/>
    </xf>
    <xf numFmtId="4" fontId="3" fillId="7" borderId="50" xfId="1" applyNumberFormat="1" applyFont="1" applyFill="1" applyBorder="1" applyAlignment="1">
      <alignment horizontal="right" vertical="center" wrapText="1"/>
    </xf>
    <xf numFmtId="4" fontId="2" fillId="7" borderId="50" xfId="0" applyNumberFormat="1" applyFont="1" applyFill="1" applyBorder="1" applyAlignment="1">
      <alignment horizontal="left" vertical="center" wrapText="1"/>
    </xf>
    <xf numFmtId="4" fontId="2" fillId="0" borderId="26" xfId="0" applyNumberFormat="1" applyFont="1" applyBorder="1" applyAlignment="1">
      <alignment horizontal="right" vertical="center"/>
    </xf>
    <xf numFmtId="4" fontId="2" fillId="8" borderId="26" xfId="0" applyNumberFormat="1" applyFont="1" applyFill="1" applyBorder="1" applyAlignment="1">
      <alignment horizontal="right" vertical="center"/>
    </xf>
    <xf numFmtId="4" fontId="2" fillId="0" borderId="0" xfId="0" applyNumberFormat="1" applyFont="1" applyAlignment="1">
      <alignment horizontal="right" vertical="center"/>
    </xf>
    <xf numFmtId="4" fontId="2" fillId="8" borderId="32" xfId="0" applyNumberFormat="1" applyFont="1" applyFill="1" applyBorder="1" applyAlignment="1">
      <alignment horizontal="right" vertical="center"/>
    </xf>
    <xf numFmtId="4" fontId="4" fillId="0" borderId="26" xfId="0" applyNumberFormat="1" applyFont="1" applyBorder="1" applyAlignment="1">
      <alignment horizontal="right" vertical="center"/>
    </xf>
    <xf numFmtId="4" fontId="2" fillId="8" borderId="0" xfId="0" applyNumberFormat="1" applyFont="1" applyFill="1" applyAlignment="1">
      <alignment horizontal="right" vertical="center"/>
    </xf>
    <xf numFmtId="4" fontId="11" fillId="0" borderId="26" xfId="0" applyNumberFormat="1" applyFont="1" applyBorder="1" applyAlignment="1">
      <alignment horizontal="right" vertical="center"/>
    </xf>
    <xf numFmtId="4" fontId="11" fillId="8" borderId="26" xfId="0" applyNumberFormat="1" applyFont="1" applyFill="1" applyBorder="1" applyAlignment="1">
      <alignment horizontal="right" vertical="center"/>
    </xf>
    <xf numFmtId="4" fontId="11" fillId="0" borderId="0" xfId="0" applyNumberFormat="1" applyFont="1" applyAlignment="1">
      <alignment horizontal="right" vertical="center"/>
    </xf>
    <xf numFmtId="4" fontId="11" fillId="8" borderId="32" xfId="0" applyNumberFormat="1" applyFont="1" applyFill="1" applyBorder="1" applyAlignment="1">
      <alignment horizontal="right" vertical="center"/>
    </xf>
    <xf numFmtId="4" fontId="13" fillId="0" borderId="26" xfId="0" applyNumberFormat="1" applyFont="1" applyBorder="1" applyAlignment="1">
      <alignment horizontal="right" vertical="center"/>
    </xf>
    <xf numFmtId="4" fontId="11" fillId="0" borderId="26" xfId="2" applyNumberFormat="1" applyFont="1" applyBorder="1" applyAlignment="1">
      <alignment horizontal="right" vertical="center"/>
    </xf>
    <xf numFmtId="4" fontId="11" fillId="0" borderId="26" xfId="1" applyNumberFormat="1" applyFont="1" applyBorder="1" applyAlignment="1">
      <alignment horizontal="right" vertical="center" indent="1"/>
    </xf>
    <xf numFmtId="4" fontId="11" fillId="8" borderId="26" xfId="2" applyNumberFormat="1" applyFont="1" applyFill="1" applyBorder="1" applyAlignment="1">
      <alignment horizontal="right" vertical="center"/>
    </xf>
    <xf numFmtId="4" fontId="11" fillId="8" borderId="32" xfId="2" applyNumberFormat="1" applyFont="1" applyFill="1" applyBorder="1" applyAlignment="1">
      <alignment horizontal="right" vertical="center"/>
    </xf>
    <xf numFmtId="4" fontId="13" fillId="0" borderId="26" xfId="1" applyNumberFormat="1" applyFont="1" applyBorder="1" applyAlignment="1">
      <alignment horizontal="right" vertical="center"/>
    </xf>
    <xf numFmtId="4" fontId="18" fillId="0" borderId="26" xfId="0" applyNumberFormat="1" applyFont="1" applyBorder="1" applyAlignment="1">
      <alignment horizontal="right" vertical="center" wrapText="1"/>
    </xf>
    <xf numFmtId="4" fontId="11" fillId="0" borderId="4" xfId="0" applyNumberFormat="1" applyFont="1" applyBorder="1" applyAlignment="1">
      <alignment wrapText="1"/>
    </xf>
    <xf numFmtId="4" fontId="11" fillId="13" borderId="4" xfId="0" applyNumberFormat="1" applyFont="1" applyFill="1" applyBorder="1" applyAlignment="1">
      <alignment wrapText="1"/>
    </xf>
    <xf numFmtId="4" fontId="11" fillId="0" borderId="6" xfId="0" applyNumberFormat="1" applyFont="1" applyBorder="1" applyAlignment="1">
      <alignment wrapText="1"/>
    </xf>
    <xf numFmtId="4" fontId="2" fillId="0" borderId="26" xfId="0" applyNumberFormat="1" applyFont="1" applyBorder="1" applyAlignment="1">
      <alignment horizontal="right" vertical="center" wrapText="1"/>
    </xf>
    <xf numFmtId="4" fontId="4" fillId="0" borderId="26" xfId="0" applyNumberFormat="1" applyFont="1" applyBorder="1" applyAlignment="1">
      <alignment horizontal="right" vertical="center" wrapText="1"/>
    </xf>
    <xf numFmtId="4" fontId="11" fillId="0" borderId="26" xfId="0" applyNumberFormat="1" applyFont="1" applyBorder="1" applyAlignment="1">
      <alignment wrapText="1"/>
    </xf>
    <xf numFmtId="4" fontId="11" fillId="13" borderId="26" xfId="0" applyNumberFormat="1" applyFont="1" applyFill="1" applyBorder="1" applyAlignment="1">
      <alignment wrapText="1"/>
    </xf>
    <xf numFmtId="4" fontId="11" fillId="0" borderId="26" xfId="0" applyNumberFormat="1" applyFont="1" applyBorder="1" applyAlignment="1">
      <alignment horizontal="right" wrapText="1"/>
    </xf>
    <xf numFmtId="4" fontId="2" fillId="8" borderId="26" xfId="1" applyNumberFormat="1" applyFont="1" applyFill="1" applyBorder="1" applyAlignment="1">
      <alignment horizontal="right" vertical="center" wrapText="1"/>
    </xf>
    <xf numFmtId="4" fontId="16" fillId="8" borderId="26" xfId="1" applyNumberFormat="1" applyFont="1" applyFill="1" applyBorder="1" applyAlignment="1">
      <alignment horizontal="right" vertical="center" wrapText="1"/>
    </xf>
    <xf numFmtId="3" fontId="4" fillId="0" borderId="0" xfId="0" applyNumberFormat="1" applyFont="1" applyAlignment="1">
      <alignment wrapText="1"/>
    </xf>
    <xf numFmtId="4" fontId="11" fillId="0" borderId="0" xfId="0" applyNumberFormat="1" applyFont="1"/>
    <xf numFmtId="3" fontId="23" fillId="0" borderId="0" xfId="0" applyNumberFormat="1" applyFont="1"/>
    <xf numFmtId="168" fontId="2" fillId="0" borderId="0" xfId="0" applyNumberFormat="1" applyFont="1" applyAlignment="1">
      <alignment wrapText="1"/>
    </xf>
    <xf numFmtId="9" fontId="16" fillId="0" borderId="0" xfId="7" applyFont="1" applyAlignment="1">
      <alignment wrapText="1"/>
    </xf>
    <xf numFmtId="4" fontId="6" fillId="7" borderId="50" xfId="1" applyNumberFormat="1" applyFont="1" applyFill="1" applyBorder="1" applyAlignment="1">
      <alignment horizontal="right" vertical="center" wrapText="1"/>
    </xf>
    <xf numFmtId="4" fontId="16" fillId="0" borderId="5" xfId="0" applyNumberFormat="1" applyFont="1" applyBorder="1" applyAlignment="1">
      <alignment horizontal="right" vertical="center" wrapText="1"/>
    </xf>
    <xf numFmtId="4" fontId="16" fillId="0" borderId="26" xfId="0" applyNumberFormat="1" applyFont="1" applyBorder="1" applyAlignment="1">
      <alignment vertical="center"/>
    </xf>
    <xf numFmtId="4" fontId="16" fillId="0" borderId="6" xfId="0" applyNumberFormat="1" applyFont="1" applyBorder="1" applyAlignment="1">
      <alignment vertical="center" wrapText="1"/>
    </xf>
    <xf numFmtId="4" fontId="18" fillId="0" borderId="4" xfId="0" applyNumberFormat="1" applyFont="1" applyBorder="1" applyAlignment="1">
      <alignment vertical="center" wrapText="1"/>
    </xf>
    <xf numFmtId="4" fontId="16" fillId="0" borderId="32" xfId="0" applyNumberFormat="1" applyFont="1" applyBorder="1" applyAlignment="1">
      <alignment horizontal="right" vertical="center" wrapText="1"/>
    </xf>
    <xf numFmtId="0" fontId="3" fillId="0" borderId="21" xfId="0" applyFont="1" applyBorder="1" applyAlignment="1">
      <alignment horizontal="left" vertical="center" wrapText="1"/>
    </xf>
    <xf numFmtId="4" fontId="18" fillId="0" borderId="6" xfId="1" applyNumberFormat="1" applyFont="1" applyFill="1" applyBorder="1" applyAlignment="1">
      <alignment horizontal="right" vertical="center" wrapText="1"/>
    </xf>
    <xf numFmtId="4" fontId="16" fillId="8" borderId="6" xfId="1" applyNumberFormat="1" applyFont="1" applyFill="1" applyBorder="1" applyAlignment="1">
      <alignment horizontal="right" vertical="center" wrapText="1"/>
    </xf>
    <xf numFmtId="0" fontId="16" fillId="0" borderId="26" xfId="0" applyFont="1" applyBorder="1" applyAlignment="1">
      <alignment horizontal="left" vertical="center" wrapText="1"/>
    </xf>
    <xf numFmtId="4" fontId="12" fillId="0" borderId="5" xfId="0" applyNumberFormat="1" applyFont="1" applyBorder="1" applyAlignment="1">
      <alignment horizontal="left" vertical="center" wrapText="1"/>
    </xf>
    <xf numFmtId="4" fontId="17" fillId="0" borderId="5" xfId="0" applyNumberFormat="1" applyFont="1" applyBorder="1" applyAlignment="1">
      <alignment horizontal="left" vertical="center" wrapText="1"/>
    </xf>
    <xf numFmtId="4" fontId="12" fillId="0" borderId="4" xfId="0" applyNumberFormat="1" applyFont="1" applyBorder="1" applyAlignment="1">
      <alignment horizontal="left" vertical="center" wrapText="1"/>
    </xf>
    <xf numFmtId="4" fontId="11" fillId="0" borderId="0" xfId="1" applyNumberFormat="1" applyFont="1" applyAlignment="1">
      <alignment horizontal="right" vertical="center" wrapText="1"/>
    </xf>
    <xf numFmtId="4" fontId="11" fillId="0" borderId="4" xfId="1" applyNumberFormat="1" applyFont="1" applyBorder="1" applyAlignment="1">
      <alignment horizontal="right" vertical="center" wrapText="1"/>
    </xf>
    <xf numFmtId="4" fontId="11" fillId="0" borderId="6" xfId="1" applyNumberFormat="1" applyFont="1" applyBorder="1" applyAlignment="1">
      <alignment horizontal="right" vertical="center" wrapText="1"/>
    </xf>
    <xf numFmtId="4" fontId="13" fillId="0" borderId="4" xfId="1" applyNumberFormat="1" applyFont="1" applyBorder="1" applyAlignment="1">
      <alignment horizontal="right" vertical="center" wrapText="1"/>
    </xf>
    <xf numFmtId="4" fontId="16" fillId="0" borderId="52" xfId="1" applyNumberFormat="1" applyFont="1" applyFill="1" applyBorder="1" applyAlignment="1">
      <alignment horizontal="right" vertical="center" wrapText="1"/>
    </xf>
    <xf numFmtId="4" fontId="11" fillId="0" borderId="6" xfId="0" applyNumberFormat="1" applyFont="1" applyBorder="1" applyAlignment="1">
      <alignment horizontal="right" vertical="center" wrapText="1"/>
    </xf>
    <xf numFmtId="0" fontId="6" fillId="0" borderId="8" xfId="0" applyFont="1" applyBorder="1" applyAlignment="1">
      <alignment horizontal="center" vertical="center" wrapText="1"/>
    </xf>
    <xf numFmtId="4" fontId="3" fillId="0" borderId="8" xfId="0" applyNumberFormat="1" applyFont="1" applyBorder="1" applyAlignment="1">
      <alignment horizontal="center" vertical="center" wrapText="1"/>
    </xf>
    <xf numFmtId="0" fontId="3" fillId="0" borderId="53" xfId="0" applyFont="1" applyBorder="1" applyAlignment="1">
      <alignment horizontal="center" vertical="center" wrapText="1"/>
    </xf>
    <xf numFmtId="0" fontId="3" fillId="0" borderId="53" xfId="0" applyFont="1" applyBorder="1" applyAlignment="1">
      <alignment horizontal="left" vertical="center" wrapText="1"/>
    </xf>
    <xf numFmtId="0" fontId="3" fillId="0" borderId="1" xfId="0" applyFont="1" applyBorder="1" applyAlignment="1">
      <alignment horizontal="left" vertical="center" wrapText="1"/>
    </xf>
    <xf numFmtId="169" fontId="0" fillId="0" borderId="0" xfId="0" applyNumberFormat="1"/>
    <xf numFmtId="0" fontId="3" fillId="0" borderId="3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8" xfId="0" applyFont="1" applyBorder="1" applyAlignment="1">
      <alignment horizontal="center" vertical="center" wrapText="1"/>
    </xf>
    <xf numFmtId="4" fontId="3" fillId="0" borderId="38" xfId="0" applyNumberFormat="1" applyFont="1" applyBorder="1" applyAlignment="1">
      <alignment horizontal="center" vertical="center" wrapText="1"/>
    </xf>
    <xf numFmtId="0" fontId="6" fillId="0" borderId="38" xfId="0" applyFont="1" applyBorder="1" applyAlignment="1">
      <alignment horizontal="center" vertical="center" wrapText="1"/>
    </xf>
    <xf numFmtId="43" fontId="3" fillId="8" borderId="38" xfId="1" applyFont="1" applyFill="1" applyBorder="1" applyAlignment="1">
      <alignment horizontal="center" vertical="center" wrapText="1"/>
    </xf>
    <xf numFmtId="43" fontId="3" fillId="0" borderId="38" xfId="1" applyFont="1" applyBorder="1" applyAlignment="1">
      <alignment horizontal="center" vertical="center" wrapText="1"/>
    </xf>
    <xf numFmtId="0" fontId="3" fillId="0" borderId="38" xfId="0" applyFont="1" applyBorder="1" applyAlignment="1">
      <alignment horizontal="left" vertical="center" wrapText="1"/>
    </xf>
    <xf numFmtId="4" fontId="16" fillId="0" borderId="0" xfId="1" applyNumberFormat="1" applyFont="1" applyFill="1" applyBorder="1" applyAlignment="1">
      <alignment vertical="center" wrapText="1"/>
    </xf>
    <xf numFmtId="169" fontId="16" fillId="0" borderId="6" xfId="1" applyNumberFormat="1" applyFont="1" applyFill="1" applyBorder="1" applyAlignment="1">
      <alignment vertical="center" wrapText="1"/>
    </xf>
    <xf numFmtId="169" fontId="16" fillId="0" borderId="4" xfId="1" applyNumberFormat="1" applyFont="1" applyFill="1" applyBorder="1" applyAlignment="1">
      <alignment horizontal="right"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43" fontId="3" fillId="0" borderId="9" xfId="1" applyFont="1" applyBorder="1" applyAlignment="1">
      <alignment horizontal="center" vertical="center" wrapText="1"/>
    </xf>
    <xf numFmtId="43" fontId="3" fillId="8" borderId="9" xfId="1" applyFont="1" applyFill="1" applyBorder="1" applyAlignment="1">
      <alignment horizontal="center" vertical="center" wrapText="1"/>
    </xf>
    <xf numFmtId="43" fontId="3" fillId="0" borderId="14" xfId="1" applyFont="1" applyBorder="1" applyAlignment="1">
      <alignment horizontal="center" vertical="center" wrapText="1"/>
    </xf>
    <xf numFmtId="0" fontId="4" fillId="0" borderId="8" xfId="0" applyFont="1" applyBorder="1" applyAlignment="1">
      <alignment horizontal="center" vertical="center" wrapText="1"/>
    </xf>
    <xf numFmtId="4" fontId="2"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19" xfId="0" applyFont="1" applyBorder="1" applyAlignment="1">
      <alignment horizontal="center" vertical="center" wrapText="1"/>
    </xf>
    <xf numFmtId="4" fontId="9" fillId="0" borderId="4" xfId="0" applyNumberFormat="1" applyFont="1" applyBorder="1" applyAlignment="1">
      <alignment vertical="center" wrapText="1"/>
    </xf>
    <xf numFmtId="170" fontId="0" fillId="0" borderId="0" xfId="0" applyNumberFormat="1" applyAlignment="1">
      <alignment wrapText="1"/>
    </xf>
    <xf numFmtId="4" fontId="16" fillId="0" borderId="25" xfId="0" applyNumberFormat="1" applyFont="1" applyBorder="1" applyAlignment="1">
      <alignment horizontal="right" vertical="center" wrapText="1"/>
    </xf>
    <xf numFmtId="4" fontId="0" fillId="0" borderId="55" xfId="0" applyNumberFormat="1" applyBorder="1" applyAlignment="1">
      <alignment vertical="center" wrapText="1"/>
    </xf>
    <xf numFmtId="4" fontId="9" fillId="0" borderId="5" xfId="0" applyNumberFormat="1" applyFont="1" applyBorder="1" applyAlignment="1">
      <alignment vertical="center" wrapText="1"/>
    </xf>
    <xf numFmtId="0" fontId="1" fillId="0" borderId="5" xfId="0" applyFont="1" applyBorder="1" applyAlignment="1">
      <alignment vertical="center" wrapText="1"/>
    </xf>
    <xf numFmtId="49" fontId="9" fillId="0" borderId="4" xfId="0" applyNumberFormat="1" applyFont="1" applyBorder="1" applyAlignment="1">
      <alignment vertical="center" wrapText="1"/>
    </xf>
    <xf numFmtId="49" fontId="3" fillId="0" borderId="4" xfId="0" applyNumberFormat="1" applyFont="1" applyBorder="1" applyAlignment="1">
      <alignment horizontal="left" vertical="center" wrapText="1"/>
    </xf>
    <xf numFmtId="4" fontId="6" fillId="7" borderId="13" xfId="1" applyNumberFormat="1" applyFont="1" applyFill="1" applyBorder="1" applyAlignment="1">
      <alignment horizontal="right" vertical="center" wrapText="1"/>
    </xf>
    <xf numFmtId="4" fontId="1" fillId="7" borderId="7" xfId="0" applyNumberFormat="1" applyFont="1" applyFill="1" applyBorder="1" applyAlignment="1">
      <alignment vertical="center" wrapText="1"/>
    </xf>
    <xf numFmtId="4" fontId="16" fillId="0" borderId="6" xfId="1" applyNumberFormat="1" applyFont="1" applyBorder="1" applyAlignment="1">
      <alignment horizontal="right" vertical="center" wrapText="1"/>
    </xf>
    <xf numFmtId="4" fontId="18" fillId="0" borderId="4" xfId="1" applyNumberFormat="1" applyFont="1" applyBorder="1" applyAlignment="1">
      <alignment horizontal="right" vertical="center" wrapText="1"/>
    </xf>
    <xf numFmtId="4" fontId="6" fillId="7" borderId="8" xfId="1" applyNumberFormat="1" applyFont="1" applyFill="1" applyBorder="1" applyAlignment="1">
      <alignment horizontal="right" vertical="center" wrapText="1"/>
    </xf>
    <xf numFmtId="4" fontId="6" fillId="6" borderId="8" xfId="1" applyNumberFormat="1" applyFont="1" applyFill="1" applyBorder="1" applyAlignment="1">
      <alignment horizontal="right" vertical="center" wrapText="1"/>
    </xf>
    <xf numFmtId="3" fontId="0" fillId="0" borderId="0" xfId="0" applyNumberFormat="1" applyAlignment="1">
      <alignment wrapText="1"/>
    </xf>
    <xf numFmtId="0" fontId="2" fillId="0" borderId="0" xfId="0" applyFont="1" applyAlignment="1">
      <alignment horizontal="right" wrapText="1"/>
    </xf>
    <xf numFmtId="0" fontId="0" fillId="0" borderId="0" xfId="0" applyAlignment="1">
      <alignment horizontal="right"/>
    </xf>
    <xf numFmtId="0" fontId="4" fillId="0" borderId="0" xfId="0" applyFont="1" applyAlignment="1">
      <alignment horizontal="right" wrapText="1"/>
    </xf>
    <xf numFmtId="0" fontId="17" fillId="0" borderId="4" xfId="0" applyFont="1" applyBorder="1" applyAlignment="1">
      <alignment vertical="center" wrapText="1"/>
    </xf>
    <xf numFmtId="0" fontId="3" fillId="0" borderId="0" xfId="0" applyFont="1"/>
    <xf numFmtId="43" fontId="6" fillId="0" borderId="22" xfId="1" applyFont="1" applyFill="1" applyBorder="1" applyAlignment="1">
      <alignment horizontal="center" vertical="center" wrapText="1"/>
    </xf>
    <xf numFmtId="4" fontId="13" fillId="0" borderId="6" xfId="1" applyNumberFormat="1" applyFont="1" applyFill="1" applyBorder="1" applyAlignment="1">
      <alignment horizontal="right" vertical="center" wrapText="1"/>
    </xf>
    <xf numFmtId="4" fontId="4" fillId="0" borderId="6" xfId="1" applyNumberFormat="1" applyFont="1" applyFill="1" applyBorder="1" applyAlignment="1">
      <alignment horizontal="right" vertical="center" wrapText="1"/>
    </xf>
    <xf numFmtId="4" fontId="13" fillId="0" borderId="28" xfId="0" applyNumberFormat="1" applyFont="1" applyBorder="1" applyAlignment="1">
      <alignment horizontal="right" vertical="center"/>
    </xf>
    <xf numFmtId="4" fontId="18" fillId="0" borderId="28" xfId="0" applyNumberFormat="1" applyFont="1" applyBorder="1" applyAlignment="1">
      <alignment horizontal="right" vertical="center"/>
    </xf>
    <xf numFmtId="4" fontId="18" fillId="0" borderId="0" xfId="0" applyNumberFormat="1" applyFont="1" applyAlignment="1">
      <alignment horizontal="right" vertical="center" wrapText="1"/>
    </xf>
    <xf numFmtId="4" fontId="18" fillId="0" borderId="0" xfId="1" applyNumberFormat="1" applyFont="1" applyFill="1" applyAlignment="1">
      <alignment horizontal="right" vertical="center" wrapText="1"/>
    </xf>
    <xf numFmtId="3" fontId="3" fillId="0" borderId="14" xfId="0" applyNumberFormat="1" applyFont="1" applyBorder="1" applyAlignment="1">
      <alignment horizontal="right" vertical="center" wrapText="1"/>
    </xf>
    <xf numFmtId="3" fontId="3" fillId="0" borderId="7" xfId="0" applyNumberFormat="1" applyFont="1" applyBorder="1" applyAlignment="1">
      <alignment horizontal="right" vertical="center" wrapText="1"/>
    </xf>
    <xf numFmtId="37" fontId="15" fillId="0" borderId="14" xfId="0" applyNumberFormat="1" applyFont="1" applyBorder="1" applyAlignment="1">
      <alignment horizontal="left" vertical="center" wrapText="1"/>
    </xf>
    <xf numFmtId="3" fontId="3" fillId="0" borderId="7" xfId="2" applyNumberFormat="1" applyFont="1" applyBorder="1" applyAlignment="1">
      <alignment horizontal="right" vertical="center" wrapText="1"/>
    </xf>
    <xf numFmtId="37" fontId="15" fillId="0" borderId="14" xfId="2" applyNumberFormat="1" applyFont="1" applyBorder="1" applyAlignment="1">
      <alignment horizontal="left" vertical="center" wrapText="1"/>
    </xf>
    <xf numFmtId="0" fontId="25" fillId="0" borderId="0" xfId="0" applyFont="1"/>
    <xf numFmtId="0" fontId="26" fillId="0" borderId="0" xfId="0" applyFont="1"/>
    <xf numFmtId="0" fontId="26" fillId="0" borderId="18" xfId="0" applyFont="1" applyBorder="1"/>
    <xf numFmtId="8" fontId="26" fillId="0" borderId="19" xfId="0" applyNumberFormat="1" applyFont="1" applyBorder="1"/>
    <xf numFmtId="0" fontId="25" fillId="0" borderId="18" xfId="0" applyFont="1" applyBorder="1"/>
    <xf numFmtId="0" fontId="26" fillId="0" borderId="2" xfId="0" applyFont="1" applyBorder="1"/>
    <xf numFmtId="8" fontId="26" fillId="0" borderId="3" xfId="0" applyNumberFormat="1" applyFont="1" applyBorder="1"/>
    <xf numFmtId="0" fontId="25" fillId="0" borderId="2" xfId="0" applyFont="1" applyBorder="1"/>
    <xf numFmtId="0" fontId="25" fillId="0" borderId="16" xfId="0" applyFont="1" applyBorder="1"/>
    <xf numFmtId="8" fontId="26" fillId="0" borderId="20" xfId="0" applyNumberFormat="1" applyFont="1" applyBorder="1"/>
    <xf numFmtId="0" fontId="26" fillId="17" borderId="16" xfId="0" applyFont="1" applyFill="1" applyBorder="1"/>
    <xf numFmtId="8" fontId="26" fillId="17" borderId="20" xfId="0" applyNumberFormat="1" applyFont="1" applyFill="1" applyBorder="1"/>
    <xf numFmtId="8" fontId="2" fillId="0" borderId="0" xfId="3" applyNumberFormat="1" applyFont="1" applyAlignment="1">
      <alignment wrapText="1"/>
    </xf>
    <xf numFmtId="0" fontId="3" fillId="7" borderId="14" xfId="0" applyFont="1" applyFill="1" applyBorder="1" applyAlignment="1">
      <alignment horizontal="right"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50"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7" borderId="18" xfId="0" applyFont="1" applyFill="1" applyBorder="1" applyAlignment="1">
      <alignment horizontal="right" vertical="center" wrapText="1"/>
    </xf>
    <xf numFmtId="0" fontId="3" fillId="3" borderId="39"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48" xfId="0" applyFont="1" applyFill="1" applyBorder="1" applyAlignment="1">
      <alignment horizontal="center" vertical="center" wrapText="1"/>
    </xf>
    <xf numFmtId="37" fontId="15" fillId="0" borderId="14" xfId="0" applyNumberFormat="1" applyFont="1" applyBorder="1" applyAlignment="1">
      <alignment wrapText="1"/>
    </xf>
    <xf numFmtId="37" fontId="15" fillId="0" borderId="7" xfId="0" applyNumberFormat="1" applyFont="1" applyBorder="1" applyAlignment="1">
      <alignment wrapText="1"/>
    </xf>
    <xf numFmtId="4" fontId="3" fillId="0" borderId="14" xfId="0" applyNumberFormat="1" applyFont="1" applyBorder="1" applyAlignment="1">
      <alignment horizontal="right" vertical="center" wrapText="1"/>
    </xf>
    <xf numFmtId="4" fontId="3" fillId="0" borderId="7" xfId="0" applyNumberFormat="1" applyFont="1" applyBorder="1" applyAlignment="1">
      <alignment horizontal="right" vertical="center" wrapText="1"/>
    </xf>
    <xf numFmtId="0" fontId="3" fillId="7" borderId="7"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5" borderId="14" xfId="0" applyFont="1" applyFill="1" applyBorder="1" applyAlignment="1">
      <alignment horizontal="center" wrapText="1"/>
    </xf>
    <xf numFmtId="0" fontId="3" fillId="5" borderId="9" xfId="0" applyFont="1" applyFill="1" applyBorder="1" applyAlignment="1">
      <alignment horizontal="center" wrapText="1"/>
    </xf>
    <xf numFmtId="0" fontId="3" fillId="5" borderId="7" xfId="0" applyFont="1" applyFill="1" applyBorder="1" applyAlignment="1">
      <alignment horizontal="center" wrapText="1"/>
    </xf>
    <xf numFmtId="37" fontId="15" fillId="0" borderId="14" xfId="0" applyNumberFormat="1" applyFont="1" applyBorder="1" applyAlignment="1">
      <alignment horizontal="left" wrapText="1"/>
    </xf>
    <xf numFmtId="37" fontId="15" fillId="0" borderId="7" xfId="0" applyNumberFormat="1" applyFont="1" applyBorder="1" applyAlignment="1">
      <alignment horizontal="left" wrapText="1"/>
    </xf>
    <xf numFmtId="3" fontId="3" fillId="0" borderId="14" xfId="0" applyNumberFormat="1" applyFont="1" applyBorder="1" applyAlignment="1">
      <alignment horizontal="right" vertical="center" wrapText="1"/>
    </xf>
    <xf numFmtId="3" fontId="3" fillId="0" borderId="7" xfId="0" applyNumberFormat="1" applyFont="1" applyBorder="1" applyAlignment="1">
      <alignment horizontal="right" vertical="center" wrapText="1"/>
    </xf>
    <xf numFmtId="37" fontId="15" fillId="0" borderId="14" xfId="0" applyNumberFormat="1" applyFont="1" applyBorder="1" applyAlignment="1">
      <alignment horizontal="left" vertical="center" wrapText="1"/>
    </xf>
    <xf numFmtId="37" fontId="15" fillId="0" borderId="7" xfId="0" applyNumberFormat="1" applyFont="1" applyBorder="1" applyAlignment="1">
      <alignment horizontal="left" vertical="center" wrapText="1"/>
    </xf>
    <xf numFmtId="0" fontId="3" fillId="3" borderId="1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16" xfId="0" applyFont="1" applyFill="1" applyBorder="1" applyAlignment="1">
      <alignment horizontal="center" vertical="center" wrapText="1"/>
    </xf>
    <xf numFmtId="37" fontId="15" fillId="0" borderId="14" xfId="2" applyNumberFormat="1" applyFont="1" applyBorder="1" applyAlignment="1">
      <alignment horizontal="left" wrapText="1"/>
    </xf>
    <xf numFmtId="37" fontId="15" fillId="0" borderId="7" xfId="2" applyNumberFormat="1" applyFont="1" applyBorder="1" applyAlignment="1">
      <alignment horizontal="left" wrapText="1"/>
    </xf>
    <xf numFmtId="3" fontId="3" fillId="16" borderId="14" xfId="2" applyNumberFormat="1" applyFont="1" applyFill="1" applyBorder="1" applyAlignment="1">
      <alignment horizontal="right" vertical="center" wrapText="1"/>
    </xf>
    <xf numFmtId="3" fontId="3" fillId="16" borderId="7" xfId="2" applyNumberFormat="1" applyFont="1" applyFill="1" applyBorder="1" applyAlignment="1">
      <alignment horizontal="right" vertical="center" wrapText="1"/>
    </xf>
    <xf numFmtId="3" fontId="3" fillId="0" borderId="14" xfId="2" applyNumberFormat="1" applyFont="1" applyBorder="1" applyAlignment="1">
      <alignment horizontal="right" vertical="center" wrapText="1"/>
    </xf>
    <xf numFmtId="3" fontId="3" fillId="0" borderId="7" xfId="2" applyNumberFormat="1" applyFont="1" applyBorder="1" applyAlignment="1">
      <alignment horizontal="right" vertical="center" wrapText="1"/>
    </xf>
    <xf numFmtId="37" fontId="15" fillId="0" borderId="14" xfId="2" applyNumberFormat="1" applyFont="1" applyBorder="1" applyAlignment="1">
      <alignment horizontal="left" vertical="center" wrapText="1"/>
    </xf>
    <xf numFmtId="37" fontId="15" fillId="0" borderId="7" xfId="2" applyNumberFormat="1" applyFont="1" applyBorder="1" applyAlignment="1">
      <alignment horizontal="left" vertical="center" wrapText="1"/>
    </xf>
    <xf numFmtId="0" fontId="3" fillId="5" borderId="14" xfId="2" applyFont="1" applyFill="1" applyBorder="1" applyAlignment="1">
      <alignment horizontal="center" wrapText="1"/>
    </xf>
    <xf numFmtId="0" fontId="3" fillId="5" borderId="9" xfId="2" applyFont="1" applyFill="1" applyBorder="1" applyAlignment="1">
      <alignment horizontal="center" wrapText="1"/>
    </xf>
    <xf numFmtId="0" fontId="3" fillId="5" borderId="7" xfId="2" applyFont="1" applyFill="1" applyBorder="1" applyAlignment="1">
      <alignment horizontal="center" wrapText="1"/>
    </xf>
    <xf numFmtId="4" fontId="3" fillId="0" borderId="14" xfId="2" applyNumberFormat="1" applyFont="1" applyBorder="1" applyAlignment="1">
      <alignment horizontal="right" vertical="center" wrapText="1"/>
    </xf>
    <xf numFmtId="4" fontId="3" fillId="0" borderId="7" xfId="2" applyNumberFormat="1" applyFont="1" applyBorder="1" applyAlignment="1">
      <alignment horizontal="right" vertical="center" wrapText="1"/>
    </xf>
    <xf numFmtId="37" fontId="15" fillId="0" borderId="14" xfId="2" applyNumberFormat="1" applyFont="1" applyBorder="1" applyAlignment="1">
      <alignment wrapText="1"/>
    </xf>
    <xf numFmtId="37" fontId="15" fillId="0" borderId="7" xfId="2" applyNumberFormat="1" applyFont="1" applyBorder="1" applyAlignment="1">
      <alignment wrapText="1"/>
    </xf>
    <xf numFmtId="0" fontId="3" fillId="3" borderId="14" xfId="2" applyFont="1" applyFill="1" applyBorder="1" applyAlignment="1">
      <alignment horizontal="center" vertical="center" wrapText="1"/>
    </xf>
    <xf numFmtId="0" fontId="3" fillId="3" borderId="8" xfId="2" applyFont="1" applyFill="1" applyBorder="1" applyAlignment="1">
      <alignment horizontal="center" vertical="center" wrapText="1"/>
    </xf>
    <xf numFmtId="0" fontId="3" fillId="7" borderId="14" xfId="2" applyFont="1" applyFill="1" applyBorder="1" applyAlignment="1">
      <alignment horizontal="right" vertical="center" wrapText="1"/>
    </xf>
    <xf numFmtId="0" fontId="3" fillId="7" borderId="14" xfId="2" applyFont="1" applyFill="1" applyBorder="1" applyAlignment="1">
      <alignment horizontal="center" vertical="center" wrapText="1"/>
    </xf>
    <xf numFmtId="0" fontId="3" fillId="7" borderId="7" xfId="2" applyFont="1" applyFill="1" applyBorder="1" applyAlignment="1">
      <alignment horizontal="center" vertical="center" wrapText="1"/>
    </xf>
    <xf numFmtId="0" fontId="3" fillId="4" borderId="18" xfId="2" applyFont="1" applyFill="1" applyBorder="1" applyAlignment="1">
      <alignment horizontal="center" vertical="center" wrapText="1"/>
    </xf>
    <xf numFmtId="0" fontId="3" fillId="4" borderId="50" xfId="2" applyFont="1" applyFill="1" applyBorder="1" applyAlignment="1">
      <alignment horizontal="center" vertical="center" wrapText="1"/>
    </xf>
    <xf numFmtId="0" fontId="3" fillId="3" borderId="16" xfId="2" applyFont="1" applyFill="1" applyBorder="1" applyAlignment="1">
      <alignment horizontal="center" vertical="center" wrapText="1"/>
    </xf>
    <xf numFmtId="0" fontId="3" fillId="3" borderId="22" xfId="2" applyFont="1" applyFill="1" applyBorder="1" applyAlignment="1">
      <alignment horizontal="center" vertical="center" wrapText="1"/>
    </xf>
    <xf numFmtId="0" fontId="3" fillId="6" borderId="14" xfId="2" applyFont="1" applyFill="1" applyBorder="1" applyAlignment="1">
      <alignment horizontal="center" vertical="center" wrapText="1"/>
    </xf>
    <xf numFmtId="0" fontId="3" fillId="6" borderId="7" xfId="2" applyFont="1" applyFill="1" applyBorder="1" applyAlignment="1">
      <alignment horizontal="center" vertical="center" wrapText="1"/>
    </xf>
    <xf numFmtId="0" fontId="3" fillId="2" borderId="14" xfId="2" applyFont="1" applyFill="1" applyBorder="1" applyAlignment="1">
      <alignment horizontal="center" vertical="center" wrapText="1"/>
    </xf>
    <xf numFmtId="0" fontId="3" fillId="2" borderId="8" xfId="2" applyFont="1" applyFill="1" applyBorder="1" applyAlignment="1">
      <alignment horizontal="center" vertical="center" wrapText="1"/>
    </xf>
    <xf numFmtId="0" fontId="3" fillId="7" borderId="18" xfId="2" applyFont="1" applyFill="1" applyBorder="1" applyAlignment="1">
      <alignment horizontal="right" vertical="center" wrapText="1"/>
    </xf>
    <xf numFmtId="0" fontId="3" fillId="3" borderId="39" xfId="2" applyFont="1" applyFill="1" applyBorder="1" applyAlignment="1">
      <alignment horizontal="center" vertical="center" wrapText="1"/>
    </xf>
    <xf numFmtId="0" fontId="3" fillId="3" borderId="40" xfId="2" applyFont="1" applyFill="1" applyBorder="1" applyAlignment="1">
      <alignment horizontal="center" vertical="center" wrapText="1"/>
    </xf>
    <xf numFmtId="0" fontId="3" fillId="3" borderId="41" xfId="2" applyFont="1" applyFill="1" applyBorder="1" applyAlignment="1">
      <alignment horizontal="center" vertical="center" wrapText="1"/>
    </xf>
    <xf numFmtId="0" fontId="3" fillId="7" borderId="18" xfId="2" applyFont="1" applyFill="1" applyBorder="1" applyAlignment="1">
      <alignment horizontal="center" vertical="center" wrapText="1"/>
    </xf>
    <xf numFmtId="0" fontId="3" fillId="4" borderId="29" xfId="2" applyFont="1" applyFill="1" applyBorder="1" applyAlignment="1">
      <alignment horizontal="center" vertical="center" wrapText="1"/>
    </xf>
    <xf numFmtId="0" fontId="3" fillId="3" borderId="36" xfId="2" applyFont="1" applyFill="1" applyBorder="1" applyAlignment="1">
      <alignment horizontal="center" vertical="center" wrapText="1"/>
    </xf>
    <xf numFmtId="0" fontId="3" fillId="3" borderId="35" xfId="2" applyFont="1" applyFill="1" applyBorder="1" applyAlignment="1">
      <alignment horizontal="center" vertical="center" wrapText="1"/>
    </xf>
    <xf numFmtId="37" fontId="7" fillId="0" borderId="14" xfId="0" applyNumberFormat="1" applyFont="1" applyBorder="1" applyAlignment="1">
      <alignment horizontal="left" vertical="center" wrapText="1"/>
    </xf>
    <xf numFmtId="0" fontId="2" fillId="0" borderId="9" xfId="0" applyFont="1" applyBorder="1" applyAlignment="1">
      <alignment horizontal="left" vertical="center" wrapText="1"/>
    </xf>
    <xf numFmtId="3" fontId="3" fillId="0" borderId="16" xfId="0" applyNumberFormat="1" applyFont="1" applyBorder="1" applyAlignment="1">
      <alignment horizontal="right" vertical="center" wrapText="1"/>
    </xf>
    <xf numFmtId="3" fontId="2" fillId="0" borderId="20" xfId="0" applyNumberFormat="1" applyFont="1" applyBorder="1" applyAlignment="1">
      <alignment horizontal="right" vertical="center" wrapText="1"/>
    </xf>
    <xf numFmtId="0" fontId="2" fillId="5" borderId="7" xfId="0" applyFont="1" applyFill="1" applyBorder="1" applyAlignment="1">
      <alignment wrapText="1"/>
    </xf>
    <xf numFmtId="37" fontId="7" fillId="0" borderId="14" xfId="0" applyNumberFormat="1" applyFont="1" applyBorder="1" applyAlignment="1">
      <alignment horizontal="left" wrapText="1"/>
    </xf>
    <xf numFmtId="37" fontId="7" fillId="0" borderId="9" xfId="0" applyNumberFormat="1" applyFont="1" applyBorder="1" applyAlignment="1">
      <alignment horizontal="left" wrapText="1"/>
    </xf>
    <xf numFmtId="3" fontId="2" fillId="0" borderId="7" xfId="0" applyNumberFormat="1" applyFont="1" applyBorder="1" applyAlignment="1">
      <alignment horizontal="right" vertical="center" wrapText="1"/>
    </xf>
    <xf numFmtId="0" fontId="2" fillId="0" borderId="9" xfId="0" applyFont="1" applyBorder="1" applyAlignment="1">
      <alignment horizontal="left" wrapText="1"/>
    </xf>
    <xf numFmtId="0" fontId="8" fillId="0" borderId="9" xfId="0" applyFont="1" applyBorder="1" applyAlignment="1">
      <alignment horizontal="left" wrapText="1"/>
    </xf>
    <xf numFmtId="37" fontId="7" fillId="0" borderId="14" xfId="0" applyNumberFormat="1" applyFont="1" applyBorder="1" applyAlignment="1">
      <alignment wrapText="1"/>
    </xf>
    <xf numFmtId="0" fontId="2" fillId="0" borderId="9" xfId="0" applyFont="1" applyBorder="1" applyAlignment="1">
      <alignment wrapText="1"/>
    </xf>
    <xf numFmtId="4" fontId="3" fillId="0" borderId="18" xfId="0" applyNumberFormat="1" applyFont="1" applyBorder="1" applyAlignment="1">
      <alignment horizontal="right" vertical="center" wrapText="1"/>
    </xf>
    <xf numFmtId="4" fontId="2" fillId="0" borderId="19" xfId="0" applyNumberFormat="1" applyFont="1" applyBorder="1" applyAlignment="1">
      <alignment horizontal="right" vertical="center" wrapText="1"/>
    </xf>
    <xf numFmtId="4" fontId="3" fillId="0" borderId="2" xfId="0" applyNumberFormat="1" applyFont="1" applyBorder="1" applyAlignment="1">
      <alignment horizontal="right" vertical="center" wrapText="1"/>
    </xf>
    <xf numFmtId="4" fontId="2" fillId="0" borderId="3" xfId="0" applyNumberFormat="1" applyFont="1" applyBorder="1" applyAlignment="1">
      <alignment horizontal="right" vertical="center" wrapText="1"/>
    </xf>
    <xf numFmtId="0" fontId="2" fillId="0" borderId="0" xfId="0" applyFont="1" applyAlignment="1">
      <alignment horizontal="left" vertical="top" wrapText="1"/>
    </xf>
    <xf numFmtId="0" fontId="2" fillId="6" borderId="7"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3" fillId="2" borderId="0" xfId="0" applyFont="1" applyFill="1" applyAlignment="1">
      <alignment horizontal="center" vertical="center" wrapText="1"/>
    </xf>
    <xf numFmtId="0" fontId="2" fillId="7" borderId="1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0" xfId="0" applyFont="1" applyFill="1" applyAlignment="1">
      <alignment horizontal="center" vertical="center" wrapText="1"/>
    </xf>
    <xf numFmtId="0" fontId="27" fillId="0" borderId="0" xfId="8"/>
  </cellXfs>
  <cellStyles count="9">
    <cellStyle name="Comma" xfId="1" builtinId="3"/>
    <cellStyle name="Currency" xfId="3" builtinId="4"/>
    <cellStyle name="Currency 2" xfId="4" xr:uid="{7053D708-121C-428F-A40F-BBE467FAA0C6}"/>
    <cellStyle name="Currency 3" xfId="5" xr:uid="{30E869DA-4483-4113-877C-342F046F88AD}"/>
    <cellStyle name="Hyperlink" xfId="8" builtinId="8"/>
    <cellStyle name="Normal" xfId="0" builtinId="0"/>
    <cellStyle name="Normal 2" xfId="2" xr:uid="{00000000-0005-0000-0000-000002000000}"/>
    <cellStyle name="Percent" xfId="7" builtinId="5"/>
    <cellStyle name="Percent 2" xfId="6" xr:uid="{2E185026-FAC3-4529-8C35-AA6C6B51144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7B6CC"/>
      <color rgb="FFBE99C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Gordon, Anna - FNS" id="{72356FF7-3613-45E3-B182-FF715FAE548E}" userId="S::anna.gordon@usda.gov::5779f16c-c016-4d4c-bbb3-5f60919a4e59" providerId="AD"/>
  <person displayName="Adedze, Pascasie - FNS" id="{9F2E609A-09C1-4783-8C2A-C04D97936EE3}" userId="S::pascasie.adedze@usda.gov::a4e99aae-d7b7-4712-9deb-2213c67b4d2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T3" dT="2022-10-05T13:51:56.93" personId="{72356FF7-3613-45E3-B182-FF715FAE548E}" id="{10EB286F-C105-4D91-8566-B6044961D4B8}">
    <text xml:space="preserve">Used numbers provided by SAs who indicated they do accept WIC CVB at farmers markets.  For those, that did not provide a number, we used the number of authorized farmers/markets in the FMNP.  For those that don't administer FMNP, we came up with an average number of 173 farmers/markets per SA. </text>
  </threadedComment>
  <threadedComment ref="K14" dT="2022-08-31T19:30:36.66" personId="{72356FF7-3613-45E3-B182-FF715FAE548E}" id="{954E69EB-61FD-47F7-AD6C-E3B4A55B7900}">
    <text xml:space="preserve">Note to include mention of drug and substance abuse screening in the burden narrative under certification. 246.7(n), initial nutrition education, and referrals. </text>
  </threadedComment>
  <threadedComment ref="B55" dT="2022-11-30T16:38:14.05" personId="{72356FF7-3613-45E3-B182-FF715FAE548E}" id="{4E838C85-A621-403D-BBDE-A893B60CAC58}">
    <text>Reaching out to other PIMB folks for this information</text>
  </threadedComment>
  <threadedComment ref="K79" dT="2022-10-03T14:41:06.48" personId="{9F2E609A-09C1-4783-8C2A-C04D97936EE3}" id="{C6E657BC-A666-4305-A93D-7B30E91873C0}">
    <text xml:space="preserve">first nut ed contact is done during certification. Was this counted for  in certification section? How about  in section 246.4 (state plan section) where Nut Ed may be reported in State plans.   For the second Nut Ed contact, it may have decreased due to online options.  I am just thinking that 1st Nut Ed contact may have been reported in State Plan or Certification sections.  Just to check for any duplication as Nut Ed is a regulatory requirement, I am not sure how this was missed previously. I think in this section we can estimate the 2nd Nut Ed  session because the first one is embedded in Certification section. Please let me know for any further discussions. Thanks
</text>
  </threadedComment>
  <threadedComment ref="B97" dT="2022-11-30T16:41:22.75" personId="{72356FF7-3613-45E3-B182-FF715FAE548E}" id="{4D0F926E-9D4F-41A8-ACEC-26EA8641FC09}">
    <text>Melanie may have this info- PIMB does not</text>
  </threadedComment>
</ThreadedComments>
</file>

<file path=xl/threadedComments/threadedComment2.xml><?xml version="1.0" encoding="utf-8"?>
<ThreadedComments xmlns="http://schemas.microsoft.com/office/spreadsheetml/2018/threadedcomments" xmlns:x="http://schemas.openxmlformats.org/spreadsheetml/2006/main">
  <threadedComment ref="T3" dT="2022-10-05T13:51:56.93" personId="{72356FF7-3613-45E3-B182-FF715FAE548E}" id="{EAB4E216-C085-414A-AA09-6D9192754CDD}">
    <text xml:space="preserve">Used numbers provided by SAs who indicated they do accept WIC CVB at farmers markets.  For those, that did not provide a number, we used the number of authorized farmers/markets in the FMNP.  For those that don't administer FMNP, we came up with an average number of 173 farmers/markets per SA. </text>
  </threadedComment>
  <threadedComment ref="B9" dT="2022-11-30T16:32:03.73" personId="{72356FF7-3613-45E3-B182-FF715FAE548E}" id="{9A8023AB-ACE0-42FC-97E2-CA10AF2BBA19}">
    <text xml:space="preserve">V&amp;T may have this info </text>
  </threadedComment>
  <threadedComment ref="K14" dT="2022-08-31T19:30:36.66" personId="{72356FF7-3613-45E3-B182-FF715FAE548E}" id="{A9A62B19-3A02-47CA-BD57-EDE0DC448F61}">
    <text xml:space="preserve">Note to include mention of drug and substance abuse screening in the burden narrative under certification. 246.7(n), initial nutrition education, and referrals. </text>
  </threadedComment>
  <threadedComment ref="B55" dT="2022-11-30T16:38:14.05" personId="{72356FF7-3613-45E3-B182-FF715FAE548E}" id="{C1DE83B4-C4A1-42FB-8EF9-F3C6F05FD020}">
    <text>Reaching out to other PIMB folks for this information</text>
  </threadedComment>
  <threadedComment ref="K79" dT="2022-10-03T14:41:06.48" personId="{9F2E609A-09C1-4783-8C2A-C04D97936EE3}" id="{86658071-540F-4A31-8058-118BE172CFFC}">
    <text xml:space="preserve">first nut ed contact is done during certification. Was this counted for  in certification section? How about  in section 246.4 (state plan section) where Nut Ed may be reported in State plans.   For the second Nut Ed contact, it may have decreased due to online options.  I am just thinking that 1st Nut Ed contact may have been reported in State Plan or Certification sections.  Just to check for any duplication as Nut Ed is a regulatory requirement, I am not sure how this was missed previously. I think in this section we can estimate the 2nd Nut Ed  session because the first one is embedded in Certification section. Please let me know for any further discussions. Thanks
</text>
  </threadedComment>
  <threadedComment ref="B93" dT="2022-11-30T16:41:22.75" personId="{72356FF7-3613-45E3-B182-FF715FAE548E}" id="{A38985B1-6D04-4483-AFBF-41A0D4582F0C}">
    <text>Melanie may have this info- PIMB does not</text>
  </threadedComment>
  <threadedComment ref="B122" dT="2022-07-14T18:57:24.89" personId="{72356FF7-3613-45E3-B182-FF715FAE548E}" id="{0DFD45B5-73D1-4E3F-96F3-962835D44EA8}">
    <text>putting here for now, but will need to create a new section for vendor recordkeeping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opm.gov/policy-data-oversight/pay-leave/salaries-wages/2026/general-schedul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10AD3-E986-462D-AF71-2D62E2FDCFC0}">
  <dimension ref="A1:W189"/>
  <sheetViews>
    <sheetView tabSelected="1" zoomScaleNormal="100" workbookViewId="0">
      <pane ySplit="2" topLeftCell="A3" activePane="bottomLeft" state="frozen"/>
      <selection pane="bottomLeft" activeCell="B9" sqref="B9"/>
    </sheetView>
  </sheetViews>
  <sheetFormatPr defaultColWidth="9.28515625" defaultRowHeight="14.25"/>
  <cols>
    <col min="1" max="1" width="22.7109375" style="10" customWidth="1"/>
    <col min="2" max="2" width="33.5703125" style="100" bestFit="1" customWidth="1"/>
    <col min="3" max="3" width="15.28515625" style="10" customWidth="1"/>
    <col min="4" max="4" width="14.28515625" style="10" customWidth="1"/>
    <col min="5" max="5" width="17.7109375" style="10" customWidth="1"/>
    <col min="6" max="6" width="17.7109375" style="358" customWidth="1"/>
    <col min="7" max="7" width="13.28515625" style="10" customWidth="1"/>
    <col min="8" max="8" width="16.28515625" style="10" customWidth="1"/>
    <col min="9" max="9" width="15.5703125" style="10" bestFit="1" customWidth="1"/>
    <col min="10" max="10" width="15.7109375" style="35" customWidth="1"/>
    <col min="11" max="11" width="14" style="10" bestFit="1" customWidth="1"/>
    <col min="12" max="12" width="14" style="10" customWidth="1"/>
    <col min="13" max="13" width="57.42578125" style="100" customWidth="1"/>
    <col min="14" max="14" width="42.42578125" style="10" customWidth="1"/>
    <col min="15" max="15" width="28.28515625" style="10" customWidth="1"/>
    <col min="16" max="16" width="16.7109375" style="10" customWidth="1"/>
    <col min="17" max="17" width="17.7109375" style="10" customWidth="1"/>
    <col min="18" max="18" width="23.28515625" style="10" customWidth="1"/>
    <col min="19" max="19" width="17.7109375" style="10" customWidth="1"/>
    <col min="20" max="20" width="17.28515625" style="10" customWidth="1"/>
    <col min="21" max="21" width="16.42578125" style="10" customWidth="1"/>
    <col min="22" max="22" width="13.42578125" style="10" customWidth="1"/>
    <col min="23" max="23" width="14.28515625" style="10" customWidth="1"/>
    <col min="24" max="16384" width="9.28515625" style="10"/>
  </cols>
  <sheetData>
    <row r="1" spans="1:23" s="149" customFormat="1" ht="15" customHeight="1" thickBot="1">
      <c r="A1" s="539" t="s">
        <v>0</v>
      </c>
      <c r="B1" s="539"/>
      <c r="C1" s="539"/>
      <c r="D1" s="539"/>
      <c r="E1" s="539"/>
      <c r="F1" s="539"/>
      <c r="G1" s="539"/>
      <c r="H1" s="539"/>
      <c r="I1" s="539"/>
      <c r="J1" s="539"/>
      <c r="K1" s="539"/>
      <c r="L1" s="539"/>
      <c r="M1" s="540"/>
      <c r="O1" s="142"/>
      <c r="P1" s="150"/>
    </row>
    <row r="2" spans="1:23" s="149" customFormat="1" ht="60.75" thickBot="1">
      <c r="A2" s="471" t="s">
        <v>1</v>
      </c>
      <c r="B2" s="99" t="s">
        <v>2</v>
      </c>
      <c r="C2" s="3" t="s">
        <v>3</v>
      </c>
      <c r="D2" s="359" t="s">
        <v>4</v>
      </c>
      <c r="E2" s="360" t="s">
        <v>5</v>
      </c>
      <c r="F2" s="513" t="s">
        <v>6</v>
      </c>
      <c r="G2" s="5" t="s">
        <v>7</v>
      </c>
      <c r="H2" s="21" t="s">
        <v>8</v>
      </c>
      <c r="I2" s="467" t="s">
        <v>9</v>
      </c>
      <c r="J2" s="468" t="s">
        <v>10</v>
      </c>
      <c r="K2" s="2" t="s">
        <v>11</v>
      </c>
      <c r="L2" s="469" t="s">
        <v>12</v>
      </c>
      <c r="M2" s="470" t="s">
        <v>13</v>
      </c>
      <c r="N2" s="151"/>
      <c r="O2" s="152"/>
      <c r="P2" s="153"/>
      <c r="Q2" s="152"/>
      <c r="R2" s="152"/>
      <c r="S2" s="152"/>
      <c r="T2" s="152"/>
      <c r="U2" s="152"/>
      <c r="V2" s="152"/>
      <c r="W2" s="154"/>
    </row>
    <row r="3" spans="1:23" s="149" customFormat="1" ht="15" customHeight="1">
      <c r="A3" s="541" t="s">
        <v>14</v>
      </c>
      <c r="B3" s="541"/>
      <c r="C3" s="541"/>
      <c r="D3" s="541"/>
      <c r="E3" s="541"/>
      <c r="F3" s="541"/>
      <c r="G3" s="541"/>
      <c r="H3" s="541"/>
      <c r="I3" s="541"/>
      <c r="J3" s="541"/>
      <c r="K3" s="541"/>
      <c r="L3" s="541"/>
      <c r="M3" s="542"/>
      <c r="P3" s="155"/>
      <c r="T3" s="142"/>
      <c r="U3" s="156"/>
      <c r="V3" s="156"/>
      <c r="W3" s="157"/>
    </row>
    <row r="4" spans="1:23" s="149" customFormat="1" ht="15" customHeight="1" thickBot="1">
      <c r="A4" s="543" t="s">
        <v>15</v>
      </c>
      <c r="B4" s="543"/>
      <c r="C4" s="543"/>
      <c r="D4" s="543"/>
      <c r="E4" s="543"/>
      <c r="F4" s="543"/>
      <c r="G4" s="543"/>
      <c r="H4" s="543"/>
      <c r="I4" s="543"/>
      <c r="J4" s="543"/>
      <c r="K4" s="543"/>
      <c r="L4" s="543"/>
      <c r="M4" s="544"/>
      <c r="N4" s="158"/>
      <c r="T4" s="143"/>
      <c r="U4" s="148"/>
      <c r="V4" s="156"/>
      <c r="W4" s="157"/>
    </row>
    <row r="5" spans="1:23" ht="42.75">
      <c r="A5" s="238">
        <v>246.4</v>
      </c>
      <c r="B5" s="223" t="s">
        <v>16</v>
      </c>
      <c r="C5" s="224">
        <f>'Final Rule ICR Only'!C5</f>
        <v>88</v>
      </c>
      <c r="D5" s="224">
        <f>'Final Rule ICR Only'!D5</f>
        <v>1</v>
      </c>
      <c r="E5" s="225">
        <f>D5*C5</f>
        <v>88</v>
      </c>
      <c r="F5" s="455">
        <v>89</v>
      </c>
      <c r="G5" s="226">
        <f>'Final Rule ICR Only'!F5</f>
        <v>170.62</v>
      </c>
      <c r="H5" s="225">
        <f>E5*G5</f>
        <v>15014.560000000001</v>
      </c>
      <c r="I5" s="227">
        <v>15185.18</v>
      </c>
      <c r="J5" s="228">
        <f>'Final Rule ICR Only'!I5</f>
        <v>0</v>
      </c>
      <c r="K5" s="228">
        <f>'Final Rule ICR Only'!J5</f>
        <v>-170.61999999999898</v>
      </c>
      <c r="L5" s="228">
        <f>'Final Rule ICR Only'!K5</f>
        <v>-170.61999999999898</v>
      </c>
      <c r="M5" s="236" t="str">
        <f>'Final Rule ICR Only'!L5</f>
        <v>Program adjustment: Decrease in the number of State agencies. Re-estimate of burden from the proposed rule to the final rule results in no program changes.</v>
      </c>
      <c r="P5" s="35"/>
      <c r="U5" s="160"/>
      <c r="V5" s="157"/>
      <c r="W5" s="157"/>
    </row>
    <row r="6" spans="1:23" ht="28.5">
      <c r="A6" s="191" t="s">
        <v>17</v>
      </c>
      <c r="B6" s="104" t="s">
        <v>18</v>
      </c>
      <c r="C6" s="329">
        <v>15</v>
      </c>
      <c r="D6" s="329">
        <v>1</v>
      </c>
      <c r="E6" s="133">
        <f t="shared" ref="E6:E32" si="0">C6*D6</f>
        <v>15</v>
      </c>
      <c r="F6" s="514">
        <f>E6</f>
        <v>15</v>
      </c>
      <c r="G6" s="466">
        <v>80</v>
      </c>
      <c r="H6" s="133">
        <f t="shared" ref="H6:H32" si="1">E6*G6</f>
        <v>1200</v>
      </c>
      <c r="I6" s="328">
        <v>1200</v>
      </c>
      <c r="J6" s="329">
        <f t="shared" ref="J6:J71" si="2">H6-I6</f>
        <v>0</v>
      </c>
      <c r="K6" s="329">
        <v>0</v>
      </c>
      <c r="L6" s="329">
        <v>0</v>
      </c>
      <c r="M6" s="104"/>
      <c r="P6" s="35"/>
      <c r="T6" s="161"/>
      <c r="U6" s="160"/>
      <c r="V6" s="157"/>
      <c r="W6" s="157"/>
    </row>
    <row r="7" spans="1:23" ht="15">
      <c r="A7" s="191" t="s">
        <v>19</v>
      </c>
      <c r="B7" s="64" t="s">
        <v>20</v>
      </c>
      <c r="C7" s="23">
        <f>1810*0.5*0.7</f>
        <v>633.5</v>
      </c>
      <c r="D7" s="23">
        <v>1</v>
      </c>
      <c r="E7" s="41">
        <f t="shared" si="0"/>
        <v>633.5</v>
      </c>
      <c r="F7" s="514">
        <f t="shared" ref="F7:F32" si="3">E7</f>
        <v>633.5</v>
      </c>
      <c r="G7" s="19">
        <v>2</v>
      </c>
      <c r="H7" s="41">
        <f t="shared" si="1"/>
        <v>1267</v>
      </c>
      <c r="I7" s="25">
        <v>1267</v>
      </c>
      <c r="J7" s="24">
        <f t="shared" si="2"/>
        <v>0</v>
      </c>
      <c r="K7" s="24">
        <f t="shared" ref="K7:K12" si="4">H7-I7</f>
        <v>0</v>
      </c>
      <c r="L7" s="24">
        <f t="shared" ref="L7:L12" si="5">H7-I7</f>
        <v>0</v>
      </c>
      <c r="M7" s="104"/>
      <c r="P7" s="35"/>
      <c r="T7" s="161"/>
      <c r="U7" s="160"/>
      <c r="V7" s="157"/>
      <c r="W7" s="157"/>
    </row>
    <row r="8" spans="1:23" ht="17.25" customHeight="1">
      <c r="A8" s="191" t="s">
        <v>21</v>
      </c>
      <c r="B8" s="64" t="s">
        <v>22</v>
      </c>
      <c r="C8" s="23">
        <v>4</v>
      </c>
      <c r="D8" s="23">
        <v>1</v>
      </c>
      <c r="E8" s="41">
        <f t="shared" si="0"/>
        <v>4</v>
      </c>
      <c r="F8" s="514">
        <f t="shared" si="3"/>
        <v>4</v>
      </c>
      <c r="G8" s="19">
        <v>0.16700000000000001</v>
      </c>
      <c r="H8" s="41">
        <f t="shared" si="1"/>
        <v>0.66800000000000004</v>
      </c>
      <c r="I8" s="25">
        <v>0.66800000000000004</v>
      </c>
      <c r="J8" s="24">
        <f t="shared" si="2"/>
        <v>0</v>
      </c>
      <c r="K8" s="24">
        <f t="shared" si="4"/>
        <v>0</v>
      </c>
      <c r="L8" s="24">
        <f t="shared" si="5"/>
        <v>0</v>
      </c>
      <c r="M8" s="104"/>
      <c r="P8" s="35"/>
      <c r="T8" s="161"/>
      <c r="U8" s="160"/>
      <c r="V8" s="157"/>
      <c r="W8" s="157"/>
    </row>
    <row r="9" spans="1:23" ht="15">
      <c r="A9" s="73" t="s">
        <v>23</v>
      </c>
      <c r="B9" s="102" t="s">
        <v>24</v>
      </c>
      <c r="C9" s="23">
        <v>4</v>
      </c>
      <c r="D9" s="23">
        <f>(1810/89)*0.02</f>
        <v>0.40674157303370784</v>
      </c>
      <c r="E9" s="41">
        <f t="shared" si="0"/>
        <v>1.6269662921348313</v>
      </c>
      <c r="F9" s="514">
        <f t="shared" si="3"/>
        <v>1.6269662921348313</v>
      </c>
      <c r="G9" s="19">
        <v>0.5</v>
      </c>
      <c r="H9" s="41">
        <f t="shared" si="1"/>
        <v>0.81348314606741567</v>
      </c>
      <c r="I9" s="25">
        <v>0.81348314606741567</v>
      </c>
      <c r="J9" s="24">
        <f t="shared" si="2"/>
        <v>0</v>
      </c>
      <c r="K9" s="24">
        <f t="shared" si="4"/>
        <v>0</v>
      </c>
      <c r="L9" s="24">
        <f t="shared" si="5"/>
        <v>0</v>
      </c>
      <c r="M9" s="104"/>
      <c r="P9" s="35"/>
      <c r="T9" s="161"/>
      <c r="U9" s="160"/>
      <c r="V9" s="157"/>
      <c r="W9" s="157"/>
    </row>
    <row r="10" spans="1:23" ht="15">
      <c r="A10" s="191">
        <v>246.6</v>
      </c>
      <c r="B10" s="64" t="s">
        <v>25</v>
      </c>
      <c r="C10" s="23">
        <f>1810*0.5*0.7</f>
        <v>633.5</v>
      </c>
      <c r="D10" s="23">
        <v>1</v>
      </c>
      <c r="E10" s="41">
        <f t="shared" si="0"/>
        <v>633.5</v>
      </c>
      <c r="F10" s="514">
        <f t="shared" si="3"/>
        <v>633.5</v>
      </c>
      <c r="G10" s="19">
        <v>1.5</v>
      </c>
      <c r="H10" s="41">
        <f t="shared" si="1"/>
        <v>950.25</v>
      </c>
      <c r="I10" s="25">
        <v>950.25</v>
      </c>
      <c r="J10" s="24">
        <f t="shared" si="2"/>
        <v>0</v>
      </c>
      <c r="K10" s="24">
        <f t="shared" si="4"/>
        <v>0</v>
      </c>
      <c r="L10" s="24">
        <f t="shared" si="5"/>
        <v>0</v>
      </c>
      <c r="M10" s="104"/>
      <c r="P10" s="35"/>
      <c r="T10" s="161"/>
      <c r="U10" s="160"/>
      <c r="V10" s="157"/>
      <c r="W10" s="157"/>
    </row>
    <row r="11" spans="1:23" ht="28.5">
      <c r="A11" s="73" t="s">
        <v>26</v>
      </c>
      <c r="B11" s="64" t="s">
        <v>27</v>
      </c>
      <c r="C11" s="23">
        <v>89</v>
      </c>
      <c r="D11" s="23">
        <f>(1810/89)</f>
        <v>20.337078651685392</v>
      </c>
      <c r="E11" s="41">
        <f t="shared" si="0"/>
        <v>1809.9999999999998</v>
      </c>
      <c r="F11" s="514">
        <f t="shared" si="3"/>
        <v>1809.9999999999998</v>
      </c>
      <c r="G11" s="19">
        <v>0.25</v>
      </c>
      <c r="H11" s="41">
        <f t="shared" si="1"/>
        <v>452.49999999999994</v>
      </c>
      <c r="I11" s="25">
        <v>452.49999999999994</v>
      </c>
      <c r="J11" s="24">
        <f t="shared" si="2"/>
        <v>0</v>
      </c>
      <c r="K11" s="24">
        <f t="shared" si="4"/>
        <v>0</v>
      </c>
      <c r="L11" s="24">
        <f t="shared" si="5"/>
        <v>0</v>
      </c>
      <c r="M11" s="104"/>
      <c r="P11" s="35"/>
      <c r="T11" s="161"/>
      <c r="U11" s="160"/>
      <c r="V11" s="157"/>
      <c r="W11" s="157"/>
    </row>
    <row r="12" spans="1:23" ht="15">
      <c r="A12" s="191" t="s">
        <v>28</v>
      </c>
      <c r="B12" s="64" t="s">
        <v>29</v>
      </c>
      <c r="C12" s="23">
        <f>(1810/6)*0.7</f>
        <v>211.16666666666666</v>
      </c>
      <c r="D12" s="23">
        <v>1</v>
      </c>
      <c r="E12" s="41">
        <f t="shared" si="0"/>
        <v>211.16666666666666</v>
      </c>
      <c r="F12" s="514">
        <f t="shared" si="3"/>
        <v>211.16666666666666</v>
      </c>
      <c r="G12" s="19">
        <v>0.25</v>
      </c>
      <c r="H12" s="41">
        <f t="shared" si="1"/>
        <v>52.791666666666664</v>
      </c>
      <c r="I12" s="25">
        <v>52.791666666666664</v>
      </c>
      <c r="J12" s="24">
        <f t="shared" si="2"/>
        <v>0</v>
      </c>
      <c r="K12" s="24">
        <f t="shared" si="4"/>
        <v>0</v>
      </c>
      <c r="L12" s="24">
        <f t="shared" si="5"/>
        <v>0</v>
      </c>
      <c r="M12" s="104"/>
      <c r="P12" s="35"/>
      <c r="Q12" s="35"/>
      <c r="R12" s="35"/>
      <c r="T12" s="161"/>
      <c r="U12" s="160"/>
      <c r="V12" s="163"/>
      <c r="W12" s="157"/>
    </row>
    <row r="13" spans="1:23" ht="60" customHeight="1">
      <c r="A13" s="191" t="s">
        <v>30</v>
      </c>
      <c r="B13" s="104" t="s">
        <v>31</v>
      </c>
      <c r="C13" s="105">
        <v>1267</v>
      </c>
      <c r="D13" s="105">
        <v>761.9480662983425</v>
      </c>
      <c r="E13" s="133">
        <f t="shared" si="0"/>
        <v>965388.2</v>
      </c>
      <c r="F13" s="514">
        <f t="shared" si="3"/>
        <v>965388.2</v>
      </c>
      <c r="G13" s="106">
        <v>0.46760000000000002</v>
      </c>
      <c r="H13" s="133">
        <f t="shared" si="1"/>
        <v>451415.52231999999</v>
      </c>
      <c r="I13" s="105">
        <v>451415.52231999999</v>
      </c>
      <c r="J13" s="329">
        <f t="shared" si="2"/>
        <v>0</v>
      </c>
      <c r="K13" s="329">
        <v>0</v>
      </c>
      <c r="L13" s="329">
        <v>0</v>
      </c>
      <c r="M13" s="104"/>
      <c r="P13" s="35"/>
      <c r="R13" s="164"/>
      <c r="T13" s="161"/>
      <c r="U13" s="157"/>
      <c r="V13" s="157"/>
      <c r="W13" s="157"/>
    </row>
    <row r="14" spans="1:23" ht="36" customHeight="1">
      <c r="A14" s="191" t="s">
        <v>32</v>
      </c>
      <c r="B14" s="104" t="s">
        <v>33</v>
      </c>
      <c r="C14" s="105">
        <v>1267</v>
      </c>
      <c r="D14" s="105">
        <v>1878.5027624309391</v>
      </c>
      <c r="E14" s="133">
        <f t="shared" si="0"/>
        <v>2380063</v>
      </c>
      <c r="F14" s="514">
        <f t="shared" si="3"/>
        <v>2380063</v>
      </c>
      <c r="G14" s="106">
        <v>0.46760000000000002</v>
      </c>
      <c r="H14" s="133">
        <f t="shared" si="1"/>
        <v>1112917.4588000001</v>
      </c>
      <c r="I14" s="107">
        <v>1112917.4588000001</v>
      </c>
      <c r="J14" s="329">
        <f t="shared" si="2"/>
        <v>0</v>
      </c>
      <c r="K14" s="329">
        <v>0</v>
      </c>
      <c r="L14" s="329">
        <v>0</v>
      </c>
      <c r="M14" s="104"/>
      <c r="P14" s="35"/>
      <c r="R14" s="165"/>
      <c r="T14" s="161"/>
      <c r="U14" s="160"/>
      <c r="V14" s="157"/>
      <c r="W14" s="157"/>
    </row>
    <row r="15" spans="1:23" ht="15">
      <c r="A15" s="191" t="s">
        <v>32</v>
      </c>
      <c r="B15" s="104" t="s">
        <v>34</v>
      </c>
      <c r="C15" s="105">
        <v>1267</v>
      </c>
      <c r="D15" s="105">
        <v>809.25082872928169</v>
      </c>
      <c r="E15" s="133">
        <f t="shared" si="0"/>
        <v>1025320.7999999999</v>
      </c>
      <c r="F15" s="514">
        <f t="shared" si="3"/>
        <v>1025320.7999999999</v>
      </c>
      <c r="G15" s="106">
        <v>0.46760000000000002</v>
      </c>
      <c r="H15" s="133">
        <f t="shared" si="1"/>
        <v>479440.00607999996</v>
      </c>
      <c r="I15" s="107">
        <v>479440.00607999996</v>
      </c>
      <c r="J15" s="329">
        <f t="shared" si="2"/>
        <v>0</v>
      </c>
      <c r="K15" s="329">
        <v>0</v>
      </c>
      <c r="L15" s="329">
        <v>0</v>
      </c>
      <c r="M15" s="104"/>
      <c r="P15" s="35"/>
      <c r="T15" s="161"/>
      <c r="U15" s="160"/>
      <c r="V15" s="157"/>
      <c r="W15" s="157"/>
    </row>
    <row r="16" spans="1:23" ht="15">
      <c r="A16" s="253" t="s">
        <v>32</v>
      </c>
      <c r="B16" s="265" t="s">
        <v>35</v>
      </c>
      <c r="C16" s="105">
        <f>1810*0.7</f>
        <v>1267</v>
      </c>
      <c r="D16" s="105">
        <f>(6243960*0.7)/1267</f>
        <v>3449.7016574585637</v>
      </c>
      <c r="E16" s="133">
        <f t="shared" si="0"/>
        <v>4370772</v>
      </c>
      <c r="F16" s="514">
        <f t="shared" si="3"/>
        <v>4370772</v>
      </c>
      <c r="G16" s="106">
        <v>8.3500000000000005E-2</v>
      </c>
      <c r="H16" s="133">
        <f t="shared" si="1"/>
        <v>364959.462</v>
      </c>
      <c r="I16" s="107">
        <v>364959.462</v>
      </c>
      <c r="J16" s="329">
        <f t="shared" si="2"/>
        <v>0</v>
      </c>
      <c r="K16" s="330">
        <v>0</v>
      </c>
      <c r="L16" s="330">
        <f t="shared" ref="L16" si="6">H16-I16</f>
        <v>0</v>
      </c>
      <c r="M16" s="104"/>
      <c r="P16" s="35"/>
    </row>
    <row r="17" spans="1:16" ht="15">
      <c r="A17" s="191" t="s">
        <v>36</v>
      </c>
      <c r="B17" s="64" t="s">
        <v>37</v>
      </c>
      <c r="C17" s="23">
        <v>4</v>
      </c>
      <c r="D17" s="23">
        <v>1</v>
      </c>
      <c r="E17" s="41">
        <f t="shared" si="0"/>
        <v>4</v>
      </c>
      <c r="F17" s="514">
        <f t="shared" si="3"/>
        <v>4</v>
      </c>
      <c r="G17" s="19">
        <v>8.3500000000000005E-2</v>
      </c>
      <c r="H17" s="41">
        <f t="shared" si="1"/>
        <v>0.33400000000000002</v>
      </c>
      <c r="I17" s="25">
        <v>0.33400000000000002</v>
      </c>
      <c r="J17" s="24">
        <f t="shared" si="2"/>
        <v>0</v>
      </c>
      <c r="K17" s="24">
        <f>H17-I17</f>
        <v>0</v>
      </c>
      <c r="L17" s="24">
        <f>H17-I17</f>
        <v>0</v>
      </c>
      <c r="M17" s="159"/>
      <c r="P17" s="35"/>
    </row>
    <row r="18" spans="1:16" ht="15">
      <c r="A18" s="191" t="s">
        <v>38</v>
      </c>
      <c r="B18" s="64" t="s">
        <v>39</v>
      </c>
      <c r="C18" s="23">
        <f>1810*0.7</f>
        <v>1267</v>
      </c>
      <c r="D18" s="23">
        <f>((0.03*6243960*0.7)/1267)</f>
        <v>103.49104972375689</v>
      </c>
      <c r="E18" s="41">
        <f t="shared" si="0"/>
        <v>131123.15999999997</v>
      </c>
      <c r="F18" s="514">
        <f t="shared" si="3"/>
        <v>131123.15999999997</v>
      </c>
      <c r="G18" s="19">
        <v>8.3500000000000005E-2</v>
      </c>
      <c r="H18" s="41">
        <f t="shared" si="1"/>
        <v>10948.783859999998</v>
      </c>
      <c r="I18" s="25">
        <v>10948.783859999998</v>
      </c>
      <c r="J18" s="24">
        <f t="shared" si="2"/>
        <v>0</v>
      </c>
      <c r="K18" s="24">
        <f>H18-I18</f>
        <v>0</v>
      </c>
      <c r="L18" s="24">
        <f>H18-I18</f>
        <v>0</v>
      </c>
      <c r="M18" s="159"/>
      <c r="P18" s="35"/>
    </row>
    <row r="19" spans="1:16" ht="15">
      <c r="A19" s="191">
        <v>246.8</v>
      </c>
      <c r="B19" s="104" t="s">
        <v>40</v>
      </c>
      <c r="C19" s="105">
        <v>79</v>
      </c>
      <c r="D19" s="105">
        <v>1</v>
      </c>
      <c r="E19" s="41">
        <f t="shared" si="0"/>
        <v>79</v>
      </c>
      <c r="F19" s="514">
        <f t="shared" si="3"/>
        <v>79</v>
      </c>
      <c r="G19" s="106">
        <v>3</v>
      </c>
      <c r="H19" s="41">
        <f t="shared" si="1"/>
        <v>237</v>
      </c>
      <c r="I19" s="107">
        <v>237</v>
      </c>
      <c r="J19" s="24">
        <f t="shared" si="2"/>
        <v>0</v>
      </c>
      <c r="K19" s="24">
        <f>H19-I19</f>
        <v>0</v>
      </c>
      <c r="L19" s="24">
        <f>H19-I19</f>
        <v>0</v>
      </c>
      <c r="M19" s="166"/>
      <c r="P19" s="35"/>
    </row>
    <row r="20" spans="1:16" ht="42.75">
      <c r="A20" s="73" t="s">
        <v>41</v>
      </c>
      <c r="B20" s="64" t="s">
        <v>42</v>
      </c>
      <c r="C20" s="23">
        <v>89</v>
      </c>
      <c r="D20" s="23">
        <f>(6243960*0.02)/89</f>
        <v>1403.1370786516854</v>
      </c>
      <c r="E20" s="41">
        <f t="shared" si="0"/>
        <v>124879.20000000001</v>
      </c>
      <c r="F20" s="514">
        <f t="shared" si="3"/>
        <v>124879.20000000001</v>
      </c>
      <c r="G20" s="19">
        <v>8.3500000000000005E-2</v>
      </c>
      <c r="H20" s="41">
        <f t="shared" si="1"/>
        <v>10427.413200000001</v>
      </c>
      <c r="I20" s="25">
        <v>10427.413200000001</v>
      </c>
      <c r="J20" s="24">
        <f t="shared" si="2"/>
        <v>0</v>
      </c>
      <c r="K20" s="24">
        <f>H20-I20</f>
        <v>0</v>
      </c>
      <c r="L20" s="24">
        <f>H20-I20</f>
        <v>0</v>
      </c>
      <c r="M20" s="159"/>
      <c r="P20" s="35"/>
    </row>
    <row r="21" spans="1:16" ht="28.5">
      <c r="A21" s="73" t="s">
        <v>43</v>
      </c>
      <c r="B21" s="64" t="s">
        <v>44</v>
      </c>
      <c r="C21" s="23">
        <v>89</v>
      </c>
      <c r="D21" s="23">
        <f>(6243960*0.02*0.02)/89</f>
        <v>28.062741573033705</v>
      </c>
      <c r="E21" s="41">
        <f t="shared" si="0"/>
        <v>2497.5839999999998</v>
      </c>
      <c r="F21" s="514">
        <f t="shared" si="3"/>
        <v>2497.5839999999998</v>
      </c>
      <c r="G21" s="19">
        <v>3</v>
      </c>
      <c r="H21" s="41">
        <f t="shared" si="1"/>
        <v>7492.7519999999995</v>
      </c>
      <c r="I21" s="25">
        <v>7492.7519999999995</v>
      </c>
      <c r="J21" s="24">
        <f t="shared" si="2"/>
        <v>0</v>
      </c>
      <c r="K21" s="24">
        <f>H21-I21</f>
        <v>0</v>
      </c>
      <c r="L21" s="24">
        <f>H21-I21</f>
        <v>0</v>
      </c>
      <c r="M21" s="159"/>
      <c r="P21" s="35"/>
    </row>
    <row r="22" spans="1:16" ht="15">
      <c r="A22" s="191" t="s">
        <v>45</v>
      </c>
      <c r="B22" s="104" t="s">
        <v>46</v>
      </c>
      <c r="C22" s="105">
        <v>89</v>
      </c>
      <c r="D22" s="105">
        <v>1</v>
      </c>
      <c r="E22" s="133">
        <f t="shared" si="0"/>
        <v>89</v>
      </c>
      <c r="F22" s="514">
        <f t="shared" si="3"/>
        <v>89</v>
      </c>
      <c r="G22" s="106">
        <v>43</v>
      </c>
      <c r="H22" s="133">
        <f t="shared" si="1"/>
        <v>3827</v>
      </c>
      <c r="I22" s="107">
        <v>3827</v>
      </c>
      <c r="J22" s="329">
        <f t="shared" si="2"/>
        <v>0</v>
      </c>
      <c r="K22" s="329">
        <v>0</v>
      </c>
      <c r="L22" s="329">
        <v>0</v>
      </c>
      <c r="M22" s="234"/>
      <c r="P22" s="35"/>
    </row>
    <row r="23" spans="1:16" ht="15">
      <c r="A23" s="191" t="s">
        <v>47</v>
      </c>
      <c r="B23" s="64" t="s">
        <v>48</v>
      </c>
      <c r="C23" s="23">
        <v>54</v>
      </c>
      <c r="D23" s="23">
        <v>4</v>
      </c>
      <c r="E23" s="41">
        <f t="shared" si="0"/>
        <v>216</v>
      </c>
      <c r="F23" s="514">
        <f t="shared" si="3"/>
        <v>216</v>
      </c>
      <c r="G23" s="19">
        <v>8.3000000000000001E-3</v>
      </c>
      <c r="H23" s="41">
        <f t="shared" si="1"/>
        <v>1.7927999999999999</v>
      </c>
      <c r="I23" s="25">
        <v>1.7927999999999999</v>
      </c>
      <c r="J23" s="24">
        <f t="shared" si="2"/>
        <v>0</v>
      </c>
      <c r="K23" s="24">
        <f>H23-I23</f>
        <v>0</v>
      </c>
      <c r="L23" s="24">
        <f>H23-I23</f>
        <v>0</v>
      </c>
      <c r="M23" s="167"/>
      <c r="P23" s="35"/>
    </row>
    <row r="24" spans="1:16" ht="30">
      <c r="A24" s="369" t="s">
        <v>49</v>
      </c>
      <c r="B24" s="179" t="s">
        <v>50</v>
      </c>
      <c r="C24" s="105">
        <v>89</v>
      </c>
      <c r="D24" s="105">
        <v>1</v>
      </c>
      <c r="E24" s="133">
        <f t="shared" si="0"/>
        <v>89</v>
      </c>
      <c r="F24" s="514">
        <v>89</v>
      </c>
      <c r="G24" s="106">
        <v>8</v>
      </c>
      <c r="H24" s="133">
        <f t="shared" si="1"/>
        <v>712</v>
      </c>
      <c r="I24" s="107">
        <v>712</v>
      </c>
      <c r="J24" s="329">
        <f t="shared" si="2"/>
        <v>0</v>
      </c>
      <c r="K24" s="330">
        <v>0</v>
      </c>
      <c r="L24" s="330">
        <f t="shared" ref="L24:L25" si="7">H24-I24</f>
        <v>0</v>
      </c>
      <c r="M24" s="406"/>
      <c r="P24" s="35"/>
    </row>
    <row r="25" spans="1:16" ht="15">
      <c r="A25" s="253" t="s">
        <v>51</v>
      </c>
      <c r="B25" s="265" t="s">
        <v>52</v>
      </c>
      <c r="C25" s="105">
        <f>1810*0.7</f>
        <v>1267</v>
      </c>
      <c r="D25" s="105">
        <v>1</v>
      </c>
      <c r="E25" s="133">
        <f t="shared" si="0"/>
        <v>1267</v>
      </c>
      <c r="F25" s="514">
        <f t="shared" si="3"/>
        <v>1267</v>
      </c>
      <c r="G25" s="106">
        <v>1</v>
      </c>
      <c r="H25" s="133">
        <f t="shared" si="1"/>
        <v>1267</v>
      </c>
      <c r="I25" s="107">
        <v>1267</v>
      </c>
      <c r="J25" s="329">
        <f t="shared" si="2"/>
        <v>0</v>
      </c>
      <c r="K25" s="330">
        <v>0</v>
      </c>
      <c r="L25" s="330">
        <f t="shared" si="7"/>
        <v>0</v>
      </c>
      <c r="M25" s="406"/>
      <c r="P25" s="35"/>
    </row>
    <row r="26" spans="1:16" ht="28.5">
      <c r="A26" s="191" t="s">
        <v>53</v>
      </c>
      <c r="B26" s="64" t="s">
        <v>54</v>
      </c>
      <c r="C26" s="23">
        <f>1810*0.7</f>
        <v>1267</v>
      </c>
      <c r="D26" s="23">
        <f>(1464744*0.7*0.01)/1267</f>
        <v>8.0925082872928158</v>
      </c>
      <c r="E26" s="41">
        <f t="shared" si="0"/>
        <v>10253.207999999997</v>
      </c>
      <c r="F26" s="514">
        <f t="shared" si="3"/>
        <v>10253.207999999997</v>
      </c>
      <c r="G26" s="19">
        <v>3.3399999999999999E-2</v>
      </c>
      <c r="H26" s="41">
        <f t="shared" si="1"/>
        <v>342.45714719999989</v>
      </c>
      <c r="I26" s="25">
        <v>342.45714719999989</v>
      </c>
      <c r="J26" s="24">
        <f t="shared" si="2"/>
        <v>0</v>
      </c>
      <c r="K26" s="24">
        <f t="shared" ref="K26:K32" si="8">H26-I26</f>
        <v>0</v>
      </c>
      <c r="L26" s="24">
        <f t="shared" ref="L26:L53" si="9">H26-I26</f>
        <v>0</v>
      </c>
      <c r="M26" s="64"/>
      <c r="P26" s="35"/>
    </row>
    <row r="27" spans="1:16" ht="15">
      <c r="A27" s="191" t="s">
        <v>55</v>
      </c>
      <c r="B27" s="64" t="s">
        <v>56</v>
      </c>
      <c r="C27" s="23">
        <f>(1/5)</f>
        <v>0.2</v>
      </c>
      <c r="D27" s="23">
        <v>1</v>
      </c>
      <c r="E27" s="41">
        <f t="shared" si="0"/>
        <v>0.2</v>
      </c>
      <c r="F27" s="514">
        <f t="shared" si="3"/>
        <v>0.2</v>
      </c>
      <c r="G27" s="19">
        <v>2</v>
      </c>
      <c r="H27" s="41">
        <f t="shared" si="1"/>
        <v>0.4</v>
      </c>
      <c r="I27" s="25">
        <v>0.4</v>
      </c>
      <c r="J27" s="24">
        <f t="shared" si="2"/>
        <v>0</v>
      </c>
      <c r="K27" s="24">
        <f t="shared" si="8"/>
        <v>0</v>
      </c>
      <c r="L27" s="24">
        <f t="shared" si="9"/>
        <v>0</v>
      </c>
      <c r="M27" s="64"/>
      <c r="P27" s="35"/>
    </row>
    <row r="28" spans="1:16" ht="15">
      <c r="A28" s="191" t="s">
        <v>57</v>
      </c>
      <c r="B28" s="64" t="s">
        <v>58</v>
      </c>
      <c r="C28" s="23">
        <f>1810*0.7</f>
        <v>1267</v>
      </c>
      <c r="D28" s="23">
        <f>((6243960*0.7)/1267)</f>
        <v>3449.7016574585637</v>
      </c>
      <c r="E28" s="41">
        <f t="shared" si="0"/>
        <v>4370772</v>
      </c>
      <c r="F28" s="514">
        <f t="shared" si="3"/>
        <v>4370772</v>
      </c>
      <c r="G28" s="19">
        <v>0.25</v>
      </c>
      <c r="H28" s="41">
        <f t="shared" si="1"/>
        <v>1092693</v>
      </c>
      <c r="I28" s="25">
        <v>1092693</v>
      </c>
      <c r="J28" s="24">
        <f t="shared" si="2"/>
        <v>0</v>
      </c>
      <c r="K28" s="24">
        <f t="shared" si="8"/>
        <v>0</v>
      </c>
      <c r="L28" s="24">
        <f t="shared" si="9"/>
        <v>0</v>
      </c>
      <c r="M28" s="64"/>
      <c r="P28" s="35"/>
    </row>
    <row r="29" spans="1:16" ht="15">
      <c r="A29" s="191" t="s">
        <v>59</v>
      </c>
      <c r="B29" s="64" t="s">
        <v>60</v>
      </c>
      <c r="C29" s="23">
        <f>0.7*1810</f>
        <v>1267</v>
      </c>
      <c r="D29" s="23">
        <v>1</v>
      </c>
      <c r="E29" s="41">
        <f t="shared" si="0"/>
        <v>1267</v>
      </c>
      <c r="F29" s="514">
        <f t="shared" si="3"/>
        <v>1267</v>
      </c>
      <c r="G29" s="19">
        <v>40</v>
      </c>
      <c r="H29" s="41">
        <f t="shared" si="1"/>
        <v>50680</v>
      </c>
      <c r="I29" s="25">
        <v>50680</v>
      </c>
      <c r="J29" s="24">
        <f t="shared" si="2"/>
        <v>0</v>
      </c>
      <c r="K29" s="24">
        <f t="shared" si="8"/>
        <v>0</v>
      </c>
      <c r="L29" s="24">
        <f t="shared" si="9"/>
        <v>0</v>
      </c>
      <c r="M29" s="159"/>
      <c r="P29" s="35"/>
    </row>
    <row r="30" spans="1:16" ht="42.75">
      <c r="A30" s="238">
        <v>246.12</v>
      </c>
      <c r="B30" s="223" t="s">
        <v>61</v>
      </c>
      <c r="C30" s="224">
        <f>'Final Rule ICR Only'!C6</f>
        <v>44</v>
      </c>
      <c r="D30" s="224">
        <f>'Final Rule ICR Only'!D6</f>
        <v>1</v>
      </c>
      <c r="E30" s="225">
        <f>'Final Rule ICR Only'!E6</f>
        <v>44</v>
      </c>
      <c r="F30" s="455">
        <v>0</v>
      </c>
      <c r="G30" s="226">
        <f>'Final Rule ICR Only'!F6</f>
        <v>5</v>
      </c>
      <c r="H30" s="456">
        <f>'Final Rule ICR Only'!G6</f>
        <v>220</v>
      </c>
      <c r="I30" s="455">
        <f>'Final Rule ICR Only'!H6</f>
        <v>0</v>
      </c>
      <c r="J30" s="226">
        <f>'Final Rule ICR Only'!I6</f>
        <v>220</v>
      </c>
      <c r="K30" s="226">
        <f>'Final Rule ICR Only'!J6</f>
        <v>0</v>
      </c>
      <c r="L30" s="226">
        <f>'Final Rule ICR Only'!K6</f>
        <v>220</v>
      </c>
      <c r="M30" s="340" t="str">
        <f>'Final Rule ICR Only'!L6</f>
        <v>Program change: Implementation burden for trainings, status reports, and other State agency start up costs related to the final rule.</v>
      </c>
      <c r="P30" s="35"/>
    </row>
    <row r="31" spans="1:16" ht="15">
      <c r="A31" s="73" t="s">
        <v>62</v>
      </c>
      <c r="B31" s="64" t="s">
        <v>63</v>
      </c>
      <c r="C31" s="23">
        <v>89</v>
      </c>
      <c r="D31" s="23">
        <v>1</v>
      </c>
      <c r="E31" s="41">
        <f t="shared" si="0"/>
        <v>89</v>
      </c>
      <c r="F31" s="514">
        <f t="shared" si="3"/>
        <v>89</v>
      </c>
      <c r="G31" s="19">
        <v>3</v>
      </c>
      <c r="H31" s="41">
        <f t="shared" si="1"/>
        <v>267</v>
      </c>
      <c r="I31" s="25">
        <v>267</v>
      </c>
      <c r="J31" s="24">
        <f t="shared" si="2"/>
        <v>0</v>
      </c>
      <c r="K31" s="24">
        <f t="shared" si="8"/>
        <v>0</v>
      </c>
      <c r="L31" s="24">
        <f t="shared" si="9"/>
        <v>0</v>
      </c>
      <c r="M31" s="234"/>
      <c r="P31" s="35"/>
    </row>
    <row r="32" spans="1:16" ht="15">
      <c r="A32" s="73" t="s">
        <v>64</v>
      </c>
      <c r="B32" s="64" t="s">
        <v>65</v>
      </c>
      <c r="C32" s="23">
        <v>89</v>
      </c>
      <c r="D32" s="23">
        <v>1</v>
      </c>
      <c r="E32" s="41">
        <f t="shared" si="0"/>
        <v>89</v>
      </c>
      <c r="F32" s="514">
        <f t="shared" si="3"/>
        <v>89</v>
      </c>
      <c r="G32" s="19">
        <v>3</v>
      </c>
      <c r="H32" s="41">
        <f t="shared" si="1"/>
        <v>267</v>
      </c>
      <c r="I32" s="25">
        <v>267</v>
      </c>
      <c r="J32" s="24">
        <f t="shared" si="2"/>
        <v>0</v>
      </c>
      <c r="K32" s="24">
        <f t="shared" si="8"/>
        <v>0</v>
      </c>
      <c r="L32" s="24">
        <f t="shared" si="9"/>
        <v>0</v>
      </c>
      <c r="M32" s="234"/>
      <c r="P32" s="35"/>
    </row>
    <row r="33" spans="1:16" ht="42.75">
      <c r="A33" s="238" t="s">
        <v>66</v>
      </c>
      <c r="B33" s="223" t="s">
        <v>67</v>
      </c>
      <c r="C33" s="224">
        <f>'Final Rule ICR Only'!C7</f>
        <v>88</v>
      </c>
      <c r="D33" s="224">
        <f>'Final Rule ICR Only'!D7</f>
        <v>9.2015909090909087</v>
      </c>
      <c r="E33" s="225">
        <f>'Final Rule ICR Only'!E7</f>
        <v>809.74</v>
      </c>
      <c r="F33" s="227">
        <v>840</v>
      </c>
      <c r="G33" s="224">
        <f>'Final Rule ICR Only'!F7</f>
        <v>4</v>
      </c>
      <c r="H33" s="225">
        <f>'Final Rule ICR Only'!G7</f>
        <v>3238.96</v>
      </c>
      <c r="I33" s="227">
        <f>'Final Rule ICR Only'!H7</f>
        <v>3360</v>
      </c>
      <c r="J33" s="224">
        <f>'Final Rule ICR Only'!I7</f>
        <v>8.8000000000000007</v>
      </c>
      <c r="K33" s="224">
        <f>'Final Rule ICR Only'!J7</f>
        <v>-129.83999999999997</v>
      </c>
      <c r="L33" s="224">
        <f>'Final Rule ICR Only'!K7</f>
        <v>-121.03999999999998</v>
      </c>
      <c r="M33" s="339" t="str">
        <f>'Final Rule ICR Only'!L7</f>
        <v>Program change: Addition of internet vendors due to final rule. Program adjustments: Decrease in the number of A50 vendors and State agencies.</v>
      </c>
      <c r="P33" s="35"/>
    </row>
    <row r="34" spans="1:16" ht="28.5">
      <c r="A34" s="238" t="s">
        <v>68</v>
      </c>
      <c r="B34" s="223" t="s">
        <v>69</v>
      </c>
      <c r="C34" s="224">
        <f>'Final Rule ICR Only'!C8</f>
        <v>0</v>
      </c>
      <c r="D34" s="224">
        <f>'Final Rule ICR Only'!D8</f>
        <v>0</v>
      </c>
      <c r="E34" s="225">
        <f>'Final Rule ICR Only'!E8</f>
        <v>0</v>
      </c>
      <c r="F34" s="227">
        <v>74534</v>
      </c>
      <c r="G34" s="224">
        <f>'Final Rule ICR Only'!F8</f>
        <v>0</v>
      </c>
      <c r="H34" s="225">
        <f>'Final Rule ICR Only'!G8</f>
        <v>0</v>
      </c>
      <c r="I34" s="227">
        <f>'Final Rule ICR Only'!H8</f>
        <v>149068</v>
      </c>
      <c r="J34" s="224">
        <f>'Final Rule ICR Only'!I8</f>
        <v>-149068</v>
      </c>
      <c r="K34" s="224">
        <f>'Final Rule ICR Only'!J8</f>
        <v>0</v>
      </c>
      <c r="L34" s="224">
        <f>'Final Rule ICR Only'!K8</f>
        <v>-149068</v>
      </c>
      <c r="M34" s="339" t="str">
        <f>'Final Rule ICR Only'!L8</f>
        <v>Program change: Final rule permanently removes this requirement.</v>
      </c>
      <c r="P34" s="35"/>
    </row>
    <row r="35" spans="1:16" ht="28.5">
      <c r="A35" s="238" t="s">
        <v>68</v>
      </c>
      <c r="B35" s="223" t="s">
        <v>70</v>
      </c>
      <c r="C35" s="224">
        <f>'Final Rule ICR Only'!C9</f>
        <v>0</v>
      </c>
      <c r="D35" s="224">
        <f>'Final Rule ICR Only'!D9</f>
        <v>0</v>
      </c>
      <c r="E35" s="225">
        <f>'Final Rule ICR Only'!E9</f>
        <v>0</v>
      </c>
      <c r="F35" s="227">
        <v>5</v>
      </c>
      <c r="G35" s="224">
        <f>'Final Rule ICR Only'!F9</f>
        <v>0</v>
      </c>
      <c r="H35" s="225">
        <f>'Final Rule ICR Only'!G9</f>
        <v>0</v>
      </c>
      <c r="I35" s="227">
        <f>'Final Rule ICR Only'!H9</f>
        <v>40</v>
      </c>
      <c r="J35" s="224">
        <f>'Final Rule ICR Only'!I9</f>
        <v>-40</v>
      </c>
      <c r="K35" s="224">
        <f>'Final Rule ICR Only'!J9</f>
        <v>0</v>
      </c>
      <c r="L35" s="224">
        <f>'Final Rule ICR Only'!K9</f>
        <v>-40</v>
      </c>
      <c r="M35" s="339" t="str">
        <f>'Final Rule ICR Only'!L9</f>
        <v>Program change: Final rule permanently removes this requirement.</v>
      </c>
      <c r="P35" s="35"/>
    </row>
    <row r="36" spans="1:16" ht="15">
      <c r="A36" s="73" t="s">
        <v>71</v>
      </c>
      <c r="B36" s="64" t="s">
        <v>72</v>
      </c>
      <c r="C36" s="23">
        <v>89</v>
      </c>
      <c r="D36" s="23">
        <v>1</v>
      </c>
      <c r="E36" s="41">
        <f>C36*D36</f>
        <v>89</v>
      </c>
      <c r="F36" s="515">
        <f>E36</f>
        <v>89</v>
      </c>
      <c r="G36" s="19">
        <v>3</v>
      </c>
      <c r="H36" s="41">
        <f>E36*G36</f>
        <v>267</v>
      </c>
      <c r="I36" s="25">
        <v>267</v>
      </c>
      <c r="J36" s="24">
        <f t="shared" si="2"/>
        <v>0</v>
      </c>
      <c r="K36" s="24">
        <f>H36-I36</f>
        <v>0</v>
      </c>
      <c r="L36" s="24">
        <f t="shared" si="9"/>
        <v>0</v>
      </c>
      <c r="M36" s="234"/>
      <c r="P36" s="35"/>
    </row>
    <row r="37" spans="1:16" s="163" customFormat="1" ht="42.75">
      <c r="A37" s="238" t="s">
        <v>73</v>
      </c>
      <c r="B37" s="223" t="s">
        <v>74</v>
      </c>
      <c r="C37" s="224">
        <f>'Final Rule ICR Only'!C10</f>
        <v>88</v>
      </c>
      <c r="D37" s="224">
        <f>'Final Rule ICR Only'!D10</f>
        <v>17</v>
      </c>
      <c r="E37" s="225">
        <f>C37*D37</f>
        <v>1496</v>
      </c>
      <c r="F37" s="227">
        <v>1513</v>
      </c>
      <c r="G37" s="226">
        <f>'Final Rule ICR Only'!F10</f>
        <v>1.17</v>
      </c>
      <c r="H37" s="225">
        <f>E37*G37</f>
        <v>1750.32</v>
      </c>
      <c r="I37" s="227">
        <f>'Final Rule ICR Only'!H10</f>
        <v>1513</v>
      </c>
      <c r="J37" s="224">
        <f>'Final Rule ICR Only'!I10</f>
        <v>0</v>
      </c>
      <c r="K37" s="224">
        <f>'Final Rule ICR Only'!J10</f>
        <v>237.31999999999994</v>
      </c>
      <c r="L37" s="224">
        <f>'Final Rule ICR Only'!K10</f>
        <v>237.31999999999994</v>
      </c>
      <c r="M37" s="236" t="str">
        <f>'Final Rule ICR Only'!L10</f>
        <v>Program adjustments: Adjustment of burden hours estimated for this activity based on public comment, decrease in the number of State agencies.</v>
      </c>
      <c r="P37" s="367"/>
    </row>
    <row r="38" spans="1:16" ht="28.5">
      <c r="A38" s="238" t="s">
        <v>73</v>
      </c>
      <c r="B38" s="223" t="s">
        <v>75</v>
      </c>
      <c r="C38" s="224">
        <f>'Final Rule ICR Only'!C11</f>
        <v>44</v>
      </c>
      <c r="D38" s="224">
        <f>'Final Rule ICR Only'!D11</f>
        <v>2.5</v>
      </c>
      <c r="E38" s="225">
        <f>'Final Rule ICR Only'!E11</f>
        <v>110</v>
      </c>
      <c r="F38" s="227">
        <v>0</v>
      </c>
      <c r="G38" s="483">
        <f>'Final Rule ICR Only'!F11</f>
        <v>0.66800000000000004</v>
      </c>
      <c r="H38" s="225">
        <f>'Final Rule ICR Only'!G11</f>
        <v>73.48</v>
      </c>
      <c r="I38" s="227">
        <f>'Final Rule ICR Only'!H11</f>
        <v>0</v>
      </c>
      <c r="J38" s="224">
        <f>'Final Rule ICR Only'!I11</f>
        <v>73.48</v>
      </c>
      <c r="K38" s="224">
        <f>'Final Rule ICR Only'!J11</f>
        <v>0</v>
      </c>
      <c r="L38" s="224">
        <f>'Final Rule ICR Only'!K11</f>
        <v>73.48</v>
      </c>
      <c r="M38" s="339" t="str">
        <f>'Final Rule ICR Only'!L11</f>
        <v>Program change: Addition of internet vendors due to final rule.</v>
      </c>
      <c r="P38" s="35"/>
    </row>
    <row r="39" spans="1:16" ht="15">
      <c r="A39" s="73" t="s">
        <v>76</v>
      </c>
      <c r="B39" s="64" t="s">
        <v>77</v>
      </c>
      <c r="C39" s="23">
        <v>89</v>
      </c>
      <c r="D39" s="23">
        <v>1</v>
      </c>
      <c r="E39" s="41">
        <f>C39*D39</f>
        <v>89</v>
      </c>
      <c r="F39" s="515">
        <f>E39</f>
        <v>89</v>
      </c>
      <c r="G39" s="19">
        <v>3</v>
      </c>
      <c r="H39" s="41">
        <f>E39*G39</f>
        <v>267</v>
      </c>
      <c r="I39" s="25">
        <v>267</v>
      </c>
      <c r="J39" s="24">
        <f t="shared" si="2"/>
        <v>0</v>
      </c>
      <c r="K39" s="24">
        <f>H39-I39</f>
        <v>0</v>
      </c>
      <c r="L39" s="24">
        <f t="shared" si="9"/>
        <v>0</v>
      </c>
      <c r="M39" s="234"/>
      <c r="P39" s="35"/>
    </row>
    <row r="40" spans="1:16" ht="57">
      <c r="A40" s="238" t="s">
        <v>78</v>
      </c>
      <c r="B40" s="223" t="s">
        <v>79</v>
      </c>
      <c r="C40" s="224">
        <f>'Final Rule ICR Only'!C12</f>
        <v>88</v>
      </c>
      <c r="D40" s="224">
        <f>'Final Rule ICR Only'!D12</f>
        <v>151.82625000000002</v>
      </c>
      <c r="E40" s="225">
        <f>'Final Rule ICR Only'!E12</f>
        <v>13360.710000000001</v>
      </c>
      <c r="F40" s="227">
        <v>12298.11</v>
      </c>
      <c r="G40" s="224">
        <f>'Final Rule ICR Only'!F12</f>
        <v>2</v>
      </c>
      <c r="H40" s="225">
        <f>'Final Rule ICR Only'!G12</f>
        <v>26721.420000000002</v>
      </c>
      <c r="I40" s="227">
        <f>'Final Rule ICR Only'!H12</f>
        <v>8215.14</v>
      </c>
      <c r="J40" s="224">
        <f>'Final Rule ICR Only'!I12</f>
        <v>72.600000000000009</v>
      </c>
      <c r="K40" s="224">
        <f>'Final Rule ICR Only'!J12</f>
        <v>18433.680000000004</v>
      </c>
      <c r="L40" s="224">
        <f>'Final Rule ICR Only'!K12</f>
        <v>18506.280000000002</v>
      </c>
      <c r="M40" s="339" t="str">
        <f>'Final Rule ICR Only'!L12</f>
        <v>Program change: Addition of internet vendors due to final rule. Program adjustments: Adjustment of burden hours estimated for this activity based on public comment, increase in number of vendors.</v>
      </c>
      <c r="P40" s="35"/>
    </row>
    <row r="41" spans="1:16" ht="15">
      <c r="A41" s="73" t="s">
        <v>80</v>
      </c>
      <c r="B41" s="64" t="s">
        <v>81</v>
      </c>
      <c r="C41" s="23">
        <v>89</v>
      </c>
      <c r="D41" s="23">
        <v>1</v>
      </c>
      <c r="E41" s="41">
        <f>C41*D41</f>
        <v>89</v>
      </c>
      <c r="F41" s="515">
        <f>E41</f>
        <v>89</v>
      </c>
      <c r="G41" s="19">
        <v>8</v>
      </c>
      <c r="H41" s="41">
        <f>E41*G41</f>
        <v>712</v>
      </c>
      <c r="I41" s="25">
        <v>712</v>
      </c>
      <c r="J41" s="24">
        <f t="shared" si="2"/>
        <v>0</v>
      </c>
      <c r="K41" s="24">
        <f>H41-I41</f>
        <v>0</v>
      </c>
      <c r="L41" s="24">
        <f t="shared" si="9"/>
        <v>0</v>
      </c>
      <c r="M41" s="234"/>
      <c r="P41" s="35"/>
    </row>
    <row r="42" spans="1:16" ht="42.75">
      <c r="A42" s="238" t="s">
        <v>80</v>
      </c>
      <c r="B42" s="223" t="s">
        <v>82</v>
      </c>
      <c r="C42" s="228">
        <f>'Final Rule ICR Only'!C13</f>
        <v>88</v>
      </c>
      <c r="D42" s="228">
        <f>'Final Rule ICR Only'!D13</f>
        <v>460.07954545454544</v>
      </c>
      <c r="E42" s="225">
        <f>'Final Rule ICR Only'!E13</f>
        <v>40487</v>
      </c>
      <c r="F42" s="227">
        <v>37267</v>
      </c>
      <c r="G42" s="228">
        <f>'Final Rule ICR Only'!F13</f>
        <v>2</v>
      </c>
      <c r="H42" s="225">
        <f>'Final Rule ICR Only'!G13</f>
        <v>80974</v>
      </c>
      <c r="I42" s="324">
        <f>'Final Rule ICR Only'!H13</f>
        <v>74534</v>
      </c>
      <c r="J42" s="228">
        <f>'Final Rule ICR Only'!I13</f>
        <v>220</v>
      </c>
      <c r="K42" s="228">
        <f>'Final Rule ICR Only'!J13</f>
        <v>6220</v>
      </c>
      <c r="L42" s="228">
        <f>'Final Rule ICR Only'!K13</f>
        <v>6440</v>
      </c>
      <c r="M42" s="340" t="str">
        <f>'Final Rule ICR Only'!L13</f>
        <v>Program change: Addition of internet vendors due to final rule. Program adjustment: Increase in number of brick-and-mortar vendors.</v>
      </c>
      <c r="P42" s="35"/>
    </row>
    <row r="43" spans="1:16" ht="42.75">
      <c r="A43" s="238" t="s">
        <v>83</v>
      </c>
      <c r="B43" s="223" t="s">
        <v>84</v>
      </c>
      <c r="C43" s="228">
        <f>'Final Rule ICR Only'!C14</f>
        <v>88</v>
      </c>
      <c r="D43" s="228">
        <f>'Final Rule ICR Only'!D14</f>
        <v>22.941477272727273</v>
      </c>
      <c r="E43" s="225">
        <f>'Final Rule ICR Only'!E14</f>
        <v>2018.85</v>
      </c>
      <c r="F43" s="227">
        <v>1863.35</v>
      </c>
      <c r="G43" s="228">
        <f>'Final Rule ICR Only'!F14</f>
        <v>1.67</v>
      </c>
      <c r="H43" s="225">
        <f>'Final Rule ICR Only'!G14</f>
        <v>3371.4794999999999</v>
      </c>
      <c r="I43" s="324">
        <f>'Final Rule ICR Only'!H14</f>
        <v>2485.71</v>
      </c>
      <c r="J43" s="228">
        <f>'Final Rule ICR Only'!I14</f>
        <v>0</v>
      </c>
      <c r="K43" s="228">
        <f>'Final Rule ICR Only'!J14</f>
        <v>885.76949999999988</v>
      </c>
      <c r="L43" s="228">
        <f>'Final Rule ICR Only'!K14</f>
        <v>885.76949999999988</v>
      </c>
      <c r="M43" s="340" t="str">
        <f>'Final Rule ICR Only'!L14</f>
        <v>Program adjustments: Adjustment of burden hours estimated for this activity based on public comment, increase in number of vendors.</v>
      </c>
      <c r="P43" s="35"/>
    </row>
    <row r="44" spans="1:16" ht="28.5">
      <c r="A44" s="238" t="s">
        <v>83</v>
      </c>
      <c r="B44" s="223" t="s">
        <v>85</v>
      </c>
      <c r="C44" s="228">
        <f>'Final Rule ICR Only'!C15</f>
        <v>44</v>
      </c>
      <c r="D44" s="228">
        <f>'Final Rule ICR Only'!D15</f>
        <v>0.125</v>
      </c>
      <c r="E44" s="225">
        <f>'Final Rule ICR Only'!E15</f>
        <v>5.5</v>
      </c>
      <c r="F44" s="227">
        <v>0</v>
      </c>
      <c r="G44" s="228">
        <f>'Final Rule ICR Only'!F15</f>
        <v>1.17</v>
      </c>
      <c r="H44" s="225">
        <f>'Final Rule ICR Only'!G15</f>
        <v>6.4349999999999996</v>
      </c>
      <c r="I44" s="324">
        <f>'Final Rule ICR Only'!H15</f>
        <v>0</v>
      </c>
      <c r="J44" s="228">
        <f>'Final Rule ICR Only'!I15</f>
        <v>6.4349999999999996</v>
      </c>
      <c r="K44" s="228">
        <f>'Final Rule ICR Only'!J15</f>
        <v>0</v>
      </c>
      <c r="L44" s="228">
        <f>'Final Rule ICR Only'!K15</f>
        <v>6.4349999999999996</v>
      </c>
      <c r="M44" s="340" t="str">
        <f>'Final Rule ICR Only'!L15</f>
        <v>Program change: Addition of internet vendors due to final rule.</v>
      </c>
      <c r="P44" s="35"/>
    </row>
    <row r="45" spans="1:16" ht="42.75">
      <c r="A45" s="238" t="s">
        <v>86</v>
      </c>
      <c r="B45" s="223" t="s">
        <v>87</v>
      </c>
      <c r="C45" s="228">
        <f>'Final Rule ICR Only'!C16</f>
        <v>88</v>
      </c>
      <c r="D45" s="228">
        <f>'Final Rule ICR Only'!D16</f>
        <v>22.941477272727273</v>
      </c>
      <c r="E45" s="225">
        <f>'Final Rule ICR Only'!E16</f>
        <v>2018.85</v>
      </c>
      <c r="F45" s="227">
        <v>1863.35</v>
      </c>
      <c r="G45" s="228">
        <f>'Final Rule ICR Only'!F16</f>
        <v>5</v>
      </c>
      <c r="H45" s="225">
        <f>'Final Rule ICR Only'!G16</f>
        <v>10094.25</v>
      </c>
      <c r="I45" s="324">
        <f>'Final Rule ICR Only'!H16</f>
        <v>4349.0600000000004</v>
      </c>
      <c r="J45" s="228">
        <f>'Final Rule ICR Only'!I16</f>
        <v>0</v>
      </c>
      <c r="K45" s="228">
        <f>'Final Rule ICR Only'!J16</f>
        <v>5745.19</v>
      </c>
      <c r="L45" s="228">
        <f>'Final Rule ICR Only'!K16</f>
        <v>5745.19</v>
      </c>
      <c r="M45" s="340" t="str">
        <f>'Final Rule ICR Only'!L16</f>
        <v>Program adjustments: Adjustment of burden hours estimated for this activity based on public comment, increase in number of vendors.</v>
      </c>
      <c r="P45" s="35"/>
    </row>
    <row r="46" spans="1:16" ht="28.5">
      <c r="A46" s="238" t="s">
        <v>86</v>
      </c>
      <c r="B46" s="223" t="s">
        <v>88</v>
      </c>
      <c r="C46" s="228">
        <f>'Final Rule ICR Only'!C17</f>
        <v>44</v>
      </c>
      <c r="D46" s="228">
        <f>'Final Rule ICR Only'!D17</f>
        <v>0.125</v>
      </c>
      <c r="E46" s="225">
        <f>'Final Rule ICR Only'!E17</f>
        <v>5.5</v>
      </c>
      <c r="F46" s="455">
        <v>0</v>
      </c>
      <c r="G46" s="368">
        <f>'Final Rule ICR Only'!F17</f>
        <v>4.5</v>
      </c>
      <c r="H46" s="225">
        <f>'Final Rule ICR Only'!G17</f>
        <v>24.75</v>
      </c>
      <c r="I46" s="324">
        <v>0</v>
      </c>
      <c r="J46" s="228">
        <f>'Final Rule ICR Only'!I17</f>
        <v>24.75</v>
      </c>
      <c r="K46" s="228">
        <f>'Final Rule ICR Only'!J17</f>
        <v>0</v>
      </c>
      <c r="L46" s="228">
        <f>'Final Rule ICR Only'!K17</f>
        <v>24.75</v>
      </c>
      <c r="M46" s="340" t="str">
        <f>'Final Rule ICR Only'!L17</f>
        <v>Program change: Addition of internet vendors due to final rule.</v>
      </c>
      <c r="P46" s="35"/>
    </row>
    <row r="47" spans="1:16" ht="28.5">
      <c r="A47" s="191" t="s">
        <v>89</v>
      </c>
      <c r="B47" s="64" t="s">
        <v>90</v>
      </c>
      <c r="C47" s="24">
        <v>2</v>
      </c>
      <c r="D47" s="23">
        <v>1</v>
      </c>
      <c r="E47" s="41">
        <f t="shared" ref="E47:E56" si="10">C47*D47</f>
        <v>2</v>
      </c>
      <c r="F47" s="515">
        <f t="shared" ref="F47:F56" si="11">E47</f>
        <v>2</v>
      </c>
      <c r="G47" s="19">
        <v>3</v>
      </c>
      <c r="H47" s="41">
        <f t="shared" ref="H47:H56" si="12">E47*G47</f>
        <v>6</v>
      </c>
      <c r="I47" s="25">
        <v>6</v>
      </c>
      <c r="J47" s="24">
        <f t="shared" si="2"/>
        <v>0</v>
      </c>
      <c r="K47" s="24">
        <f t="shared" ref="K47:K53" si="13">H47-I47</f>
        <v>0</v>
      </c>
      <c r="L47" s="24">
        <f t="shared" si="9"/>
        <v>0</v>
      </c>
      <c r="M47" s="159"/>
      <c r="P47" s="35"/>
    </row>
    <row r="48" spans="1:16" ht="15">
      <c r="A48" s="73" t="s">
        <v>91</v>
      </c>
      <c r="B48" s="64" t="s">
        <v>92</v>
      </c>
      <c r="C48" s="24">
        <v>89</v>
      </c>
      <c r="D48" s="23">
        <f>1048/89</f>
        <v>11.775280898876405</v>
      </c>
      <c r="E48" s="41">
        <f t="shared" si="10"/>
        <v>1048</v>
      </c>
      <c r="F48" s="515">
        <f t="shared" si="11"/>
        <v>1048</v>
      </c>
      <c r="G48" s="19">
        <v>8.3500000000000005E-2</v>
      </c>
      <c r="H48" s="41">
        <f t="shared" si="12"/>
        <v>87.50800000000001</v>
      </c>
      <c r="I48" s="25">
        <v>87.50800000000001</v>
      </c>
      <c r="J48" s="24">
        <f t="shared" si="2"/>
        <v>0</v>
      </c>
      <c r="K48" s="24">
        <f t="shared" si="13"/>
        <v>0</v>
      </c>
      <c r="L48" s="24">
        <f t="shared" si="9"/>
        <v>0</v>
      </c>
      <c r="M48" s="159"/>
      <c r="P48" s="35"/>
    </row>
    <row r="49" spans="1:16" ht="15">
      <c r="A49" s="191" t="s">
        <v>93</v>
      </c>
      <c r="B49" s="64" t="s">
        <v>94</v>
      </c>
      <c r="C49" s="24">
        <v>1</v>
      </c>
      <c r="D49" s="23">
        <v>12</v>
      </c>
      <c r="E49" s="41">
        <f t="shared" si="10"/>
        <v>12</v>
      </c>
      <c r="F49" s="515">
        <f t="shared" si="11"/>
        <v>12</v>
      </c>
      <c r="G49" s="19">
        <v>40</v>
      </c>
      <c r="H49" s="41">
        <f t="shared" si="12"/>
        <v>480</v>
      </c>
      <c r="I49" s="25">
        <v>480</v>
      </c>
      <c r="J49" s="24">
        <f t="shared" si="2"/>
        <v>0</v>
      </c>
      <c r="K49" s="24">
        <f t="shared" si="13"/>
        <v>0</v>
      </c>
      <c r="L49" s="24">
        <f t="shared" si="9"/>
        <v>0</v>
      </c>
      <c r="M49" s="159"/>
      <c r="P49" s="35"/>
    </row>
    <row r="50" spans="1:16" ht="15">
      <c r="A50" s="73" t="s">
        <v>95</v>
      </c>
      <c r="B50" s="64" t="s">
        <v>96</v>
      </c>
      <c r="C50" s="23">
        <v>89</v>
      </c>
      <c r="D50" s="23">
        <f>10000/89</f>
        <v>112.35955056179775</v>
      </c>
      <c r="E50" s="41">
        <f t="shared" si="10"/>
        <v>10000</v>
      </c>
      <c r="F50" s="515">
        <f t="shared" si="11"/>
        <v>10000</v>
      </c>
      <c r="G50" s="19">
        <v>1</v>
      </c>
      <c r="H50" s="41">
        <f t="shared" si="12"/>
        <v>10000</v>
      </c>
      <c r="I50" s="25">
        <v>10000</v>
      </c>
      <c r="J50" s="24">
        <f t="shared" si="2"/>
        <v>0</v>
      </c>
      <c r="K50" s="24">
        <f t="shared" si="13"/>
        <v>0</v>
      </c>
      <c r="L50" s="24">
        <f t="shared" si="9"/>
        <v>0</v>
      </c>
      <c r="M50" s="159"/>
      <c r="P50" s="35"/>
    </row>
    <row r="51" spans="1:16" ht="28.5">
      <c r="A51" s="73" t="s">
        <v>97</v>
      </c>
      <c r="B51" s="64" t="s">
        <v>98</v>
      </c>
      <c r="C51" s="23">
        <v>89</v>
      </c>
      <c r="D51" s="23">
        <v>1</v>
      </c>
      <c r="E51" s="41">
        <f t="shared" si="10"/>
        <v>89</v>
      </c>
      <c r="F51" s="515">
        <f t="shared" si="11"/>
        <v>89</v>
      </c>
      <c r="G51" s="19">
        <v>2</v>
      </c>
      <c r="H51" s="41">
        <f t="shared" si="12"/>
        <v>178</v>
      </c>
      <c r="I51" s="25">
        <v>178</v>
      </c>
      <c r="J51" s="24">
        <f t="shared" si="2"/>
        <v>0</v>
      </c>
      <c r="K51" s="24">
        <f t="shared" si="13"/>
        <v>0</v>
      </c>
      <c r="L51" s="24">
        <f t="shared" si="9"/>
        <v>0</v>
      </c>
      <c r="M51" s="234"/>
      <c r="P51" s="35"/>
    </row>
    <row r="52" spans="1:16" ht="15">
      <c r="A52" s="73" t="s">
        <v>99</v>
      </c>
      <c r="B52" s="64" t="s">
        <v>100</v>
      </c>
      <c r="C52" s="23">
        <v>89</v>
      </c>
      <c r="D52" s="23">
        <v>1</v>
      </c>
      <c r="E52" s="41">
        <f t="shared" si="10"/>
        <v>89</v>
      </c>
      <c r="F52" s="515">
        <f t="shared" si="11"/>
        <v>89</v>
      </c>
      <c r="G52" s="19">
        <v>40</v>
      </c>
      <c r="H52" s="41">
        <f t="shared" si="12"/>
        <v>3560</v>
      </c>
      <c r="I52" s="25">
        <v>3560</v>
      </c>
      <c r="J52" s="24">
        <f t="shared" si="2"/>
        <v>0</v>
      </c>
      <c r="K52" s="24">
        <f t="shared" si="13"/>
        <v>0</v>
      </c>
      <c r="L52" s="24">
        <f t="shared" si="9"/>
        <v>0</v>
      </c>
      <c r="M52" s="234"/>
      <c r="P52" s="35"/>
    </row>
    <row r="53" spans="1:16" ht="15">
      <c r="A53" s="191" t="s">
        <v>101</v>
      </c>
      <c r="B53" s="64" t="s">
        <v>102</v>
      </c>
      <c r="C53" s="23">
        <v>89</v>
      </c>
      <c r="D53" s="23">
        <f>(6243960*0.02)/89</f>
        <v>1403.1370786516854</v>
      </c>
      <c r="E53" s="41">
        <f t="shared" si="10"/>
        <v>124879.20000000001</v>
      </c>
      <c r="F53" s="515">
        <f t="shared" si="11"/>
        <v>124879.20000000001</v>
      </c>
      <c r="G53" s="19">
        <v>8.3500000000000005E-2</v>
      </c>
      <c r="H53" s="41">
        <f t="shared" si="12"/>
        <v>10427.413200000001</v>
      </c>
      <c r="I53" s="25">
        <v>10427.413200000001</v>
      </c>
      <c r="J53" s="24">
        <f t="shared" si="2"/>
        <v>0</v>
      </c>
      <c r="K53" s="24">
        <f t="shared" si="13"/>
        <v>0</v>
      </c>
      <c r="L53" s="24">
        <f t="shared" si="9"/>
        <v>0</v>
      </c>
      <c r="M53" s="159"/>
      <c r="P53" s="35"/>
    </row>
    <row r="54" spans="1:16" ht="87" customHeight="1">
      <c r="A54" s="191" t="s">
        <v>103</v>
      </c>
      <c r="B54" s="64" t="s">
        <v>104</v>
      </c>
      <c r="C54" s="23">
        <v>89</v>
      </c>
      <c r="D54" s="23">
        <f>(0.33*3289)/89</f>
        <v>12.195168539325843</v>
      </c>
      <c r="E54" s="41">
        <f t="shared" si="10"/>
        <v>1085.3700000000001</v>
      </c>
      <c r="F54" s="515">
        <f t="shared" si="11"/>
        <v>1085.3700000000001</v>
      </c>
      <c r="G54" s="19">
        <v>0.66800000000000004</v>
      </c>
      <c r="H54" s="41">
        <f t="shared" si="12"/>
        <v>725.02716000000009</v>
      </c>
      <c r="I54" s="25">
        <v>725.02716000000009</v>
      </c>
      <c r="J54" s="24">
        <f t="shared" si="2"/>
        <v>0</v>
      </c>
      <c r="K54" s="24">
        <v>0</v>
      </c>
      <c r="L54" s="24">
        <v>0</v>
      </c>
      <c r="M54" s="159"/>
      <c r="P54" s="35"/>
    </row>
    <row r="55" spans="1:16" ht="15">
      <c r="A55" s="191" t="s">
        <v>105</v>
      </c>
      <c r="B55" s="64" t="s">
        <v>106</v>
      </c>
      <c r="C55" s="23">
        <v>89</v>
      </c>
      <c r="D55" s="23">
        <f>(3289*0.02)/89</f>
        <v>0.73910112359550562</v>
      </c>
      <c r="E55" s="41">
        <f t="shared" si="10"/>
        <v>65.78</v>
      </c>
      <c r="F55" s="515">
        <f t="shared" si="11"/>
        <v>65.78</v>
      </c>
      <c r="G55" s="19">
        <v>8.3500000000000005E-2</v>
      </c>
      <c r="H55" s="41">
        <f t="shared" si="12"/>
        <v>5.4926300000000001</v>
      </c>
      <c r="I55" s="25">
        <v>5.4926300000000001</v>
      </c>
      <c r="J55" s="24">
        <f t="shared" si="2"/>
        <v>0</v>
      </c>
      <c r="K55" s="24">
        <f>H55-I55</f>
        <v>0</v>
      </c>
      <c r="L55" s="24">
        <f t="shared" ref="L55:L65" si="14">H55-I55</f>
        <v>0</v>
      </c>
      <c r="M55" s="159"/>
      <c r="P55" s="35"/>
    </row>
    <row r="56" spans="1:16" ht="28.5">
      <c r="A56" s="73" t="s">
        <v>107</v>
      </c>
      <c r="B56" s="64" t="s">
        <v>108</v>
      </c>
      <c r="C56" s="23">
        <v>89</v>
      </c>
      <c r="D56" s="23">
        <v>1</v>
      </c>
      <c r="E56" s="41">
        <f t="shared" si="10"/>
        <v>89</v>
      </c>
      <c r="F56" s="515">
        <f t="shared" si="11"/>
        <v>89</v>
      </c>
      <c r="G56" s="19">
        <v>3</v>
      </c>
      <c r="H56" s="41">
        <f t="shared" si="12"/>
        <v>267</v>
      </c>
      <c r="I56" s="25">
        <v>267</v>
      </c>
      <c r="J56" s="24">
        <f t="shared" si="2"/>
        <v>0</v>
      </c>
      <c r="K56" s="24">
        <f>H56-I56</f>
        <v>0</v>
      </c>
      <c r="L56" s="24">
        <f t="shared" si="14"/>
        <v>0</v>
      </c>
      <c r="M56" s="234"/>
      <c r="P56" s="35"/>
    </row>
    <row r="57" spans="1:16" ht="42.75">
      <c r="A57" s="238" t="str">
        <f>'Final Rule ICR Only'!A18</f>
        <v>246.12(bb)(1)</v>
      </c>
      <c r="B57" s="223" t="str">
        <f>'Final Rule ICR Only'!B18</f>
        <v>System updates to allow online shopping, including return of benefits</v>
      </c>
      <c r="C57" s="228">
        <f>'Final Rule ICR Only'!C18</f>
        <v>44</v>
      </c>
      <c r="D57" s="228">
        <f>'Final Rule ICR Only'!D18</f>
        <v>1</v>
      </c>
      <c r="E57" s="225">
        <f>'Final Rule ICR Only'!E18</f>
        <v>44</v>
      </c>
      <c r="F57" s="227">
        <v>0</v>
      </c>
      <c r="G57" s="228">
        <f>'Final Rule ICR Only'!F18</f>
        <v>50</v>
      </c>
      <c r="H57" s="225">
        <f>'Final Rule ICR Only'!G18</f>
        <v>2200</v>
      </c>
      <c r="I57" s="324">
        <f>'Final Rule ICR Only'!H18</f>
        <v>0</v>
      </c>
      <c r="J57" s="228">
        <f>'Final Rule ICR Only'!I18</f>
        <v>2200</v>
      </c>
      <c r="K57" s="228">
        <f>'Final Rule ICR Only'!J18</f>
        <v>0</v>
      </c>
      <c r="L57" s="228">
        <f>'Final Rule ICR Only'!K18</f>
        <v>2200</v>
      </c>
      <c r="M57" s="236" t="str">
        <f>'Final Rule ICR Only'!L18</f>
        <v>Program change: Implementation burden related to updating EBT and MIS systems due to the final rule.</v>
      </c>
      <c r="P57" s="35"/>
    </row>
    <row r="58" spans="1:16" ht="28.5">
      <c r="A58" s="238" t="s">
        <v>109</v>
      </c>
      <c r="B58" s="223" t="s">
        <v>110</v>
      </c>
      <c r="C58" s="228">
        <f>'Final Rule ICR Only'!C19</f>
        <v>88</v>
      </c>
      <c r="D58" s="228">
        <f>'Final Rule ICR Only'!D19</f>
        <v>1</v>
      </c>
      <c r="E58" s="225">
        <f>'Final Rule ICR Only'!E19</f>
        <v>88</v>
      </c>
      <c r="F58" s="227">
        <v>0</v>
      </c>
      <c r="G58" s="228">
        <f>'Final Rule ICR Only'!F19</f>
        <v>50</v>
      </c>
      <c r="H58" s="225">
        <f>'Final Rule ICR Only'!G19</f>
        <v>4400</v>
      </c>
      <c r="I58" s="324">
        <v>0</v>
      </c>
      <c r="J58" s="228">
        <f>'Final Rule ICR Only'!I19</f>
        <v>4400</v>
      </c>
      <c r="K58" s="228">
        <f>'Final Rule ICR Only'!J19</f>
        <v>0</v>
      </c>
      <c r="L58" s="228">
        <f>'Final Rule ICR Only'!K19</f>
        <v>4400</v>
      </c>
      <c r="M58" s="236" t="str">
        <f>'Final Rule ICR Only'!L19</f>
        <v>Program change: Implementation burden related to developing new authentication policies due to final rule.</v>
      </c>
      <c r="P58" s="35"/>
    </row>
    <row r="59" spans="1:16" ht="28.5">
      <c r="A59" s="238" t="s">
        <v>111</v>
      </c>
      <c r="B59" s="223" t="s">
        <v>112</v>
      </c>
      <c r="C59" s="224">
        <f>'Final Rule ICR Only'!C20</f>
        <v>20</v>
      </c>
      <c r="D59" s="224">
        <f>'Final Rule ICR Only'!D20</f>
        <v>1</v>
      </c>
      <c r="E59" s="225">
        <f>'Final Rule ICR Only'!E20</f>
        <v>20</v>
      </c>
      <c r="F59" s="227">
        <v>20</v>
      </c>
      <c r="G59" s="224">
        <f>'Final Rule ICR Only'!F20</f>
        <v>160</v>
      </c>
      <c r="H59" s="225">
        <f>'Final Rule ICR Only'!G20</f>
        <v>3200</v>
      </c>
      <c r="I59" s="227">
        <f>'Final Rule ICR Only'!H20</f>
        <v>3200</v>
      </c>
      <c r="J59" s="228">
        <f>'Final Rule ICR Only'!I20</f>
        <v>0</v>
      </c>
      <c r="K59" s="224">
        <f>'Final Rule ICR Only'!J20</f>
        <v>0</v>
      </c>
      <c r="L59" s="224">
        <f>'Final Rule ICR Only'!K20</f>
        <v>0</v>
      </c>
      <c r="M59" s="341" t="str">
        <f>'Final Rule ICR Only'!L20</f>
        <v>Re-estimate of burden from the proposed rule to the final rule results in no change in burden hours.</v>
      </c>
      <c r="P59" s="35"/>
    </row>
    <row r="60" spans="1:16" ht="28.5">
      <c r="A60" s="191" t="s">
        <v>113</v>
      </c>
      <c r="B60" s="64" t="s">
        <v>114</v>
      </c>
      <c r="C60" s="23">
        <v>27</v>
      </c>
      <c r="D60" s="23">
        <v>1</v>
      </c>
      <c r="E60" s="41">
        <f t="shared" ref="E60:E70" si="15">C60*D60</f>
        <v>27</v>
      </c>
      <c r="F60" s="515">
        <f t="shared" ref="F60:F77" si="16">E60</f>
        <v>27</v>
      </c>
      <c r="G60" s="19">
        <v>2</v>
      </c>
      <c r="H60" s="41">
        <f t="shared" ref="H60:H70" si="17">E60*G60</f>
        <v>54</v>
      </c>
      <c r="I60" s="25">
        <v>54</v>
      </c>
      <c r="J60" s="24">
        <f t="shared" si="2"/>
        <v>0</v>
      </c>
      <c r="K60" s="24">
        <f t="shared" ref="K60:K65" si="18">H60-I60</f>
        <v>0</v>
      </c>
      <c r="L60" s="24">
        <f t="shared" si="14"/>
        <v>0</v>
      </c>
      <c r="M60" s="168"/>
      <c r="P60" s="35"/>
    </row>
    <row r="61" spans="1:16" ht="15">
      <c r="A61" s="73" t="s">
        <v>115</v>
      </c>
      <c r="B61" s="64" t="s">
        <v>116</v>
      </c>
      <c r="C61" s="23">
        <v>89</v>
      </c>
      <c r="D61" s="23">
        <f>(1810*4)/89</f>
        <v>81.348314606741567</v>
      </c>
      <c r="E61" s="41">
        <f t="shared" si="15"/>
        <v>7239.9999999999991</v>
      </c>
      <c r="F61" s="515">
        <f t="shared" si="16"/>
        <v>7239.9999999999991</v>
      </c>
      <c r="G61" s="19">
        <v>2</v>
      </c>
      <c r="H61" s="41">
        <f t="shared" si="17"/>
        <v>14479.999999999998</v>
      </c>
      <c r="I61" s="25">
        <v>14479.999999999998</v>
      </c>
      <c r="J61" s="24">
        <f t="shared" si="2"/>
        <v>0</v>
      </c>
      <c r="K61" s="24">
        <f t="shared" si="18"/>
        <v>0</v>
      </c>
      <c r="L61" s="24">
        <f t="shared" si="14"/>
        <v>0</v>
      </c>
      <c r="M61" s="169"/>
      <c r="P61" s="35"/>
    </row>
    <row r="62" spans="1:16" ht="57">
      <c r="A62" s="191" t="s">
        <v>117</v>
      </c>
      <c r="B62" s="64" t="s">
        <v>118</v>
      </c>
      <c r="C62" s="23">
        <v>30</v>
      </c>
      <c r="D62" s="23">
        <v>1</v>
      </c>
      <c r="E62" s="41">
        <f t="shared" si="15"/>
        <v>30</v>
      </c>
      <c r="F62" s="515">
        <f t="shared" si="16"/>
        <v>30</v>
      </c>
      <c r="G62" s="19">
        <v>1.5</v>
      </c>
      <c r="H62" s="41">
        <f t="shared" si="17"/>
        <v>45</v>
      </c>
      <c r="I62" s="25">
        <v>45</v>
      </c>
      <c r="J62" s="24">
        <f t="shared" si="2"/>
        <v>0</v>
      </c>
      <c r="K62" s="24">
        <f t="shared" si="18"/>
        <v>0</v>
      </c>
      <c r="L62" s="24">
        <f t="shared" si="14"/>
        <v>0</v>
      </c>
      <c r="M62" s="168"/>
      <c r="P62" s="35"/>
    </row>
    <row r="63" spans="1:16" ht="28.5">
      <c r="A63" s="191" t="s">
        <v>119</v>
      </c>
      <c r="B63" s="64" t="s">
        <v>120</v>
      </c>
      <c r="C63" s="23">
        <f>79/5</f>
        <v>15.8</v>
      </c>
      <c r="D63" s="23">
        <v>1</v>
      </c>
      <c r="E63" s="41">
        <f t="shared" si="15"/>
        <v>15.8</v>
      </c>
      <c r="F63" s="515">
        <f t="shared" si="16"/>
        <v>15.8</v>
      </c>
      <c r="G63" s="19">
        <v>1968</v>
      </c>
      <c r="H63" s="41">
        <f t="shared" si="17"/>
        <v>31094.400000000001</v>
      </c>
      <c r="I63" s="25">
        <v>31094.400000000001</v>
      </c>
      <c r="J63" s="24">
        <f t="shared" si="2"/>
        <v>0</v>
      </c>
      <c r="K63" s="24">
        <f t="shared" si="18"/>
        <v>0</v>
      </c>
      <c r="L63" s="24">
        <f t="shared" si="14"/>
        <v>0</v>
      </c>
      <c r="M63" s="168"/>
      <c r="P63" s="35"/>
    </row>
    <row r="64" spans="1:16" ht="15">
      <c r="A64" s="191" t="s">
        <v>121</v>
      </c>
      <c r="B64" s="64" t="s">
        <v>122</v>
      </c>
      <c r="C64" s="23">
        <v>2</v>
      </c>
      <c r="D64" s="23">
        <v>1</v>
      </c>
      <c r="E64" s="41">
        <f t="shared" si="15"/>
        <v>2</v>
      </c>
      <c r="F64" s="515">
        <f t="shared" si="16"/>
        <v>2</v>
      </c>
      <c r="G64" s="19">
        <v>8</v>
      </c>
      <c r="H64" s="41">
        <f t="shared" si="17"/>
        <v>16</v>
      </c>
      <c r="I64" s="25">
        <v>16</v>
      </c>
      <c r="J64" s="24">
        <f t="shared" si="2"/>
        <v>0</v>
      </c>
      <c r="K64" s="24">
        <f t="shared" si="18"/>
        <v>0</v>
      </c>
      <c r="L64" s="24">
        <f t="shared" si="14"/>
        <v>0</v>
      </c>
      <c r="M64" s="168"/>
      <c r="P64" s="35"/>
    </row>
    <row r="65" spans="1:16" ht="28.5">
      <c r="A65" s="191" t="s">
        <v>123</v>
      </c>
      <c r="B65" s="64" t="s">
        <v>124</v>
      </c>
      <c r="C65" s="23">
        <v>2</v>
      </c>
      <c r="D65" s="23">
        <v>1</v>
      </c>
      <c r="E65" s="41">
        <f t="shared" si="15"/>
        <v>2</v>
      </c>
      <c r="F65" s="515">
        <f t="shared" si="16"/>
        <v>2</v>
      </c>
      <c r="G65" s="19">
        <v>480</v>
      </c>
      <c r="H65" s="41">
        <f t="shared" si="17"/>
        <v>960</v>
      </c>
      <c r="I65" s="25">
        <v>960</v>
      </c>
      <c r="J65" s="24">
        <f t="shared" si="2"/>
        <v>0</v>
      </c>
      <c r="K65" s="24">
        <f t="shared" si="18"/>
        <v>0</v>
      </c>
      <c r="L65" s="24">
        <f t="shared" si="14"/>
        <v>0</v>
      </c>
      <c r="M65" s="210"/>
      <c r="P65" s="35"/>
    </row>
    <row r="66" spans="1:16" ht="29.25">
      <c r="A66" s="331" t="s">
        <v>125</v>
      </c>
      <c r="B66" s="332" t="s">
        <v>126</v>
      </c>
      <c r="C66" s="433">
        <v>74</v>
      </c>
      <c r="D66" s="433">
        <v>1</v>
      </c>
      <c r="E66" s="133">
        <f t="shared" si="15"/>
        <v>74</v>
      </c>
      <c r="F66" s="515">
        <f t="shared" si="16"/>
        <v>74</v>
      </c>
      <c r="G66" s="435">
        <v>40</v>
      </c>
      <c r="H66" s="133">
        <f t="shared" si="17"/>
        <v>2960</v>
      </c>
      <c r="I66" s="333">
        <v>2960</v>
      </c>
      <c r="J66" s="329">
        <f t="shared" si="2"/>
        <v>0</v>
      </c>
      <c r="K66" s="433">
        <v>0</v>
      </c>
      <c r="L66" s="329">
        <v>0</v>
      </c>
      <c r="M66" s="407"/>
      <c r="P66" s="35"/>
    </row>
    <row r="67" spans="1:16" ht="15">
      <c r="A67" s="73" t="s">
        <v>127</v>
      </c>
      <c r="B67" s="64" t="s">
        <v>128</v>
      </c>
      <c r="C67" s="23">
        <v>89</v>
      </c>
      <c r="D67" s="23">
        <f>(10/89)</f>
        <v>0.11235955056179775</v>
      </c>
      <c r="E67" s="41">
        <f t="shared" si="15"/>
        <v>10</v>
      </c>
      <c r="F67" s="515">
        <f t="shared" si="16"/>
        <v>10</v>
      </c>
      <c r="G67" s="19">
        <v>8</v>
      </c>
      <c r="H67" s="41">
        <f t="shared" si="17"/>
        <v>80</v>
      </c>
      <c r="I67" s="25">
        <v>80</v>
      </c>
      <c r="J67" s="24">
        <f t="shared" si="2"/>
        <v>0</v>
      </c>
      <c r="K67" s="24">
        <f t="shared" ref="K67:K77" si="19">H67-I67</f>
        <v>0</v>
      </c>
      <c r="L67" s="24">
        <f t="shared" ref="L67:L77" si="20">H67-I67</f>
        <v>0</v>
      </c>
      <c r="M67" s="210"/>
      <c r="P67" s="35"/>
    </row>
    <row r="68" spans="1:16" ht="28.5">
      <c r="A68" s="73">
        <v>246.18</v>
      </c>
      <c r="B68" s="64" t="s">
        <v>129</v>
      </c>
      <c r="C68" s="23">
        <v>89</v>
      </c>
      <c r="D68" s="23">
        <f>((1048+65.78)*0.02)/89</f>
        <v>0.25028764044943819</v>
      </c>
      <c r="E68" s="41">
        <f t="shared" si="15"/>
        <v>22.275599999999997</v>
      </c>
      <c r="F68" s="515">
        <f t="shared" si="16"/>
        <v>22.275599999999997</v>
      </c>
      <c r="G68" s="19">
        <v>2</v>
      </c>
      <c r="H68" s="41">
        <f t="shared" si="17"/>
        <v>44.551199999999994</v>
      </c>
      <c r="I68" s="25">
        <v>44.551199999999994</v>
      </c>
      <c r="J68" s="24">
        <f t="shared" si="2"/>
        <v>0</v>
      </c>
      <c r="K68" s="24">
        <f t="shared" si="19"/>
        <v>0</v>
      </c>
      <c r="L68" s="24">
        <f t="shared" si="20"/>
        <v>0</v>
      </c>
      <c r="M68" s="111"/>
    </row>
    <row r="69" spans="1:16" ht="15">
      <c r="A69" s="73" t="s">
        <v>130</v>
      </c>
      <c r="B69" s="64" t="s">
        <v>131</v>
      </c>
      <c r="C69" s="23">
        <f>89*0.33</f>
        <v>29.37</v>
      </c>
      <c r="D69" s="23">
        <v>1</v>
      </c>
      <c r="E69" s="41">
        <f t="shared" si="15"/>
        <v>29.37</v>
      </c>
      <c r="F69" s="515">
        <f t="shared" si="16"/>
        <v>29.37</v>
      </c>
      <c r="G69" s="19">
        <v>30</v>
      </c>
      <c r="H69" s="41">
        <f t="shared" si="17"/>
        <v>881.1</v>
      </c>
      <c r="I69" s="25">
        <v>881.1</v>
      </c>
      <c r="J69" s="24">
        <f t="shared" si="2"/>
        <v>0</v>
      </c>
      <c r="K69" s="24">
        <f t="shared" si="19"/>
        <v>0</v>
      </c>
      <c r="L69" s="24">
        <f t="shared" si="20"/>
        <v>0</v>
      </c>
      <c r="M69" s="234"/>
    </row>
    <row r="70" spans="1:16" ht="15">
      <c r="A70" s="191" t="s">
        <v>130</v>
      </c>
      <c r="B70" s="64" t="s">
        <v>132</v>
      </c>
      <c r="C70" s="23">
        <v>17</v>
      </c>
      <c r="D70" s="23">
        <v>1</v>
      </c>
      <c r="E70" s="41">
        <f t="shared" si="15"/>
        <v>17</v>
      </c>
      <c r="F70" s="515">
        <f t="shared" si="16"/>
        <v>17</v>
      </c>
      <c r="G70" s="19">
        <v>3</v>
      </c>
      <c r="H70" s="41">
        <f t="shared" si="17"/>
        <v>51</v>
      </c>
      <c r="I70" s="25">
        <v>51</v>
      </c>
      <c r="J70" s="24">
        <f t="shared" si="2"/>
        <v>0</v>
      </c>
      <c r="K70" s="24">
        <f t="shared" si="19"/>
        <v>0</v>
      </c>
      <c r="L70" s="24">
        <f t="shared" si="20"/>
        <v>0</v>
      </c>
      <c r="M70" s="210"/>
    </row>
    <row r="71" spans="1:16" ht="15">
      <c r="A71" s="191" t="s">
        <v>133</v>
      </c>
      <c r="B71" s="64" t="s">
        <v>134</v>
      </c>
      <c r="C71" s="23">
        <v>89</v>
      </c>
      <c r="D71" s="23">
        <f>(1810/2)/89</f>
        <v>10.168539325842696</v>
      </c>
      <c r="E71" s="41">
        <f t="shared" ref="E71:E77" si="21">C71*D71</f>
        <v>904.99999999999989</v>
      </c>
      <c r="F71" s="515">
        <f t="shared" si="16"/>
        <v>904.99999999999989</v>
      </c>
      <c r="G71" s="19">
        <v>2</v>
      </c>
      <c r="H71" s="41">
        <f t="shared" ref="H71:H77" si="22">E71*G71</f>
        <v>1809.9999999999998</v>
      </c>
      <c r="I71" s="25">
        <v>1809.9999999999998</v>
      </c>
      <c r="J71" s="24">
        <f t="shared" si="2"/>
        <v>0</v>
      </c>
      <c r="K71" s="24">
        <f t="shared" si="19"/>
        <v>0</v>
      </c>
      <c r="L71" s="24">
        <f t="shared" si="20"/>
        <v>0</v>
      </c>
      <c r="M71" s="210"/>
    </row>
    <row r="72" spans="1:16" ht="15">
      <c r="A72" s="191" t="s">
        <v>135</v>
      </c>
      <c r="B72" s="64" t="s">
        <v>136</v>
      </c>
      <c r="C72" s="23">
        <v>89</v>
      </c>
      <c r="D72" s="23">
        <f>(1810/89)*0.5*0.25</f>
        <v>2.542134831460674</v>
      </c>
      <c r="E72" s="41">
        <f t="shared" si="21"/>
        <v>226.24999999999997</v>
      </c>
      <c r="F72" s="515">
        <f t="shared" si="16"/>
        <v>226.24999999999997</v>
      </c>
      <c r="G72" s="19">
        <v>2</v>
      </c>
      <c r="H72" s="41">
        <f t="shared" si="22"/>
        <v>452.49999999999994</v>
      </c>
      <c r="I72" s="25">
        <v>452.49999999999994</v>
      </c>
      <c r="J72" s="24">
        <f t="shared" ref="J72:J77" si="23">H72-I72</f>
        <v>0</v>
      </c>
      <c r="K72" s="24">
        <f t="shared" si="19"/>
        <v>0</v>
      </c>
      <c r="L72" s="24">
        <f t="shared" si="20"/>
        <v>0</v>
      </c>
      <c r="M72" s="210"/>
    </row>
    <row r="73" spans="1:16" ht="15">
      <c r="A73" s="192" t="s">
        <v>137</v>
      </c>
      <c r="B73" s="64" t="s">
        <v>138</v>
      </c>
      <c r="C73" s="23">
        <v>1</v>
      </c>
      <c r="D73" s="23">
        <v>1</v>
      </c>
      <c r="E73" s="41">
        <f t="shared" si="21"/>
        <v>1</v>
      </c>
      <c r="F73" s="515">
        <f t="shared" si="16"/>
        <v>1</v>
      </c>
      <c r="G73" s="19">
        <v>40</v>
      </c>
      <c r="H73" s="41">
        <f t="shared" si="22"/>
        <v>40</v>
      </c>
      <c r="I73" s="25">
        <v>40</v>
      </c>
      <c r="J73" s="24">
        <f t="shared" si="23"/>
        <v>0</v>
      </c>
      <c r="K73" s="24">
        <f t="shared" si="19"/>
        <v>0</v>
      </c>
      <c r="L73" s="24">
        <f t="shared" si="20"/>
        <v>0</v>
      </c>
      <c r="M73" s="210"/>
    </row>
    <row r="74" spans="1:16" ht="15">
      <c r="A74" s="327" t="s">
        <v>139</v>
      </c>
      <c r="B74" s="110" t="s">
        <v>140</v>
      </c>
      <c r="C74" s="23">
        <v>89</v>
      </c>
      <c r="D74" s="23">
        <v>1</v>
      </c>
      <c r="E74" s="41">
        <f t="shared" si="21"/>
        <v>89</v>
      </c>
      <c r="F74" s="515">
        <f t="shared" si="16"/>
        <v>89</v>
      </c>
      <c r="G74" s="19">
        <v>8</v>
      </c>
      <c r="H74" s="41">
        <f t="shared" si="22"/>
        <v>712</v>
      </c>
      <c r="I74" s="25">
        <v>712</v>
      </c>
      <c r="J74" s="24">
        <f t="shared" si="23"/>
        <v>0</v>
      </c>
      <c r="K74" s="24">
        <f t="shared" si="19"/>
        <v>0</v>
      </c>
      <c r="L74" s="24">
        <f t="shared" si="20"/>
        <v>0</v>
      </c>
      <c r="M74" s="234"/>
      <c r="N74" s="35"/>
      <c r="O74" s="35"/>
    </row>
    <row r="75" spans="1:16" ht="15">
      <c r="A75" s="191" t="s">
        <v>141</v>
      </c>
      <c r="B75" s="64" t="s">
        <v>142</v>
      </c>
      <c r="C75" s="23">
        <v>1</v>
      </c>
      <c r="D75" s="23">
        <v>1</v>
      </c>
      <c r="E75" s="41">
        <f t="shared" si="21"/>
        <v>1</v>
      </c>
      <c r="F75" s="515">
        <f t="shared" si="16"/>
        <v>1</v>
      </c>
      <c r="G75" s="19">
        <v>2</v>
      </c>
      <c r="H75" s="41">
        <f t="shared" si="22"/>
        <v>2</v>
      </c>
      <c r="I75" s="25">
        <v>2</v>
      </c>
      <c r="J75" s="24">
        <f t="shared" si="23"/>
        <v>0</v>
      </c>
      <c r="K75" s="24">
        <f t="shared" si="19"/>
        <v>0</v>
      </c>
      <c r="L75" s="24">
        <f t="shared" si="20"/>
        <v>0</v>
      </c>
      <c r="M75" s="111"/>
      <c r="N75" s="35"/>
      <c r="O75" s="35"/>
      <c r="P75" s="35"/>
    </row>
    <row r="76" spans="1:16" ht="15">
      <c r="A76" s="191" t="s">
        <v>143</v>
      </c>
      <c r="B76" s="64" t="s">
        <v>144</v>
      </c>
      <c r="C76" s="23">
        <v>1</v>
      </c>
      <c r="D76" s="23">
        <v>1</v>
      </c>
      <c r="E76" s="41">
        <f t="shared" si="21"/>
        <v>1</v>
      </c>
      <c r="F76" s="515">
        <f t="shared" si="16"/>
        <v>1</v>
      </c>
      <c r="G76" s="19">
        <v>2</v>
      </c>
      <c r="H76" s="41">
        <f t="shared" si="22"/>
        <v>2</v>
      </c>
      <c r="I76" s="25">
        <v>2</v>
      </c>
      <c r="J76" s="24">
        <f t="shared" si="23"/>
        <v>0</v>
      </c>
      <c r="K76" s="24">
        <f t="shared" si="19"/>
        <v>0</v>
      </c>
      <c r="L76" s="24">
        <f t="shared" si="20"/>
        <v>0</v>
      </c>
      <c r="M76" s="111"/>
      <c r="N76" s="35"/>
      <c r="O76" s="35"/>
    </row>
    <row r="77" spans="1:16" ht="29.25" thickBot="1">
      <c r="A77" s="115" t="s">
        <v>145</v>
      </c>
      <c r="B77" s="111" t="s">
        <v>146</v>
      </c>
      <c r="C77" s="23">
        <f>(89*0.25)</f>
        <v>22.25</v>
      </c>
      <c r="D77" s="23">
        <v>1</v>
      </c>
      <c r="E77" s="41">
        <f t="shared" si="21"/>
        <v>22.25</v>
      </c>
      <c r="F77" s="515">
        <f t="shared" si="16"/>
        <v>22.25</v>
      </c>
      <c r="G77" s="19">
        <v>0.25</v>
      </c>
      <c r="H77" s="41">
        <f t="shared" si="22"/>
        <v>5.5625</v>
      </c>
      <c r="I77" s="25">
        <v>5.5625</v>
      </c>
      <c r="J77" s="24">
        <f t="shared" si="23"/>
        <v>0</v>
      </c>
      <c r="K77" s="24">
        <f t="shared" si="19"/>
        <v>0</v>
      </c>
      <c r="L77" s="24">
        <f t="shared" si="20"/>
        <v>0</v>
      </c>
      <c r="M77" s="234"/>
      <c r="N77" s="35"/>
      <c r="O77" s="35"/>
    </row>
    <row r="78" spans="1:16" ht="15.75" thickBot="1">
      <c r="A78" s="545" t="s">
        <v>147</v>
      </c>
      <c r="B78" s="545"/>
      <c r="C78" s="212">
        <f>C5+1267</f>
        <v>1355</v>
      </c>
      <c r="D78" s="212">
        <f>E78/C78</f>
        <v>10032.844716777088</v>
      </c>
      <c r="E78" s="212">
        <f>SUM(E5:E77)</f>
        <v>13594504.591232955</v>
      </c>
      <c r="F78" s="214">
        <f>SUM(F5:F77)</f>
        <v>13664201.251232954</v>
      </c>
      <c r="G78" s="213">
        <f>H78/E78</f>
        <v>0.2812741419803525</v>
      </c>
      <c r="H78" s="212">
        <f>SUM(H5:H77)</f>
        <v>3823782.6145470119</v>
      </c>
      <c r="I78" s="214">
        <f>SUM(I5:I77)</f>
        <v>3934443.0500470125</v>
      </c>
      <c r="J78" s="213">
        <f>SUM(J5:J77)</f>
        <v>-141881.935</v>
      </c>
      <c r="K78" s="215">
        <f>SUM(K5:K77)</f>
        <v>31221.499500000002</v>
      </c>
      <c r="L78" s="216">
        <f>SUM(L5:L77)</f>
        <v>-110660.43549999999</v>
      </c>
      <c r="M78" s="176"/>
      <c r="N78" s="35"/>
      <c r="O78" s="35"/>
    </row>
    <row r="79" spans="1:16" ht="15.75" thickBot="1">
      <c r="A79" s="546" t="s">
        <v>148</v>
      </c>
      <c r="B79" s="547"/>
      <c r="C79" s="547"/>
      <c r="D79" s="547"/>
      <c r="E79" s="547"/>
      <c r="F79" s="547"/>
      <c r="G79" s="547"/>
      <c r="H79" s="547"/>
      <c r="I79" s="547"/>
      <c r="J79" s="547"/>
      <c r="K79" s="547"/>
      <c r="L79" s="547"/>
      <c r="M79" s="548"/>
      <c r="N79" s="35"/>
      <c r="O79" s="35"/>
    </row>
    <row r="80" spans="1:16" ht="15">
      <c r="A80" s="191" t="s">
        <v>32</v>
      </c>
      <c r="B80" s="104" t="s">
        <v>31</v>
      </c>
      <c r="C80" s="461">
        <v>1379126</v>
      </c>
      <c r="D80" s="105">
        <v>1</v>
      </c>
      <c r="E80" s="133">
        <v>1379126</v>
      </c>
      <c r="F80" s="107">
        <f>E80</f>
        <v>1379126</v>
      </c>
      <c r="G80" s="105">
        <v>0.46760000000000002</v>
      </c>
      <c r="H80" s="133">
        <v>644879.31760000007</v>
      </c>
      <c r="I80" s="107">
        <v>644879.31760000007</v>
      </c>
      <c r="J80" s="334">
        <f>H80-I80</f>
        <v>0</v>
      </c>
      <c r="K80" s="329">
        <v>0</v>
      </c>
      <c r="L80" s="329">
        <v>0</v>
      </c>
      <c r="M80" s="104"/>
    </row>
    <row r="81" spans="1:13" ht="15">
      <c r="A81" s="191" t="s">
        <v>32</v>
      </c>
      <c r="B81" s="104" t="s">
        <v>149</v>
      </c>
      <c r="C81" s="461">
        <v>3400090</v>
      </c>
      <c r="D81" s="105">
        <v>1</v>
      </c>
      <c r="E81" s="133">
        <v>3400090</v>
      </c>
      <c r="F81" s="107">
        <f t="shared" ref="F81:F89" si="24">E81</f>
        <v>3400090</v>
      </c>
      <c r="G81" s="105">
        <v>0.46760000000000002</v>
      </c>
      <c r="H81" s="133">
        <v>1589882.084</v>
      </c>
      <c r="I81" s="107">
        <v>1589882.084</v>
      </c>
      <c r="J81" s="334">
        <f t="shared" ref="J81:J89" si="25">H81-I81</f>
        <v>0</v>
      </c>
      <c r="K81" s="329">
        <v>0</v>
      </c>
      <c r="L81" s="329">
        <v>0</v>
      </c>
      <c r="M81" s="104"/>
    </row>
    <row r="82" spans="1:13" ht="15">
      <c r="A82" s="191" t="s">
        <v>32</v>
      </c>
      <c r="B82" s="104" t="s">
        <v>34</v>
      </c>
      <c r="C82" s="461">
        <v>1464744</v>
      </c>
      <c r="D82" s="105">
        <v>1</v>
      </c>
      <c r="E82" s="133">
        <v>1464744</v>
      </c>
      <c r="F82" s="107">
        <f t="shared" si="24"/>
        <v>1464744</v>
      </c>
      <c r="G82" s="105">
        <v>0.46760000000000002</v>
      </c>
      <c r="H82" s="133">
        <v>684914.29440000001</v>
      </c>
      <c r="I82" s="107">
        <v>684914.29440000001</v>
      </c>
      <c r="J82" s="334">
        <f t="shared" si="25"/>
        <v>0</v>
      </c>
      <c r="K82" s="329">
        <v>0</v>
      </c>
      <c r="L82" s="329">
        <v>0</v>
      </c>
      <c r="M82" s="104"/>
    </row>
    <row r="83" spans="1:13" ht="15">
      <c r="A83" s="253" t="s">
        <v>32</v>
      </c>
      <c r="B83" s="265" t="s">
        <v>35</v>
      </c>
      <c r="C83" s="461">
        <v>6243960</v>
      </c>
      <c r="D83" s="462">
        <v>1</v>
      </c>
      <c r="E83" s="133">
        <f>C83*D83</f>
        <v>6243960</v>
      </c>
      <c r="F83" s="107">
        <f t="shared" si="24"/>
        <v>6243960</v>
      </c>
      <c r="G83" s="463">
        <v>8.3500000000000005E-2</v>
      </c>
      <c r="H83" s="133">
        <f>E83*G83</f>
        <v>521370.66000000003</v>
      </c>
      <c r="I83" s="464">
        <f>$H$83</f>
        <v>521370.66000000003</v>
      </c>
      <c r="J83" s="335">
        <f>H83-I83</f>
        <v>0</v>
      </c>
      <c r="K83" s="330">
        <v>0</v>
      </c>
      <c r="L83" s="330">
        <f>H83-I83</f>
        <v>0</v>
      </c>
      <c r="M83" s="408"/>
    </row>
    <row r="84" spans="1:13" ht="28.5">
      <c r="A84" s="191">
        <v>246.7</v>
      </c>
      <c r="B84" s="64" t="s">
        <v>150</v>
      </c>
      <c r="C84" s="27">
        <v>6243960</v>
      </c>
      <c r="D84" s="23">
        <v>1</v>
      </c>
      <c r="E84" s="41">
        <f t="shared" ref="E84:E89" si="26">C84*D84</f>
        <v>6243960</v>
      </c>
      <c r="F84" s="107">
        <f t="shared" si="24"/>
        <v>6243960</v>
      </c>
      <c r="G84" s="23">
        <v>0.33400000000000002</v>
      </c>
      <c r="H84" s="41">
        <f t="shared" ref="H84:H89" si="27">E84*G84</f>
        <v>2085482.6400000001</v>
      </c>
      <c r="I84" s="25">
        <v>2085482.6400000001</v>
      </c>
      <c r="J84" s="112">
        <f t="shared" si="25"/>
        <v>0</v>
      </c>
      <c r="K84" s="24">
        <v>0</v>
      </c>
      <c r="L84" s="24">
        <f t="shared" ref="L84:L89" si="28">H84-I84</f>
        <v>0</v>
      </c>
      <c r="M84" s="159"/>
    </row>
    <row r="85" spans="1:13" ht="15">
      <c r="A85" s="191" t="s">
        <v>151</v>
      </c>
      <c r="B85" s="64" t="s">
        <v>152</v>
      </c>
      <c r="C85" s="27">
        <v>6243960</v>
      </c>
      <c r="D85" s="23">
        <v>1</v>
      </c>
      <c r="E85" s="41">
        <f t="shared" si="26"/>
        <v>6243960</v>
      </c>
      <c r="F85" s="107">
        <f t="shared" si="24"/>
        <v>6243960</v>
      </c>
      <c r="G85" s="23">
        <v>0.33400000000000002</v>
      </c>
      <c r="H85" s="41">
        <f t="shared" si="27"/>
        <v>2085482.6400000001</v>
      </c>
      <c r="I85" s="25">
        <v>2085482.6400000001</v>
      </c>
      <c r="J85" s="112">
        <f t="shared" si="25"/>
        <v>0</v>
      </c>
      <c r="K85" s="24">
        <v>0</v>
      </c>
      <c r="L85" s="24">
        <f t="shared" si="28"/>
        <v>0</v>
      </c>
      <c r="M85" s="159"/>
    </row>
    <row r="86" spans="1:13" ht="15.75" customHeight="1">
      <c r="A86" s="191">
        <v>246.9</v>
      </c>
      <c r="B86" s="64" t="s">
        <v>153</v>
      </c>
      <c r="C86" s="27">
        <f>(6243960*0.02*0.02)</f>
        <v>2497.5839999999998</v>
      </c>
      <c r="D86" s="23">
        <v>1</v>
      </c>
      <c r="E86" s="41">
        <f t="shared" si="26"/>
        <v>2497.5839999999998</v>
      </c>
      <c r="F86" s="107">
        <f t="shared" si="24"/>
        <v>2497.5839999999998</v>
      </c>
      <c r="G86" s="23">
        <v>2</v>
      </c>
      <c r="H86" s="41">
        <f t="shared" si="27"/>
        <v>4995.1679999999997</v>
      </c>
      <c r="I86" s="25">
        <v>4995.1679999999997</v>
      </c>
      <c r="J86" s="112">
        <f t="shared" si="25"/>
        <v>0</v>
      </c>
      <c r="K86" s="24">
        <v>0</v>
      </c>
      <c r="L86" s="24">
        <f t="shared" si="28"/>
        <v>0</v>
      </c>
      <c r="M86" s="159"/>
    </row>
    <row r="87" spans="1:13" ht="28.5">
      <c r="A87" s="191" t="s">
        <v>53</v>
      </c>
      <c r="B87" s="64" t="s">
        <v>54</v>
      </c>
      <c r="C87" s="27">
        <f>1464744*0.01</f>
        <v>14647.44</v>
      </c>
      <c r="D87" s="23">
        <v>1</v>
      </c>
      <c r="E87" s="41">
        <f t="shared" si="26"/>
        <v>14647.44</v>
      </c>
      <c r="F87" s="107">
        <f t="shared" si="24"/>
        <v>14647.44</v>
      </c>
      <c r="G87" s="23">
        <v>3.3399999999999999E-2</v>
      </c>
      <c r="H87" s="41">
        <f t="shared" si="27"/>
        <v>489.22449599999999</v>
      </c>
      <c r="I87" s="25">
        <v>489.22449599999999</v>
      </c>
      <c r="J87" s="112">
        <f t="shared" si="25"/>
        <v>0</v>
      </c>
      <c r="K87" s="24">
        <f>H87-I87</f>
        <v>0</v>
      </c>
      <c r="L87" s="24">
        <f t="shared" si="28"/>
        <v>0</v>
      </c>
      <c r="M87" s="64"/>
    </row>
    <row r="88" spans="1:13" ht="15">
      <c r="A88" s="191" t="s">
        <v>53</v>
      </c>
      <c r="B88" s="64" t="s">
        <v>154</v>
      </c>
      <c r="C88" s="27">
        <f>(3400090*0.01)+(6243960 *0.01)+(1379126*0.01)</f>
        <v>110231.76</v>
      </c>
      <c r="D88" s="23">
        <v>2</v>
      </c>
      <c r="E88" s="41">
        <f t="shared" si="26"/>
        <v>220463.52</v>
      </c>
      <c r="F88" s="107">
        <f t="shared" si="24"/>
        <v>220463.52</v>
      </c>
      <c r="G88" s="23">
        <v>5.0099999999999999E-2</v>
      </c>
      <c r="H88" s="41">
        <f t="shared" si="27"/>
        <v>11045.222351999999</v>
      </c>
      <c r="I88" s="113">
        <v>11045.222351999999</v>
      </c>
      <c r="J88" s="112">
        <f t="shared" si="25"/>
        <v>0</v>
      </c>
      <c r="K88" s="24">
        <f>H88-I88</f>
        <v>0</v>
      </c>
      <c r="L88" s="24">
        <f t="shared" si="28"/>
        <v>0</v>
      </c>
      <c r="M88" s="64"/>
    </row>
    <row r="89" spans="1:13" ht="15">
      <c r="A89" s="194" t="s">
        <v>155</v>
      </c>
      <c r="B89" s="111" t="s">
        <v>156</v>
      </c>
      <c r="C89" s="27">
        <v>6243960</v>
      </c>
      <c r="D89" s="23">
        <v>1</v>
      </c>
      <c r="E89" s="41">
        <f t="shared" si="26"/>
        <v>6243960</v>
      </c>
      <c r="F89" s="107">
        <f t="shared" si="24"/>
        <v>6243960</v>
      </c>
      <c r="G89" s="23">
        <v>0.25</v>
      </c>
      <c r="H89" s="41">
        <f t="shared" si="27"/>
        <v>1560990</v>
      </c>
      <c r="I89" s="113">
        <v>1560990</v>
      </c>
      <c r="J89" s="112">
        <f t="shared" si="25"/>
        <v>0</v>
      </c>
      <c r="K89" s="24">
        <v>0</v>
      </c>
      <c r="L89" s="24">
        <f t="shared" si="28"/>
        <v>0</v>
      </c>
      <c r="M89" s="64"/>
    </row>
    <row r="90" spans="1:13" ht="57">
      <c r="A90" s="237" t="s">
        <v>157</v>
      </c>
      <c r="B90" s="235" t="s">
        <v>158</v>
      </c>
      <c r="C90" s="465">
        <f>'Final Rule ICR Only'!C23</f>
        <v>304757.59090909088</v>
      </c>
      <c r="D90" s="224">
        <f>'Final Rule ICR Only'!D23</f>
        <v>2.625</v>
      </c>
      <c r="E90" s="225">
        <f>'Final Rule ICR Only'!E23</f>
        <v>799988.67613636353</v>
      </c>
      <c r="F90" s="227">
        <v>1788999.7752808989</v>
      </c>
      <c r="G90" s="229">
        <f>'Final Rule ICR Only'!F23</f>
        <v>0.5</v>
      </c>
      <c r="H90" s="225">
        <f>'Final Rule ICR Only'!G23</f>
        <v>399994.33806818177</v>
      </c>
      <c r="I90" s="227">
        <f>'Final Rule ICR Only'!H23</f>
        <v>894499.88764044945</v>
      </c>
      <c r="J90" s="224">
        <f>'Final Rule ICR Only'!I23</f>
        <v>-57142.048295454544</v>
      </c>
      <c r="K90" s="224">
        <f>'Final Rule ICR Only'!J23</f>
        <v>-437363.50127681316</v>
      </c>
      <c r="L90" s="224">
        <f>'Final Rule ICR Only'!K23</f>
        <v>-494505.54957226769</v>
      </c>
      <c r="M90" s="339" t="str">
        <f>'Final Rule ICR Only'!L23</f>
        <v>Program change: Decrease in the frequency of responses due to the final rule. Program adjustments: Decrease in the number of offline EBT State agencies and increase in the number of participants.</v>
      </c>
    </row>
    <row r="91" spans="1:13" ht="57.75" thickBot="1">
      <c r="A91" s="237" t="s">
        <v>157</v>
      </c>
      <c r="B91" s="235" t="s">
        <v>159</v>
      </c>
      <c r="C91" s="354">
        <f>'Final Rule ICR Only'!C24</f>
        <v>3047575.9090909087</v>
      </c>
      <c r="D91" s="355">
        <f>'Final Rule ICR Only'!D24</f>
        <v>0</v>
      </c>
      <c r="E91" s="225">
        <f>'Final Rule ICR Only'!E24</f>
        <v>0</v>
      </c>
      <c r="F91" s="227">
        <v>2525646.7415730339</v>
      </c>
      <c r="G91" s="229">
        <f>'Final Rule ICR Only'!F24</f>
        <v>0</v>
      </c>
      <c r="H91" s="225">
        <f>'Final Rule ICR Only'!G24</f>
        <v>0</v>
      </c>
      <c r="I91" s="356">
        <f>'Final Rule ICR Only'!H24</f>
        <v>1262823.3707865169</v>
      </c>
      <c r="J91" s="355">
        <f>'Final Rule ICR Only'!I24</f>
        <v>-1262823.3707865169</v>
      </c>
      <c r="K91" s="355">
        <f>'Final Rule ICR Only'!J24</f>
        <v>0</v>
      </c>
      <c r="L91" s="355">
        <f>'Final Rule ICR Only'!K24</f>
        <v>-1262823.3707865169</v>
      </c>
      <c r="M91" s="357" t="str">
        <f>'Final Rule ICR Only'!L24</f>
        <v>Program change: Final rule removes this requirement.</v>
      </c>
    </row>
    <row r="92" spans="1:13" ht="15.75" thickBot="1">
      <c r="A92" s="549" t="s">
        <v>160</v>
      </c>
      <c r="B92" s="549"/>
      <c r="C92" s="217">
        <f>(C90+C91)*2</f>
        <v>6704666.9999999991</v>
      </c>
      <c r="D92" s="213">
        <f>E92/C92</f>
        <v>4.8111855846287916</v>
      </c>
      <c r="E92" s="212">
        <f>SUM(E80:E91)</f>
        <v>32257397.220136363</v>
      </c>
      <c r="F92" s="214">
        <f>SUM(F80:F91)</f>
        <v>35772055.060853936</v>
      </c>
      <c r="G92" s="213">
        <f>H92/E92</f>
        <v>0.29728144287258285</v>
      </c>
      <c r="H92" s="212">
        <f>SUM(H80:H91)</f>
        <v>9589525.5889161807</v>
      </c>
      <c r="I92" s="214">
        <f>SUM(I80:I91)</f>
        <v>11346854.509274967</v>
      </c>
      <c r="J92" s="213">
        <f>SUM(J80:J91)</f>
        <v>-1319965.4190819715</v>
      </c>
      <c r="K92" s="213">
        <f>SUM(K80:K91)</f>
        <v>-437363.50127681316</v>
      </c>
      <c r="L92" s="218">
        <f>SUM(L80:L91)</f>
        <v>-1757328.9203587845</v>
      </c>
      <c r="M92" s="176"/>
    </row>
    <row r="93" spans="1:13" ht="15.75" thickBot="1">
      <c r="A93" s="546" t="s">
        <v>161</v>
      </c>
      <c r="B93" s="547"/>
      <c r="C93" s="547"/>
      <c r="D93" s="547"/>
      <c r="E93" s="547"/>
      <c r="F93" s="547"/>
      <c r="G93" s="547"/>
      <c r="H93" s="547"/>
      <c r="I93" s="547"/>
      <c r="J93" s="547"/>
      <c r="K93" s="547"/>
      <c r="L93" s="547"/>
      <c r="M93" s="548"/>
    </row>
    <row r="94" spans="1:13" ht="15">
      <c r="A94" s="193" t="s">
        <v>19</v>
      </c>
      <c r="B94" s="199" t="s">
        <v>162</v>
      </c>
      <c r="C94" s="416">
        <f>543*0.5</f>
        <v>271.5</v>
      </c>
      <c r="D94" s="416">
        <v>1</v>
      </c>
      <c r="E94" s="417">
        <f>C94*D94</f>
        <v>271.5</v>
      </c>
      <c r="F94" s="426">
        <f>E94</f>
        <v>271.5</v>
      </c>
      <c r="G94" s="418">
        <v>2</v>
      </c>
      <c r="H94" s="419">
        <f>E94*G94</f>
        <v>543</v>
      </c>
      <c r="I94" s="420">
        <v>543</v>
      </c>
      <c r="J94" s="416">
        <f>H94-I94</f>
        <v>0</v>
      </c>
      <c r="K94" s="416">
        <v>0</v>
      </c>
      <c r="L94" s="416">
        <f>H94-I94</f>
        <v>0</v>
      </c>
      <c r="M94" s="111"/>
    </row>
    <row r="95" spans="1:13" ht="15">
      <c r="A95" s="193">
        <v>246.6</v>
      </c>
      <c r="B95" s="199" t="s">
        <v>163</v>
      </c>
      <c r="C95" s="416">
        <f>1810*0.5*0.3</f>
        <v>271.5</v>
      </c>
      <c r="D95" s="416">
        <v>1</v>
      </c>
      <c r="E95" s="421">
        <f>C95*D95</f>
        <v>271.5</v>
      </c>
      <c r="F95" s="516">
        <f t="shared" ref="F95:F105" si="29">E95</f>
        <v>271.5</v>
      </c>
      <c r="G95" s="418">
        <v>1.5</v>
      </c>
      <c r="H95" s="419">
        <f>E95*G95</f>
        <v>407.25</v>
      </c>
      <c r="I95" s="420">
        <v>407.25</v>
      </c>
      <c r="J95" s="416">
        <f t="shared" ref="J95:J118" si="30">H95-I95</f>
        <v>0</v>
      </c>
      <c r="K95" s="416">
        <v>0</v>
      </c>
      <c r="L95" s="416">
        <f t="shared" ref="L95:L118" si="31">H95-I95</f>
        <v>0</v>
      </c>
      <c r="M95" s="219"/>
    </row>
    <row r="96" spans="1:13" ht="15">
      <c r="A96" s="191" t="s">
        <v>28</v>
      </c>
      <c r="B96" s="104" t="s">
        <v>29</v>
      </c>
      <c r="C96" s="416">
        <f>(1810*0.3)/6</f>
        <v>90.5</v>
      </c>
      <c r="D96" s="416">
        <v>1</v>
      </c>
      <c r="E96" s="417">
        <f>C96*D96</f>
        <v>90.5</v>
      </c>
      <c r="F96" s="516">
        <f t="shared" si="29"/>
        <v>90.5</v>
      </c>
      <c r="G96" s="418">
        <v>0.25</v>
      </c>
      <c r="H96" s="419">
        <f>E96*G96</f>
        <v>22.625</v>
      </c>
      <c r="I96" s="420">
        <v>22.625</v>
      </c>
      <c r="J96" s="416">
        <f t="shared" si="30"/>
        <v>0</v>
      </c>
      <c r="K96" s="416">
        <v>0</v>
      </c>
      <c r="L96" s="416">
        <f t="shared" si="31"/>
        <v>0</v>
      </c>
      <c r="M96" s="219"/>
    </row>
    <row r="97" spans="1:16" ht="15">
      <c r="A97" s="191" t="s">
        <v>32</v>
      </c>
      <c r="B97" s="104" t="s">
        <v>31</v>
      </c>
      <c r="C97" s="422">
        <v>543</v>
      </c>
      <c r="D97" s="422">
        <v>761.9480662983425</v>
      </c>
      <c r="E97" s="423">
        <v>413737.8</v>
      </c>
      <c r="F97" s="516">
        <f t="shared" si="29"/>
        <v>413737.8</v>
      </c>
      <c r="G97" s="424">
        <v>0.46760000000000002</v>
      </c>
      <c r="H97" s="425">
        <v>193463.79527999999</v>
      </c>
      <c r="I97" s="426">
        <v>193463.79527999999</v>
      </c>
      <c r="J97" s="422">
        <f t="shared" si="30"/>
        <v>0</v>
      </c>
      <c r="K97" s="422">
        <v>0</v>
      </c>
      <c r="L97" s="422">
        <f t="shared" si="31"/>
        <v>0</v>
      </c>
      <c r="M97" s="336"/>
    </row>
    <row r="98" spans="1:16" ht="15">
      <c r="A98" s="191" t="s">
        <v>32</v>
      </c>
      <c r="B98" s="104" t="s">
        <v>149</v>
      </c>
      <c r="C98" s="422">
        <v>543</v>
      </c>
      <c r="D98" s="422">
        <v>1878.5027624309391</v>
      </c>
      <c r="E98" s="423">
        <v>1020027</v>
      </c>
      <c r="F98" s="516">
        <f t="shared" si="29"/>
        <v>1020027</v>
      </c>
      <c r="G98" s="424">
        <v>0.46760000000000002</v>
      </c>
      <c r="H98" s="425">
        <v>476964.62520000001</v>
      </c>
      <c r="I98" s="426">
        <v>476964.62520000001</v>
      </c>
      <c r="J98" s="422">
        <f t="shared" si="30"/>
        <v>0</v>
      </c>
      <c r="K98" s="422">
        <v>0</v>
      </c>
      <c r="L98" s="422">
        <f t="shared" si="31"/>
        <v>0</v>
      </c>
      <c r="M98" s="336"/>
    </row>
    <row r="99" spans="1:16" ht="15">
      <c r="A99" s="191" t="s">
        <v>32</v>
      </c>
      <c r="B99" s="104" t="s">
        <v>34</v>
      </c>
      <c r="C99" s="422">
        <v>543</v>
      </c>
      <c r="D99" s="422">
        <v>809.25082872928181</v>
      </c>
      <c r="E99" s="423">
        <v>439423.2</v>
      </c>
      <c r="F99" s="516">
        <f t="shared" si="29"/>
        <v>439423.2</v>
      </c>
      <c r="G99" s="424">
        <v>0.46760000000000002</v>
      </c>
      <c r="H99" s="425">
        <v>205474.28832000002</v>
      </c>
      <c r="I99" s="426">
        <v>205474.28832000002</v>
      </c>
      <c r="J99" s="422">
        <f t="shared" si="30"/>
        <v>0</v>
      </c>
      <c r="K99" s="422">
        <v>0</v>
      </c>
      <c r="L99" s="422">
        <f t="shared" si="31"/>
        <v>0</v>
      </c>
      <c r="M99" s="336"/>
    </row>
    <row r="100" spans="1:16" ht="15">
      <c r="A100" s="253" t="s">
        <v>32</v>
      </c>
      <c r="B100" s="265" t="s">
        <v>35</v>
      </c>
      <c r="C100" s="427">
        <f>1810*0.3</f>
        <v>543</v>
      </c>
      <c r="D100" s="428">
        <f>(0.3*6243960)/543</f>
        <v>3449.7016574585637</v>
      </c>
      <c r="E100" s="429">
        <f t="shared" ref="E100" si="32">C100*D100</f>
        <v>1873188</v>
      </c>
      <c r="F100" s="516">
        <f t="shared" si="29"/>
        <v>1873188</v>
      </c>
      <c r="G100" s="106">
        <v>8.3500000000000005E-2</v>
      </c>
      <c r="H100" s="430">
        <f t="shared" ref="H100" si="33">E100*G100</f>
        <v>156411.198</v>
      </c>
      <c r="I100" s="431">
        <v>156411.198</v>
      </c>
      <c r="J100" s="422">
        <f t="shared" si="30"/>
        <v>0</v>
      </c>
      <c r="K100" s="427">
        <v>0</v>
      </c>
      <c r="L100" s="422">
        <f t="shared" si="31"/>
        <v>0</v>
      </c>
      <c r="M100" s="408"/>
    </row>
    <row r="101" spans="1:16" ht="15">
      <c r="A101" s="191" t="s">
        <v>38</v>
      </c>
      <c r="B101" s="104" t="s">
        <v>39</v>
      </c>
      <c r="C101" s="23">
        <f>0.3*1810</f>
        <v>543</v>
      </c>
      <c r="D101" s="23">
        <f>(0.03*6243960/543)*0.3</f>
        <v>103.49104972375689</v>
      </c>
      <c r="E101" s="41">
        <f t="shared" ref="E101:E118" si="34">C101*D101</f>
        <v>56195.639999999992</v>
      </c>
      <c r="F101" s="516">
        <f t="shared" si="29"/>
        <v>56195.639999999992</v>
      </c>
      <c r="G101" s="19">
        <v>8.3500000000000005E-2</v>
      </c>
      <c r="H101" s="220">
        <f t="shared" ref="H101:H118" si="35">E101*G101</f>
        <v>4692.3359399999999</v>
      </c>
      <c r="I101" s="113">
        <v>4692.3359399999999</v>
      </c>
      <c r="J101" s="416">
        <f t="shared" si="30"/>
        <v>0</v>
      </c>
      <c r="K101" s="24">
        <v>0</v>
      </c>
      <c r="L101" s="416">
        <f t="shared" si="31"/>
        <v>0</v>
      </c>
      <c r="M101" s="219"/>
    </row>
    <row r="102" spans="1:16" ht="15">
      <c r="A102" s="253" t="s">
        <v>51</v>
      </c>
      <c r="B102" s="265" t="s">
        <v>52</v>
      </c>
      <c r="C102" s="427">
        <f>1810*0.3</f>
        <v>543</v>
      </c>
      <c r="D102" s="105">
        <v>1</v>
      </c>
      <c r="E102" s="429">
        <f t="shared" si="34"/>
        <v>543</v>
      </c>
      <c r="F102" s="516">
        <f t="shared" si="29"/>
        <v>543</v>
      </c>
      <c r="G102" s="106">
        <v>1</v>
      </c>
      <c r="H102" s="430">
        <f t="shared" si="35"/>
        <v>543</v>
      </c>
      <c r="I102" s="431">
        <v>543</v>
      </c>
      <c r="J102" s="422">
        <f t="shared" si="30"/>
        <v>0</v>
      </c>
      <c r="K102" s="427">
        <v>0</v>
      </c>
      <c r="L102" s="422">
        <f t="shared" si="31"/>
        <v>0</v>
      </c>
      <c r="M102" s="409"/>
    </row>
    <row r="103" spans="1:16" ht="28.5">
      <c r="A103" s="191" t="s">
        <v>53</v>
      </c>
      <c r="B103" s="104" t="s">
        <v>54</v>
      </c>
      <c r="C103" s="23">
        <f>0.3*1810</f>
        <v>543</v>
      </c>
      <c r="D103" s="23">
        <f>(1464744*0.3*0.01)/543</f>
        <v>8.0925082872928176</v>
      </c>
      <c r="E103" s="41">
        <f t="shared" si="34"/>
        <v>4394.232</v>
      </c>
      <c r="F103" s="516">
        <f t="shared" si="29"/>
        <v>4394.232</v>
      </c>
      <c r="G103" s="19">
        <v>3.3399999999999999E-2</v>
      </c>
      <c r="H103" s="419">
        <f t="shared" si="35"/>
        <v>146.76734880000001</v>
      </c>
      <c r="I103" s="113">
        <v>146.76734880000001</v>
      </c>
      <c r="J103" s="416">
        <f t="shared" si="30"/>
        <v>0</v>
      </c>
      <c r="K103" s="24">
        <v>0</v>
      </c>
      <c r="L103" s="416">
        <f t="shared" si="31"/>
        <v>0</v>
      </c>
      <c r="M103" s="219"/>
    </row>
    <row r="104" spans="1:16" ht="15">
      <c r="A104" s="191" t="s">
        <v>57</v>
      </c>
      <c r="B104" s="104" t="s">
        <v>58</v>
      </c>
      <c r="C104" s="23">
        <f>0.3*1810</f>
        <v>543</v>
      </c>
      <c r="D104" s="23">
        <f>(6243960*0.3)/543</f>
        <v>3449.7016574585637</v>
      </c>
      <c r="E104" s="41">
        <f t="shared" si="34"/>
        <v>1873188</v>
      </c>
      <c r="F104" s="516">
        <f t="shared" si="29"/>
        <v>1873188</v>
      </c>
      <c r="G104" s="19">
        <v>0.25</v>
      </c>
      <c r="H104" s="220">
        <f t="shared" si="35"/>
        <v>468297</v>
      </c>
      <c r="I104" s="113">
        <v>468297</v>
      </c>
      <c r="J104" s="416">
        <f t="shared" si="30"/>
        <v>0</v>
      </c>
      <c r="K104" s="24">
        <v>0</v>
      </c>
      <c r="L104" s="416">
        <f t="shared" si="31"/>
        <v>0</v>
      </c>
      <c r="M104" s="219"/>
      <c r="P104" s="35"/>
    </row>
    <row r="105" spans="1:16" ht="15">
      <c r="A105" s="191" t="s">
        <v>59</v>
      </c>
      <c r="B105" s="104" t="s">
        <v>60</v>
      </c>
      <c r="C105" s="23">
        <f>0.3*1810</f>
        <v>543</v>
      </c>
      <c r="D105" s="23">
        <v>1</v>
      </c>
      <c r="E105" s="41">
        <f t="shared" si="34"/>
        <v>543</v>
      </c>
      <c r="F105" s="516">
        <f t="shared" si="29"/>
        <v>543</v>
      </c>
      <c r="G105" s="19">
        <v>40</v>
      </c>
      <c r="H105" s="41">
        <f t="shared" si="35"/>
        <v>21720</v>
      </c>
      <c r="I105" s="25">
        <v>21720</v>
      </c>
      <c r="J105" s="416">
        <f t="shared" si="30"/>
        <v>0</v>
      </c>
      <c r="K105" s="24">
        <v>0</v>
      </c>
      <c r="L105" s="416">
        <f t="shared" si="31"/>
        <v>0</v>
      </c>
      <c r="M105" s="219"/>
    </row>
    <row r="106" spans="1:16" ht="42.75">
      <c r="A106" s="238" t="s">
        <v>66</v>
      </c>
      <c r="B106" s="223" t="s">
        <v>164</v>
      </c>
      <c r="C106" s="224">
        <f>'Final Rule ICR Only'!C27</f>
        <v>809.74</v>
      </c>
      <c r="D106" s="224">
        <f>'Final Rule ICR Only'!D27</f>
        <v>1</v>
      </c>
      <c r="E106" s="225">
        <f>'Final Rule ICR Only'!E27</f>
        <v>809.74</v>
      </c>
      <c r="F106" s="227">
        <v>840</v>
      </c>
      <c r="G106" s="224">
        <f>'Final Rule ICR Only'!F27</f>
        <v>2</v>
      </c>
      <c r="H106" s="225">
        <f>'Final Rule ICR Only'!G27</f>
        <v>1619.48</v>
      </c>
      <c r="I106" s="227">
        <f>'Final Rule ICR Only'!H27</f>
        <v>1680</v>
      </c>
      <c r="J106" s="224">
        <f>'Final Rule ICR Only'!I27</f>
        <v>4.4000000000000004</v>
      </c>
      <c r="K106" s="224">
        <f>'Final Rule ICR Only'!J27</f>
        <v>-64.919999999999987</v>
      </c>
      <c r="L106" s="224">
        <f>'Final Rule ICR Only'!K27</f>
        <v>-60.519999999999989</v>
      </c>
      <c r="M106" s="341" t="str">
        <f>'Final Rule ICR Only'!L27</f>
        <v>Program change: Addition of internet vendors due to final rule. Program adjustment: Decrease in number of A50 vendors.</v>
      </c>
    </row>
    <row r="107" spans="1:16" ht="28.5">
      <c r="A107" s="238" t="s">
        <v>68</v>
      </c>
      <c r="B107" s="223" t="s">
        <v>69</v>
      </c>
      <c r="C107" s="224">
        <f>'Final Rule ICR Only'!C28</f>
        <v>0</v>
      </c>
      <c r="D107" s="224">
        <f>'Final Rule ICR Only'!D28</f>
        <v>0</v>
      </c>
      <c r="E107" s="225">
        <f>'Final Rule ICR Only'!E28</f>
        <v>0</v>
      </c>
      <c r="F107" s="227">
        <v>66159.39</v>
      </c>
      <c r="G107" s="224">
        <f>'Final Rule ICR Only'!F28</f>
        <v>0</v>
      </c>
      <c r="H107" s="225">
        <f>'Final Rule ICR Only'!G28</f>
        <v>0</v>
      </c>
      <c r="I107" s="227">
        <f>'Final Rule ICR Only'!H28</f>
        <v>132318.79</v>
      </c>
      <c r="J107" s="224">
        <f>'Final Rule ICR Only'!I28</f>
        <v>-132318.79</v>
      </c>
      <c r="K107" s="224">
        <f>'Final Rule ICR Only'!J28</f>
        <v>0</v>
      </c>
      <c r="L107" s="224">
        <f>'Final Rule ICR Only'!K28</f>
        <v>-132318.79</v>
      </c>
      <c r="M107" s="341" t="str">
        <f>'Final Rule ICR Only'!L28</f>
        <v>Program change: Final rule permanently removes this requirement.</v>
      </c>
    </row>
    <row r="108" spans="1:16" ht="42.75">
      <c r="A108" s="238" t="s">
        <v>73</v>
      </c>
      <c r="B108" s="223" t="s">
        <v>165</v>
      </c>
      <c r="C108" s="224">
        <f>'Final Rule ICR Only'!C29</f>
        <v>1606</v>
      </c>
      <c r="D108" s="224">
        <f>'Final Rule ICR Only'!D29</f>
        <v>1</v>
      </c>
      <c r="E108" s="225">
        <f>'Final Rule ICR Only'!E29</f>
        <v>1606</v>
      </c>
      <c r="F108" s="227">
        <v>1513</v>
      </c>
      <c r="G108" s="483">
        <f>'Final Rule ICR Only'!F29</f>
        <v>0.66800000000000004</v>
      </c>
      <c r="H108" s="225">
        <f>'Final Rule ICR Only'!G29</f>
        <v>1072.808</v>
      </c>
      <c r="I108" s="227">
        <f>'Final Rule ICR Only'!H29</f>
        <v>1010.6840000000001</v>
      </c>
      <c r="J108" s="224">
        <f>'Final Rule ICR Only'!I29</f>
        <v>73.48</v>
      </c>
      <c r="K108" s="224">
        <f>'Final Rule ICR Only'!J29</f>
        <v>-11.356000000000094</v>
      </c>
      <c r="L108" s="224">
        <f>'Final Rule ICR Only'!K29</f>
        <v>62.12399999999991</v>
      </c>
      <c r="M108" s="341" t="str">
        <f>'Final Rule ICR Only'!L29</f>
        <v xml:space="preserve">Program change: Addition of internet vendors due to final rule. Program adjustment: Decrease in number of State agencies. </v>
      </c>
    </row>
    <row r="109" spans="1:16" ht="42.75">
      <c r="A109" s="238" t="s">
        <v>78</v>
      </c>
      <c r="B109" s="223" t="s">
        <v>166</v>
      </c>
      <c r="C109" s="224">
        <f>'Final Rule ICR Only'!C30</f>
        <v>13360.710000000001</v>
      </c>
      <c r="D109" s="224">
        <f>'Final Rule ICR Only'!D30</f>
        <v>1</v>
      </c>
      <c r="E109" s="225">
        <f>'Final Rule ICR Only'!E30</f>
        <v>13360.710000000001</v>
      </c>
      <c r="F109" s="227">
        <v>12298.11</v>
      </c>
      <c r="G109" s="224">
        <f>'Final Rule ICR Only'!F30</f>
        <v>1</v>
      </c>
      <c r="H109" s="225">
        <f>'Final Rule ICR Only'!G30</f>
        <v>13360.710000000001</v>
      </c>
      <c r="I109" s="227">
        <f>'Final Rule ICR Only'!H30</f>
        <v>12298.11</v>
      </c>
      <c r="J109" s="224">
        <f>'Final Rule ICR Only'!I30</f>
        <v>36.300000000000004</v>
      </c>
      <c r="K109" s="224">
        <f>'Final Rule ICR Only'!J30</f>
        <v>1026.3000000000004</v>
      </c>
      <c r="L109" s="224">
        <f>'Final Rule ICR Only'!K30</f>
        <v>1062.6000000000004</v>
      </c>
      <c r="M109" s="341" t="str">
        <f>'Final Rule ICR Only'!L30</f>
        <v>Program change: Addition of internet vendors due to final rule. Program adjustment: Increase in number of brick-and-mortar vendors.</v>
      </c>
    </row>
    <row r="110" spans="1:16" ht="42.75">
      <c r="A110" s="237" t="s">
        <v>167</v>
      </c>
      <c r="B110" s="223" t="s">
        <v>168</v>
      </c>
      <c r="C110" s="224">
        <f>'Final Rule ICR Only'!C31</f>
        <v>40487</v>
      </c>
      <c r="D110" s="224">
        <f>'Final Rule ICR Only'!D31</f>
        <v>1</v>
      </c>
      <c r="E110" s="225">
        <f>'Final Rule ICR Only'!E31</f>
        <v>40487</v>
      </c>
      <c r="F110" s="227">
        <v>37267</v>
      </c>
      <c r="G110" s="224">
        <f>'Final Rule ICR Only'!F31</f>
        <v>1</v>
      </c>
      <c r="H110" s="225">
        <f>'Final Rule ICR Only'!G31</f>
        <v>40487</v>
      </c>
      <c r="I110" s="227">
        <f>'Final Rule ICR Only'!H31</f>
        <v>37267</v>
      </c>
      <c r="J110" s="224">
        <f>'Final Rule ICR Only'!I31</f>
        <v>110</v>
      </c>
      <c r="K110" s="224">
        <f>'Final Rule ICR Only'!J31</f>
        <v>3110</v>
      </c>
      <c r="L110" s="224">
        <f>'Final Rule ICR Only'!K31</f>
        <v>3220</v>
      </c>
      <c r="M110" s="341" t="str">
        <f>'Final Rule ICR Only'!L31</f>
        <v>Program change: Addition of internet vendors due to final rule. Program adjustment: Increase in number of brick-and-mortar vendors.</v>
      </c>
    </row>
    <row r="111" spans="1:16" s="344" customFormat="1" ht="42.75">
      <c r="A111" s="237" t="s">
        <v>169</v>
      </c>
      <c r="B111" s="223" t="s">
        <v>170</v>
      </c>
      <c r="C111" s="224">
        <f>'Final Rule ICR Only'!C32</f>
        <v>359.88444444444445</v>
      </c>
      <c r="D111" s="224">
        <f>'Final Rule ICR Only'!D32</f>
        <v>1</v>
      </c>
      <c r="E111" s="225">
        <f>'Final Rule ICR Only'!E32</f>
        <v>359.88444444444445</v>
      </c>
      <c r="F111" s="227">
        <v>340</v>
      </c>
      <c r="G111" s="224">
        <f>'Final Rule ICR Only'!F32</f>
        <v>1</v>
      </c>
      <c r="H111" s="225">
        <f>'Final Rule ICR Only'!G32</f>
        <v>359.88444444444445</v>
      </c>
      <c r="I111" s="227">
        <f>'Final Rule ICR Only'!H32</f>
        <v>340</v>
      </c>
      <c r="J111" s="224">
        <f>'Final Rule ICR Only'!I32</f>
        <v>0.97777777777777786</v>
      </c>
      <c r="K111" s="224">
        <f>'Final Rule ICR Only'!J32</f>
        <v>18.906666666666677</v>
      </c>
      <c r="L111" s="224">
        <f>'Final Rule ICR Only'!K32</f>
        <v>19.884444444444455</v>
      </c>
      <c r="M111" s="341" t="str">
        <f>'Final Rule ICR Only'!L32</f>
        <v>Program change: Addition of internet vendors due to final rule. Program adjustments: Decrease in number of A50 vendors, increase in number of brick-and-mortar vendors.</v>
      </c>
    </row>
    <row r="112" spans="1:16" ht="42.75">
      <c r="A112" s="239" t="s">
        <v>171</v>
      </c>
      <c r="B112" s="231" t="s">
        <v>82</v>
      </c>
      <c r="C112" s="224">
        <f>'Final Rule ICR Only'!C33</f>
        <v>40487</v>
      </c>
      <c r="D112" s="224">
        <f>'Final Rule ICR Only'!D33</f>
        <v>1</v>
      </c>
      <c r="E112" s="225">
        <f>'Final Rule ICR Only'!E33</f>
        <v>40487</v>
      </c>
      <c r="F112" s="227">
        <v>37267</v>
      </c>
      <c r="G112" s="224">
        <f>'Final Rule ICR Only'!F33</f>
        <v>2</v>
      </c>
      <c r="H112" s="225">
        <f>'Final Rule ICR Only'!G33</f>
        <v>80974</v>
      </c>
      <c r="I112" s="227">
        <f>'Final Rule ICR Only'!H33</f>
        <v>74534</v>
      </c>
      <c r="J112" s="224">
        <f>'Final Rule ICR Only'!I33</f>
        <v>220</v>
      </c>
      <c r="K112" s="224">
        <f>'Final Rule ICR Only'!J33</f>
        <v>6220</v>
      </c>
      <c r="L112" s="224">
        <f>'Final Rule ICR Only'!K33</f>
        <v>6440</v>
      </c>
      <c r="M112" s="341" t="str">
        <f>'Final Rule ICR Only'!L33</f>
        <v>Program change: Addition of internet vendors due to final rule. Program adjustment: Increase in number of brick-and-mortar vendors.</v>
      </c>
    </row>
    <row r="113" spans="1:16" ht="28.5">
      <c r="A113" s="194" t="s">
        <v>103</v>
      </c>
      <c r="B113" s="123" t="s">
        <v>172</v>
      </c>
      <c r="C113" s="23">
        <f>3289*0.33</f>
        <v>1085.3700000000001</v>
      </c>
      <c r="D113" s="23">
        <v>1</v>
      </c>
      <c r="E113" s="41">
        <f t="shared" si="34"/>
        <v>1085.3700000000001</v>
      </c>
      <c r="F113" s="516">
        <f t="shared" ref="F113:F119" si="36">E113</f>
        <v>1085.3700000000001</v>
      </c>
      <c r="G113" s="19">
        <v>1</v>
      </c>
      <c r="H113" s="41">
        <f t="shared" si="35"/>
        <v>1085.3700000000001</v>
      </c>
      <c r="I113" s="25">
        <v>1085.3700000000001</v>
      </c>
      <c r="J113" s="416">
        <f t="shared" si="30"/>
        <v>0</v>
      </c>
      <c r="K113" s="416">
        <v>0</v>
      </c>
      <c r="L113" s="416">
        <f t="shared" si="31"/>
        <v>0</v>
      </c>
      <c r="M113" s="341"/>
    </row>
    <row r="114" spans="1:16" ht="15">
      <c r="A114" s="194" t="s">
        <v>173</v>
      </c>
      <c r="B114" s="123" t="s">
        <v>174</v>
      </c>
      <c r="C114" s="23">
        <v>3289</v>
      </c>
      <c r="D114" s="23">
        <v>1</v>
      </c>
      <c r="E114" s="41">
        <f t="shared" si="34"/>
        <v>3289</v>
      </c>
      <c r="F114" s="516">
        <f t="shared" si="36"/>
        <v>3289</v>
      </c>
      <c r="G114" s="19">
        <v>2</v>
      </c>
      <c r="H114" s="41">
        <f t="shared" si="35"/>
        <v>6578</v>
      </c>
      <c r="I114" s="25">
        <v>6578</v>
      </c>
      <c r="J114" s="416">
        <f t="shared" si="30"/>
        <v>0</v>
      </c>
      <c r="K114" s="416">
        <v>0</v>
      </c>
      <c r="L114" s="416">
        <f t="shared" si="31"/>
        <v>0</v>
      </c>
      <c r="M114" s="342"/>
    </row>
    <row r="115" spans="1:16" ht="42.75">
      <c r="A115" s="239" t="str">
        <f>'Final Rule ICR Only'!A34</f>
        <v>246.12(bb)(1)</v>
      </c>
      <c r="B115" s="457" t="str">
        <f>'Final Rule ICR Only'!B34</f>
        <v>System updates to allow online shopping, including return of benefits</v>
      </c>
      <c r="C115" s="400">
        <f>'Final Rule ICR Only'!C34</f>
        <v>110</v>
      </c>
      <c r="D115" s="400">
        <f>'Final Rule ICR Only'!D34</f>
        <v>1</v>
      </c>
      <c r="E115" s="225">
        <f>'Final Rule ICR Only'!E34</f>
        <v>110</v>
      </c>
      <c r="F115" s="517">
        <v>0</v>
      </c>
      <c r="G115" s="400">
        <f>'Final Rule ICR Only'!F34</f>
        <v>50</v>
      </c>
      <c r="H115" s="225">
        <f>'Final Rule ICR Only'!G34</f>
        <v>5500</v>
      </c>
      <c r="I115" s="432">
        <f>'Final Rule ICR Only'!H34</f>
        <v>0</v>
      </c>
      <c r="J115" s="224">
        <f>'Final Rule ICR Only'!I34</f>
        <v>5500</v>
      </c>
      <c r="K115" s="400">
        <f>'Final Rule ICR Only'!J34</f>
        <v>0</v>
      </c>
      <c r="L115" s="224">
        <f>'Final Rule ICR Only'!K34</f>
        <v>5500</v>
      </c>
      <c r="M115" s="343" t="str">
        <f>'Final Rule ICR Only'!L34</f>
        <v>Program change: Implementation burden related to updating vendor systems due to the final rule.</v>
      </c>
    </row>
    <row r="116" spans="1:16" ht="28.5">
      <c r="A116" s="194" t="s">
        <v>119</v>
      </c>
      <c r="B116" s="123" t="s">
        <v>175</v>
      </c>
      <c r="C116" s="23">
        <v>3</v>
      </c>
      <c r="D116" s="23">
        <v>12</v>
      </c>
      <c r="E116" s="417">
        <f t="shared" si="34"/>
        <v>36</v>
      </c>
      <c r="F116" s="516">
        <f t="shared" si="36"/>
        <v>36</v>
      </c>
      <c r="G116" s="19">
        <v>4</v>
      </c>
      <c r="H116" s="419">
        <f t="shared" si="35"/>
        <v>144</v>
      </c>
      <c r="I116" s="25">
        <v>144</v>
      </c>
      <c r="J116" s="416">
        <f t="shared" si="30"/>
        <v>0</v>
      </c>
      <c r="K116" s="416">
        <v>0</v>
      </c>
      <c r="L116" s="416">
        <f t="shared" si="31"/>
        <v>0</v>
      </c>
      <c r="M116" s="111"/>
    </row>
    <row r="117" spans="1:16" ht="15">
      <c r="A117" s="194" t="s">
        <v>125</v>
      </c>
      <c r="B117" s="325" t="s">
        <v>176</v>
      </c>
      <c r="C117" s="433">
        <v>1</v>
      </c>
      <c r="D117" s="433">
        <v>1</v>
      </c>
      <c r="E117" s="434">
        <v>1</v>
      </c>
      <c r="F117" s="516">
        <f t="shared" si="36"/>
        <v>1</v>
      </c>
      <c r="G117" s="435">
        <v>4</v>
      </c>
      <c r="H117" s="434">
        <v>4</v>
      </c>
      <c r="I117" s="333">
        <v>4</v>
      </c>
      <c r="J117" s="422">
        <f t="shared" si="30"/>
        <v>0</v>
      </c>
      <c r="K117" s="433">
        <v>0</v>
      </c>
      <c r="L117" s="422">
        <f t="shared" si="31"/>
        <v>0</v>
      </c>
      <c r="M117" s="211"/>
    </row>
    <row r="118" spans="1:16" ht="15">
      <c r="A118" s="194" t="s">
        <v>177</v>
      </c>
      <c r="B118" s="123" t="s">
        <v>178</v>
      </c>
      <c r="C118" s="23">
        <f>(1048*0.02)</f>
        <v>20.96</v>
      </c>
      <c r="D118" s="23">
        <v>1</v>
      </c>
      <c r="E118" s="417">
        <f t="shared" si="34"/>
        <v>20.96</v>
      </c>
      <c r="F118" s="516">
        <f t="shared" si="36"/>
        <v>20.96</v>
      </c>
      <c r="G118" s="19">
        <v>2</v>
      </c>
      <c r="H118" s="419">
        <f t="shared" si="35"/>
        <v>41.92</v>
      </c>
      <c r="I118" s="25">
        <v>41.92</v>
      </c>
      <c r="J118" s="416">
        <f t="shared" si="30"/>
        <v>0</v>
      </c>
      <c r="K118" s="416">
        <v>0</v>
      </c>
      <c r="L118" s="416">
        <f t="shared" si="31"/>
        <v>0</v>
      </c>
      <c r="M118" s="111"/>
    </row>
    <row r="119" spans="1:16" ht="15.75" thickBot="1">
      <c r="A119" s="194" t="s">
        <v>179</v>
      </c>
      <c r="B119" s="123" t="s">
        <v>180</v>
      </c>
      <c r="C119" s="23">
        <f>3289*0.02*0.02</f>
        <v>1.3156000000000001</v>
      </c>
      <c r="D119" s="23">
        <v>1</v>
      </c>
      <c r="E119" s="417">
        <f>C119*D119</f>
        <v>1.3156000000000001</v>
      </c>
      <c r="F119" s="420">
        <f t="shared" si="36"/>
        <v>1.3156000000000001</v>
      </c>
      <c r="G119" s="19">
        <v>2</v>
      </c>
      <c r="H119" s="419">
        <f>E119*G119</f>
        <v>2.6312000000000002</v>
      </c>
      <c r="I119" s="25">
        <v>2.6312000000000002</v>
      </c>
      <c r="J119" s="416">
        <f>H119-I119</f>
        <v>0</v>
      </c>
      <c r="K119" s="416">
        <v>0</v>
      </c>
      <c r="L119" s="416">
        <f>H119-I119</f>
        <v>0</v>
      </c>
      <c r="M119" s="111"/>
    </row>
    <row r="120" spans="1:16" ht="15.75" thickBot="1">
      <c r="A120" s="550" t="s">
        <v>181</v>
      </c>
      <c r="B120" s="550"/>
      <c r="C120" s="200">
        <f>40487+543</f>
        <v>41030</v>
      </c>
      <c r="D120" s="208">
        <f>+E120/C120</f>
        <v>140.95850236520704</v>
      </c>
      <c r="E120" s="202">
        <f>SUM(E94:E119)</f>
        <v>5783527.3520444445</v>
      </c>
      <c r="F120" s="206">
        <f>SUM(F94:F119)</f>
        <v>5841991.5175999999</v>
      </c>
      <c r="G120" s="204">
        <f>+H120/E120</f>
        <v>0.29046559071591554</v>
      </c>
      <c r="H120" s="200">
        <f>SUM(H94:H119)</f>
        <v>1679915.6887332443</v>
      </c>
      <c r="I120" s="206">
        <f>SUM(I94:I119)</f>
        <v>1795990.3902888</v>
      </c>
      <c r="J120" s="204">
        <f>SUM(J94:J119)</f>
        <v>-126373.63222222225</v>
      </c>
      <c r="K120" s="201">
        <f>SUM(K94:K119)</f>
        <v>10298.930666666667</v>
      </c>
      <c r="L120" s="208">
        <f>SUM(L94:L119)</f>
        <v>-116074.70155555554</v>
      </c>
      <c r="M120" s="176"/>
    </row>
    <row r="121" spans="1:16" ht="15.75" thickBot="1">
      <c r="A121" s="550" t="s">
        <v>182</v>
      </c>
      <c r="B121" s="550"/>
      <c r="C121" s="203">
        <f>SUM(C78,C92,C120)</f>
        <v>6747051.9999999991</v>
      </c>
      <c r="D121" s="207">
        <f>E121/C121</f>
        <v>7.6530356018322925</v>
      </c>
      <c r="E121" s="203">
        <f>SUM(E78,E92,E120)</f>
        <v>51635429.163413763</v>
      </c>
      <c r="F121" s="205">
        <f>SUM(F78,F92,F120)</f>
        <v>55278247.829686888</v>
      </c>
      <c r="G121" s="34">
        <f>+H121/E121</f>
        <v>0.29230363989868274</v>
      </c>
      <c r="H121" s="203">
        <f>SUM(H78+H92+H120)</f>
        <v>15093223.892196437</v>
      </c>
      <c r="I121" s="205">
        <f>SUM(I120+I92+I78)</f>
        <v>17077287.949610781</v>
      </c>
      <c r="J121" s="13">
        <f>SUM(J78,J92,J120)</f>
        <v>-1588220.9863041937</v>
      </c>
      <c r="K121" s="203">
        <f>K120+K92+K78</f>
        <v>-395843.07111014653</v>
      </c>
      <c r="L121" s="197">
        <f>L120+L92+L78</f>
        <v>-1984064.0574143399</v>
      </c>
      <c r="M121" s="177"/>
    </row>
    <row r="122" spans="1:16" ht="15">
      <c r="A122" s="541" t="s">
        <v>183</v>
      </c>
      <c r="B122" s="551"/>
      <c r="C122" s="551"/>
      <c r="D122" s="551"/>
      <c r="E122" s="551"/>
      <c r="F122" s="551"/>
      <c r="G122" s="551"/>
      <c r="H122" s="551"/>
      <c r="I122" s="551"/>
      <c r="J122" s="551"/>
      <c r="K122" s="551"/>
      <c r="L122" s="551"/>
      <c r="M122" s="552"/>
    </row>
    <row r="123" spans="1:16" ht="15">
      <c r="A123" s="553" t="s">
        <v>15</v>
      </c>
      <c r="B123" s="554"/>
      <c r="C123" s="554"/>
      <c r="D123" s="554"/>
      <c r="E123" s="554"/>
      <c r="F123" s="554"/>
      <c r="G123" s="554"/>
      <c r="H123" s="554"/>
      <c r="I123" s="554"/>
      <c r="J123" s="554"/>
      <c r="K123" s="554"/>
      <c r="L123" s="554"/>
      <c r="M123" s="555"/>
    </row>
    <row r="124" spans="1:16" ht="15">
      <c r="A124" s="122" t="s">
        <v>184</v>
      </c>
      <c r="B124" s="111" t="s">
        <v>185</v>
      </c>
      <c r="C124" s="436">
        <v>89</v>
      </c>
      <c r="D124" s="436">
        <v>1</v>
      </c>
      <c r="E124" s="221">
        <f>C124*D124</f>
        <v>89</v>
      </c>
      <c r="F124" s="437">
        <f>E124</f>
        <v>89</v>
      </c>
      <c r="G124" s="436">
        <v>0.16700000000000001</v>
      </c>
      <c r="H124" s="221">
        <f>E124*G124</f>
        <v>14.863000000000001</v>
      </c>
      <c r="I124" s="437">
        <v>14.863000000000001</v>
      </c>
      <c r="J124" s="436">
        <f>H124-I124</f>
        <v>0</v>
      </c>
      <c r="K124" s="436">
        <f>H124-I124</f>
        <v>0</v>
      </c>
      <c r="L124" s="436">
        <f>H124-I124</f>
        <v>0</v>
      </c>
      <c r="M124" s="234"/>
      <c r="P124" s="35"/>
    </row>
    <row r="125" spans="1:16" ht="30">
      <c r="A125" s="337" t="s">
        <v>186</v>
      </c>
      <c r="B125" s="147" t="s">
        <v>187</v>
      </c>
      <c r="C125" s="438">
        <v>15</v>
      </c>
      <c r="D125" s="438">
        <v>1</v>
      </c>
      <c r="E125" s="439">
        <v>15</v>
      </c>
      <c r="F125" s="437">
        <f t="shared" ref="F125:F127" si="37">E125</f>
        <v>15</v>
      </c>
      <c r="G125" s="438">
        <v>2</v>
      </c>
      <c r="H125" s="439">
        <v>30</v>
      </c>
      <c r="I125" s="438">
        <v>30</v>
      </c>
      <c r="J125" s="440">
        <f t="shared" ref="J125:J141" si="38">H125-I125</f>
        <v>0</v>
      </c>
      <c r="K125" s="433">
        <v>0</v>
      </c>
      <c r="L125" s="440">
        <v>0</v>
      </c>
      <c r="M125" s="332"/>
    </row>
    <row r="126" spans="1:16" ht="15">
      <c r="A126" s="195" t="s">
        <v>53</v>
      </c>
      <c r="B126" s="64" t="s">
        <v>154</v>
      </c>
      <c r="C126" s="23">
        <f>1810*0.7</f>
        <v>1267</v>
      </c>
      <c r="D126" s="23">
        <f>(10000/1267)*2*0.7</f>
        <v>11.049723756906078</v>
      </c>
      <c r="E126" s="221">
        <f t="shared" ref="E126:E141" si="39">C126*D126</f>
        <v>14000</v>
      </c>
      <c r="F126" s="437">
        <f t="shared" si="37"/>
        <v>14000</v>
      </c>
      <c r="G126" s="126">
        <v>1.67E-2</v>
      </c>
      <c r="H126" s="221">
        <f t="shared" ref="H126:H141" si="40">E126*G126</f>
        <v>233.79999999999998</v>
      </c>
      <c r="I126" s="25">
        <v>233.79999999999998</v>
      </c>
      <c r="J126" s="436">
        <f t="shared" si="38"/>
        <v>0</v>
      </c>
      <c r="K126" s="436">
        <v>0</v>
      </c>
      <c r="L126" s="436">
        <f t="shared" ref="L126:L141" si="41">H126-I126</f>
        <v>0</v>
      </c>
      <c r="M126" s="159"/>
      <c r="N126" s="10" t="s">
        <v>188</v>
      </c>
    </row>
    <row r="127" spans="1:16" ht="15">
      <c r="A127" s="77" t="s">
        <v>189</v>
      </c>
      <c r="B127" s="64" t="s">
        <v>190</v>
      </c>
      <c r="C127" s="23">
        <v>89</v>
      </c>
      <c r="D127" s="23">
        <v>1</v>
      </c>
      <c r="E127" s="221">
        <f t="shared" si="39"/>
        <v>89</v>
      </c>
      <c r="F127" s="437">
        <f t="shared" si="37"/>
        <v>89</v>
      </c>
      <c r="G127" s="126">
        <v>50</v>
      </c>
      <c r="H127" s="221">
        <f t="shared" si="40"/>
        <v>4450</v>
      </c>
      <c r="I127" s="25">
        <v>4450</v>
      </c>
      <c r="J127" s="436">
        <f t="shared" si="38"/>
        <v>0</v>
      </c>
      <c r="K127" s="436">
        <f>H127-I127</f>
        <v>0</v>
      </c>
      <c r="L127" s="436">
        <f t="shared" si="41"/>
        <v>0</v>
      </c>
      <c r="M127" s="234"/>
    </row>
    <row r="128" spans="1:16" ht="42.75">
      <c r="A128" s="237" t="s">
        <v>191</v>
      </c>
      <c r="B128" s="223" t="s">
        <v>166</v>
      </c>
      <c r="C128" s="224">
        <f>'Final Rule ICR Only'!C39</f>
        <v>88</v>
      </c>
      <c r="D128" s="224">
        <f>'Final Rule ICR Only'!D39</f>
        <v>151.82625000000002</v>
      </c>
      <c r="E128" s="232">
        <f>'Final Rule ICR Only'!E39</f>
        <v>13360.710000000001</v>
      </c>
      <c r="F128" s="518">
        <v>12298.11</v>
      </c>
      <c r="G128" s="224">
        <f>'Final Rule ICR Only'!F39</f>
        <v>1</v>
      </c>
      <c r="H128" s="232">
        <f>'Final Rule ICR Only'!G39</f>
        <v>13360.710000000001</v>
      </c>
      <c r="I128" s="227">
        <f>'Final Rule ICR Only'!H39</f>
        <v>12298.11</v>
      </c>
      <c r="J128" s="224">
        <f>'Final Rule ICR Only'!I39</f>
        <v>36.300000000000004</v>
      </c>
      <c r="K128" s="224">
        <f>'Final Rule ICR Only'!J39</f>
        <v>1026.3000000000004</v>
      </c>
      <c r="L128" s="224">
        <f>'Final Rule ICR Only'!K39</f>
        <v>1062.6000000000004</v>
      </c>
      <c r="M128" s="345" t="str">
        <f>'Final Rule ICR Only'!L39</f>
        <v>Program change: Addition of internet vendors due to final rule. Program adjustments: Increase in number of vendors, decrease in number of State agencies.</v>
      </c>
    </row>
    <row r="129" spans="1:13" ht="42.75">
      <c r="A129" s="237" t="s">
        <v>169</v>
      </c>
      <c r="B129" s="223" t="s">
        <v>170</v>
      </c>
      <c r="C129" s="224">
        <f>'Final Rule ICR Only'!C40</f>
        <v>4</v>
      </c>
      <c r="D129" s="224">
        <f>'Final Rule ICR Only'!D40</f>
        <v>89.971111111111114</v>
      </c>
      <c r="E129" s="232">
        <f>'Final Rule ICR Only'!E40</f>
        <v>359.88444444444445</v>
      </c>
      <c r="F129" s="518">
        <v>389.2</v>
      </c>
      <c r="G129" s="224">
        <f>'Final Rule ICR Only'!F40</f>
        <v>1</v>
      </c>
      <c r="H129" s="232">
        <f>'Final Rule ICR Only'!G40</f>
        <v>359.88444444444445</v>
      </c>
      <c r="I129" s="227">
        <f>'Final Rule ICR Only'!H40</f>
        <v>389.20000000000005</v>
      </c>
      <c r="J129" s="224">
        <f>'Final Rule ICR Only'!I40</f>
        <v>0.97777777777777786</v>
      </c>
      <c r="K129" s="224">
        <f>'Final Rule ICR Only'!J40</f>
        <v>-30.293333333333369</v>
      </c>
      <c r="L129" s="224">
        <f>'Final Rule ICR Only'!K40</f>
        <v>-29.315555555555591</v>
      </c>
      <c r="M129" s="345" t="str">
        <f>'Final Rule ICR Only'!L40</f>
        <v>Program change: Addition of internet vendors due to final rule. Program adjustment: More accurate reporting of number of A50 vendors.</v>
      </c>
    </row>
    <row r="130" spans="1:13" ht="15">
      <c r="A130" s="73" t="s">
        <v>192</v>
      </c>
      <c r="B130" s="64" t="s">
        <v>193</v>
      </c>
      <c r="C130" s="23">
        <v>89</v>
      </c>
      <c r="D130" s="23">
        <v>1</v>
      </c>
      <c r="E130" s="441">
        <f t="shared" si="39"/>
        <v>89</v>
      </c>
      <c r="F130" s="132">
        <f t="shared" ref="F130" si="42">E130</f>
        <v>89</v>
      </c>
      <c r="G130" s="126">
        <v>2</v>
      </c>
      <c r="H130" s="441">
        <f t="shared" si="40"/>
        <v>178</v>
      </c>
      <c r="I130" s="25">
        <v>178</v>
      </c>
      <c r="J130" s="436">
        <f t="shared" si="38"/>
        <v>0</v>
      </c>
      <c r="K130" s="436">
        <f>H130-I130</f>
        <v>0</v>
      </c>
      <c r="L130" s="436">
        <f t="shared" si="41"/>
        <v>0</v>
      </c>
      <c r="M130" s="346"/>
    </row>
    <row r="131" spans="1:13" ht="42.75">
      <c r="A131" s="238" t="s">
        <v>194</v>
      </c>
      <c r="B131" s="223" t="s">
        <v>195</v>
      </c>
      <c r="C131" s="224">
        <f>'Final Rule ICR Only'!C41</f>
        <v>88</v>
      </c>
      <c r="D131" s="224">
        <f>'Final Rule ICR Only'!D41</f>
        <v>23.003977272727273</v>
      </c>
      <c r="E131" s="442">
        <f>'Final Rule ICR Only'!E41</f>
        <v>2024.35</v>
      </c>
      <c r="F131" s="519">
        <v>1863.35</v>
      </c>
      <c r="G131" s="224">
        <f>'Final Rule ICR Only'!F41</f>
        <v>0.5</v>
      </c>
      <c r="H131" s="442">
        <f>'Final Rule ICR Only'!G41</f>
        <v>1012.175</v>
      </c>
      <c r="I131" s="227">
        <f>'Final Rule ICR Only'!H41</f>
        <v>931.68</v>
      </c>
      <c r="J131" s="224">
        <f>'Final Rule ICR Only'!I41</f>
        <v>2.75</v>
      </c>
      <c r="K131" s="224">
        <f>'Final Rule ICR Only'!J41</f>
        <v>77.745000000000005</v>
      </c>
      <c r="L131" s="224">
        <f>'Final Rule ICR Only'!K41</f>
        <v>80.495000000000005</v>
      </c>
      <c r="M131" s="345" t="str">
        <f>'Final Rule ICR Only'!L41</f>
        <v>Program change: Addition of internet vendors due to final rule. Program adjustment: Increase in number of brick-and-mortar vendors.</v>
      </c>
    </row>
    <row r="132" spans="1:13" ht="42.75">
      <c r="A132" s="238" t="s">
        <v>196</v>
      </c>
      <c r="B132" s="223" t="s">
        <v>197</v>
      </c>
      <c r="C132" s="224">
        <f>'Final Rule ICR Only'!C42</f>
        <v>88</v>
      </c>
      <c r="D132" s="224">
        <f>'Final Rule ICR Only'!D42</f>
        <v>23.003977272727273</v>
      </c>
      <c r="E132" s="442">
        <f>'Final Rule ICR Only'!E42</f>
        <v>2024.35</v>
      </c>
      <c r="F132" s="519">
        <v>1863.35</v>
      </c>
      <c r="G132" s="224">
        <f>'Final Rule ICR Only'!F42</f>
        <v>2</v>
      </c>
      <c r="H132" s="442">
        <f>'Final Rule ICR Only'!G42</f>
        <v>4048.7</v>
      </c>
      <c r="I132" s="227">
        <f>'Final Rule ICR Only'!H42</f>
        <v>3726.7</v>
      </c>
      <c r="J132" s="224">
        <f>'Final Rule ICR Only'!I42</f>
        <v>11</v>
      </c>
      <c r="K132" s="224">
        <f>'Final Rule ICR Only'!J42</f>
        <v>311</v>
      </c>
      <c r="L132" s="224">
        <f>'Final Rule ICR Only'!K42</f>
        <v>322</v>
      </c>
      <c r="M132" s="345" t="str">
        <f>'Final Rule ICR Only'!L42</f>
        <v>Program change: Addition of internet vendors due to final rule. Program adjustment: Increase in number of brick-and-mortar vendors.</v>
      </c>
    </row>
    <row r="133" spans="1:13" ht="42.75">
      <c r="A133" s="238" t="s">
        <v>91</v>
      </c>
      <c r="B133" s="223" t="s">
        <v>198</v>
      </c>
      <c r="C133" s="224">
        <f>'Final Rule ICR Only'!C43</f>
        <v>88</v>
      </c>
      <c r="D133" s="224">
        <f>'Final Rule ICR Only'!D43</f>
        <v>12.882227272727272</v>
      </c>
      <c r="E133" s="442">
        <f>'Final Rule ICR Only'!E43</f>
        <v>1133.636</v>
      </c>
      <c r="F133" s="519">
        <v>1048</v>
      </c>
      <c r="G133" s="224">
        <f>'Final Rule ICR Only'!F43</f>
        <v>1</v>
      </c>
      <c r="H133" s="442">
        <f>'Final Rule ICR Only'!G43</f>
        <v>1133.636</v>
      </c>
      <c r="I133" s="227">
        <f>'Final Rule ICR Only'!H43</f>
        <v>1048</v>
      </c>
      <c r="J133" s="224">
        <f>'Final Rule ICR Only'!I43</f>
        <v>3.08</v>
      </c>
      <c r="K133" s="224">
        <f>'Final Rule ICR Only'!J43</f>
        <v>82.555999999999969</v>
      </c>
      <c r="L133" s="224">
        <f>'Final Rule ICR Only'!K43</f>
        <v>85.635999999999967</v>
      </c>
      <c r="M133" s="345" t="str">
        <f>'Final Rule ICR Only'!L43</f>
        <v>Program change: Addition of internet vendors due to final rule. Program adjustment: Increase in number of brick-and-mortar vendors.</v>
      </c>
    </row>
    <row r="134" spans="1:13" ht="15">
      <c r="A134" s="196" t="s">
        <v>199</v>
      </c>
      <c r="B134" s="128" t="s">
        <v>94</v>
      </c>
      <c r="C134" s="129">
        <v>1</v>
      </c>
      <c r="D134" s="129">
        <v>1</v>
      </c>
      <c r="E134" s="220">
        <f t="shared" si="39"/>
        <v>1</v>
      </c>
      <c r="F134" s="132">
        <f t="shared" ref="F134:F141" si="43">E134</f>
        <v>1</v>
      </c>
      <c r="G134" s="129">
        <v>0.20039999999999999</v>
      </c>
      <c r="H134" s="220">
        <f t="shared" si="40"/>
        <v>0.20039999999999999</v>
      </c>
      <c r="I134" s="130">
        <v>0.20039999999999999</v>
      </c>
      <c r="J134" s="436">
        <f t="shared" si="38"/>
        <v>0</v>
      </c>
      <c r="K134" s="436">
        <v>0</v>
      </c>
      <c r="L134" s="436">
        <f t="shared" si="41"/>
        <v>0</v>
      </c>
      <c r="M134" s="347"/>
    </row>
    <row r="135" spans="1:13" ht="15">
      <c r="A135" s="73" t="s">
        <v>200</v>
      </c>
      <c r="B135" s="64" t="s">
        <v>134</v>
      </c>
      <c r="C135" s="23">
        <v>89</v>
      </c>
      <c r="D135" s="23">
        <f>(1810/89)</f>
        <v>20.337078651685392</v>
      </c>
      <c r="E135" s="441">
        <f t="shared" si="39"/>
        <v>1809.9999999999998</v>
      </c>
      <c r="F135" s="132">
        <f t="shared" si="43"/>
        <v>1809.9999999999998</v>
      </c>
      <c r="G135" s="126">
        <v>0.5</v>
      </c>
      <c r="H135" s="441">
        <f t="shared" si="40"/>
        <v>904.99999999999989</v>
      </c>
      <c r="I135" s="25">
        <v>904.99999999999989</v>
      </c>
      <c r="J135" s="436">
        <f t="shared" si="38"/>
        <v>0</v>
      </c>
      <c r="K135" s="436">
        <v>0</v>
      </c>
      <c r="L135" s="436">
        <f t="shared" si="41"/>
        <v>0</v>
      </c>
      <c r="M135" s="180"/>
    </row>
    <row r="136" spans="1:13" ht="15">
      <c r="A136" s="73" t="s">
        <v>139</v>
      </c>
      <c r="B136" s="64" t="s">
        <v>201</v>
      </c>
      <c r="C136" s="23">
        <v>89</v>
      </c>
      <c r="D136" s="23">
        <v>1</v>
      </c>
      <c r="E136" s="441">
        <f t="shared" si="39"/>
        <v>89</v>
      </c>
      <c r="F136" s="132">
        <f t="shared" si="43"/>
        <v>89</v>
      </c>
      <c r="G136" s="126">
        <v>0.16700000000000001</v>
      </c>
      <c r="H136" s="441">
        <f t="shared" si="40"/>
        <v>14.863000000000001</v>
      </c>
      <c r="I136" s="25">
        <v>14.863000000000001</v>
      </c>
      <c r="J136" s="436">
        <f t="shared" si="38"/>
        <v>0</v>
      </c>
      <c r="K136" s="436">
        <f>H136-I136</f>
        <v>0</v>
      </c>
      <c r="L136" s="436">
        <f t="shared" si="41"/>
        <v>0</v>
      </c>
      <c r="M136" s="234"/>
    </row>
    <row r="137" spans="1:13" ht="15">
      <c r="A137" s="73" t="s">
        <v>202</v>
      </c>
      <c r="B137" s="64" t="s">
        <v>203</v>
      </c>
      <c r="C137" s="23">
        <v>89</v>
      </c>
      <c r="D137" s="23">
        <v>1</v>
      </c>
      <c r="E137" s="441">
        <f t="shared" si="39"/>
        <v>89</v>
      </c>
      <c r="F137" s="132">
        <f t="shared" si="43"/>
        <v>89</v>
      </c>
      <c r="G137" s="126">
        <v>5</v>
      </c>
      <c r="H137" s="441">
        <f t="shared" si="40"/>
        <v>445</v>
      </c>
      <c r="I137" s="25">
        <v>445</v>
      </c>
      <c r="J137" s="436">
        <f t="shared" si="38"/>
        <v>0</v>
      </c>
      <c r="K137" s="436">
        <f>H137-I137</f>
        <v>0</v>
      </c>
      <c r="L137" s="436">
        <f t="shared" si="41"/>
        <v>0</v>
      </c>
      <c r="M137" s="234"/>
    </row>
    <row r="138" spans="1:13" ht="15">
      <c r="A138" s="191" t="s">
        <v>204</v>
      </c>
      <c r="B138" s="64" t="s">
        <v>205</v>
      </c>
      <c r="C138" s="23">
        <f>89+1267</f>
        <v>1356</v>
      </c>
      <c r="D138" s="23">
        <v>12</v>
      </c>
      <c r="E138" s="441">
        <f t="shared" si="39"/>
        <v>16272</v>
      </c>
      <c r="F138" s="132">
        <f t="shared" si="43"/>
        <v>16272</v>
      </c>
      <c r="G138" s="126">
        <v>2</v>
      </c>
      <c r="H138" s="441">
        <f t="shared" si="40"/>
        <v>32544</v>
      </c>
      <c r="I138" s="25">
        <v>32544</v>
      </c>
      <c r="J138" s="436">
        <f t="shared" si="38"/>
        <v>0</v>
      </c>
      <c r="K138" s="436">
        <f>H138-I138</f>
        <v>0</v>
      </c>
      <c r="L138" s="436">
        <f t="shared" si="41"/>
        <v>0</v>
      </c>
      <c r="M138" s="234"/>
    </row>
    <row r="139" spans="1:13" ht="28.5">
      <c r="A139" s="191" t="s">
        <v>204</v>
      </c>
      <c r="B139" s="64" t="s">
        <v>206</v>
      </c>
      <c r="C139" s="23">
        <f>1810*0.7</f>
        <v>1267</v>
      </c>
      <c r="D139" s="23">
        <f>((6243960)/1267)*2*0.7</f>
        <v>6899.4033149171264</v>
      </c>
      <c r="E139" s="441">
        <f t="shared" si="39"/>
        <v>8741544</v>
      </c>
      <c r="F139" s="132">
        <f t="shared" si="43"/>
        <v>8741544</v>
      </c>
      <c r="G139" s="126">
        <v>1.67E-2</v>
      </c>
      <c r="H139" s="441">
        <f t="shared" si="40"/>
        <v>145983.78479999999</v>
      </c>
      <c r="I139" s="25">
        <v>145983.78479999999</v>
      </c>
      <c r="J139" s="436">
        <f t="shared" si="38"/>
        <v>0</v>
      </c>
      <c r="K139" s="436">
        <v>0</v>
      </c>
      <c r="L139" s="436">
        <f t="shared" si="41"/>
        <v>0</v>
      </c>
      <c r="M139" s="180"/>
    </row>
    <row r="140" spans="1:13" ht="16.5" customHeight="1">
      <c r="A140" s="73" t="s">
        <v>204</v>
      </c>
      <c r="B140" s="64" t="s">
        <v>207</v>
      </c>
      <c r="C140" s="23">
        <f>89+1267</f>
        <v>1356</v>
      </c>
      <c r="D140" s="23">
        <v>1</v>
      </c>
      <c r="E140" s="441">
        <f t="shared" si="39"/>
        <v>1356</v>
      </c>
      <c r="F140" s="132">
        <f t="shared" si="43"/>
        <v>1356</v>
      </c>
      <c r="G140" s="126">
        <v>0.25</v>
      </c>
      <c r="H140" s="441">
        <f t="shared" si="40"/>
        <v>339</v>
      </c>
      <c r="I140" s="25">
        <v>339</v>
      </c>
      <c r="J140" s="436">
        <f t="shared" si="38"/>
        <v>0</v>
      </c>
      <c r="K140" s="436">
        <f>H140-I140</f>
        <v>0</v>
      </c>
      <c r="L140" s="436">
        <f t="shared" si="41"/>
        <v>0</v>
      </c>
      <c r="M140" s="234"/>
    </row>
    <row r="141" spans="1:13" ht="29.25" thickBot="1">
      <c r="A141" s="194" t="s">
        <v>145</v>
      </c>
      <c r="B141" s="111" t="s">
        <v>146</v>
      </c>
      <c r="C141" s="27">
        <v>76</v>
      </c>
      <c r="D141" s="23">
        <v>1</v>
      </c>
      <c r="E141" s="441">
        <f t="shared" si="39"/>
        <v>76</v>
      </c>
      <c r="F141" s="132">
        <f t="shared" si="43"/>
        <v>76</v>
      </c>
      <c r="G141" s="126">
        <v>0.16700000000000001</v>
      </c>
      <c r="H141" s="441">
        <f t="shared" si="40"/>
        <v>12.692</v>
      </c>
      <c r="I141" s="132">
        <v>12.692</v>
      </c>
      <c r="J141" s="436">
        <f t="shared" si="38"/>
        <v>0</v>
      </c>
      <c r="K141" s="436">
        <v>0</v>
      </c>
      <c r="L141" s="436">
        <f t="shared" si="41"/>
        <v>0</v>
      </c>
      <c r="M141" s="180"/>
    </row>
    <row r="142" spans="1:13" ht="14.25" customHeight="1" thickBot="1">
      <c r="A142" s="538" t="s">
        <v>208</v>
      </c>
      <c r="B142" s="538"/>
      <c r="C142" s="13">
        <f>88+C126</f>
        <v>1355</v>
      </c>
      <c r="D142" s="33">
        <f>+E142/C142</f>
        <v>6490.3482881508808</v>
      </c>
      <c r="E142" s="13">
        <f>SUM(E124:E141)</f>
        <v>8794421.9304444436</v>
      </c>
      <c r="F142" s="14">
        <f>SUM(F124:F141)</f>
        <v>8792981.0099999998</v>
      </c>
      <c r="G142" s="33">
        <f>+H142/E142</f>
        <v>2.331777008953231E-2</v>
      </c>
      <c r="H142" s="13">
        <f>SUM(H124:H141)</f>
        <v>205066.30864444445</v>
      </c>
      <c r="I142" s="14">
        <f>SUM(I124:I141)</f>
        <v>203544.89320000002</v>
      </c>
      <c r="J142" s="34">
        <f>SUM(J124:J141)</f>
        <v>54.107777777777784</v>
      </c>
      <c r="K142" s="13">
        <f>SUM(K124:K141)</f>
        <v>1467.307666666667</v>
      </c>
      <c r="L142" s="34">
        <f>SUM(L124:L141)</f>
        <v>1521.4154444444448</v>
      </c>
      <c r="M142" s="185"/>
    </row>
    <row r="143" spans="1:13" ht="29.25" customHeight="1" thickBot="1">
      <c r="A143" s="575" t="s">
        <v>161</v>
      </c>
      <c r="B143" s="576"/>
      <c r="C143" s="576"/>
      <c r="D143" s="576"/>
      <c r="E143" s="576"/>
      <c r="F143" s="576"/>
      <c r="G143" s="576"/>
      <c r="H143" s="576"/>
      <c r="I143" s="576"/>
      <c r="J143" s="576"/>
      <c r="K143" s="576"/>
      <c r="L143" s="576"/>
      <c r="M143" s="577"/>
    </row>
    <row r="144" spans="1:13" ht="23.25" customHeight="1">
      <c r="A144" s="458" t="s">
        <v>53</v>
      </c>
      <c r="B144" s="159" t="s">
        <v>154</v>
      </c>
      <c r="C144" s="23">
        <f>0.3*1810</f>
        <v>543</v>
      </c>
      <c r="D144" s="23">
        <f>(10000/543)*2*0.3</f>
        <v>11.049723756906078</v>
      </c>
      <c r="E144" s="221">
        <f t="shared" ref="E144:E148" si="44">C144*D144</f>
        <v>6000</v>
      </c>
      <c r="F144" s="437">
        <f t="shared" ref="F144:F148" si="45">E144</f>
        <v>6000</v>
      </c>
      <c r="G144" s="126">
        <v>1.67E-2</v>
      </c>
      <c r="H144" s="221">
        <f t="shared" ref="H144:H148" si="46">E144*G144</f>
        <v>100.2</v>
      </c>
      <c r="I144" s="25">
        <v>100.2</v>
      </c>
      <c r="J144" s="209">
        <f>H144-I144</f>
        <v>0</v>
      </c>
      <c r="K144" s="399">
        <v>0</v>
      </c>
      <c r="L144" s="209">
        <f>H144-I144</f>
        <v>0</v>
      </c>
      <c r="M144" s="178"/>
    </row>
    <row r="145" spans="1:13" ht="42.75">
      <c r="A145" s="459" t="s">
        <v>209</v>
      </c>
      <c r="B145" s="340" t="s">
        <v>210</v>
      </c>
      <c r="C145" s="224">
        <f>'Final Rule ICR Only'!C46</f>
        <v>40487</v>
      </c>
      <c r="D145" s="224">
        <f>'Final Rule ICR Only'!D46</f>
        <v>1</v>
      </c>
      <c r="E145" s="232">
        <f>'Final Rule ICR Only'!E46</f>
        <v>40487</v>
      </c>
      <c r="F145" s="518">
        <v>37267</v>
      </c>
      <c r="G145" s="224">
        <f>'Final Rule ICR Only'!F46</f>
        <v>0.16700000000000001</v>
      </c>
      <c r="H145" s="232">
        <f>'Final Rule ICR Only'!G46</f>
        <v>6761.3290000000006</v>
      </c>
      <c r="I145" s="227">
        <f>'Final Rule ICR Only'!H46</f>
        <v>6223.59</v>
      </c>
      <c r="J145" s="224">
        <f>'Final Rule ICR Only'!I46</f>
        <v>18.37</v>
      </c>
      <c r="K145" s="224">
        <f>'Final Rule ICR Only'!J46</f>
        <v>519.36900000000048</v>
      </c>
      <c r="L145" s="224">
        <f>'Final Rule ICR Only'!K46</f>
        <v>537.73900000000049</v>
      </c>
      <c r="M145" s="345" t="str">
        <f>'Final Rule ICR Only'!L46</f>
        <v>Program change: Addition of internet vendors due to final rule. Program adjustment: Increase in number of brick-and-mortar vendors.</v>
      </c>
    </row>
    <row r="146" spans="1:13" ht="14.25" customHeight="1">
      <c r="A146" s="460" t="s">
        <v>204</v>
      </c>
      <c r="B146" s="159" t="s">
        <v>205</v>
      </c>
      <c r="C146" s="23">
        <f>1810*0.3</f>
        <v>543</v>
      </c>
      <c r="D146" s="23">
        <v>12</v>
      </c>
      <c r="E146" s="221">
        <f t="shared" si="44"/>
        <v>6516</v>
      </c>
      <c r="F146" s="437">
        <f t="shared" si="45"/>
        <v>6516</v>
      </c>
      <c r="G146" s="126">
        <v>2</v>
      </c>
      <c r="H146" s="221">
        <f t="shared" si="46"/>
        <v>13032</v>
      </c>
      <c r="I146" s="25">
        <v>13032</v>
      </c>
      <c r="J146" s="209">
        <f>H146-I146</f>
        <v>0</v>
      </c>
      <c r="K146" s="399">
        <v>0</v>
      </c>
      <c r="L146" s="209">
        <f>H146-I146</f>
        <v>0</v>
      </c>
      <c r="M146" s="178"/>
    </row>
    <row r="147" spans="1:13" ht="28.5">
      <c r="A147" s="460" t="s">
        <v>204</v>
      </c>
      <c r="B147" s="159" t="s">
        <v>206</v>
      </c>
      <c r="C147" s="23">
        <f>1810*0.3</f>
        <v>543</v>
      </c>
      <c r="D147" s="23">
        <f>((6243960)/543)*2*0.3</f>
        <v>6899.4033149171273</v>
      </c>
      <c r="E147" s="221">
        <f t="shared" si="44"/>
        <v>3746376</v>
      </c>
      <c r="F147" s="437">
        <f t="shared" si="45"/>
        <v>3746376</v>
      </c>
      <c r="G147" s="126">
        <v>1.67E-2</v>
      </c>
      <c r="H147" s="221">
        <f t="shared" si="46"/>
        <v>62564.479200000002</v>
      </c>
      <c r="I147" s="25">
        <v>62564.479200000002</v>
      </c>
      <c r="J147" s="209">
        <f>H147-I147</f>
        <v>0</v>
      </c>
      <c r="K147" s="399">
        <v>0</v>
      </c>
      <c r="L147" s="209">
        <f>H147-I147</f>
        <v>0</v>
      </c>
      <c r="M147" s="178"/>
    </row>
    <row r="148" spans="1:13" ht="15" customHeight="1" thickBot="1">
      <c r="A148" s="460" t="s">
        <v>204</v>
      </c>
      <c r="B148" s="159" t="s">
        <v>207</v>
      </c>
      <c r="C148" s="23">
        <f>1810*0.3</f>
        <v>543</v>
      </c>
      <c r="D148" s="23">
        <v>1</v>
      </c>
      <c r="E148" s="221">
        <f t="shared" si="44"/>
        <v>543</v>
      </c>
      <c r="F148" s="437">
        <f t="shared" si="45"/>
        <v>543</v>
      </c>
      <c r="G148" s="126">
        <v>0.25</v>
      </c>
      <c r="H148" s="221">
        <f t="shared" si="46"/>
        <v>135.75</v>
      </c>
      <c r="I148" s="25">
        <v>135.75</v>
      </c>
      <c r="J148" s="209">
        <f>H148-I148</f>
        <v>0</v>
      </c>
      <c r="K148" s="399">
        <v>0</v>
      </c>
      <c r="L148" s="209">
        <f>H148-I148</f>
        <v>0</v>
      </c>
      <c r="M148" s="178"/>
    </row>
    <row r="149" spans="1:13" ht="17.25" customHeight="1" thickBot="1">
      <c r="A149" s="538" t="s">
        <v>211</v>
      </c>
      <c r="B149" s="538"/>
      <c r="C149" s="13">
        <f>C145+543</f>
        <v>41030</v>
      </c>
      <c r="D149" s="33">
        <f>E149/C149</f>
        <v>92.613258591274672</v>
      </c>
      <c r="E149" s="13">
        <f>SUM(E144:E148)</f>
        <v>3799922</v>
      </c>
      <c r="F149" s="14">
        <f>SUM(F144:F148)</f>
        <v>3796702</v>
      </c>
      <c r="G149" s="33">
        <f>H149/E149</f>
        <v>2.1735645679042889E-2</v>
      </c>
      <c r="H149" s="13">
        <f>SUM(H144:H148)</f>
        <v>82593.758200000011</v>
      </c>
      <c r="I149" s="14">
        <f>SUM(I144:I148)</f>
        <v>82056.01920000001</v>
      </c>
      <c r="J149" s="34">
        <f>SUM(J144:J148)</f>
        <v>18.37</v>
      </c>
      <c r="K149" s="13">
        <f>SUM(K144:K148)</f>
        <v>519.36900000000048</v>
      </c>
      <c r="L149" s="34">
        <f>SUM(L144:L148)</f>
        <v>537.73900000000049</v>
      </c>
      <c r="M149" s="185"/>
    </row>
    <row r="150" spans="1:13" ht="17.25" customHeight="1" thickBot="1">
      <c r="A150" s="550" t="s">
        <v>212</v>
      </c>
      <c r="B150" s="560"/>
      <c r="C150" s="13">
        <f>C149+C142</f>
        <v>42385</v>
      </c>
      <c r="D150" s="33">
        <f>+E150/C150</f>
        <v>297.14153427968489</v>
      </c>
      <c r="E150" s="13">
        <f>E149+E142</f>
        <v>12594343.930444444</v>
      </c>
      <c r="F150" s="14">
        <f>F149+F142</f>
        <v>12589683.01</v>
      </c>
      <c r="G150" s="33">
        <f>H150/E150</f>
        <v>2.284041697075468E-2</v>
      </c>
      <c r="H150" s="13">
        <f>H149+H142</f>
        <v>287660.06684444449</v>
      </c>
      <c r="I150" s="14">
        <f>I149+I142</f>
        <v>285600.91240000003</v>
      </c>
      <c r="J150" s="34">
        <f>J149+J142</f>
        <v>72.477777777777789</v>
      </c>
      <c r="K150" s="34">
        <f>K149+K142</f>
        <v>1986.6766666666676</v>
      </c>
      <c r="L150" s="13">
        <f>L149+L142</f>
        <v>2059.1544444444453</v>
      </c>
      <c r="M150" s="185"/>
    </row>
    <row r="151" spans="1:13" ht="14.25" customHeight="1">
      <c r="A151" s="541" t="s">
        <v>213</v>
      </c>
      <c r="B151" s="551"/>
      <c r="C151" s="551"/>
      <c r="D151" s="551"/>
      <c r="E151" s="551"/>
      <c r="F151" s="551"/>
      <c r="G151" s="551"/>
      <c r="H151" s="551"/>
      <c r="I151" s="551"/>
      <c r="J151" s="551"/>
      <c r="K151" s="551"/>
      <c r="L151" s="551"/>
      <c r="M151" s="561"/>
    </row>
    <row r="152" spans="1:13" ht="14.25" customHeight="1" thickBot="1">
      <c r="A152" s="543" t="s">
        <v>15</v>
      </c>
      <c r="B152" s="562"/>
      <c r="C152" s="562"/>
      <c r="D152" s="562"/>
      <c r="E152" s="562"/>
      <c r="F152" s="562"/>
      <c r="G152" s="562"/>
      <c r="H152" s="562"/>
      <c r="I152" s="562"/>
      <c r="J152" s="562"/>
      <c r="K152" s="562"/>
      <c r="L152" s="562"/>
      <c r="M152" s="563"/>
    </row>
    <row r="153" spans="1:13" ht="15.75" thickBot="1">
      <c r="A153" s="73" t="s">
        <v>214</v>
      </c>
      <c r="B153" s="64" t="s">
        <v>215</v>
      </c>
      <c r="C153" s="23">
        <f>(89*0.33)</f>
        <v>29.37</v>
      </c>
      <c r="D153" s="23">
        <v>1</v>
      </c>
      <c r="E153" s="41">
        <f t="shared" ref="E153" si="47">C153*D153</f>
        <v>29.37</v>
      </c>
      <c r="F153" s="437">
        <f t="shared" ref="F153" si="48">E153</f>
        <v>29.37</v>
      </c>
      <c r="G153" s="19">
        <v>0.5</v>
      </c>
      <c r="H153" s="41">
        <f t="shared" ref="H153" si="49">E153*G153</f>
        <v>14.685</v>
      </c>
      <c r="I153" s="25">
        <v>14.685</v>
      </c>
      <c r="J153" s="24">
        <v>0</v>
      </c>
      <c r="K153" s="24">
        <f>H153-I153</f>
        <v>0</v>
      </c>
      <c r="L153" s="24">
        <f>H153-I153</f>
        <v>0</v>
      </c>
      <c r="M153" s="234"/>
    </row>
    <row r="154" spans="1:13" ht="15.75" thickBot="1">
      <c r="A154" s="538" t="s">
        <v>216</v>
      </c>
      <c r="B154" s="538"/>
      <c r="C154" s="13">
        <f t="shared" ref="C154:L155" si="50">C153</f>
        <v>29.37</v>
      </c>
      <c r="D154" s="33">
        <f t="shared" si="50"/>
        <v>1</v>
      </c>
      <c r="E154" s="13">
        <f t="shared" si="50"/>
        <v>29.37</v>
      </c>
      <c r="F154" s="14">
        <f t="shared" si="50"/>
        <v>29.37</v>
      </c>
      <c r="G154" s="33">
        <f t="shared" si="50"/>
        <v>0.5</v>
      </c>
      <c r="H154" s="13">
        <f t="shared" si="50"/>
        <v>14.685</v>
      </c>
      <c r="I154" s="14">
        <f t="shared" si="50"/>
        <v>14.685</v>
      </c>
      <c r="J154" s="34">
        <f t="shared" si="50"/>
        <v>0</v>
      </c>
      <c r="K154" s="13">
        <f t="shared" si="50"/>
        <v>0</v>
      </c>
      <c r="L154" s="13">
        <f t="shared" si="50"/>
        <v>0</v>
      </c>
      <c r="M154" s="185"/>
    </row>
    <row r="155" spans="1:13" ht="15.75" thickBot="1">
      <c r="A155" s="550" t="s">
        <v>217</v>
      </c>
      <c r="B155" s="560"/>
      <c r="C155" s="13">
        <f t="shared" si="50"/>
        <v>29.37</v>
      </c>
      <c r="D155" s="33">
        <f t="shared" si="50"/>
        <v>1</v>
      </c>
      <c r="E155" s="13">
        <f t="shared" si="50"/>
        <v>29.37</v>
      </c>
      <c r="F155" s="14">
        <f t="shared" si="50"/>
        <v>29.37</v>
      </c>
      <c r="G155" s="33">
        <f t="shared" si="50"/>
        <v>0.5</v>
      </c>
      <c r="H155" s="13">
        <f t="shared" si="50"/>
        <v>14.685</v>
      </c>
      <c r="I155" s="14">
        <f t="shared" si="50"/>
        <v>14.685</v>
      </c>
      <c r="J155" s="34">
        <f t="shared" si="50"/>
        <v>0</v>
      </c>
      <c r="K155" s="13">
        <f t="shared" si="50"/>
        <v>0</v>
      </c>
      <c r="L155" s="13">
        <f t="shared" si="50"/>
        <v>0</v>
      </c>
      <c r="M155" s="185"/>
    </row>
    <row r="156" spans="1:13" ht="30.4" customHeight="1" thickBot="1">
      <c r="A156" s="564" t="s">
        <v>218</v>
      </c>
      <c r="B156" s="565"/>
      <c r="C156" s="16">
        <f>C121</f>
        <v>6747051.9999999991</v>
      </c>
      <c r="D156" s="28">
        <f>E156/C156</f>
        <v>9.5196839247508702</v>
      </c>
      <c r="E156" s="16">
        <f>E150+E121+E155</f>
        <v>64229802.463858202</v>
      </c>
      <c r="F156" s="95">
        <f>F150+F121+F155</f>
        <v>67867960.20968689</v>
      </c>
      <c r="G156" s="28">
        <f>H156/E156</f>
        <v>0.23946669698533854</v>
      </c>
      <c r="H156" s="16">
        <f>H150+H121+H155</f>
        <v>15380898.644040883</v>
      </c>
      <c r="I156" s="95">
        <f>I150+I121+I155</f>
        <v>17362903.547010779</v>
      </c>
      <c r="J156" s="16">
        <f>J150+J121+J155</f>
        <v>-1588148.508526416</v>
      </c>
      <c r="K156" s="16">
        <f>K150+K121+K155</f>
        <v>-393856.39444347983</v>
      </c>
      <c r="L156" s="198">
        <f>L155+L150+L121</f>
        <v>-1982004.9029698954</v>
      </c>
      <c r="M156" s="186"/>
    </row>
    <row r="157" spans="1:13" ht="15" thickBot="1"/>
    <row r="158" spans="1:13" ht="15">
      <c r="A158" s="566" t="s">
        <v>219</v>
      </c>
      <c r="B158" s="567"/>
      <c r="C158" s="567"/>
      <c r="D158" s="568"/>
      <c r="F158" s="443"/>
    </row>
    <row r="159" spans="1:13" ht="15">
      <c r="A159" s="569" t="s">
        <v>220</v>
      </c>
      <c r="B159" s="570"/>
      <c r="C159" s="571">
        <f>+C121</f>
        <v>6747051.9999999991</v>
      </c>
      <c r="D159" s="572"/>
      <c r="E159" s="338"/>
      <c r="F159" s="443"/>
      <c r="G159" s="90"/>
      <c r="I159" s="338"/>
    </row>
    <row r="160" spans="1:13" ht="15">
      <c r="A160" s="556" t="s">
        <v>221</v>
      </c>
      <c r="B160" s="557"/>
      <c r="C160" s="558">
        <f>+C161/C159</f>
        <v>7.6530356018322925</v>
      </c>
      <c r="D160" s="559"/>
      <c r="F160" s="443"/>
      <c r="G160" s="338"/>
      <c r="H160" s="338"/>
    </row>
    <row r="161" spans="1:9" ht="15">
      <c r="A161" s="569" t="s">
        <v>222</v>
      </c>
      <c r="B161" s="570"/>
      <c r="C161" s="571">
        <f>+E121</f>
        <v>51635429.163413763</v>
      </c>
      <c r="D161" s="572"/>
      <c r="F161" s="443"/>
      <c r="G161" s="89"/>
    </row>
    <row r="162" spans="1:9" ht="15">
      <c r="A162" s="569" t="s">
        <v>223</v>
      </c>
      <c r="B162" s="570"/>
      <c r="C162" s="558">
        <f>+C163/C161</f>
        <v>0.29230363989868274</v>
      </c>
      <c r="D162" s="559"/>
      <c r="F162"/>
      <c r="G162" s="89"/>
      <c r="I162" s="338"/>
    </row>
    <row r="163" spans="1:9" ht="15">
      <c r="A163" s="569" t="s">
        <v>224</v>
      </c>
      <c r="B163" s="570"/>
      <c r="C163" s="571">
        <f>+H121</f>
        <v>15093223.892196437</v>
      </c>
      <c r="D163" s="572"/>
      <c r="F163" s="472"/>
      <c r="G163" s="90"/>
      <c r="H163" s="338"/>
      <c r="I163" s="338"/>
    </row>
    <row r="164" spans="1:9" ht="15">
      <c r="A164" s="569" t="s">
        <v>225</v>
      </c>
      <c r="B164" s="570"/>
      <c r="C164" s="571">
        <f>I121</f>
        <v>17077287.949610781</v>
      </c>
      <c r="D164" s="572"/>
      <c r="F164" s="472"/>
      <c r="G164" s="338"/>
    </row>
    <row r="165" spans="1:9" ht="15" customHeight="1">
      <c r="A165" s="573" t="s">
        <v>226</v>
      </c>
      <c r="B165" s="574"/>
      <c r="C165" s="571">
        <f>C163-C164</f>
        <v>-1984064.0574143436</v>
      </c>
      <c r="D165" s="572"/>
      <c r="F165"/>
    </row>
    <row r="166" spans="1:9" ht="15" customHeight="1" thickBot="1">
      <c r="F166"/>
    </row>
    <row r="167" spans="1:9" ht="15" customHeight="1" thickBot="1">
      <c r="A167" s="566" t="s">
        <v>227</v>
      </c>
      <c r="B167" s="567"/>
      <c r="C167" s="567"/>
      <c r="D167" s="568"/>
      <c r="E167" s="508"/>
      <c r="F167" s="509"/>
    </row>
    <row r="168" spans="1:9" ht="15" customHeight="1" thickBot="1">
      <c r="A168" s="569" t="s">
        <v>228</v>
      </c>
      <c r="B168" s="570"/>
      <c r="C168" s="571">
        <f>+C150</f>
        <v>42385</v>
      </c>
      <c r="D168" s="572"/>
      <c r="E168" s="508"/>
      <c r="F168" s="510"/>
      <c r="H168" s="338"/>
    </row>
    <row r="169" spans="1:9" ht="15" customHeight="1" thickBot="1">
      <c r="A169" s="556" t="s">
        <v>221</v>
      </c>
      <c r="B169" s="557"/>
      <c r="C169" s="558">
        <f>+C170/C168</f>
        <v>297.14153427968489</v>
      </c>
      <c r="D169" s="559"/>
      <c r="E169" s="508"/>
      <c r="F169" s="510"/>
      <c r="H169" s="338"/>
    </row>
    <row r="170" spans="1:9" ht="15" customHeight="1" thickBot="1">
      <c r="A170" s="569" t="s">
        <v>222</v>
      </c>
      <c r="B170" s="570"/>
      <c r="C170" s="571">
        <f>+E150</f>
        <v>12594343.930444444</v>
      </c>
      <c r="D170" s="572"/>
      <c r="E170" s="508"/>
      <c r="F170" s="510"/>
    </row>
    <row r="171" spans="1:9" ht="15.75" thickBot="1">
      <c r="A171" s="569" t="s">
        <v>223</v>
      </c>
      <c r="B171" s="570"/>
      <c r="C171" s="558">
        <f>+C172/C170</f>
        <v>2.284041697075468E-2</v>
      </c>
      <c r="D171" s="559"/>
      <c r="E171" s="508"/>
      <c r="F171" s="510"/>
      <c r="H171" s="338"/>
    </row>
    <row r="172" spans="1:9" ht="15.75" thickBot="1">
      <c r="A172" s="569" t="s">
        <v>224</v>
      </c>
      <c r="B172" s="570"/>
      <c r="C172" s="571">
        <f>+H150</f>
        <v>287660.06684444449</v>
      </c>
      <c r="D172" s="572"/>
      <c r="H172" s="338"/>
    </row>
    <row r="173" spans="1:9" ht="15.75" thickBot="1">
      <c r="A173" s="569" t="s">
        <v>225</v>
      </c>
      <c r="B173" s="570"/>
      <c r="C173" s="571">
        <f>+I150</f>
        <v>285600.91240000003</v>
      </c>
      <c r="D173" s="572"/>
    </row>
    <row r="174" spans="1:9" ht="15.75" thickBot="1">
      <c r="A174" s="573" t="s">
        <v>226</v>
      </c>
      <c r="B174" s="574"/>
      <c r="C174" s="571">
        <f>C172-C173</f>
        <v>2059.1544444444589</v>
      </c>
      <c r="D174" s="572"/>
    </row>
    <row r="175" spans="1:9" ht="15" thickBot="1"/>
    <row r="176" spans="1:9" ht="15.75" thickBot="1">
      <c r="A176" s="566" t="s">
        <v>229</v>
      </c>
      <c r="B176" s="567"/>
      <c r="C176" s="567"/>
      <c r="D176" s="568"/>
    </row>
    <row r="177" spans="1:6" ht="15.75" thickBot="1">
      <c r="A177" s="569" t="s">
        <v>228</v>
      </c>
      <c r="B177" s="570"/>
      <c r="C177" s="571">
        <f>C155</f>
        <v>29.37</v>
      </c>
      <c r="D177" s="572"/>
    </row>
    <row r="178" spans="1:6" ht="15.75" thickBot="1">
      <c r="A178" s="556" t="s">
        <v>221</v>
      </c>
      <c r="B178" s="557"/>
      <c r="C178" s="558">
        <f>D155</f>
        <v>1</v>
      </c>
      <c r="D178" s="559"/>
    </row>
    <row r="179" spans="1:6" ht="15.75" thickBot="1">
      <c r="A179" s="569" t="s">
        <v>222</v>
      </c>
      <c r="B179" s="570"/>
      <c r="C179" s="571">
        <f>E155</f>
        <v>29.37</v>
      </c>
      <c r="D179" s="572"/>
    </row>
    <row r="180" spans="1:6" ht="15.75" thickBot="1">
      <c r="A180" s="569" t="s">
        <v>223</v>
      </c>
      <c r="B180" s="570"/>
      <c r="C180" s="558">
        <f>G155</f>
        <v>0.5</v>
      </c>
      <c r="D180" s="559"/>
    </row>
    <row r="181" spans="1:6" ht="15.75" thickBot="1">
      <c r="A181" s="569" t="s">
        <v>224</v>
      </c>
      <c r="B181" s="570"/>
      <c r="C181" s="571">
        <f>H155</f>
        <v>14.685</v>
      </c>
      <c r="D181" s="572"/>
    </row>
    <row r="182" spans="1:6" ht="15.75" thickBot="1">
      <c r="A182" s="569" t="s">
        <v>225</v>
      </c>
      <c r="B182" s="570"/>
      <c r="C182" s="571">
        <f>I155</f>
        <v>14.685</v>
      </c>
      <c r="D182" s="572"/>
    </row>
    <row r="183" spans="1:6" ht="15.75" thickBot="1">
      <c r="A183" s="573" t="s">
        <v>226</v>
      </c>
      <c r="B183" s="574"/>
      <c r="C183" s="571">
        <f>C181-C182</f>
        <v>0</v>
      </c>
      <c r="D183" s="572"/>
    </row>
    <row r="184" spans="1:6" ht="15.75" thickBot="1">
      <c r="A184" s="522"/>
      <c r="B184" s="190"/>
      <c r="C184" s="366"/>
      <c r="D184" s="521"/>
    </row>
    <row r="185" spans="1:6" ht="15.75" thickBot="1">
      <c r="A185" s="566" t="s">
        <v>230</v>
      </c>
      <c r="B185" s="567"/>
      <c r="C185" s="567"/>
      <c r="D185" s="568"/>
    </row>
    <row r="186" spans="1:6" ht="15.75" thickBot="1">
      <c r="A186" s="569" t="s">
        <v>231</v>
      </c>
      <c r="B186" s="570"/>
      <c r="C186" s="571">
        <f>E156</f>
        <v>64229802.463858202</v>
      </c>
      <c r="D186" s="572"/>
      <c r="F186" s="443"/>
    </row>
    <row r="187" spans="1:6" ht="15.75" thickBot="1">
      <c r="A187" s="569" t="s">
        <v>232</v>
      </c>
      <c r="B187" s="570"/>
      <c r="C187" s="520"/>
      <c r="D187" s="521">
        <f>H156</f>
        <v>15380898.644040883</v>
      </c>
    </row>
    <row r="188" spans="1:6" ht="15.75" thickBot="1">
      <c r="A188" s="569" t="s">
        <v>225</v>
      </c>
      <c r="B188" s="570"/>
      <c r="C188" s="571">
        <f>I156</f>
        <v>17362903.547010779</v>
      </c>
      <c r="D188" s="572"/>
    </row>
    <row r="189" spans="1:6" ht="15.75" thickBot="1">
      <c r="A189" s="573" t="s">
        <v>226</v>
      </c>
      <c r="B189" s="574"/>
      <c r="C189" s="571">
        <f>D187-C188</f>
        <v>-1982004.9029698968</v>
      </c>
      <c r="D189" s="572"/>
    </row>
  </sheetData>
  <mergeCells count="73">
    <mergeCell ref="A143:M143"/>
    <mergeCell ref="A188:B188"/>
    <mergeCell ref="C188:D188"/>
    <mergeCell ref="A189:B189"/>
    <mergeCell ref="C189:D189"/>
    <mergeCell ref="A183:B183"/>
    <mergeCell ref="C183:D183"/>
    <mergeCell ref="A185:D185"/>
    <mergeCell ref="A186:B186"/>
    <mergeCell ref="C186:D186"/>
    <mergeCell ref="A187:B187"/>
    <mergeCell ref="A180:B180"/>
    <mergeCell ref="C180:D180"/>
    <mergeCell ref="A181:B181"/>
    <mergeCell ref="C181:D181"/>
    <mergeCell ref="A182:B182"/>
    <mergeCell ref="C182:D182"/>
    <mergeCell ref="A179:B179"/>
    <mergeCell ref="C179:D179"/>
    <mergeCell ref="A172:B172"/>
    <mergeCell ref="C172:D172"/>
    <mergeCell ref="A173:B173"/>
    <mergeCell ref="C173:D173"/>
    <mergeCell ref="A174:B174"/>
    <mergeCell ref="C174:D174"/>
    <mergeCell ref="A176:D176"/>
    <mergeCell ref="A177:B177"/>
    <mergeCell ref="C177:D177"/>
    <mergeCell ref="A178:B178"/>
    <mergeCell ref="C178:D178"/>
    <mergeCell ref="A169:B169"/>
    <mergeCell ref="C169:D169"/>
    <mergeCell ref="A170:B170"/>
    <mergeCell ref="C170:D170"/>
    <mergeCell ref="A171:B171"/>
    <mergeCell ref="C171:D171"/>
    <mergeCell ref="A168:B168"/>
    <mergeCell ref="C168:D168"/>
    <mergeCell ref="A161:B161"/>
    <mergeCell ref="C161:D161"/>
    <mergeCell ref="A162:B162"/>
    <mergeCell ref="C162:D162"/>
    <mergeCell ref="A163:B163"/>
    <mergeCell ref="C163:D163"/>
    <mergeCell ref="A164:B164"/>
    <mergeCell ref="C164:D164"/>
    <mergeCell ref="A165:B165"/>
    <mergeCell ref="C165:D165"/>
    <mergeCell ref="A167:D167"/>
    <mergeCell ref="A160:B160"/>
    <mergeCell ref="C160:D160"/>
    <mergeCell ref="A149:B149"/>
    <mergeCell ref="A150:B150"/>
    <mergeCell ref="A151:M151"/>
    <mergeCell ref="A152:M152"/>
    <mergeCell ref="A154:B154"/>
    <mergeCell ref="A155:B155"/>
    <mergeCell ref="A156:B156"/>
    <mergeCell ref="A158:D158"/>
    <mergeCell ref="A159:B159"/>
    <mergeCell ref="C159:D159"/>
    <mergeCell ref="A142:B142"/>
    <mergeCell ref="A1:M1"/>
    <mergeCell ref="A3:M3"/>
    <mergeCell ref="A4:M4"/>
    <mergeCell ref="A78:B78"/>
    <mergeCell ref="A79:M79"/>
    <mergeCell ref="A92:B92"/>
    <mergeCell ref="A93:M93"/>
    <mergeCell ref="A120:B120"/>
    <mergeCell ref="A121:B121"/>
    <mergeCell ref="A122:M122"/>
    <mergeCell ref="A123:M12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5C5E-48B3-43CB-B130-170656B47302}">
  <dimension ref="A1:V74"/>
  <sheetViews>
    <sheetView topLeftCell="A2" zoomScaleNormal="100" workbookViewId="0">
      <pane ySplit="1" topLeftCell="A3" activePane="bottomLeft" state="frozen"/>
      <selection pane="bottomLeft" activeCell="A5" sqref="A5"/>
      <selection activeCell="A2" sqref="A2"/>
    </sheetView>
  </sheetViews>
  <sheetFormatPr defaultColWidth="9.28515625" defaultRowHeight="14.25"/>
  <cols>
    <col min="1" max="1" width="18.7109375" style="10" bestFit="1" customWidth="1"/>
    <col min="2" max="2" width="33.5703125" style="100" bestFit="1" customWidth="1"/>
    <col min="3" max="3" width="15.28515625" style="10" customWidth="1"/>
    <col min="4" max="4" width="14.28515625" style="10" customWidth="1"/>
    <col min="5" max="5" width="17.7109375" style="10" customWidth="1"/>
    <col min="6" max="6" width="13.28515625" style="10" customWidth="1"/>
    <col min="7" max="7" width="16.28515625" style="10" customWidth="1"/>
    <col min="8" max="8" width="15.5703125" style="10" bestFit="1" customWidth="1"/>
    <col min="9" max="9" width="15.7109375" style="35" customWidth="1"/>
    <col min="10" max="11" width="14" style="10" customWidth="1"/>
    <col min="12" max="12" width="57.42578125" style="100" customWidth="1"/>
    <col min="13" max="13" width="20.28515625" style="10" customWidth="1"/>
    <col min="14" max="14" width="28.28515625" style="10" customWidth="1"/>
    <col min="15" max="15" width="16.7109375" style="10" customWidth="1"/>
    <col min="16" max="16" width="17.7109375" style="10" customWidth="1"/>
    <col min="17" max="17" width="23.28515625" style="10" customWidth="1"/>
    <col min="18" max="18" width="17.7109375" style="10" customWidth="1"/>
    <col min="19" max="19" width="17.28515625" style="10" customWidth="1"/>
    <col min="20" max="20" width="16.42578125" style="10" customWidth="1"/>
    <col min="21" max="21" width="13.42578125" style="10" customWidth="1"/>
    <col min="22" max="22" width="14.28515625" style="10" customWidth="1"/>
    <col min="23" max="16384" width="9.28515625" style="10"/>
  </cols>
  <sheetData>
    <row r="1" spans="1:22" s="149" customFormat="1" ht="15" hidden="1" customHeight="1">
      <c r="A1" s="578" t="s">
        <v>233</v>
      </c>
      <c r="B1" s="578"/>
      <c r="C1" s="578"/>
      <c r="D1" s="578"/>
      <c r="E1" s="578"/>
      <c r="F1" s="578"/>
      <c r="G1" s="578"/>
      <c r="H1" s="578"/>
      <c r="I1" s="578"/>
      <c r="J1" s="578"/>
      <c r="K1" s="578"/>
      <c r="L1" s="578"/>
      <c r="N1" s="142" t="s">
        <v>234</v>
      </c>
      <c r="O1" s="150"/>
    </row>
    <row r="2" spans="1:22" s="149" customFormat="1" ht="93.75" customHeight="1" thickBot="1">
      <c r="A2" s="473" t="s">
        <v>1</v>
      </c>
      <c r="B2" s="480" t="s">
        <v>2</v>
      </c>
      <c r="C2" s="479" t="s">
        <v>3</v>
      </c>
      <c r="D2" s="479" t="s">
        <v>4</v>
      </c>
      <c r="E2" s="478" t="s">
        <v>5</v>
      </c>
      <c r="F2" s="479" t="s">
        <v>7</v>
      </c>
      <c r="G2" s="478" t="s">
        <v>235</v>
      </c>
      <c r="H2" s="477" t="s">
        <v>236</v>
      </c>
      <c r="I2" s="476" t="s">
        <v>10</v>
      </c>
      <c r="J2" s="475" t="s">
        <v>11</v>
      </c>
      <c r="K2" s="474" t="s">
        <v>12</v>
      </c>
      <c r="L2" s="454" t="s">
        <v>237</v>
      </c>
      <c r="M2" s="151"/>
      <c r="N2" s="152"/>
      <c r="O2" s="153"/>
      <c r="P2" s="152"/>
      <c r="Q2" s="152"/>
      <c r="R2" s="152"/>
      <c r="S2" s="152"/>
      <c r="T2" s="152"/>
      <c r="U2" s="152"/>
      <c r="V2" s="154"/>
    </row>
    <row r="3" spans="1:22" s="149" customFormat="1" ht="15" customHeight="1">
      <c r="A3" s="579" t="s">
        <v>14</v>
      </c>
      <c r="B3" s="579"/>
      <c r="C3" s="579"/>
      <c r="D3" s="579"/>
      <c r="E3" s="579"/>
      <c r="F3" s="579"/>
      <c r="G3" s="579"/>
      <c r="H3" s="579"/>
      <c r="I3" s="579"/>
      <c r="J3" s="579"/>
      <c r="K3" s="541"/>
      <c r="L3" s="542"/>
      <c r="O3" s="155"/>
      <c r="S3" s="142"/>
      <c r="T3" s="156"/>
      <c r="U3" s="156"/>
      <c r="V3" s="157"/>
    </row>
    <row r="4" spans="1:22" s="149" customFormat="1" ht="15" customHeight="1">
      <c r="A4" s="543" t="s">
        <v>15</v>
      </c>
      <c r="B4" s="543"/>
      <c r="C4" s="543"/>
      <c r="D4" s="543"/>
      <c r="E4" s="543"/>
      <c r="F4" s="543"/>
      <c r="G4" s="543"/>
      <c r="H4" s="543"/>
      <c r="I4" s="543"/>
      <c r="J4" s="543"/>
      <c r="K4" s="543"/>
      <c r="L4" s="544"/>
      <c r="M4" s="158"/>
      <c r="S4" s="143"/>
      <c r="T4" s="148"/>
      <c r="U4" s="156"/>
      <c r="V4" s="157"/>
    </row>
    <row r="5" spans="1:22" s="163" customFormat="1" ht="42.75">
      <c r="A5" s="238">
        <v>246.4</v>
      </c>
      <c r="B5" s="223" t="s">
        <v>16</v>
      </c>
      <c r="C5" s="341">
        <v>88</v>
      </c>
      <c r="D5" s="341">
        <v>1</v>
      </c>
      <c r="E5" s="225">
        <f>C5*D5</f>
        <v>88</v>
      </c>
      <c r="F5" s="370">
        <v>170.62</v>
      </c>
      <c r="G5" s="225">
        <f>E5*F5</f>
        <v>15014.560000000001</v>
      </c>
      <c r="H5" s="371">
        <v>15185.18</v>
      </c>
      <c r="I5" s="341">
        <v>0</v>
      </c>
      <c r="J5" s="341">
        <f>G5-H5</f>
        <v>-170.61999999999898</v>
      </c>
      <c r="K5" s="372">
        <f>SUM(I5:J5)</f>
        <v>-170.61999999999898</v>
      </c>
      <c r="L5" s="236" t="s">
        <v>238</v>
      </c>
      <c r="O5" s="367"/>
      <c r="T5" s="160"/>
      <c r="U5" s="157"/>
      <c r="V5" s="157"/>
    </row>
    <row r="6" spans="1:22" s="163" customFormat="1" ht="42.75">
      <c r="A6" s="238">
        <v>246.12</v>
      </c>
      <c r="B6" s="223" t="s">
        <v>61</v>
      </c>
      <c r="C6" s="341">
        <v>44</v>
      </c>
      <c r="D6" s="341">
        <v>1</v>
      </c>
      <c r="E6" s="225">
        <f>C6*D6</f>
        <v>44</v>
      </c>
      <c r="F6" s="370">
        <v>5</v>
      </c>
      <c r="G6" s="225">
        <f>E6*F6</f>
        <v>220</v>
      </c>
      <c r="H6" s="371">
        <v>0</v>
      </c>
      <c r="I6" s="341">
        <f>G6-H6</f>
        <v>220</v>
      </c>
      <c r="J6" s="372">
        <v>0</v>
      </c>
      <c r="K6" s="372">
        <f>G6-H6</f>
        <v>220</v>
      </c>
      <c r="L6" s="236" t="s">
        <v>239</v>
      </c>
      <c r="O6" s="367"/>
      <c r="T6" s="160"/>
      <c r="U6" s="157"/>
      <c r="V6" s="157"/>
    </row>
    <row r="7" spans="1:22" s="163" customFormat="1" ht="42.75">
      <c r="A7" s="238" t="s">
        <v>66</v>
      </c>
      <c r="B7" s="223" t="s">
        <v>67</v>
      </c>
      <c r="C7" s="341">
        <v>88</v>
      </c>
      <c r="D7" s="341">
        <f>(0.02*40487)/88</f>
        <v>9.2015909090909087</v>
      </c>
      <c r="E7" s="225">
        <f>C7*D7</f>
        <v>809.74</v>
      </c>
      <c r="F7" s="370">
        <v>4</v>
      </c>
      <c r="G7" s="225">
        <f>E7*F7</f>
        <v>3238.96</v>
      </c>
      <c r="H7" s="371">
        <v>3360</v>
      </c>
      <c r="I7" s="341">
        <f>(110*0.02)*4</f>
        <v>8.8000000000000007</v>
      </c>
      <c r="J7" s="372">
        <f>G7-H7-I7</f>
        <v>-129.83999999999997</v>
      </c>
      <c r="K7" s="372">
        <f>SUM(I7:J7)</f>
        <v>-121.03999999999998</v>
      </c>
      <c r="L7" s="261" t="s">
        <v>240</v>
      </c>
      <c r="O7" s="367"/>
    </row>
    <row r="8" spans="1:22" s="163" customFormat="1" ht="28.5">
      <c r="A8" s="238" t="s">
        <v>68</v>
      </c>
      <c r="B8" s="223" t="s">
        <v>69</v>
      </c>
      <c r="C8" s="341">
        <v>0</v>
      </c>
      <c r="D8" s="341">
        <v>0</v>
      </c>
      <c r="E8" s="225">
        <f t="shared" ref="E8:E20" si="0">C8*D8</f>
        <v>0</v>
      </c>
      <c r="F8" s="370">
        <v>0</v>
      </c>
      <c r="G8" s="225">
        <f t="shared" ref="G8:G20" si="1">E8*F8</f>
        <v>0</v>
      </c>
      <c r="H8" s="371">
        <v>149068</v>
      </c>
      <c r="I8" s="341">
        <f t="shared" ref="I8:I20" si="2">G8-H8</f>
        <v>-149068</v>
      </c>
      <c r="J8" s="372">
        <v>0</v>
      </c>
      <c r="K8" s="372">
        <f t="shared" ref="K8:K20" si="3">G8-H8</f>
        <v>-149068</v>
      </c>
      <c r="L8" s="261" t="s">
        <v>241</v>
      </c>
      <c r="O8" s="367"/>
    </row>
    <row r="9" spans="1:22" s="163" customFormat="1" ht="28.5">
      <c r="A9" s="238" t="s">
        <v>68</v>
      </c>
      <c r="B9" s="223" t="s">
        <v>70</v>
      </c>
      <c r="C9" s="341">
        <v>0</v>
      </c>
      <c r="D9" s="341">
        <v>0</v>
      </c>
      <c r="E9" s="225">
        <f t="shared" si="0"/>
        <v>0</v>
      </c>
      <c r="F9" s="370">
        <v>0</v>
      </c>
      <c r="G9" s="225">
        <f t="shared" si="1"/>
        <v>0</v>
      </c>
      <c r="H9" s="371">
        <v>40</v>
      </c>
      <c r="I9" s="341">
        <f t="shared" si="2"/>
        <v>-40</v>
      </c>
      <c r="J9" s="372">
        <v>0</v>
      </c>
      <c r="K9" s="372">
        <f>G9-H9</f>
        <v>-40</v>
      </c>
      <c r="L9" s="261" t="s">
        <v>241</v>
      </c>
      <c r="O9" s="367"/>
    </row>
    <row r="10" spans="1:22" s="163" customFormat="1" ht="42.75">
      <c r="A10" s="238" t="s">
        <v>73</v>
      </c>
      <c r="B10" s="223" t="s">
        <v>74</v>
      </c>
      <c r="C10" s="341">
        <v>88</v>
      </c>
      <c r="D10" s="341">
        <v>17</v>
      </c>
      <c r="E10" s="225">
        <f>C10*D10</f>
        <v>1496</v>
      </c>
      <c r="F10" s="341">
        <v>1.17</v>
      </c>
      <c r="G10" s="225">
        <f>F10*E10</f>
        <v>1750.32</v>
      </c>
      <c r="H10" s="371">
        <v>1513</v>
      </c>
      <c r="I10" s="402">
        <v>0</v>
      </c>
      <c r="J10" s="341">
        <f>G10-H10</f>
        <v>237.31999999999994</v>
      </c>
      <c r="K10" s="372">
        <f>G10-H10</f>
        <v>237.31999999999994</v>
      </c>
      <c r="L10" s="261" t="s">
        <v>242</v>
      </c>
      <c r="M10" s="412"/>
      <c r="P10" s="367"/>
    </row>
    <row r="11" spans="1:22" s="163" customFormat="1" ht="28.5">
      <c r="A11" s="238" t="s">
        <v>73</v>
      </c>
      <c r="B11" s="223" t="s">
        <v>75</v>
      </c>
      <c r="C11" s="341">
        <v>44</v>
      </c>
      <c r="D11" s="341">
        <f>110/44</f>
        <v>2.5</v>
      </c>
      <c r="E11" s="225">
        <f t="shared" si="0"/>
        <v>110</v>
      </c>
      <c r="F11" s="482">
        <v>0.66800000000000004</v>
      </c>
      <c r="G11" s="225">
        <f>E11*F11</f>
        <v>73.48</v>
      </c>
      <c r="H11" s="371">
        <v>0</v>
      </c>
      <c r="I11" s="341">
        <f t="shared" si="2"/>
        <v>73.48</v>
      </c>
      <c r="J11" s="372">
        <v>0</v>
      </c>
      <c r="K11" s="372">
        <f>G11-H11</f>
        <v>73.48</v>
      </c>
      <c r="L11" s="261" t="s">
        <v>243</v>
      </c>
      <c r="O11" s="367"/>
    </row>
    <row r="12" spans="1:22" s="403" customFormat="1" ht="57" customHeight="1">
      <c r="A12" s="511" t="s">
        <v>78</v>
      </c>
      <c r="B12" s="236" t="s">
        <v>79</v>
      </c>
      <c r="C12" s="341">
        <v>88</v>
      </c>
      <c r="D12" s="341">
        <f>(0.33*40487)/88</f>
        <v>151.82625000000002</v>
      </c>
      <c r="E12" s="225">
        <f t="shared" si="0"/>
        <v>13360.710000000001</v>
      </c>
      <c r="F12" s="370">
        <v>2</v>
      </c>
      <c r="G12" s="225">
        <f t="shared" si="1"/>
        <v>26721.420000000002</v>
      </c>
      <c r="H12" s="371">
        <v>8215.14</v>
      </c>
      <c r="I12" s="402">
        <f>110*0.33*2</f>
        <v>72.600000000000009</v>
      </c>
      <c r="J12" s="341">
        <f>G12-H12-I12</f>
        <v>18433.680000000004</v>
      </c>
      <c r="K12" s="372">
        <f>SUM(I12:J12)</f>
        <v>18506.280000000002</v>
      </c>
      <c r="L12" s="236" t="s">
        <v>244</v>
      </c>
      <c r="M12" s="402"/>
      <c r="N12" s="402"/>
      <c r="O12" s="402"/>
    </row>
    <row r="13" spans="1:22" s="163" customFormat="1" ht="42.75">
      <c r="A13" s="238" t="s">
        <v>80</v>
      </c>
      <c r="B13" s="223" t="s">
        <v>82</v>
      </c>
      <c r="C13" s="372">
        <v>88</v>
      </c>
      <c r="D13" s="341">
        <f>(40487/88)</f>
        <v>460.07954545454544</v>
      </c>
      <c r="E13" s="225">
        <f>C13*D13</f>
        <v>40487</v>
      </c>
      <c r="F13" s="370">
        <v>2</v>
      </c>
      <c r="G13" s="225">
        <f t="shared" si="1"/>
        <v>80974</v>
      </c>
      <c r="H13" s="371">
        <v>74534</v>
      </c>
      <c r="I13" s="372">
        <f>110*2</f>
        <v>220</v>
      </c>
      <c r="J13" s="372">
        <f>G13-H13-I13</f>
        <v>6220</v>
      </c>
      <c r="K13" s="372">
        <f>SUM(I13:J13)</f>
        <v>6440</v>
      </c>
      <c r="L13" s="261" t="s">
        <v>245</v>
      </c>
      <c r="O13" s="367"/>
    </row>
    <row r="14" spans="1:22" s="163" customFormat="1" ht="42.75">
      <c r="A14" s="238" t="s">
        <v>83</v>
      </c>
      <c r="B14" s="223" t="s">
        <v>84</v>
      </c>
      <c r="C14" s="372">
        <v>88</v>
      </c>
      <c r="D14" s="341">
        <f>(0.05*40377)/88</f>
        <v>22.941477272727273</v>
      </c>
      <c r="E14" s="225">
        <f t="shared" si="0"/>
        <v>2018.85</v>
      </c>
      <c r="F14" s="370">
        <v>1.67</v>
      </c>
      <c r="G14" s="225">
        <f t="shared" si="1"/>
        <v>3371.4794999999999</v>
      </c>
      <c r="H14" s="371">
        <v>2485.71</v>
      </c>
      <c r="I14" s="402">
        <v>0</v>
      </c>
      <c r="J14" s="372">
        <f>G14-H14</f>
        <v>885.76949999999988</v>
      </c>
      <c r="K14" s="372">
        <f t="shared" si="3"/>
        <v>885.76949999999988</v>
      </c>
      <c r="L14" s="261" t="s">
        <v>246</v>
      </c>
      <c r="M14" s="367"/>
      <c r="O14" s="367"/>
    </row>
    <row r="15" spans="1:22" s="163" customFormat="1" ht="28.5">
      <c r="A15" s="238" t="s">
        <v>83</v>
      </c>
      <c r="B15" s="223" t="s">
        <v>85</v>
      </c>
      <c r="C15" s="372">
        <v>44</v>
      </c>
      <c r="D15" s="341">
        <f>(110/44)*0.05</f>
        <v>0.125</v>
      </c>
      <c r="E15" s="225">
        <f t="shared" si="0"/>
        <v>5.5</v>
      </c>
      <c r="F15" s="370">
        <v>1.17</v>
      </c>
      <c r="G15" s="225">
        <f t="shared" si="1"/>
        <v>6.4349999999999996</v>
      </c>
      <c r="H15" s="371">
        <v>0</v>
      </c>
      <c r="I15" s="372">
        <f t="shared" si="2"/>
        <v>6.4349999999999996</v>
      </c>
      <c r="J15" s="372">
        <v>0</v>
      </c>
      <c r="K15" s="372">
        <f t="shared" si="3"/>
        <v>6.4349999999999996</v>
      </c>
      <c r="L15" s="261" t="s">
        <v>243</v>
      </c>
      <c r="O15" s="367"/>
    </row>
    <row r="16" spans="1:22" s="163" customFormat="1" ht="42.75">
      <c r="A16" s="238" t="s">
        <v>86</v>
      </c>
      <c r="B16" s="223" t="s">
        <v>87</v>
      </c>
      <c r="C16" s="372">
        <v>88</v>
      </c>
      <c r="D16" s="341">
        <f>(40377*0.05)/88</f>
        <v>22.941477272727273</v>
      </c>
      <c r="E16" s="225">
        <f t="shared" si="0"/>
        <v>2018.85</v>
      </c>
      <c r="F16" s="370">
        <v>5</v>
      </c>
      <c r="G16" s="225">
        <f t="shared" si="1"/>
        <v>10094.25</v>
      </c>
      <c r="H16" s="371">
        <v>4349.0600000000004</v>
      </c>
      <c r="I16" s="402">
        <v>0</v>
      </c>
      <c r="J16" s="372">
        <f>G16-H16</f>
        <v>5745.19</v>
      </c>
      <c r="K16" s="372">
        <f t="shared" si="3"/>
        <v>5745.19</v>
      </c>
      <c r="L16" s="261" t="s">
        <v>246</v>
      </c>
      <c r="O16" s="367"/>
    </row>
    <row r="17" spans="1:15" s="163" customFormat="1" ht="30" customHeight="1">
      <c r="A17" s="238" t="s">
        <v>86</v>
      </c>
      <c r="B17" s="223" t="s">
        <v>88</v>
      </c>
      <c r="C17" s="372">
        <v>44</v>
      </c>
      <c r="D17" s="341">
        <f>(110/44)*0.05</f>
        <v>0.125</v>
      </c>
      <c r="E17" s="225">
        <f>D17*C17</f>
        <v>5.5</v>
      </c>
      <c r="F17" s="370">
        <v>4.5</v>
      </c>
      <c r="G17" s="225">
        <f t="shared" si="1"/>
        <v>24.75</v>
      </c>
      <c r="H17" s="371">
        <v>0</v>
      </c>
      <c r="I17" s="372">
        <f>G17-H17</f>
        <v>24.75</v>
      </c>
      <c r="J17" s="372">
        <v>0</v>
      </c>
      <c r="K17" s="372">
        <f t="shared" si="3"/>
        <v>24.75</v>
      </c>
      <c r="L17" s="261" t="s">
        <v>243</v>
      </c>
      <c r="O17" s="367"/>
    </row>
    <row r="18" spans="1:15" s="163" customFormat="1" ht="39" customHeight="1">
      <c r="A18" s="238" t="s">
        <v>247</v>
      </c>
      <c r="B18" s="223" t="s">
        <v>248</v>
      </c>
      <c r="C18" s="372">
        <v>44</v>
      </c>
      <c r="D18" s="341">
        <v>1</v>
      </c>
      <c r="E18" s="225">
        <f>D18*C18</f>
        <v>44</v>
      </c>
      <c r="F18" s="370">
        <v>50</v>
      </c>
      <c r="G18" s="225">
        <f t="shared" si="1"/>
        <v>2200</v>
      </c>
      <c r="H18" s="371">
        <v>0</v>
      </c>
      <c r="I18" s="372">
        <f t="shared" si="2"/>
        <v>2200</v>
      </c>
      <c r="J18" s="372">
        <v>0</v>
      </c>
      <c r="K18" s="372">
        <f t="shared" si="3"/>
        <v>2200</v>
      </c>
      <c r="L18" s="261" t="s">
        <v>249</v>
      </c>
      <c r="O18" s="367"/>
    </row>
    <row r="19" spans="1:15" s="163" customFormat="1" ht="28.5">
      <c r="A19" s="238" t="s">
        <v>109</v>
      </c>
      <c r="B19" s="223" t="s">
        <v>110</v>
      </c>
      <c r="C19" s="372">
        <v>88</v>
      </c>
      <c r="D19" s="372">
        <v>1</v>
      </c>
      <c r="E19" s="225">
        <f t="shared" si="0"/>
        <v>88</v>
      </c>
      <c r="F19" s="451">
        <v>50</v>
      </c>
      <c r="G19" s="225">
        <f t="shared" si="1"/>
        <v>4400</v>
      </c>
      <c r="H19" s="452">
        <v>0</v>
      </c>
      <c r="I19" s="372">
        <f t="shared" si="2"/>
        <v>4400</v>
      </c>
      <c r="J19" s="372">
        <v>0</v>
      </c>
      <c r="K19" s="372">
        <f t="shared" si="3"/>
        <v>4400</v>
      </c>
      <c r="L19" s="261" t="s">
        <v>250</v>
      </c>
      <c r="M19" s="367"/>
      <c r="N19" s="367"/>
    </row>
    <row r="20" spans="1:15" s="163" customFormat="1" ht="28.5">
      <c r="A20" s="238" t="s">
        <v>111</v>
      </c>
      <c r="B20" s="223" t="s">
        <v>112</v>
      </c>
      <c r="C20" s="341">
        <v>20</v>
      </c>
      <c r="D20" s="341">
        <v>1</v>
      </c>
      <c r="E20" s="225">
        <f t="shared" si="0"/>
        <v>20</v>
      </c>
      <c r="F20" s="370">
        <v>160</v>
      </c>
      <c r="G20" s="225">
        <f t="shared" si="1"/>
        <v>3200</v>
      </c>
      <c r="H20" s="371">
        <v>3200</v>
      </c>
      <c r="I20" s="372">
        <f t="shared" si="2"/>
        <v>0</v>
      </c>
      <c r="J20" s="372">
        <v>0</v>
      </c>
      <c r="K20" s="372">
        <f t="shared" si="3"/>
        <v>0</v>
      </c>
      <c r="L20" s="236" t="s">
        <v>251</v>
      </c>
      <c r="M20" s="367"/>
      <c r="N20" s="367"/>
    </row>
    <row r="21" spans="1:15" ht="15">
      <c r="A21" s="549" t="s">
        <v>252</v>
      </c>
      <c r="B21" s="549"/>
      <c r="C21" s="212">
        <f>C5</f>
        <v>88</v>
      </c>
      <c r="D21" s="213">
        <f>E21/C21</f>
        <v>688.59261363636358</v>
      </c>
      <c r="E21" s="212">
        <f>SUM(E5:E20)</f>
        <v>60596.149999999994</v>
      </c>
      <c r="F21" s="213">
        <f>G21/E21</f>
        <v>2.4966875700848985</v>
      </c>
      <c r="G21" s="212">
        <f>SUM(G5:G20)</f>
        <v>151289.6545</v>
      </c>
      <c r="H21" s="214">
        <f>SUM(H5:H20)</f>
        <v>261950.09</v>
      </c>
      <c r="I21" s="213">
        <f>SUM(I5:I20)</f>
        <v>-141881.935</v>
      </c>
      <c r="J21" s="213">
        <f>SUM(J5:J20)</f>
        <v>31221.499500000002</v>
      </c>
      <c r="K21" s="218">
        <f>SUM(K5:K20)</f>
        <v>-110660.43549999999</v>
      </c>
      <c r="L21" s="176"/>
      <c r="M21" s="338"/>
    </row>
    <row r="22" spans="1:15" ht="15.75" thickBot="1">
      <c r="A22" s="546" t="s">
        <v>148</v>
      </c>
      <c r="B22" s="547"/>
      <c r="C22" s="547"/>
      <c r="D22" s="547"/>
      <c r="E22" s="547"/>
      <c r="F22" s="547"/>
      <c r="G22" s="547"/>
      <c r="H22" s="547"/>
      <c r="I22" s="547"/>
      <c r="J22" s="547"/>
      <c r="K22" s="547"/>
      <c r="L22" s="548"/>
    </row>
    <row r="23" spans="1:15" s="163" customFormat="1" ht="57.75">
      <c r="A23" s="237" t="s">
        <v>157</v>
      </c>
      <c r="B23" s="235" t="s">
        <v>158</v>
      </c>
      <c r="C23" s="229">
        <f>(3352333.5/88)*8</f>
        <v>304757.59090909088</v>
      </c>
      <c r="D23" s="224">
        <f>((3*0.625)+(2*0.375))</f>
        <v>2.625</v>
      </c>
      <c r="E23" s="225">
        <f t="shared" ref="E23:E24" si="4">C23*D23</f>
        <v>799988.67613636353</v>
      </c>
      <c r="F23" s="224">
        <v>0.5</v>
      </c>
      <c r="G23" s="225">
        <f>E23*F23</f>
        <v>399994.33806818177</v>
      </c>
      <c r="H23" s="230">
        <v>894499.88764044945</v>
      </c>
      <c r="I23" s="449">
        <f>C23*(D23-3)*F23</f>
        <v>-57142.048295454544</v>
      </c>
      <c r="J23" s="228">
        <f>G23-H23-I23</f>
        <v>-437363.50127681316</v>
      </c>
      <c r="K23" s="228">
        <f>SUM(J23,I23)</f>
        <v>-494505.54957226769</v>
      </c>
      <c r="L23" s="261" t="s">
        <v>253</v>
      </c>
      <c r="M23" s="445"/>
      <c r="N23" s="367"/>
    </row>
    <row r="24" spans="1:15" s="163" customFormat="1" ht="57.75" thickBot="1">
      <c r="A24" s="237" t="s">
        <v>157</v>
      </c>
      <c r="B24" s="235" t="s">
        <v>159</v>
      </c>
      <c r="C24" s="229">
        <f>(3352333.5/88)*80</f>
        <v>3047575.9090909087</v>
      </c>
      <c r="D24" s="224">
        <v>0</v>
      </c>
      <c r="E24" s="225">
        <f t="shared" si="4"/>
        <v>0</v>
      </c>
      <c r="F24" s="224">
        <v>0</v>
      </c>
      <c r="G24" s="225">
        <f t="shared" ref="G24" si="5">E24*F24</f>
        <v>0</v>
      </c>
      <c r="H24" s="230">
        <v>1262823.3707865169</v>
      </c>
      <c r="I24" s="449">
        <f t="shared" ref="I24" si="6">G24-H24</f>
        <v>-1262823.3707865169</v>
      </c>
      <c r="J24" s="228">
        <v>0</v>
      </c>
      <c r="K24" s="228">
        <f>G24-H24</f>
        <v>-1262823.3707865169</v>
      </c>
      <c r="L24" s="261" t="s">
        <v>254</v>
      </c>
      <c r="M24" s="367"/>
    </row>
    <row r="25" spans="1:15" ht="21" customHeight="1" thickBot="1">
      <c r="A25" s="549" t="s">
        <v>160</v>
      </c>
      <c r="B25" s="549"/>
      <c r="C25" s="217">
        <f>C23+C24</f>
        <v>3352333.4999999995</v>
      </c>
      <c r="D25" s="213">
        <f>E25/C25</f>
        <v>0.23863636363636365</v>
      </c>
      <c r="E25" s="212">
        <f>SUM(E23:E24)</f>
        <v>799988.67613636353</v>
      </c>
      <c r="F25" s="213">
        <f>G25/E25</f>
        <v>0.5</v>
      </c>
      <c r="G25" s="212">
        <f>SUM(G23:G24)</f>
        <v>399994.33806818177</v>
      </c>
      <c r="H25" s="214">
        <f>SUM(H23:H24)</f>
        <v>2157323.2584269661</v>
      </c>
      <c r="I25" s="213">
        <f>SUM(I23:I24)</f>
        <v>-1319965.4190819715</v>
      </c>
      <c r="J25" s="213">
        <f>SUM(J23:J24)</f>
        <v>-437363.50127681316</v>
      </c>
      <c r="K25" s="218">
        <f>SUM(K23:K24)</f>
        <v>-1757328.9203587845</v>
      </c>
      <c r="L25" s="176"/>
    </row>
    <row r="26" spans="1:15" ht="15.75" customHeight="1" thickBot="1">
      <c r="A26" s="546" t="s">
        <v>161</v>
      </c>
      <c r="B26" s="547"/>
      <c r="C26" s="547"/>
      <c r="D26" s="547"/>
      <c r="E26" s="547"/>
      <c r="F26" s="547"/>
      <c r="G26" s="547"/>
      <c r="H26" s="547"/>
      <c r="I26" s="547"/>
      <c r="J26" s="547"/>
      <c r="K26" s="547"/>
      <c r="L26" s="548"/>
    </row>
    <row r="27" spans="1:15" s="163" customFormat="1" ht="44.45" customHeight="1">
      <c r="A27" s="238" t="s">
        <v>66</v>
      </c>
      <c r="B27" s="223" t="s">
        <v>164</v>
      </c>
      <c r="C27" s="341">
        <f>((0.02)*40487)</f>
        <v>809.74</v>
      </c>
      <c r="D27" s="341">
        <v>1</v>
      </c>
      <c r="E27" s="225">
        <f t="shared" ref="E27:E32" si="7">C27*D27</f>
        <v>809.74</v>
      </c>
      <c r="F27" s="370">
        <v>2</v>
      </c>
      <c r="G27" s="225">
        <f t="shared" ref="G27:G32" si="8">E27*F27</f>
        <v>1619.48</v>
      </c>
      <c r="H27" s="371">
        <v>1680</v>
      </c>
      <c r="I27" s="341">
        <f>((0.02)*110)*2</f>
        <v>4.4000000000000004</v>
      </c>
      <c r="J27" s="450">
        <f>G27-H27-I27</f>
        <v>-64.919999999999987</v>
      </c>
      <c r="K27" s="341">
        <f t="shared" ref="K27:K33" si="9">SUM(I27:J27)</f>
        <v>-60.519999999999989</v>
      </c>
      <c r="L27" s="261" t="s">
        <v>255</v>
      </c>
    </row>
    <row r="28" spans="1:15" s="163" customFormat="1" ht="25.5" customHeight="1">
      <c r="A28" s="238" t="s">
        <v>68</v>
      </c>
      <c r="B28" s="223" t="s">
        <v>69</v>
      </c>
      <c r="C28" s="341">
        <v>0</v>
      </c>
      <c r="D28" s="341">
        <v>0</v>
      </c>
      <c r="E28" s="225">
        <f t="shared" si="7"/>
        <v>0</v>
      </c>
      <c r="F28" s="370">
        <v>0</v>
      </c>
      <c r="G28" s="225">
        <f t="shared" si="8"/>
        <v>0</v>
      </c>
      <c r="H28" s="371">
        <v>132318.79</v>
      </c>
      <c r="I28" s="341">
        <f t="shared" ref="I28" si="10">G28-H28</f>
        <v>-132318.79</v>
      </c>
      <c r="J28" s="450">
        <v>0</v>
      </c>
      <c r="K28" s="341">
        <f t="shared" si="9"/>
        <v>-132318.79</v>
      </c>
      <c r="L28" s="261" t="s">
        <v>241</v>
      </c>
      <c r="M28" s="367"/>
    </row>
    <row r="29" spans="1:15" s="163" customFormat="1" ht="42.75">
      <c r="A29" s="238" t="s">
        <v>73</v>
      </c>
      <c r="B29" s="223" t="s">
        <v>165</v>
      </c>
      <c r="C29" s="341">
        <f>(88*17)+110</f>
        <v>1606</v>
      </c>
      <c r="D29" s="341">
        <v>1</v>
      </c>
      <c r="E29" s="225">
        <f>C29*D29</f>
        <v>1606</v>
      </c>
      <c r="F29" s="482">
        <v>0.66800000000000004</v>
      </c>
      <c r="G29" s="225">
        <f t="shared" si="8"/>
        <v>1072.808</v>
      </c>
      <c r="H29" s="371">
        <v>1010.6840000000001</v>
      </c>
      <c r="I29" s="341">
        <f>110*F29</f>
        <v>73.48</v>
      </c>
      <c r="J29" s="450">
        <f>G29-H29-I29</f>
        <v>-11.356000000000094</v>
      </c>
      <c r="K29" s="341">
        <f t="shared" si="9"/>
        <v>62.12399999999991</v>
      </c>
      <c r="L29" s="261" t="s">
        <v>256</v>
      </c>
      <c r="O29" s="447"/>
    </row>
    <row r="30" spans="1:15" s="163" customFormat="1" ht="42.75">
      <c r="A30" s="238" t="s">
        <v>78</v>
      </c>
      <c r="B30" s="223" t="s">
        <v>166</v>
      </c>
      <c r="C30" s="341">
        <f>40487*0.33</f>
        <v>13360.710000000001</v>
      </c>
      <c r="D30" s="341">
        <v>1</v>
      </c>
      <c r="E30" s="225">
        <f t="shared" si="7"/>
        <v>13360.710000000001</v>
      </c>
      <c r="F30" s="370">
        <v>1</v>
      </c>
      <c r="G30" s="225">
        <f t="shared" si="8"/>
        <v>13360.710000000001</v>
      </c>
      <c r="H30" s="371">
        <v>12298.11</v>
      </c>
      <c r="I30" s="341">
        <f>110*(0.33)</f>
        <v>36.300000000000004</v>
      </c>
      <c r="J30" s="450">
        <f>G30-H30-I30</f>
        <v>1026.3000000000004</v>
      </c>
      <c r="K30" s="341">
        <f t="shared" si="9"/>
        <v>1062.6000000000004</v>
      </c>
      <c r="L30" s="236" t="s">
        <v>245</v>
      </c>
    </row>
    <row r="31" spans="1:15" s="163" customFormat="1" ht="42.75">
      <c r="A31" s="237" t="s">
        <v>167</v>
      </c>
      <c r="B31" s="223" t="s">
        <v>168</v>
      </c>
      <c r="C31" s="481">
        <v>40487</v>
      </c>
      <c r="D31" s="341">
        <v>1</v>
      </c>
      <c r="E31" s="225">
        <f t="shared" si="7"/>
        <v>40487</v>
      </c>
      <c r="F31" s="370">
        <v>1</v>
      </c>
      <c r="G31" s="225">
        <f t="shared" si="8"/>
        <v>40487</v>
      </c>
      <c r="H31" s="371">
        <v>37267</v>
      </c>
      <c r="I31" s="341">
        <v>110</v>
      </c>
      <c r="J31" s="450">
        <f>G31-H31-I31</f>
        <v>3110</v>
      </c>
      <c r="K31" s="341">
        <f t="shared" si="9"/>
        <v>3220</v>
      </c>
      <c r="L31" s="261" t="s">
        <v>245</v>
      </c>
    </row>
    <row r="32" spans="1:15" s="163" customFormat="1" ht="42.75">
      <c r="A32" s="237" t="s">
        <v>169</v>
      </c>
      <c r="B32" s="223" t="s">
        <v>170</v>
      </c>
      <c r="C32" s="341">
        <f>(4/9)*(0.02*40487)</f>
        <v>359.88444444444445</v>
      </c>
      <c r="D32" s="341">
        <v>1</v>
      </c>
      <c r="E32" s="225">
        <f t="shared" si="7"/>
        <v>359.88444444444445</v>
      </c>
      <c r="F32" s="370">
        <v>1</v>
      </c>
      <c r="G32" s="225">
        <f t="shared" si="8"/>
        <v>359.88444444444445</v>
      </c>
      <c r="H32" s="371">
        <v>340</v>
      </c>
      <c r="I32" s="341">
        <f>(4/9)*(0.02*110)</f>
        <v>0.97777777777777786</v>
      </c>
      <c r="J32" s="450">
        <f>G32-H32-I32</f>
        <v>18.906666666666677</v>
      </c>
      <c r="K32" s="341">
        <f t="shared" si="9"/>
        <v>19.884444444444455</v>
      </c>
      <c r="L32" s="261" t="s">
        <v>257</v>
      </c>
    </row>
    <row r="33" spans="1:14" s="163" customFormat="1" ht="42.75">
      <c r="A33" s="239" t="s">
        <v>171</v>
      </c>
      <c r="B33" s="231" t="s">
        <v>82</v>
      </c>
      <c r="C33" s="402">
        <v>40487</v>
      </c>
      <c r="D33" s="341">
        <v>1</v>
      </c>
      <c r="E33" s="225">
        <f>C33*D33</f>
        <v>40487</v>
      </c>
      <c r="F33" s="370">
        <v>2</v>
      </c>
      <c r="G33" s="225">
        <f>E33*F33</f>
        <v>80974</v>
      </c>
      <c r="H33" s="371">
        <v>74534</v>
      </c>
      <c r="I33" s="341">
        <f>110*2</f>
        <v>220</v>
      </c>
      <c r="J33" s="450">
        <f>G33-H33-I33</f>
        <v>6220</v>
      </c>
      <c r="K33" s="341">
        <f t="shared" si="9"/>
        <v>6440</v>
      </c>
      <c r="L33" s="261" t="s">
        <v>245</v>
      </c>
    </row>
    <row r="34" spans="1:14" s="163" customFormat="1" ht="43.5" thickBot="1">
      <c r="A34" s="239" t="s">
        <v>247</v>
      </c>
      <c r="B34" s="231" t="s">
        <v>248</v>
      </c>
      <c r="C34" s="402">
        <v>110</v>
      </c>
      <c r="D34" s="341">
        <v>1</v>
      </c>
      <c r="E34" s="225">
        <f>C34*D34</f>
        <v>110</v>
      </c>
      <c r="F34" s="370">
        <v>50</v>
      </c>
      <c r="G34" s="225">
        <f>E34*F34</f>
        <v>5500</v>
      </c>
      <c r="H34" s="371">
        <v>0</v>
      </c>
      <c r="I34" s="341">
        <f>G34-H34</f>
        <v>5500</v>
      </c>
      <c r="J34" s="450">
        <v>0</v>
      </c>
      <c r="K34" s="341">
        <f>G34-H34</f>
        <v>5500</v>
      </c>
      <c r="L34" s="261" t="s">
        <v>258</v>
      </c>
      <c r="M34" s="157"/>
      <c r="N34" s="157"/>
    </row>
    <row r="35" spans="1:14" ht="15.75" thickBot="1">
      <c r="A35" s="550" t="s">
        <v>181</v>
      </c>
      <c r="B35" s="550"/>
      <c r="C35" s="13">
        <f>C33</f>
        <v>40487</v>
      </c>
      <c r="D35" s="350">
        <f>+E35/C35</f>
        <v>2.4012728639920087</v>
      </c>
      <c r="E35" s="351">
        <f>SUM(E27:E34)</f>
        <v>97220.334444444452</v>
      </c>
      <c r="F35" s="204">
        <f>+G35/E35</f>
        <v>1.4747314259279161</v>
      </c>
      <c r="G35" s="349">
        <f>SUM(G27:G34)</f>
        <v>143373.88244444446</v>
      </c>
      <c r="H35" s="352">
        <f>SUM(H27:H34)</f>
        <v>259448.58400000003</v>
      </c>
      <c r="I35" s="204">
        <f>SUM(I27:I34)</f>
        <v>-126373.63222222225</v>
      </c>
      <c r="J35" s="353">
        <f>SUM(J27:J34)</f>
        <v>10298.930666666667</v>
      </c>
      <c r="K35" s="350">
        <f>SUM(K27:K34)</f>
        <v>-116074.70155555554</v>
      </c>
      <c r="L35" s="172"/>
    </row>
    <row r="36" spans="1:14" ht="15.75" thickBot="1">
      <c r="A36" s="580" t="s">
        <v>182</v>
      </c>
      <c r="B36" s="580"/>
      <c r="C36" s="203">
        <f>SUM(C21,C25,C35)</f>
        <v>3392908.4999999995</v>
      </c>
      <c r="D36" s="207">
        <f>E36/C36</f>
        <v>0.28229619530877659</v>
      </c>
      <c r="E36" s="203">
        <f>SUM(E21,E25,E35)</f>
        <v>957805.16058080806</v>
      </c>
      <c r="F36" s="348">
        <f>+G36/E36</f>
        <v>0.72526010884237602</v>
      </c>
      <c r="G36" s="203">
        <f>SUM(G21+G25+G35)</f>
        <v>694657.87501262629</v>
      </c>
      <c r="H36" s="205">
        <f>SUM(H35+H25+H21)</f>
        <v>2678721.9324269658</v>
      </c>
      <c r="I36" s="203">
        <f>SUM(I21,I25,I35)</f>
        <v>-1588220.9863041937</v>
      </c>
      <c r="J36" s="203">
        <f>J35+J25+J21</f>
        <v>-395843.07111014653</v>
      </c>
      <c r="K36" s="197">
        <f>K35+K25+K21</f>
        <v>-1984064.0574143399</v>
      </c>
      <c r="L36" s="177"/>
    </row>
    <row r="37" spans="1:14" ht="15">
      <c r="A37" s="541" t="s">
        <v>183</v>
      </c>
      <c r="B37" s="551"/>
      <c r="C37" s="551"/>
      <c r="D37" s="551"/>
      <c r="E37" s="551"/>
      <c r="F37" s="551"/>
      <c r="G37" s="551"/>
      <c r="H37" s="551"/>
      <c r="I37" s="551"/>
      <c r="J37" s="551"/>
      <c r="K37" s="551"/>
      <c r="L37" s="552"/>
    </row>
    <row r="38" spans="1:14" ht="15">
      <c r="A38" s="553" t="s">
        <v>15</v>
      </c>
      <c r="B38" s="554"/>
      <c r="C38" s="554"/>
      <c r="D38" s="554"/>
      <c r="E38" s="554"/>
      <c r="F38" s="554"/>
      <c r="G38" s="554"/>
      <c r="H38" s="554"/>
      <c r="I38" s="554"/>
      <c r="J38" s="554"/>
      <c r="K38" s="554"/>
      <c r="L38" s="555"/>
    </row>
    <row r="39" spans="1:14" s="163" customFormat="1" ht="46.5" customHeight="1">
      <c r="A39" s="237" t="s">
        <v>191</v>
      </c>
      <c r="B39" s="223" t="s">
        <v>166</v>
      </c>
      <c r="C39" s="224">
        <v>88</v>
      </c>
      <c r="D39" s="224">
        <f>((40487*0.33)/88)</f>
        <v>151.82625000000002</v>
      </c>
      <c r="E39" s="225">
        <f t="shared" ref="E39:E43" si="11">C39*D39</f>
        <v>13360.710000000001</v>
      </c>
      <c r="F39" s="233">
        <v>1</v>
      </c>
      <c r="G39" s="225">
        <f t="shared" ref="G39:G43" si="12">E39*F39</f>
        <v>13360.710000000001</v>
      </c>
      <c r="H39" s="227">
        <v>12298.11</v>
      </c>
      <c r="I39" s="224">
        <f>110*(0.33)</f>
        <v>36.300000000000004</v>
      </c>
      <c r="J39" s="224">
        <f>G39-H39-I39</f>
        <v>1026.3000000000004</v>
      </c>
      <c r="K39" s="224">
        <f>SUM(I39:J39)</f>
        <v>1062.6000000000004</v>
      </c>
      <c r="L39" s="236" t="s">
        <v>259</v>
      </c>
    </row>
    <row r="40" spans="1:14" s="163" customFormat="1" ht="42.75">
      <c r="A40" s="237" t="s">
        <v>169</v>
      </c>
      <c r="B40" s="223" t="s">
        <v>170</v>
      </c>
      <c r="C40" s="224">
        <f>4</f>
        <v>4</v>
      </c>
      <c r="D40" s="224">
        <f>(40487*0.02)/9</f>
        <v>89.971111111111114</v>
      </c>
      <c r="E40" s="225">
        <f>C40*D40</f>
        <v>359.88444444444445</v>
      </c>
      <c r="F40" s="233">
        <v>1</v>
      </c>
      <c r="G40" s="225">
        <f t="shared" si="12"/>
        <v>359.88444444444445</v>
      </c>
      <c r="H40" s="227">
        <v>389.20000000000005</v>
      </c>
      <c r="I40" s="400">
        <f>110*0.02*(4/9)</f>
        <v>0.97777777777777786</v>
      </c>
      <c r="J40" s="224">
        <f>G40-H40-I40</f>
        <v>-30.293333333333369</v>
      </c>
      <c r="K40" s="224">
        <f>SUM(I40:J40)</f>
        <v>-29.315555555555591</v>
      </c>
      <c r="L40" s="261" t="s">
        <v>260</v>
      </c>
      <c r="M40" s="367"/>
    </row>
    <row r="41" spans="1:14" s="163" customFormat="1" ht="42.75">
      <c r="A41" s="238" t="s">
        <v>194</v>
      </c>
      <c r="B41" s="223" t="s">
        <v>195</v>
      </c>
      <c r="C41" s="224">
        <v>88</v>
      </c>
      <c r="D41" s="224">
        <f>(40487/88)*0.05</f>
        <v>23.003977272727273</v>
      </c>
      <c r="E41" s="225">
        <f t="shared" si="11"/>
        <v>2024.35</v>
      </c>
      <c r="F41" s="233">
        <v>0.5</v>
      </c>
      <c r="G41" s="225">
        <f t="shared" si="12"/>
        <v>1012.175</v>
      </c>
      <c r="H41" s="227">
        <v>931.68</v>
      </c>
      <c r="I41" s="224">
        <f>110*0.05*F41</f>
        <v>2.75</v>
      </c>
      <c r="J41" s="400">
        <f>G41-H41-I41</f>
        <v>77.745000000000005</v>
      </c>
      <c r="K41" s="224">
        <f>SUM(I41:J41)</f>
        <v>80.495000000000005</v>
      </c>
      <c r="L41" s="261" t="s">
        <v>245</v>
      </c>
    </row>
    <row r="42" spans="1:14" s="163" customFormat="1" ht="42.75">
      <c r="A42" s="238" t="s">
        <v>196</v>
      </c>
      <c r="B42" s="223" t="s">
        <v>197</v>
      </c>
      <c r="C42" s="224">
        <v>88</v>
      </c>
      <c r="D42" s="224">
        <f>(40487/88)*0.05</f>
        <v>23.003977272727273</v>
      </c>
      <c r="E42" s="225">
        <f t="shared" si="11"/>
        <v>2024.35</v>
      </c>
      <c r="F42" s="233">
        <v>2</v>
      </c>
      <c r="G42" s="225">
        <f t="shared" si="12"/>
        <v>4048.7</v>
      </c>
      <c r="H42" s="227">
        <v>3726.7</v>
      </c>
      <c r="I42" s="224">
        <f>110*0.05*F42</f>
        <v>11</v>
      </c>
      <c r="J42" s="400">
        <f>G42-H42-I42</f>
        <v>311</v>
      </c>
      <c r="K42" s="224">
        <f>SUM(I42:J42)</f>
        <v>322</v>
      </c>
      <c r="L42" s="261" t="s">
        <v>245</v>
      </c>
    </row>
    <row r="43" spans="1:14" s="163" customFormat="1" ht="43.5" thickBot="1">
      <c r="A43" s="238" t="s">
        <v>91</v>
      </c>
      <c r="B43" s="223" t="s">
        <v>198</v>
      </c>
      <c r="C43" s="224">
        <v>88</v>
      </c>
      <c r="D43" s="224">
        <f>(40487*0.028)/88</f>
        <v>12.882227272727272</v>
      </c>
      <c r="E43" s="225">
        <f t="shared" si="11"/>
        <v>1133.636</v>
      </c>
      <c r="F43" s="233">
        <v>1</v>
      </c>
      <c r="G43" s="225">
        <f t="shared" si="12"/>
        <v>1133.636</v>
      </c>
      <c r="H43" s="227">
        <v>1048</v>
      </c>
      <c r="I43" s="224">
        <f>110*0.028</f>
        <v>3.08</v>
      </c>
      <c r="J43" s="400">
        <f>G43-H43-I43</f>
        <v>82.555999999999969</v>
      </c>
      <c r="K43" s="224">
        <f>SUM(I43:J43)</f>
        <v>85.635999999999967</v>
      </c>
      <c r="L43" s="261" t="s">
        <v>245</v>
      </c>
      <c r="M43" s="157"/>
      <c r="N43" s="157"/>
    </row>
    <row r="44" spans="1:14" ht="16.5" customHeight="1">
      <c r="A44" s="549" t="s">
        <v>208</v>
      </c>
      <c r="B44" s="549"/>
      <c r="C44" s="212">
        <v>88</v>
      </c>
      <c r="D44" s="213">
        <f>+E44/C44</f>
        <v>214.80602777777776</v>
      </c>
      <c r="E44" s="413">
        <f>SUM(E39:E43)</f>
        <v>18902.930444444442</v>
      </c>
      <c r="F44" s="213">
        <f>+G44/E44</f>
        <v>1.0535459305092814</v>
      </c>
      <c r="G44" s="413">
        <f>SUM(G39:G43)</f>
        <v>19915.105444444442</v>
      </c>
      <c r="H44" s="448">
        <f>SUM(H39:H43)</f>
        <v>18393.690000000002</v>
      </c>
      <c r="I44" s="414">
        <f>SUM(I39:I43)</f>
        <v>54.107777777777784</v>
      </c>
      <c r="J44" s="414">
        <f>SUM(J39:J43)</f>
        <v>1467.307666666667</v>
      </c>
      <c r="K44" s="414">
        <f>SUM(K39:K43)</f>
        <v>1521.4154444444448</v>
      </c>
      <c r="L44" s="415"/>
    </row>
    <row r="45" spans="1:14" ht="15" customHeight="1" thickBot="1">
      <c r="A45" s="575" t="s">
        <v>161</v>
      </c>
      <c r="B45" s="576"/>
      <c r="C45" s="576"/>
      <c r="D45" s="576"/>
      <c r="E45" s="576"/>
      <c r="F45" s="576"/>
      <c r="G45" s="576"/>
      <c r="H45" s="576"/>
      <c r="I45" s="576"/>
      <c r="J45" s="576"/>
      <c r="K45" s="576"/>
      <c r="L45" s="577"/>
      <c r="M45"/>
    </row>
    <row r="46" spans="1:14" s="163" customFormat="1" ht="43.5" thickBot="1">
      <c r="A46" s="237" t="s">
        <v>209</v>
      </c>
      <c r="B46" s="223" t="s">
        <v>210</v>
      </c>
      <c r="C46" s="224">
        <v>40487</v>
      </c>
      <c r="D46" s="224">
        <v>1</v>
      </c>
      <c r="E46" s="225">
        <f t="shared" ref="E46" si="13">C46*D46</f>
        <v>40487</v>
      </c>
      <c r="F46" s="233">
        <v>0.16700000000000001</v>
      </c>
      <c r="G46" s="225">
        <f t="shared" ref="G46" si="14">E46*F46</f>
        <v>6761.3290000000006</v>
      </c>
      <c r="H46" s="227">
        <v>6223.59</v>
      </c>
      <c r="I46" s="401">
        <f>110*F46</f>
        <v>18.37</v>
      </c>
      <c r="J46" s="453">
        <f>G46-H46-I46</f>
        <v>519.36900000000048</v>
      </c>
      <c r="K46" s="401">
        <f>SUM(I46:J46)</f>
        <v>537.73900000000049</v>
      </c>
      <c r="L46" s="261" t="s">
        <v>245</v>
      </c>
    </row>
    <row r="47" spans="1:14" ht="27" customHeight="1" thickBot="1">
      <c r="A47" s="550" t="s">
        <v>211</v>
      </c>
      <c r="B47" s="550"/>
      <c r="C47" s="13">
        <f>C46</f>
        <v>40487</v>
      </c>
      <c r="D47" s="33">
        <f>E47/C47</f>
        <v>1</v>
      </c>
      <c r="E47" s="13">
        <f>SUM(E46:E46)</f>
        <v>40487</v>
      </c>
      <c r="F47" s="33">
        <f>G47/E47</f>
        <v>0.16700000000000001</v>
      </c>
      <c r="G47" s="13">
        <f>SUM(G46:G46)</f>
        <v>6761.3290000000006</v>
      </c>
      <c r="H47" s="14">
        <f>SUM(H46:H46)</f>
        <v>6223.59</v>
      </c>
      <c r="I47" s="34">
        <f>SUM(I46:I46)</f>
        <v>18.37</v>
      </c>
      <c r="J47" s="34">
        <f>SUM(J46:J46)</f>
        <v>519.36900000000048</v>
      </c>
      <c r="K47" s="34">
        <f>SUM(K46:K46)</f>
        <v>537.73900000000049</v>
      </c>
      <c r="L47" s="185"/>
    </row>
    <row r="48" spans="1:14" ht="15">
      <c r="A48" s="550" t="s">
        <v>212</v>
      </c>
      <c r="B48" s="560"/>
      <c r="C48" s="13">
        <f>C47+C44</f>
        <v>40575</v>
      </c>
      <c r="D48" s="33">
        <f>+E48/C48</f>
        <v>1.4637074662832887</v>
      </c>
      <c r="E48" s="13">
        <f>E47+E44</f>
        <v>59389.930444444442</v>
      </c>
      <c r="F48" s="33">
        <f>G48/E48</f>
        <v>0.44917436752007273</v>
      </c>
      <c r="G48" s="13">
        <f>G47+G44</f>
        <v>26676.434444444443</v>
      </c>
      <c r="H48" s="14">
        <f>H47+H44</f>
        <v>24617.280000000002</v>
      </c>
      <c r="I48" s="34">
        <f>I47+I44</f>
        <v>72.477777777777789</v>
      </c>
      <c r="J48" s="34">
        <f>J47+J44</f>
        <v>1986.6766666666676</v>
      </c>
      <c r="K48" s="34">
        <f>K47+K44</f>
        <v>2059.1544444444453</v>
      </c>
      <c r="L48" s="185"/>
    </row>
    <row r="49" spans="1:12" ht="36" customHeight="1">
      <c r="A49" s="564" t="s">
        <v>218</v>
      </c>
      <c r="B49" s="565"/>
      <c r="C49" s="16">
        <f>C21+C25+C35</f>
        <v>3392908.4999999995</v>
      </c>
      <c r="D49" s="28">
        <f>E49/C49</f>
        <v>0.29980033090348668</v>
      </c>
      <c r="E49" s="16">
        <f>E48+E36</f>
        <v>1017195.0910252525</v>
      </c>
      <c r="F49" s="28">
        <f>G49/E49</f>
        <v>0.70914057275878384</v>
      </c>
      <c r="G49" s="16">
        <f>G48+G36</f>
        <v>721334.30945707078</v>
      </c>
      <c r="H49" s="95">
        <f>H48+H36</f>
        <v>2703339.2124269656</v>
      </c>
      <c r="I49" s="16">
        <f>I48+I36</f>
        <v>-1588148.508526416</v>
      </c>
      <c r="J49" s="16">
        <f>J48+J36</f>
        <v>-393856.39444347983</v>
      </c>
      <c r="K49" s="198">
        <f>K48+K36</f>
        <v>-1982004.9029698954</v>
      </c>
      <c r="L49" s="186"/>
    </row>
    <row r="51" spans="1:12" ht="15.75" thickBot="1">
      <c r="A51" s="566" t="s">
        <v>219</v>
      </c>
      <c r="B51" s="567"/>
      <c r="C51" s="567"/>
      <c r="D51" s="568"/>
    </row>
    <row r="52" spans="1:12" ht="15">
      <c r="A52" s="569" t="s">
        <v>220</v>
      </c>
      <c r="B52" s="570"/>
      <c r="C52" s="571">
        <f>+C36</f>
        <v>3392908.4999999995</v>
      </c>
      <c r="D52" s="572"/>
      <c r="E52" s="31"/>
      <c r="F52" s="62"/>
      <c r="H52" s="338"/>
      <c r="K52" s="35"/>
      <c r="L52" s="365"/>
    </row>
    <row r="53" spans="1:12" ht="15">
      <c r="A53" s="556" t="s">
        <v>221</v>
      </c>
      <c r="B53" s="557"/>
      <c r="C53" s="558">
        <f>+C54/C52</f>
        <v>0.28229619530877659</v>
      </c>
      <c r="D53" s="559"/>
      <c r="F53" s="62"/>
      <c r="G53" s="338"/>
      <c r="H53" s="446"/>
      <c r="J53" s="35"/>
      <c r="K53" s="35"/>
      <c r="L53" s="365"/>
    </row>
    <row r="54" spans="1:12" ht="15">
      <c r="A54" s="569" t="s">
        <v>222</v>
      </c>
      <c r="B54" s="570"/>
      <c r="C54" s="571">
        <f>+E36</f>
        <v>957805.16058080806</v>
      </c>
      <c r="D54" s="572"/>
      <c r="F54" s="338"/>
      <c r="H54" s="338"/>
      <c r="L54" s="365"/>
    </row>
    <row r="55" spans="1:12" ht="15.75" thickBot="1">
      <c r="A55" s="569" t="s">
        <v>223</v>
      </c>
      <c r="B55" s="570"/>
      <c r="C55" s="558">
        <f>+C56/C54</f>
        <v>0.72526010884237602</v>
      </c>
      <c r="D55" s="559"/>
      <c r="F55" s="444"/>
      <c r="G55" s="338"/>
      <c r="H55" s="338"/>
      <c r="K55" s="35"/>
      <c r="L55" s="365"/>
    </row>
    <row r="56" spans="1:12" ht="15.75" thickBot="1">
      <c r="A56" s="569" t="s">
        <v>224</v>
      </c>
      <c r="B56" s="570"/>
      <c r="C56" s="571">
        <f>+G36</f>
        <v>694657.87501262629</v>
      </c>
      <c r="D56" s="572"/>
      <c r="F56" s="90"/>
      <c r="H56" s="338"/>
      <c r="K56" s="35"/>
    </row>
    <row r="57" spans="1:12" ht="15" customHeight="1" thickBot="1">
      <c r="A57" s="569" t="s">
        <v>225</v>
      </c>
      <c r="B57" s="570"/>
      <c r="C57" s="571">
        <f>H36</f>
        <v>2678721.9324269658</v>
      </c>
      <c r="D57" s="572"/>
      <c r="G57" s="35"/>
    </row>
    <row r="58" spans="1:12" ht="15" customHeight="1" thickBot="1">
      <c r="A58" s="573" t="s">
        <v>226</v>
      </c>
      <c r="B58" s="574"/>
      <c r="C58" s="571">
        <f>C56-C57</f>
        <v>-1984064.0574143394</v>
      </c>
      <c r="D58" s="572"/>
      <c r="F58" s="35"/>
      <c r="I58" s="361"/>
    </row>
    <row r="59" spans="1:12" ht="15" customHeight="1" thickBot="1">
      <c r="G59" s="338"/>
      <c r="I59" s="361"/>
      <c r="J59" s="364"/>
    </row>
    <row r="60" spans="1:12" ht="15" customHeight="1" thickBot="1">
      <c r="A60" s="566" t="s">
        <v>227</v>
      </c>
      <c r="B60" s="567"/>
      <c r="C60" s="567"/>
      <c r="D60" s="568"/>
      <c r="G60" s="338"/>
      <c r="J60" s="364"/>
      <c r="K60" s="35"/>
    </row>
    <row r="61" spans="1:12" ht="15" customHeight="1" thickBot="1">
      <c r="A61" s="569" t="s">
        <v>228</v>
      </c>
      <c r="B61" s="570"/>
      <c r="C61" s="571">
        <f>+C48</f>
        <v>40575</v>
      </c>
      <c r="D61" s="572"/>
      <c r="G61" s="338"/>
      <c r="H61" s="363"/>
      <c r="I61" s="363"/>
      <c r="K61" s="364"/>
    </row>
    <row r="62" spans="1:12" ht="15" customHeight="1">
      <c r="A62" s="556" t="s">
        <v>221</v>
      </c>
      <c r="B62" s="557"/>
      <c r="C62" s="558">
        <f>+C63/C61</f>
        <v>1.4637074662832887</v>
      </c>
      <c r="D62" s="559"/>
      <c r="G62" s="31"/>
      <c r="H62" s="326"/>
      <c r="I62" s="362"/>
    </row>
    <row r="63" spans="1:12" ht="15">
      <c r="A63" s="569" t="s">
        <v>222</v>
      </c>
      <c r="B63" s="570"/>
      <c r="C63" s="571">
        <f>+E48</f>
        <v>59389.930444444442</v>
      </c>
      <c r="D63" s="572"/>
      <c r="F63" s="326"/>
      <c r="G63" s="338"/>
    </row>
    <row r="64" spans="1:12" ht="15">
      <c r="A64" s="569" t="s">
        <v>223</v>
      </c>
      <c r="B64" s="570"/>
      <c r="C64" s="558">
        <f>+C65/C63</f>
        <v>0.44917436752007273</v>
      </c>
      <c r="D64" s="559"/>
    </row>
    <row r="65" spans="1:7" ht="15.75" thickBot="1">
      <c r="A65" s="569" t="s">
        <v>224</v>
      </c>
      <c r="B65" s="570"/>
      <c r="C65" s="571">
        <f>+G48</f>
        <v>26676.434444444443</v>
      </c>
      <c r="D65" s="572"/>
    </row>
    <row r="66" spans="1:7" ht="15">
      <c r="A66" s="569" t="s">
        <v>225</v>
      </c>
      <c r="B66" s="570"/>
      <c r="C66" s="571">
        <f>+H48</f>
        <v>24617.280000000002</v>
      </c>
      <c r="D66" s="572"/>
      <c r="F66" s="338"/>
      <c r="G66" s="338"/>
    </row>
    <row r="67" spans="1:7" ht="15">
      <c r="A67" s="573" t="s">
        <v>226</v>
      </c>
      <c r="B67" s="574"/>
      <c r="C67" s="571">
        <f>C65-C66</f>
        <v>2059.1544444444407</v>
      </c>
      <c r="D67" s="572"/>
    </row>
    <row r="69" spans="1:7" ht="15">
      <c r="A69" s="522"/>
      <c r="B69" s="190"/>
      <c r="C69" s="366"/>
      <c r="D69" s="521"/>
    </row>
    <row r="70" spans="1:7" ht="15">
      <c r="A70" s="566" t="s">
        <v>230</v>
      </c>
      <c r="B70" s="567"/>
      <c r="C70" s="567"/>
      <c r="D70" s="568"/>
    </row>
    <row r="71" spans="1:7" ht="15">
      <c r="A71" s="569" t="s">
        <v>231</v>
      </c>
      <c r="B71" s="570"/>
      <c r="C71" s="571">
        <f>E49</f>
        <v>1017195.0910252525</v>
      </c>
      <c r="D71" s="572"/>
    </row>
    <row r="72" spans="1:7" ht="15">
      <c r="A72" s="569" t="s">
        <v>232</v>
      </c>
      <c r="B72" s="570"/>
      <c r="C72" s="520"/>
      <c r="D72" s="521">
        <f>G49</f>
        <v>721334.30945707078</v>
      </c>
    </row>
    <row r="73" spans="1:7" ht="15">
      <c r="A73" s="569" t="s">
        <v>225</v>
      </c>
      <c r="B73" s="570"/>
      <c r="C73" s="571">
        <f>H49</f>
        <v>2703339.2124269656</v>
      </c>
      <c r="D73" s="572"/>
    </row>
    <row r="74" spans="1:7" ht="15">
      <c r="A74" s="573" t="s">
        <v>226</v>
      </c>
      <c r="B74" s="574"/>
      <c r="C74" s="571">
        <f>D72-C73</f>
        <v>-1982004.9029698949</v>
      </c>
      <c r="D74" s="572"/>
    </row>
  </sheetData>
  <mergeCells count="54">
    <mergeCell ref="A67:B67"/>
    <mergeCell ref="C67:D67"/>
    <mergeCell ref="A74:B74"/>
    <mergeCell ref="C74:D74"/>
    <mergeCell ref="A70:D70"/>
    <mergeCell ref="A71:B71"/>
    <mergeCell ref="C71:D71"/>
    <mergeCell ref="A72:B72"/>
    <mergeCell ref="A73:B73"/>
    <mergeCell ref="C73:D73"/>
    <mergeCell ref="A64:B64"/>
    <mergeCell ref="C64:D64"/>
    <mergeCell ref="A65:B65"/>
    <mergeCell ref="C65:D65"/>
    <mergeCell ref="A66:B66"/>
    <mergeCell ref="C66:D66"/>
    <mergeCell ref="A61:B61"/>
    <mergeCell ref="C61:D61"/>
    <mergeCell ref="A62:B62"/>
    <mergeCell ref="C62:D62"/>
    <mergeCell ref="A63:B63"/>
    <mergeCell ref="C63:D63"/>
    <mergeCell ref="A57:B57"/>
    <mergeCell ref="C57:D57"/>
    <mergeCell ref="A58:B58"/>
    <mergeCell ref="C58:D58"/>
    <mergeCell ref="A60:D60"/>
    <mergeCell ref="A54:B54"/>
    <mergeCell ref="C54:D54"/>
    <mergeCell ref="A55:B55"/>
    <mergeCell ref="C55:D55"/>
    <mergeCell ref="A56:B56"/>
    <mergeCell ref="C56:D56"/>
    <mergeCell ref="A51:D51"/>
    <mergeCell ref="A52:B52"/>
    <mergeCell ref="C52:D52"/>
    <mergeCell ref="A53:B53"/>
    <mergeCell ref="C53:D53"/>
    <mergeCell ref="A49:B49"/>
    <mergeCell ref="A38:L38"/>
    <mergeCell ref="A44:B44"/>
    <mergeCell ref="A47:B47"/>
    <mergeCell ref="A48:B48"/>
    <mergeCell ref="A45:L45"/>
    <mergeCell ref="A25:B25"/>
    <mergeCell ref="A26:L26"/>
    <mergeCell ref="A35:B35"/>
    <mergeCell ref="A36:B36"/>
    <mergeCell ref="A37:L37"/>
    <mergeCell ref="A1:L1"/>
    <mergeCell ref="A3:L3"/>
    <mergeCell ref="A4:L4"/>
    <mergeCell ref="A21:B21"/>
    <mergeCell ref="A22:L2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6DF58-056C-45CC-9996-3476F32A15E5}">
  <dimension ref="A1:F29"/>
  <sheetViews>
    <sheetView workbookViewId="0">
      <selection activeCell="A2" sqref="A2"/>
    </sheetView>
  </sheetViews>
  <sheetFormatPr defaultColWidth="15.28515625" defaultRowHeight="14.25"/>
  <cols>
    <col min="1" max="1" width="16.7109375" style="10" customWidth="1"/>
    <col min="2" max="5" width="15.42578125" style="10" bestFit="1" customWidth="1"/>
    <col min="6" max="6" width="16.140625" style="10" bestFit="1" customWidth="1"/>
    <col min="7" max="16384" width="15.28515625" style="10"/>
  </cols>
  <sheetData>
    <row r="1" spans="1:6" ht="15">
      <c r="A1" s="512" t="s">
        <v>261</v>
      </c>
    </row>
    <row r="2" spans="1:6" ht="45">
      <c r="A2" s="326" t="s">
        <v>262</v>
      </c>
      <c r="B2" s="326" t="s">
        <v>235</v>
      </c>
      <c r="C2" s="326" t="s">
        <v>263</v>
      </c>
      <c r="D2" s="326" t="s">
        <v>264</v>
      </c>
      <c r="E2" s="326" t="s">
        <v>265</v>
      </c>
      <c r="F2" s="326" t="s">
        <v>266</v>
      </c>
    </row>
    <row r="3" spans="1:6" ht="30">
      <c r="A3" s="326" t="s">
        <v>267</v>
      </c>
      <c r="B3" s="164">
        <f>SUM('Final Rule ICR Only'!G21,'Final Rule ICR Only'!G44)</f>
        <v>171204.75994444443</v>
      </c>
      <c r="C3" s="410">
        <v>36.71</v>
      </c>
      <c r="D3" s="364">
        <f>C3*B3</f>
        <v>6284926.7375605553</v>
      </c>
      <c r="E3" s="364">
        <f>D3*0.33</f>
        <v>2074025.8233949833</v>
      </c>
      <c r="F3" s="364">
        <f>E3+D3</f>
        <v>8358952.5609555384</v>
      </c>
    </row>
    <row r="4" spans="1:6" ht="15">
      <c r="A4" s="326" t="s">
        <v>268</v>
      </c>
      <c r="B4" s="164">
        <f>SUM('Final Rule ICR Only'!G35,'Final Rule ICR Only'!G47)</f>
        <v>150135.21144444446</v>
      </c>
      <c r="C4" s="410">
        <v>18.52</v>
      </c>
      <c r="D4" s="364">
        <f t="shared" ref="D4:D5" si="0">C4*B4</f>
        <v>2780504.1159511115</v>
      </c>
      <c r="E4" s="364">
        <f t="shared" ref="E4" si="1">D4*0.33</f>
        <v>917566.35826386686</v>
      </c>
      <c r="F4" s="364">
        <f t="shared" ref="F4:F5" si="2">E4+D4</f>
        <v>3698070.4742149785</v>
      </c>
    </row>
    <row r="5" spans="1:6" ht="15">
      <c r="A5" s="326" t="s">
        <v>269</v>
      </c>
      <c r="B5" s="164">
        <f>SUM('Final Rule ICR Only'!G25)</f>
        <v>399994.33806818177</v>
      </c>
      <c r="C5" s="410">
        <v>7.25</v>
      </c>
      <c r="D5" s="364">
        <f t="shared" si="0"/>
        <v>2899958.9509943179</v>
      </c>
      <c r="E5" s="364">
        <f>D5*0.33</f>
        <v>956986.45382812491</v>
      </c>
      <c r="F5" s="364">
        <f t="shared" si="2"/>
        <v>3856945.4048224427</v>
      </c>
    </row>
    <row r="6" spans="1:6" ht="15">
      <c r="A6" s="326" t="s">
        <v>270</v>
      </c>
      <c r="B6" s="164">
        <f>SUM(B3:B5)</f>
        <v>721334.30945707066</v>
      </c>
      <c r="C6" s="411"/>
      <c r="D6" s="411"/>
      <c r="E6" s="411"/>
      <c r="F6" s="364">
        <f>SUM(F3:F5)</f>
        <v>15913968.439992961</v>
      </c>
    </row>
    <row r="8" spans="1:6" ht="15.75" thickBot="1">
      <c r="A8" s="525" t="s">
        <v>271</v>
      </c>
      <c r="B8" s="526"/>
      <c r="C8" s="526"/>
      <c r="D8" s="526"/>
      <c r="E8" s="526"/>
    </row>
    <row r="9" spans="1:6" ht="15">
      <c r="A9" s="527" t="s">
        <v>272</v>
      </c>
      <c r="B9" s="528">
        <v>35.659999999999997</v>
      </c>
      <c r="C9" s="526"/>
      <c r="D9" s="529" t="s">
        <v>273</v>
      </c>
      <c r="E9" s="528">
        <v>89599.47</v>
      </c>
    </row>
    <row r="10" spans="1:6" ht="15">
      <c r="A10" s="530" t="s">
        <v>274</v>
      </c>
      <c r="B10" s="531">
        <v>42.74</v>
      </c>
      <c r="C10" s="526"/>
      <c r="D10" s="532" t="s">
        <v>275</v>
      </c>
      <c r="E10" s="531">
        <v>29567.82</v>
      </c>
    </row>
    <row r="11" spans="1:6" ht="15.75" thickBot="1">
      <c r="A11" s="530" t="s">
        <v>276</v>
      </c>
      <c r="B11" s="531">
        <v>50.83</v>
      </c>
      <c r="C11" s="526"/>
      <c r="D11" s="533" t="s">
        <v>277</v>
      </c>
      <c r="E11" s="534">
        <v>119167.29</v>
      </c>
    </row>
    <row r="12" spans="1:6" ht="15.75" thickBot="1">
      <c r="A12" s="535" t="s">
        <v>278</v>
      </c>
      <c r="B12" s="536">
        <v>43.08</v>
      </c>
      <c r="C12" s="526"/>
      <c r="D12" s="526"/>
      <c r="E12" s="526"/>
    </row>
    <row r="13" spans="1:6" ht="15">
      <c r="A13" s="526" t="s">
        <v>279</v>
      </c>
      <c r="B13" s="526"/>
      <c r="C13" s="526"/>
      <c r="D13" s="526"/>
      <c r="E13" s="526"/>
    </row>
    <row r="14" spans="1:6" ht="15">
      <c r="A14" s="647" t="s">
        <v>280</v>
      </c>
      <c r="B14" s="526"/>
      <c r="C14" s="526"/>
      <c r="D14" s="526"/>
      <c r="E14" s="526"/>
    </row>
    <row r="15" spans="1:6" ht="15">
      <c r="B15" s="526"/>
      <c r="C15" s="526"/>
      <c r="D15" s="526"/>
      <c r="E15" s="526"/>
    </row>
    <row r="17" spans="1:3" ht="15">
      <c r="A17" s="512" t="s">
        <v>281</v>
      </c>
    </row>
    <row r="19" spans="1:3" ht="15">
      <c r="A19" s="326" t="s">
        <v>282</v>
      </c>
      <c r="B19" s="164">
        <f>40*52</f>
        <v>2080</v>
      </c>
    </row>
    <row r="20" spans="1:3" ht="15">
      <c r="A20" s="326" t="s">
        <v>283</v>
      </c>
      <c r="B20" s="537">
        <f>B12</f>
        <v>43.08</v>
      </c>
    </row>
    <row r="21" spans="1:3" ht="15">
      <c r="A21" s="326" t="s">
        <v>284</v>
      </c>
      <c r="B21" s="364">
        <f>B19*B20</f>
        <v>89606.399999999994</v>
      </c>
    </row>
    <row r="22" spans="1:3" ht="15">
      <c r="A22" s="326" t="s">
        <v>265</v>
      </c>
      <c r="B22" s="364">
        <f>B21*0.33</f>
        <v>29570.112000000001</v>
      </c>
    </row>
    <row r="23" spans="1:3" ht="15">
      <c r="A23" s="326" t="s">
        <v>285</v>
      </c>
      <c r="B23" s="364">
        <f>SUM(B21:B22)</f>
        <v>119176.51199999999</v>
      </c>
    </row>
    <row r="24" spans="1:3" ht="15">
      <c r="A24" s="326" t="s">
        <v>286</v>
      </c>
      <c r="B24" s="10">
        <v>19</v>
      </c>
    </row>
    <row r="25" spans="1:3" ht="15">
      <c r="A25" s="326" t="s">
        <v>287</v>
      </c>
      <c r="B25" s="364">
        <f>B23*B24</f>
        <v>2264353.7279999997</v>
      </c>
    </row>
    <row r="26" spans="1:3" ht="30">
      <c r="A26" s="326" t="s">
        <v>288</v>
      </c>
      <c r="B26" s="364">
        <v>2000</v>
      </c>
    </row>
    <row r="27" spans="1:3" ht="15">
      <c r="A27" s="326" t="s">
        <v>289</v>
      </c>
      <c r="B27" s="364">
        <f>B25+B26</f>
        <v>2266353.7279999997</v>
      </c>
    </row>
    <row r="29" spans="1:3">
      <c r="C29" s="164"/>
    </row>
  </sheetData>
  <hyperlinks>
    <hyperlink ref="A14" r:id="rId1" xr:uid="{24337898-1FF1-42FB-B91B-00433FED391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4AC5-FE98-4C04-9F4B-D0A876AEF86B}">
  <sheetPr>
    <tabColor theme="0" tint="-0.14999847407452621"/>
  </sheetPr>
  <dimension ref="A1:V188"/>
  <sheetViews>
    <sheetView workbookViewId="0">
      <pane ySplit="2" topLeftCell="A3" activePane="bottomLeft" state="frozen"/>
      <selection pane="bottomLeft" activeCell="F152" sqref="F152"/>
    </sheetView>
  </sheetViews>
  <sheetFormatPr defaultColWidth="9.28515625" defaultRowHeight="14.25"/>
  <cols>
    <col min="1" max="1" width="18.7109375" style="255" bestFit="1" customWidth="1"/>
    <col min="2" max="2" width="33.5703125" style="317" bestFit="1" customWidth="1"/>
    <col min="3" max="3" width="15.28515625" style="255" bestFit="1" customWidth="1"/>
    <col min="4" max="4" width="14.28515625" style="255" customWidth="1"/>
    <col min="5" max="5" width="17.7109375" style="255" customWidth="1"/>
    <col min="6" max="6" width="15.42578125" style="255" bestFit="1" customWidth="1"/>
    <col min="7" max="7" width="16.28515625" style="255" customWidth="1"/>
    <col min="8" max="8" width="15.5703125" style="255" bestFit="1" customWidth="1"/>
    <col min="9" max="9" width="15.7109375" style="256" customWidth="1"/>
    <col min="10" max="10" width="14" style="255" bestFit="1" customWidth="1"/>
    <col min="11" max="11" width="14" style="255" customWidth="1"/>
    <col min="12" max="12" width="57.42578125" style="317" customWidth="1"/>
    <col min="13" max="13" width="42.42578125" style="255" customWidth="1"/>
    <col min="14" max="14" width="28.28515625" style="255" customWidth="1"/>
    <col min="15" max="15" width="16.7109375" style="255" customWidth="1"/>
    <col min="16" max="16" width="17.7109375" style="255" customWidth="1"/>
    <col min="17" max="17" width="23.28515625" style="255" customWidth="1"/>
    <col min="18" max="18" width="17.7109375" style="255" customWidth="1"/>
    <col min="19" max="19" width="17.28515625" style="255" customWidth="1"/>
    <col min="20" max="20" width="16.42578125" style="255" customWidth="1"/>
    <col min="21" max="21" width="13.42578125" style="255" customWidth="1"/>
    <col min="22" max="22" width="14.28515625" style="255" customWidth="1"/>
    <col min="23" max="16384" width="9.28515625" style="255"/>
  </cols>
  <sheetData>
    <row r="1" spans="1:22" s="240" customFormat="1" ht="15">
      <c r="A1" s="607" t="s">
        <v>233</v>
      </c>
      <c r="B1" s="607"/>
      <c r="C1" s="607"/>
      <c r="D1" s="607"/>
      <c r="E1" s="607"/>
      <c r="F1" s="607"/>
      <c r="G1" s="607"/>
      <c r="H1" s="607"/>
      <c r="I1" s="607"/>
      <c r="J1" s="607"/>
      <c r="K1" s="607"/>
      <c r="L1" s="608"/>
      <c r="N1" s="241"/>
      <c r="O1" s="242"/>
    </row>
    <row r="2" spans="1:22" s="240" customFormat="1" ht="60">
      <c r="A2" s="373" t="s">
        <v>1</v>
      </c>
      <c r="B2" s="373" t="s">
        <v>2</v>
      </c>
      <c r="C2" s="374" t="s">
        <v>3</v>
      </c>
      <c r="D2" s="374" t="s">
        <v>4</v>
      </c>
      <c r="E2" s="375" t="s">
        <v>5</v>
      </c>
      <c r="F2" s="374" t="s">
        <v>7</v>
      </c>
      <c r="G2" s="375" t="s">
        <v>235</v>
      </c>
      <c r="H2" s="376" t="s">
        <v>236</v>
      </c>
      <c r="I2" s="377" t="s">
        <v>10</v>
      </c>
      <c r="J2" s="378" t="s">
        <v>11</v>
      </c>
      <c r="K2" s="379" t="s">
        <v>12</v>
      </c>
      <c r="L2" s="243" t="s">
        <v>290</v>
      </c>
      <c r="M2" s="244"/>
      <c r="N2" s="245"/>
      <c r="O2" s="153"/>
      <c r="P2" s="245"/>
      <c r="Q2" s="245"/>
      <c r="R2" s="245"/>
      <c r="S2" s="245"/>
      <c r="T2" s="245"/>
      <c r="U2" s="245"/>
      <c r="V2" s="246"/>
    </row>
    <row r="3" spans="1:22" s="240" customFormat="1" ht="15">
      <c r="A3" s="601" t="s">
        <v>14</v>
      </c>
      <c r="B3" s="601"/>
      <c r="C3" s="601"/>
      <c r="D3" s="601"/>
      <c r="E3" s="601"/>
      <c r="F3" s="601"/>
      <c r="G3" s="601"/>
      <c r="H3" s="601"/>
      <c r="I3" s="601"/>
      <c r="J3" s="601"/>
      <c r="K3" s="601"/>
      <c r="L3" s="602"/>
      <c r="O3" s="247"/>
      <c r="S3" s="241"/>
      <c r="T3" s="248"/>
      <c r="U3" s="248"/>
      <c r="V3" s="249"/>
    </row>
    <row r="4" spans="1:22" s="240" customFormat="1" ht="15">
      <c r="A4" s="603" t="s">
        <v>15</v>
      </c>
      <c r="B4" s="603"/>
      <c r="C4" s="603"/>
      <c r="D4" s="603"/>
      <c r="E4" s="603"/>
      <c r="F4" s="603"/>
      <c r="G4" s="603"/>
      <c r="H4" s="603"/>
      <c r="I4" s="603"/>
      <c r="J4" s="603"/>
      <c r="K4" s="603"/>
      <c r="L4" s="604"/>
      <c r="M4" s="250"/>
      <c r="S4" s="251"/>
      <c r="T4" s="252"/>
      <c r="U4" s="248"/>
      <c r="V4" s="249"/>
    </row>
    <row r="5" spans="1:22" ht="15">
      <c r="A5" s="380">
        <v>246.4</v>
      </c>
      <c r="B5" s="179" t="s">
        <v>16</v>
      </c>
      <c r="C5" s="23">
        <v>89</v>
      </c>
      <c r="D5" s="23">
        <v>1</v>
      </c>
      <c r="E5" s="41">
        <f>C5*D5</f>
        <v>89</v>
      </c>
      <c r="F5" s="19">
        <v>170.62</v>
      </c>
      <c r="G5" s="41">
        <f>E5*F5</f>
        <v>15185.18</v>
      </c>
      <c r="H5" s="25">
        <v>15185.18</v>
      </c>
      <c r="I5" s="254">
        <v>0</v>
      </c>
      <c r="J5" s="254">
        <f>G5-H5</f>
        <v>0</v>
      </c>
      <c r="K5" s="254">
        <f>G5-H5</f>
        <v>0</v>
      </c>
      <c r="L5" s="180" t="s">
        <v>291</v>
      </c>
      <c r="M5" s="256"/>
      <c r="N5" s="256"/>
      <c r="O5" s="256"/>
      <c r="T5" s="257"/>
      <c r="U5" s="249"/>
      <c r="V5" s="249"/>
    </row>
    <row r="6" spans="1:22" ht="28.5">
      <c r="A6" s="73" t="s">
        <v>17</v>
      </c>
      <c r="B6" s="64" t="s">
        <v>18</v>
      </c>
      <c r="C6" s="23">
        <v>15</v>
      </c>
      <c r="D6" s="23">
        <v>1</v>
      </c>
      <c r="E6" s="41">
        <f>C6*D6</f>
        <v>15</v>
      </c>
      <c r="F6" s="19">
        <v>80</v>
      </c>
      <c r="G6" s="41">
        <f>E6*F6</f>
        <v>1200</v>
      </c>
      <c r="H6" s="25">
        <v>1200</v>
      </c>
      <c r="I6" s="254">
        <v>0</v>
      </c>
      <c r="J6" s="254">
        <f>G6-H6</f>
        <v>0</v>
      </c>
      <c r="K6" s="254">
        <f>G6-H6</f>
        <v>0</v>
      </c>
      <c r="L6" s="180" t="s">
        <v>291</v>
      </c>
      <c r="M6" s="256"/>
      <c r="N6" s="256"/>
      <c r="O6" s="256"/>
      <c r="T6" s="257"/>
      <c r="U6" s="249"/>
      <c r="V6" s="249"/>
    </row>
    <row r="7" spans="1:22" ht="15">
      <c r="A7" s="253" t="s">
        <v>19</v>
      </c>
      <c r="B7" s="179" t="s">
        <v>20</v>
      </c>
      <c r="C7" s="23">
        <f>1810*0.5*0.7</f>
        <v>633.5</v>
      </c>
      <c r="D7" s="23">
        <v>1</v>
      </c>
      <c r="E7" s="41">
        <f t="shared" ref="E7:E71" si="0">C7*D7</f>
        <v>633.5</v>
      </c>
      <c r="F7" s="19">
        <v>2</v>
      </c>
      <c r="G7" s="41">
        <f t="shared" ref="G7:G71" si="1">E7*F7</f>
        <v>1267</v>
      </c>
      <c r="H7" s="25">
        <v>1267</v>
      </c>
      <c r="I7" s="254">
        <f>G7-H7</f>
        <v>0</v>
      </c>
      <c r="J7" s="254">
        <v>0</v>
      </c>
      <c r="K7" s="254">
        <f t="shared" ref="K7:K71" si="2">G7-H7</f>
        <v>0</v>
      </c>
      <c r="L7" s="180" t="s">
        <v>291</v>
      </c>
      <c r="M7" s="256"/>
      <c r="N7" s="256"/>
      <c r="O7" s="256"/>
      <c r="S7" s="258"/>
      <c r="T7" s="257"/>
      <c r="U7" s="249"/>
      <c r="V7" s="249"/>
    </row>
    <row r="8" spans="1:22" ht="15">
      <c r="A8" s="253" t="s">
        <v>21</v>
      </c>
      <c r="B8" s="179" t="s">
        <v>22</v>
      </c>
      <c r="C8" s="23">
        <v>4</v>
      </c>
      <c r="D8" s="23">
        <v>1</v>
      </c>
      <c r="E8" s="41">
        <f t="shared" si="0"/>
        <v>4</v>
      </c>
      <c r="F8" s="19">
        <v>0.16700000000000001</v>
      </c>
      <c r="G8" s="41">
        <f t="shared" si="1"/>
        <v>0.66800000000000004</v>
      </c>
      <c r="H8" s="25">
        <v>0.66800000000000004</v>
      </c>
      <c r="I8" s="254">
        <f t="shared" ref="I8:I71" si="3">G8-H8</f>
        <v>0</v>
      </c>
      <c r="J8" s="254">
        <v>0</v>
      </c>
      <c r="K8" s="254">
        <f t="shared" si="2"/>
        <v>0</v>
      </c>
      <c r="L8" s="180" t="s">
        <v>291</v>
      </c>
      <c r="M8" s="256"/>
      <c r="N8" s="256"/>
      <c r="O8" s="256"/>
      <c r="S8" s="258"/>
      <c r="T8" s="257"/>
      <c r="U8" s="249"/>
      <c r="V8" s="249"/>
    </row>
    <row r="9" spans="1:22" ht="15">
      <c r="A9" s="253" t="s">
        <v>23</v>
      </c>
      <c r="B9" s="259" t="s">
        <v>24</v>
      </c>
      <c r="C9" s="23">
        <v>4</v>
      </c>
      <c r="D9" s="23">
        <f>(1810/89)*0.02</f>
        <v>0.40674157303370784</v>
      </c>
      <c r="E9" s="41">
        <f t="shared" si="0"/>
        <v>1.6269662921348313</v>
      </c>
      <c r="F9" s="19">
        <v>0.5</v>
      </c>
      <c r="G9" s="41">
        <f t="shared" si="1"/>
        <v>0.81348314606741567</v>
      </c>
      <c r="H9" s="25">
        <v>0.81348314606741567</v>
      </c>
      <c r="I9" s="254">
        <f t="shared" si="3"/>
        <v>0</v>
      </c>
      <c r="J9" s="254">
        <v>0</v>
      </c>
      <c r="K9" s="254">
        <f t="shared" si="2"/>
        <v>0</v>
      </c>
      <c r="L9" s="180" t="s">
        <v>291</v>
      </c>
      <c r="M9" s="256"/>
      <c r="N9" s="256"/>
      <c r="O9" s="256"/>
      <c r="S9" s="258"/>
      <c r="T9" s="257"/>
      <c r="U9" s="249"/>
      <c r="V9" s="249"/>
    </row>
    <row r="10" spans="1:22" ht="15">
      <c r="A10" s="253">
        <v>246.6</v>
      </c>
      <c r="B10" s="179" t="s">
        <v>25</v>
      </c>
      <c r="C10" s="23">
        <f>1810*0.5*0.7</f>
        <v>633.5</v>
      </c>
      <c r="D10" s="23">
        <v>1</v>
      </c>
      <c r="E10" s="41">
        <f t="shared" si="0"/>
        <v>633.5</v>
      </c>
      <c r="F10" s="19">
        <v>1.5</v>
      </c>
      <c r="G10" s="41">
        <f t="shared" si="1"/>
        <v>950.25</v>
      </c>
      <c r="H10" s="25">
        <v>950.25</v>
      </c>
      <c r="I10" s="254">
        <f t="shared" si="3"/>
        <v>0</v>
      </c>
      <c r="J10" s="254">
        <v>0</v>
      </c>
      <c r="K10" s="254">
        <f t="shared" si="2"/>
        <v>0</v>
      </c>
      <c r="L10" s="180" t="s">
        <v>291</v>
      </c>
      <c r="M10" s="256"/>
      <c r="N10" s="256"/>
      <c r="O10" s="256"/>
      <c r="S10" s="258"/>
      <c r="T10" s="257"/>
      <c r="U10" s="249"/>
      <c r="V10" s="249"/>
    </row>
    <row r="11" spans="1:22" ht="28.5">
      <c r="A11" s="253" t="s">
        <v>26</v>
      </c>
      <c r="B11" s="179" t="s">
        <v>27</v>
      </c>
      <c r="C11" s="23">
        <v>89</v>
      </c>
      <c r="D11" s="23">
        <f>(1810/89)</f>
        <v>20.337078651685392</v>
      </c>
      <c r="E11" s="41">
        <f t="shared" si="0"/>
        <v>1809.9999999999998</v>
      </c>
      <c r="F11" s="19">
        <v>0.25</v>
      </c>
      <c r="G11" s="41">
        <f t="shared" si="1"/>
        <v>452.49999999999994</v>
      </c>
      <c r="H11" s="25">
        <v>452.49999999999994</v>
      </c>
      <c r="I11" s="254">
        <f t="shared" si="3"/>
        <v>0</v>
      </c>
      <c r="J11" s="254">
        <v>0</v>
      </c>
      <c r="K11" s="254">
        <f t="shared" si="2"/>
        <v>0</v>
      </c>
      <c r="L11" s="180" t="s">
        <v>291</v>
      </c>
      <c r="M11" s="256"/>
      <c r="N11" s="256"/>
      <c r="O11" s="256"/>
      <c r="S11" s="258"/>
      <c r="T11" s="257"/>
      <c r="U11" s="249"/>
      <c r="V11" s="249"/>
    </row>
    <row r="12" spans="1:22" ht="15">
      <c r="A12" s="253" t="s">
        <v>28</v>
      </c>
      <c r="B12" s="179" t="s">
        <v>29</v>
      </c>
      <c r="C12" s="23">
        <f>(1810/6)*0.7</f>
        <v>211.16666666666666</v>
      </c>
      <c r="D12" s="23">
        <v>1</v>
      </c>
      <c r="E12" s="41">
        <f t="shared" si="0"/>
        <v>211.16666666666666</v>
      </c>
      <c r="F12" s="19">
        <v>0.25</v>
      </c>
      <c r="G12" s="41">
        <f t="shared" si="1"/>
        <v>52.791666666666664</v>
      </c>
      <c r="H12" s="25">
        <v>52.791666666666664</v>
      </c>
      <c r="I12" s="254">
        <f t="shared" si="3"/>
        <v>0</v>
      </c>
      <c r="J12" s="254">
        <v>0</v>
      </c>
      <c r="K12" s="254">
        <f t="shared" si="2"/>
        <v>0</v>
      </c>
      <c r="L12" s="180" t="s">
        <v>291</v>
      </c>
      <c r="M12" s="256"/>
      <c r="N12" s="256"/>
      <c r="O12" s="256"/>
      <c r="S12" s="258"/>
      <c r="T12" s="257"/>
      <c r="U12" s="249"/>
      <c r="V12" s="249"/>
    </row>
    <row r="13" spans="1:22" ht="28.5">
      <c r="A13" s="260" t="s">
        <v>30</v>
      </c>
      <c r="B13" s="261" t="s">
        <v>31</v>
      </c>
      <c r="C13" s="224">
        <f>1810*0.7</f>
        <v>1267</v>
      </c>
      <c r="D13" s="224">
        <f>(1379126*0.7)/1267</f>
        <v>761.9480662983425</v>
      </c>
      <c r="E13" s="225">
        <f t="shared" si="0"/>
        <v>965388.2</v>
      </c>
      <c r="F13" s="226">
        <v>0.46760000000000002</v>
      </c>
      <c r="G13" s="225">
        <f t="shared" si="1"/>
        <v>451415.52231999999</v>
      </c>
      <c r="H13" s="227">
        <v>403049.57349999994</v>
      </c>
      <c r="I13" s="262">
        <f t="shared" si="3"/>
        <v>48365.948820000049</v>
      </c>
      <c r="J13" s="262">
        <v>0</v>
      </c>
      <c r="K13" s="262">
        <f t="shared" si="2"/>
        <v>48365.948820000049</v>
      </c>
      <c r="L13" s="261" t="s">
        <v>292</v>
      </c>
      <c r="M13" s="256"/>
      <c r="N13" s="256"/>
      <c r="O13" s="256"/>
      <c r="Q13" s="27"/>
      <c r="S13" s="258"/>
      <c r="T13" s="263"/>
      <c r="U13" s="249"/>
      <c r="V13" s="249"/>
    </row>
    <row r="14" spans="1:22" ht="28.5">
      <c r="A14" s="260" t="s">
        <v>32</v>
      </c>
      <c r="B14" s="261" t="s">
        <v>33</v>
      </c>
      <c r="C14" s="224">
        <f>1810*0.7</f>
        <v>1267</v>
      </c>
      <c r="D14" s="224">
        <f>(3400090*0.7)/1267</f>
        <v>1878.5027624309391</v>
      </c>
      <c r="E14" s="225">
        <f t="shared" si="0"/>
        <v>2380063</v>
      </c>
      <c r="F14" s="226">
        <v>0.46760000000000002</v>
      </c>
      <c r="G14" s="225">
        <f t="shared" si="1"/>
        <v>1112917.4588000001</v>
      </c>
      <c r="H14" s="227">
        <v>993676.30249999999</v>
      </c>
      <c r="I14" s="262">
        <f t="shared" si="3"/>
        <v>119241.15630000015</v>
      </c>
      <c r="J14" s="262">
        <v>0</v>
      </c>
      <c r="K14" s="262">
        <f t="shared" si="2"/>
        <v>119241.15630000015</v>
      </c>
      <c r="L14" s="261" t="s">
        <v>292</v>
      </c>
      <c r="M14" s="256"/>
      <c r="N14" s="256"/>
      <c r="O14" s="256"/>
      <c r="Q14" s="164"/>
      <c r="S14" s="258"/>
      <c r="T14" s="249"/>
      <c r="U14" s="249"/>
      <c r="V14" s="249"/>
    </row>
    <row r="15" spans="1:22" ht="28.5">
      <c r="A15" s="260" t="s">
        <v>32</v>
      </c>
      <c r="B15" s="261" t="s">
        <v>34</v>
      </c>
      <c r="C15" s="224">
        <f>1810*0.7</f>
        <v>1267</v>
      </c>
      <c r="D15" s="224">
        <f>1*(1464744*0.7/1267)</f>
        <v>809.25082872928169</v>
      </c>
      <c r="E15" s="225">
        <f t="shared" si="0"/>
        <v>1025320.7999999999</v>
      </c>
      <c r="F15" s="226">
        <v>0.46760000000000002</v>
      </c>
      <c r="G15" s="225">
        <f t="shared" si="1"/>
        <v>479440.00607999996</v>
      </c>
      <c r="H15" s="227">
        <v>428071.43399999995</v>
      </c>
      <c r="I15" s="262">
        <f t="shared" si="3"/>
        <v>51368.572080000013</v>
      </c>
      <c r="J15" s="262">
        <v>0</v>
      </c>
      <c r="K15" s="262">
        <f t="shared" si="2"/>
        <v>51368.572080000013</v>
      </c>
      <c r="L15" s="261" t="s">
        <v>292</v>
      </c>
      <c r="M15" s="256"/>
      <c r="N15" s="256"/>
      <c r="O15" s="256"/>
      <c r="Q15" s="264"/>
      <c r="S15" s="258"/>
      <c r="T15" s="257"/>
      <c r="U15" s="249"/>
      <c r="V15" s="249"/>
    </row>
    <row r="16" spans="1:22" ht="28.5">
      <c r="A16" s="260" t="s">
        <v>32</v>
      </c>
      <c r="B16" s="261" t="s">
        <v>35</v>
      </c>
      <c r="C16" s="224">
        <f>1810*0.7</f>
        <v>1267</v>
      </c>
      <c r="D16" s="224">
        <f>(6243960*0.7)/1267</f>
        <v>3449.7016574585637</v>
      </c>
      <c r="E16" s="225">
        <f t="shared" si="0"/>
        <v>4370772</v>
      </c>
      <c r="F16" s="226">
        <v>8.3500000000000005E-2</v>
      </c>
      <c r="G16" s="225">
        <f t="shared" si="1"/>
        <v>364959.462</v>
      </c>
      <c r="H16" s="227">
        <v>0</v>
      </c>
      <c r="I16" s="262">
        <f t="shared" si="3"/>
        <v>364959.462</v>
      </c>
      <c r="J16" s="262">
        <v>0</v>
      </c>
      <c r="K16" s="262">
        <f t="shared" si="2"/>
        <v>364959.462</v>
      </c>
      <c r="L16" s="372" t="s">
        <v>293</v>
      </c>
      <c r="N16" s="256"/>
      <c r="O16" s="256"/>
      <c r="Q16" s="264"/>
      <c r="S16" s="258"/>
      <c r="T16" s="257"/>
      <c r="U16" s="249"/>
      <c r="V16" s="249"/>
    </row>
    <row r="17" spans="1:22" ht="15">
      <c r="A17" s="253" t="s">
        <v>36</v>
      </c>
      <c r="B17" s="179" t="s">
        <v>37</v>
      </c>
      <c r="C17" s="23">
        <v>4</v>
      </c>
      <c r="D17" s="23">
        <v>1</v>
      </c>
      <c r="E17" s="41">
        <f t="shared" si="0"/>
        <v>4</v>
      </c>
      <c r="F17" s="19">
        <v>8.3500000000000005E-2</v>
      </c>
      <c r="G17" s="41">
        <f t="shared" si="1"/>
        <v>0.33400000000000002</v>
      </c>
      <c r="H17" s="25">
        <v>0.33400000000000002</v>
      </c>
      <c r="I17" s="254">
        <f t="shared" si="3"/>
        <v>0</v>
      </c>
      <c r="J17" s="254">
        <f t="shared" ref="J17:J67" si="4">G17-H17</f>
        <v>0</v>
      </c>
      <c r="K17" s="254">
        <f t="shared" si="2"/>
        <v>0</v>
      </c>
      <c r="L17" s="180" t="s">
        <v>291</v>
      </c>
      <c r="M17" s="256"/>
      <c r="N17" s="256"/>
      <c r="O17" s="256"/>
      <c r="S17" s="258"/>
      <c r="T17" s="257"/>
      <c r="U17" s="249"/>
      <c r="V17" s="249"/>
    </row>
    <row r="18" spans="1:22" ht="15">
      <c r="A18" s="253" t="s">
        <v>38</v>
      </c>
      <c r="B18" s="179" t="s">
        <v>39</v>
      </c>
      <c r="C18" s="23">
        <f>1810*0.7</f>
        <v>1267</v>
      </c>
      <c r="D18" s="23">
        <f>((0.03*6243960*0.7)/1267)</f>
        <v>103.49104972375689</v>
      </c>
      <c r="E18" s="41">
        <f t="shared" si="0"/>
        <v>131123.15999999997</v>
      </c>
      <c r="F18" s="19">
        <v>8.3500000000000005E-2</v>
      </c>
      <c r="G18" s="41">
        <f t="shared" si="1"/>
        <v>10948.783859999998</v>
      </c>
      <c r="H18" s="25">
        <v>10948.783859999998</v>
      </c>
      <c r="I18" s="254">
        <f>G18-H18</f>
        <v>0</v>
      </c>
      <c r="J18" s="254">
        <v>0</v>
      </c>
      <c r="K18" s="254">
        <f t="shared" si="2"/>
        <v>0</v>
      </c>
      <c r="L18" s="180" t="s">
        <v>291</v>
      </c>
      <c r="M18" s="256"/>
      <c r="N18" s="256"/>
      <c r="O18" s="256"/>
    </row>
    <row r="19" spans="1:22" ht="15">
      <c r="A19" s="253">
        <v>246.8</v>
      </c>
      <c r="B19" s="265" t="s">
        <v>40</v>
      </c>
      <c r="C19" s="105">
        <v>79</v>
      </c>
      <c r="D19" s="105">
        <v>1</v>
      </c>
      <c r="E19" s="41">
        <f t="shared" si="0"/>
        <v>79</v>
      </c>
      <c r="F19" s="106">
        <v>3</v>
      </c>
      <c r="G19" s="133">
        <f t="shared" si="1"/>
        <v>237</v>
      </c>
      <c r="H19" s="107">
        <v>237</v>
      </c>
      <c r="I19" s="254">
        <f t="shared" si="3"/>
        <v>0</v>
      </c>
      <c r="J19" s="254">
        <v>0</v>
      </c>
      <c r="K19" s="254">
        <f t="shared" si="2"/>
        <v>0</v>
      </c>
      <c r="L19" s="180" t="s">
        <v>291</v>
      </c>
      <c r="M19" s="256"/>
      <c r="N19" s="256"/>
      <c r="O19" s="256"/>
    </row>
    <row r="20" spans="1:22" ht="42.75">
      <c r="A20" s="253" t="s">
        <v>294</v>
      </c>
      <c r="B20" s="179" t="s">
        <v>42</v>
      </c>
      <c r="C20" s="23">
        <v>89</v>
      </c>
      <c r="D20" s="23">
        <f>(6243960*0.02)/89</f>
        <v>1403.1370786516854</v>
      </c>
      <c r="E20" s="41">
        <f t="shared" si="0"/>
        <v>124879.20000000001</v>
      </c>
      <c r="F20" s="19">
        <v>8.3500000000000005E-2</v>
      </c>
      <c r="G20" s="41">
        <f t="shared" si="1"/>
        <v>10427.413200000001</v>
      </c>
      <c r="H20" s="25">
        <v>10427.413200000001</v>
      </c>
      <c r="I20" s="254">
        <f t="shared" si="3"/>
        <v>0</v>
      </c>
      <c r="J20" s="254">
        <v>0</v>
      </c>
      <c r="K20" s="254">
        <f t="shared" si="2"/>
        <v>0</v>
      </c>
      <c r="L20" s="180" t="s">
        <v>291</v>
      </c>
      <c r="M20" s="256"/>
      <c r="N20" s="256"/>
      <c r="O20" s="256"/>
    </row>
    <row r="21" spans="1:22" ht="28.5">
      <c r="A21" s="253" t="s">
        <v>295</v>
      </c>
      <c r="B21" s="179" t="s">
        <v>44</v>
      </c>
      <c r="C21" s="23">
        <v>89</v>
      </c>
      <c r="D21" s="23">
        <f>(6243960*0.02*0.02)/89</f>
        <v>28.062741573033705</v>
      </c>
      <c r="E21" s="41">
        <f t="shared" si="0"/>
        <v>2497.5839999999998</v>
      </c>
      <c r="F21" s="19">
        <v>3</v>
      </c>
      <c r="G21" s="41">
        <f t="shared" si="1"/>
        <v>7492.7519999999995</v>
      </c>
      <c r="H21" s="25">
        <v>7492.7519999999995</v>
      </c>
      <c r="I21" s="254">
        <f t="shared" si="3"/>
        <v>0</v>
      </c>
      <c r="J21" s="254">
        <v>0</v>
      </c>
      <c r="K21" s="254">
        <f t="shared" si="2"/>
        <v>0</v>
      </c>
      <c r="L21" s="180" t="s">
        <v>291</v>
      </c>
      <c r="M21" s="256"/>
      <c r="N21" s="256"/>
      <c r="O21" s="256"/>
    </row>
    <row r="22" spans="1:22" ht="28.5">
      <c r="A22" s="260" t="s">
        <v>45</v>
      </c>
      <c r="B22" s="261" t="s">
        <v>46</v>
      </c>
      <c r="C22" s="224">
        <v>89</v>
      </c>
      <c r="D22" s="224">
        <v>1</v>
      </c>
      <c r="E22" s="225">
        <f t="shared" si="0"/>
        <v>89</v>
      </c>
      <c r="F22" s="226">
        <v>43</v>
      </c>
      <c r="G22" s="225">
        <f t="shared" si="1"/>
        <v>3827</v>
      </c>
      <c r="H22" s="227">
        <v>3560</v>
      </c>
      <c r="I22" s="262">
        <f t="shared" si="3"/>
        <v>267</v>
      </c>
      <c r="J22" s="262">
        <v>0</v>
      </c>
      <c r="K22" s="262">
        <f t="shared" si="2"/>
        <v>267</v>
      </c>
      <c r="L22" s="372" t="s">
        <v>296</v>
      </c>
      <c r="M22" s="256"/>
      <c r="N22" s="256"/>
      <c r="O22" s="256"/>
    </row>
    <row r="23" spans="1:22" ht="15">
      <c r="A23" s="253" t="s">
        <v>297</v>
      </c>
      <c r="B23" s="179" t="s">
        <v>48</v>
      </c>
      <c r="C23" s="23">
        <v>54</v>
      </c>
      <c r="D23" s="23">
        <v>4</v>
      </c>
      <c r="E23" s="41">
        <f t="shared" si="0"/>
        <v>216</v>
      </c>
      <c r="F23" s="19">
        <v>8.3000000000000001E-3</v>
      </c>
      <c r="G23" s="41">
        <f t="shared" si="1"/>
        <v>1.7927999999999999</v>
      </c>
      <c r="H23" s="25">
        <v>1.7927999999999999</v>
      </c>
      <c r="I23" s="254">
        <f t="shared" si="3"/>
        <v>0</v>
      </c>
      <c r="J23" s="254">
        <f t="shared" si="4"/>
        <v>0</v>
      </c>
      <c r="K23" s="254">
        <f t="shared" si="2"/>
        <v>0</v>
      </c>
      <c r="L23" s="180" t="s">
        <v>291</v>
      </c>
      <c r="M23" s="256"/>
      <c r="N23" s="256"/>
      <c r="O23" s="256"/>
    </row>
    <row r="24" spans="1:22" ht="42.75">
      <c r="A24" s="260" t="s">
        <v>49</v>
      </c>
      <c r="B24" s="261" t="s">
        <v>50</v>
      </c>
      <c r="C24" s="224">
        <v>89</v>
      </c>
      <c r="D24" s="224">
        <v>1</v>
      </c>
      <c r="E24" s="225">
        <f t="shared" si="0"/>
        <v>89</v>
      </c>
      <c r="F24" s="226">
        <v>8</v>
      </c>
      <c r="G24" s="225">
        <f t="shared" si="1"/>
        <v>712</v>
      </c>
      <c r="H24" s="227">
        <v>0</v>
      </c>
      <c r="I24" s="262">
        <f t="shared" si="3"/>
        <v>712</v>
      </c>
      <c r="J24" s="262">
        <v>0</v>
      </c>
      <c r="K24" s="262">
        <f t="shared" si="2"/>
        <v>712</v>
      </c>
      <c r="L24" s="404" t="s">
        <v>298</v>
      </c>
      <c r="N24" s="256"/>
      <c r="O24" s="256"/>
    </row>
    <row r="25" spans="1:22" ht="28.5">
      <c r="A25" s="260" t="s">
        <v>51</v>
      </c>
      <c r="B25" s="261" t="s">
        <v>52</v>
      </c>
      <c r="C25" s="224">
        <f>1810*0.7</f>
        <v>1267</v>
      </c>
      <c r="D25" s="224">
        <v>1</v>
      </c>
      <c r="E25" s="225">
        <f t="shared" si="0"/>
        <v>1267</v>
      </c>
      <c r="F25" s="226">
        <v>1</v>
      </c>
      <c r="G25" s="225">
        <f t="shared" si="1"/>
        <v>1267</v>
      </c>
      <c r="H25" s="227">
        <v>0</v>
      </c>
      <c r="I25" s="262">
        <f t="shared" si="3"/>
        <v>1267</v>
      </c>
      <c r="J25" s="262">
        <v>0</v>
      </c>
      <c r="K25" s="262">
        <f t="shared" si="2"/>
        <v>1267</v>
      </c>
      <c r="L25" s="404" t="s">
        <v>299</v>
      </c>
      <c r="N25" s="256"/>
      <c r="O25" s="256"/>
    </row>
    <row r="26" spans="1:22" ht="28.5">
      <c r="A26" s="253" t="s">
        <v>53</v>
      </c>
      <c r="B26" s="179" t="s">
        <v>54</v>
      </c>
      <c r="C26" s="23">
        <f>1810*0.7</f>
        <v>1267</v>
      </c>
      <c r="D26" s="23">
        <f>(1464744*0.7*0.01)/1267</f>
        <v>8.0925082872928158</v>
      </c>
      <c r="E26" s="41">
        <f t="shared" si="0"/>
        <v>10253.207999999997</v>
      </c>
      <c r="F26" s="19">
        <v>3.3399999999999999E-2</v>
      </c>
      <c r="G26" s="41">
        <f t="shared" si="1"/>
        <v>342.45714719999989</v>
      </c>
      <c r="H26" s="25">
        <v>342.45714719999989</v>
      </c>
      <c r="I26" s="254">
        <f>G26-H26</f>
        <v>0</v>
      </c>
      <c r="J26" s="254">
        <v>0</v>
      </c>
      <c r="K26" s="254">
        <f t="shared" si="2"/>
        <v>0</v>
      </c>
      <c r="L26" s="180" t="s">
        <v>291</v>
      </c>
      <c r="M26" s="256"/>
      <c r="N26" s="256"/>
      <c r="O26" s="256"/>
    </row>
    <row r="27" spans="1:22" ht="15">
      <c r="A27" s="253" t="s">
        <v>55</v>
      </c>
      <c r="B27" s="179" t="s">
        <v>56</v>
      </c>
      <c r="C27" s="23">
        <f>(1/5)</f>
        <v>0.2</v>
      </c>
      <c r="D27" s="23">
        <v>1</v>
      </c>
      <c r="E27" s="41">
        <f t="shared" si="0"/>
        <v>0.2</v>
      </c>
      <c r="F27" s="19">
        <v>2</v>
      </c>
      <c r="G27" s="41">
        <f t="shared" si="1"/>
        <v>0.4</v>
      </c>
      <c r="H27" s="25">
        <v>0.4</v>
      </c>
      <c r="I27" s="254">
        <f t="shared" si="3"/>
        <v>0</v>
      </c>
      <c r="J27" s="254">
        <v>0</v>
      </c>
      <c r="K27" s="254">
        <f t="shared" si="2"/>
        <v>0</v>
      </c>
      <c r="L27" s="180" t="s">
        <v>291</v>
      </c>
      <c r="M27" s="256"/>
      <c r="N27" s="256"/>
      <c r="O27" s="256"/>
    </row>
    <row r="28" spans="1:22" ht="30">
      <c r="A28" s="253" t="s">
        <v>57</v>
      </c>
      <c r="B28" s="179" t="s">
        <v>58</v>
      </c>
      <c r="C28" s="23">
        <f>1810*0.7</f>
        <v>1267</v>
      </c>
      <c r="D28" s="23">
        <f>((6243960*0.7)/1267)</f>
        <v>3449.7016574585637</v>
      </c>
      <c r="E28" s="41">
        <f t="shared" si="0"/>
        <v>4370772</v>
      </c>
      <c r="F28" s="19">
        <v>0.25</v>
      </c>
      <c r="G28" s="41">
        <f t="shared" si="1"/>
        <v>1092693</v>
      </c>
      <c r="H28" s="25">
        <v>1092693</v>
      </c>
      <c r="I28" s="254">
        <f t="shared" si="3"/>
        <v>0</v>
      </c>
      <c r="J28" s="254">
        <v>0</v>
      </c>
      <c r="K28" s="254">
        <f t="shared" si="2"/>
        <v>0</v>
      </c>
      <c r="L28" s="180" t="s">
        <v>291</v>
      </c>
      <c r="M28" s="256"/>
      <c r="N28" s="256"/>
      <c r="O28" s="256"/>
    </row>
    <row r="29" spans="1:22" ht="15">
      <c r="A29" s="253" t="s">
        <v>59</v>
      </c>
      <c r="B29" s="179" t="s">
        <v>60</v>
      </c>
      <c r="C29" s="23">
        <f>0.7*1810</f>
        <v>1267</v>
      </c>
      <c r="D29" s="23">
        <v>1</v>
      </c>
      <c r="E29" s="41">
        <f t="shared" si="0"/>
        <v>1267</v>
      </c>
      <c r="F29" s="19">
        <v>40</v>
      </c>
      <c r="G29" s="41">
        <f t="shared" si="1"/>
        <v>50680</v>
      </c>
      <c r="H29" s="25">
        <v>50680</v>
      </c>
      <c r="I29" s="254">
        <f>G29-H29</f>
        <v>0</v>
      </c>
      <c r="J29" s="254">
        <v>0</v>
      </c>
      <c r="K29" s="254">
        <f t="shared" si="2"/>
        <v>0</v>
      </c>
      <c r="L29" s="180" t="s">
        <v>291</v>
      </c>
      <c r="M29" s="256"/>
      <c r="N29" s="256"/>
      <c r="O29" s="256"/>
    </row>
    <row r="30" spans="1:22" ht="15">
      <c r="A30" s="253" t="s">
        <v>62</v>
      </c>
      <c r="B30" s="179" t="s">
        <v>63</v>
      </c>
      <c r="C30" s="23">
        <v>89</v>
      </c>
      <c r="D30" s="23">
        <v>1</v>
      </c>
      <c r="E30" s="41">
        <f t="shared" si="0"/>
        <v>89</v>
      </c>
      <c r="F30" s="19">
        <v>3</v>
      </c>
      <c r="G30" s="41">
        <f t="shared" si="1"/>
        <v>267</v>
      </c>
      <c r="H30" s="25">
        <v>267</v>
      </c>
      <c r="I30" s="254">
        <f t="shared" si="3"/>
        <v>0</v>
      </c>
      <c r="J30" s="254">
        <v>0</v>
      </c>
      <c r="K30" s="254">
        <f t="shared" si="2"/>
        <v>0</v>
      </c>
      <c r="L30" s="180" t="s">
        <v>291</v>
      </c>
      <c r="M30" s="256"/>
      <c r="N30" s="256"/>
      <c r="O30" s="256"/>
    </row>
    <row r="31" spans="1:22" ht="15">
      <c r="A31" s="253" t="s">
        <v>64</v>
      </c>
      <c r="B31" s="179" t="s">
        <v>65</v>
      </c>
      <c r="C31" s="23">
        <v>89</v>
      </c>
      <c r="D31" s="23">
        <v>1</v>
      </c>
      <c r="E31" s="41">
        <f t="shared" si="0"/>
        <v>89</v>
      </c>
      <c r="F31" s="19">
        <v>3</v>
      </c>
      <c r="G31" s="41">
        <f t="shared" si="1"/>
        <v>267</v>
      </c>
      <c r="H31" s="25">
        <v>267</v>
      </c>
      <c r="I31" s="254">
        <f t="shared" si="3"/>
        <v>0</v>
      </c>
      <c r="J31" s="254">
        <v>0</v>
      </c>
      <c r="K31" s="254">
        <f t="shared" si="2"/>
        <v>0</v>
      </c>
      <c r="L31" s="180" t="s">
        <v>291</v>
      </c>
      <c r="M31" s="256"/>
      <c r="N31" s="256"/>
      <c r="O31" s="256"/>
    </row>
    <row r="32" spans="1:22" ht="15">
      <c r="A32" s="253" t="s">
        <v>66</v>
      </c>
      <c r="B32" s="179" t="s">
        <v>67</v>
      </c>
      <c r="C32" s="23">
        <v>89</v>
      </c>
      <c r="D32" s="23">
        <f>(840)/89</f>
        <v>9.4382022471910112</v>
      </c>
      <c r="E32" s="41">
        <f t="shared" si="0"/>
        <v>840</v>
      </c>
      <c r="F32" s="19">
        <v>4</v>
      </c>
      <c r="G32" s="41">
        <f t="shared" si="1"/>
        <v>3360</v>
      </c>
      <c r="H32" s="25">
        <v>3360</v>
      </c>
      <c r="I32" s="254">
        <v>0</v>
      </c>
      <c r="J32" s="254">
        <f t="shared" si="4"/>
        <v>0</v>
      </c>
      <c r="K32" s="254">
        <f t="shared" si="2"/>
        <v>0</v>
      </c>
      <c r="L32" s="180" t="s">
        <v>291</v>
      </c>
      <c r="M32" s="256"/>
      <c r="N32" s="256"/>
      <c r="O32" s="256"/>
    </row>
    <row r="33" spans="1:15" ht="28.5">
      <c r="A33" s="260" t="s">
        <v>68</v>
      </c>
      <c r="B33" s="261" t="s">
        <v>69</v>
      </c>
      <c r="C33" s="224">
        <v>79</v>
      </c>
      <c r="D33" s="224">
        <f>2*((37417-150)/79)</f>
        <v>943.46835443037969</v>
      </c>
      <c r="E33" s="225">
        <f t="shared" si="0"/>
        <v>74534</v>
      </c>
      <c r="F33" s="226">
        <v>2</v>
      </c>
      <c r="G33" s="225">
        <f t="shared" si="1"/>
        <v>149068</v>
      </c>
      <c r="H33" s="227">
        <v>149668</v>
      </c>
      <c r="I33" s="262">
        <f>G33-H33</f>
        <v>-600</v>
      </c>
      <c r="J33" s="262">
        <v>0</v>
      </c>
      <c r="K33" s="262">
        <f t="shared" si="2"/>
        <v>-600</v>
      </c>
      <c r="L33" s="405" t="s">
        <v>300</v>
      </c>
      <c r="M33" s="256"/>
      <c r="N33" s="256"/>
      <c r="O33" s="256"/>
    </row>
    <row r="34" spans="1:15" ht="15">
      <c r="A34" s="253" t="s">
        <v>68</v>
      </c>
      <c r="B34" s="179" t="s">
        <v>70</v>
      </c>
      <c r="C34" s="23">
        <v>5</v>
      </c>
      <c r="D34" s="23">
        <v>1</v>
      </c>
      <c r="E34" s="41">
        <f t="shared" si="0"/>
        <v>5</v>
      </c>
      <c r="F34" s="19">
        <v>8</v>
      </c>
      <c r="G34" s="41">
        <f t="shared" si="1"/>
        <v>40</v>
      </c>
      <c r="H34" s="25">
        <v>40</v>
      </c>
      <c r="I34" s="254">
        <f t="shared" si="3"/>
        <v>0</v>
      </c>
      <c r="J34" s="254">
        <f t="shared" si="4"/>
        <v>0</v>
      </c>
      <c r="K34" s="254">
        <f t="shared" si="2"/>
        <v>0</v>
      </c>
      <c r="L34" s="180" t="s">
        <v>291</v>
      </c>
      <c r="M34" s="256"/>
      <c r="N34" s="256"/>
      <c r="O34" s="256"/>
    </row>
    <row r="35" spans="1:15" ht="15">
      <c r="A35" s="253" t="s">
        <v>71</v>
      </c>
      <c r="B35" s="179" t="s">
        <v>72</v>
      </c>
      <c r="C35" s="23">
        <v>89</v>
      </c>
      <c r="D35" s="23">
        <v>1</v>
      </c>
      <c r="E35" s="41">
        <f t="shared" si="0"/>
        <v>89</v>
      </c>
      <c r="F35" s="19">
        <v>3</v>
      </c>
      <c r="G35" s="41">
        <f t="shared" si="1"/>
        <v>267</v>
      </c>
      <c r="H35" s="25">
        <v>267</v>
      </c>
      <c r="I35" s="254">
        <f t="shared" si="3"/>
        <v>0</v>
      </c>
      <c r="J35" s="254">
        <v>0</v>
      </c>
      <c r="K35" s="254">
        <f t="shared" si="2"/>
        <v>0</v>
      </c>
      <c r="L35" s="180" t="s">
        <v>291</v>
      </c>
      <c r="M35" s="256"/>
      <c r="N35" s="256"/>
      <c r="O35" s="256"/>
    </row>
    <row r="36" spans="1:15" ht="28.5">
      <c r="A36" s="253" t="s">
        <v>73</v>
      </c>
      <c r="B36" s="179" t="s">
        <v>165</v>
      </c>
      <c r="C36" s="23">
        <v>89</v>
      </c>
      <c r="D36" s="23">
        <v>17</v>
      </c>
      <c r="E36" s="41">
        <f t="shared" si="0"/>
        <v>1513</v>
      </c>
      <c r="F36" s="19">
        <v>1</v>
      </c>
      <c r="G36" s="41">
        <f t="shared" si="1"/>
        <v>1513</v>
      </c>
      <c r="H36" s="25">
        <v>1513</v>
      </c>
      <c r="I36" s="254">
        <f t="shared" si="3"/>
        <v>0</v>
      </c>
      <c r="J36" s="254">
        <v>0</v>
      </c>
      <c r="K36" s="254">
        <f t="shared" si="2"/>
        <v>0</v>
      </c>
      <c r="L36" s="180" t="s">
        <v>291</v>
      </c>
      <c r="M36" s="256"/>
      <c r="N36" s="256"/>
      <c r="O36" s="256"/>
    </row>
    <row r="37" spans="1:15" ht="15">
      <c r="A37" s="253" t="s">
        <v>76</v>
      </c>
      <c r="B37" s="179" t="s">
        <v>77</v>
      </c>
      <c r="C37" s="23">
        <v>89</v>
      </c>
      <c r="D37" s="23">
        <v>1</v>
      </c>
      <c r="E37" s="41">
        <f t="shared" si="0"/>
        <v>89</v>
      </c>
      <c r="F37" s="19">
        <v>3</v>
      </c>
      <c r="G37" s="41">
        <f t="shared" si="1"/>
        <v>267</v>
      </c>
      <c r="H37" s="25">
        <v>267</v>
      </c>
      <c r="I37" s="254">
        <f t="shared" si="3"/>
        <v>0</v>
      </c>
      <c r="J37" s="254">
        <v>0</v>
      </c>
      <c r="K37" s="254">
        <f t="shared" si="2"/>
        <v>0</v>
      </c>
      <c r="L37" s="180" t="s">
        <v>291</v>
      </c>
      <c r="M37" s="256"/>
      <c r="N37" s="256"/>
      <c r="O37" s="256"/>
    </row>
    <row r="38" spans="1:15" ht="28.5">
      <c r="A38" s="260" t="s">
        <v>78</v>
      </c>
      <c r="B38" s="261" t="s">
        <v>301</v>
      </c>
      <c r="C38" s="224">
        <v>89</v>
      </c>
      <c r="D38" s="224">
        <f>(0.33*(37417-150))/89</f>
        <v>138.18101123595505</v>
      </c>
      <c r="E38" s="225">
        <f t="shared" si="0"/>
        <v>12298.11</v>
      </c>
      <c r="F38" s="226">
        <v>0.66800000000000004</v>
      </c>
      <c r="G38" s="225">
        <f>E38*F38</f>
        <v>8215.1374800000012</v>
      </c>
      <c r="H38" s="227">
        <v>8248.2034800000001</v>
      </c>
      <c r="I38" s="262">
        <f t="shared" si="3"/>
        <v>-33.065999999998894</v>
      </c>
      <c r="J38" s="262">
        <v>0</v>
      </c>
      <c r="K38" s="262">
        <f t="shared" si="2"/>
        <v>-33.065999999998894</v>
      </c>
      <c r="L38" s="405" t="s">
        <v>300</v>
      </c>
      <c r="M38" s="256"/>
      <c r="N38" s="256"/>
      <c r="O38" s="256"/>
    </row>
    <row r="39" spans="1:15" ht="15">
      <c r="A39" s="253" t="s">
        <v>80</v>
      </c>
      <c r="B39" s="179" t="s">
        <v>81</v>
      </c>
      <c r="C39" s="23">
        <v>89</v>
      </c>
      <c r="D39" s="23">
        <v>1</v>
      </c>
      <c r="E39" s="41">
        <f t="shared" si="0"/>
        <v>89</v>
      </c>
      <c r="F39" s="19">
        <v>8</v>
      </c>
      <c r="G39" s="41">
        <f t="shared" si="1"/>
        <v>712</v>
      </c>
      <c r="H39" s="25">
        <v>712</v>
      </c>
      <c r="I39" s="254">
        <f t="shared" si="3"/>
        <v>0</v>
      </c>
      <c r="J39" s="254">
        <f t="shared" si="4"/>
        <v>0</v>
      </c>
      <c r="K39" s="254">
        <f t="shared" si="2"/>
        <v>0</v>
      </c>
      <c r="L39" s="180" t="s">
        <v>291</v>
      </c>
      <c r="M39" s="256"/>
      <c r="N39" s="256"/>
      <c r="O39" s="256"/>
    </row>
    <row r="40" spans="1:15" ht="28.5">
      <c r="A40" s="260" t="s">
        <v>80</v>
      </c>
      <c r="B40" s="261" t="s">
        <v>82</v>
      </c>
      <c r="C40" s="262">
        <v>89</v>
      </c>
      <c r="D40" s="224">
        <f>((37417-150)/89)</f>
        <v>418.7303370786517</v>
      </c>
      <c r="E40" s="225">
        <f t="shared" si="0"/>
        <v>37267</v>
      </c>
      <c r="F40" s="226">
        <v>2</v>
      </c>
      <c r="G40" s="225">
        <f t="shared" si="1"/>
        <v>74534</v>
      </c>
      <c r="H40" s="227">
        <v>74834</v>
      </c>
      <c r="I40" s="262">
        <f t="shared" si="3"/>
        <v>-300</v>
      </c>
      <c r="J40" s="262">
        <v>0</v>
      </c>
      <c r="K40" s="262">
        <f t="shared" si="2"/>
        <v>-300</v>
      </c>
      <c r="L40" s="405" t="s">
        <v>300</v>
      </c>
      <c r="M40" s="256"/>
      <c r="N40" s="256"/>
      <c r="O40" s="256"/>
    </row>
    <row r="41" spans="1:15" ht="28.5">
      <c r="A41" s="260" t="s">
        <v>302</v>
      </c>
      <c r="B41" s="261" t="s">
        <v>195</v>
      </c>
      <c r="C41" s="262">
        <v>89</v>
      </c>
      <c r="D41" s="224">
        <f>(0.05*(37417-150))/89</f>
        <v>20.936516853932584</v>
      </c>
      <c r="E41" s="225">
        <f t="shared" si="0"/>
        <v>1863.35</v>
      </c>
      <c r="F41" s="226">
        <v>1.3340000000000001</v>
      </c>
      <c r="G41" s="225">
        <f t="shared" si="1"/>
        <v>2485.7089000000001</v>
      </c>
      <c r="H41" s="227">
        <v>2495.7139000000002</v>
      </c>
      <c r="I41" s="262">
        <f t="shared" si="3"/>
        <v>-10.005000000000109</v>
      </c>
      <c r="J41" s="262">
        <v>0</v>
      </c>
      <c r="K41" s="262">
        <f t="shared" si="2"/>
        <v>-10.005000000000109</v>
      </c>
      <c r="L41" s="405" t="s">
        <v>300</v>
      </c>
      <c r="M41" s="256"/>
      <c r="N41" s="256"/>
      <c r="O41" s="256"/>
    </row>
    <row r="42" spans="1:15" ht="28.5">
      <c r="A42" s="260" t="s">
        <v>303</v>
      </c>
      <c r="B42" s="261" t="s">
        <v>197</v>
      </c>
      <c r="C42" s="262">
        <v>89</v>
      </c>
      <c r="D42" s="224">
        <f>((37417-150)*0.05)/89</f>
        <v>20.936516853932584</v>
      </c>
      <c r="E42" s="225">
        <f t="shared" si="0"/>
        <v>1863.35</v>
      </c>
      <c r="F42" s="226">
        <v>2.3340000000000001</v>
      </c>
      <c r="G42" s="225">
        <f t="shared" si="1"/>
        <v>4349.0589</v>
      </c>
      <c r="H42" s="227">
        <v>4366.5639000000001</v>
      </c>
      <c r="I42" s="262">
        <f>G42-H42</f>
        <v>-17.505000000000109</v>
      </c>
      <c r="J42" s="262">
        <v>0</v>
      </c>
      <c r="K42" s="262">
        <f t="shared" si="2"/>
        <v>-17.505000000000109</v>
      </c>
      <c r="L42" s="405" t="s">
        <v>300</v>
      </c>
      <c r="M42" s="256"/>
      <c r="N42" s="256"/>
      <c r="O42" s="256"/>
    </row>
    <row r="43" spans="1:15" ht="28.5">
      <c r="A43" s="253" t="s">
        <v>89</v>
      </c>
      <c r="B43" s="179" t="s">
        <v>90</v>
      </c>
      <c r="C43" s="254">
        <v>2</v>
      </c>
      <c r="D43" s="23">
        <v>1</v>
      </c>
      <c r="E43" s="41">
        <f t="shared" si="0"/>
        <v>2</v>
      </c>
      <c r="F43" s="19">
        <v>3</v>
      </c>
      <c r="G43" s="41">
        <f t="shared" si="1"/>
        <v>6</v>
      </c>
      <c r="H43" s="25">
        <v>6</v>
      </c>
      <c r="I43" s="254">
        <f t="shared" si="3"/>
        <v>0</v>
      </c>
      <c r="J43" s="254">
        <v>0</v>
      </c>
      <c r="K43" s="254">
        <f t="shared" si="2"/>
        <v>0</v>
      </c>
      <c r="L43" s="180" t="s">
        <v>291</v>
      </c>
      <c r="M43" s="256"/>
      <c r="N43" s="256"/>
      <c r="O43" s="256"/>
    </row>
    <row r="44" spans="1:15" ht="15">
      <c r="A44" s="253" t="s">
        <v>91</v>
      </c>
      <c r="B44" s="179" t="s">
        <v>92</v>
      </c>
      <c r="C44" s="254">
        <v>89</v>
      </c>
      <c r="D44" s="23">
        <f>1048/89</f>
        <v>11.775280898876405</v>
      </c>
      <c r="E44" s="41">
        <f t="shared" si="0"/>
        <v>1048</v>
      </c>
      <c r="F44" s="19">
        <v>8.3500000000000005E-2</v>
      </c>
      <c r="G44" s="41">
        <f t="shared" si="1"/>
        <v>87.50800000000001</v>
      </c>
      <c r="H44" s="25">
        <v>87.50800000000001</v>
      </c>
      <c r="I44" s="254">
        <f t="shared" si="3"/>
        <v>0</v>
      </c>
      <c r="J44" s="254">
        <v>0</v>
      </c>
      <c r="K44" s="254">
        <f t="shared" si="2"/>
        <v>0</v>
      </c>
      <c r="L44" s="180" t="s">
        <v>291</v>
      </c>
      <c r="M44" s="256"/>
      <c r="N44" s="256"/>
      <c r="O44" s="256"/>
    </row>
    <row r="45" spans="1:15" ht="15">
      <c r="A45" s="253" t="s">
        <v>93</v>
      </c>
      <c r="B45" s="179" t="s">
        <v>94</v>
      </c>
      <c r="C45" s="254">
        <v>1</v>
      </c>
      <c r="D45" s="23">
        <v>12</v>
      </c>
      <c r="E45" s="41">
        <f>C45*D45</f>
        <v>12</v>
      </c>
      <c r="F45" s="19">
        <v>40</v>
      </c>
      <c r="G45" s="41">
        <f>E45*F45</f>
        <v>480</v>
      </c>
      <c r="H45" s="25">
        <v>480</v>
      </c>
      <c r="I45" s="254">
        <f t="shared" si="3"/>
        <v>0</v>
      </c>
      <c r="J45" s="254">
        <v>0</v>
      </c>
      <c r="K45" s="254">
        <f t="shared" si="2"/>
        <v>0</v>
      </c>
      <c r="L45" s="180" t="s">
        <v>291</v>
      </c>
      <c r="M45" s="256"/>
      <c r="N45" s="256"/>
      <c r="O45" s="256"/>
    </row>
    <row r="46" spans="1:15" ht="15">
      <c r="A46" s="253" t="s">
        <v>95</v>
      </c>
      <c r="B46" s="179" t="s">
        <v>96</v>
      </c>
      <c r="C46" s="23">
        <v>89</v>
      </c>
      <c r="D46" s="23">
        <f>10000/89</f>
        <v>112.35955056179775</v>
      </c>
      <c r="E46" s="41">
        <f t="shared" si="0"/>
        <v>10000</v>
      </c>
      <c r="F46" s="19">
        <v>1</v>
      </c>
      <c r="G46" s="41">
        <f t="shared" si="1"/>
        <v>10000</v>
      </c>
      <c r="H46" s="25">
        <v>10000</v>
      </c>
      <c r="I46" s="254">
        <f t="shared" si="3"/>
        <v>0</v>
      </c>
      <c r="J46" s="254">
        <f t="shared" si="4"/>
        <v>0</v>
      </c>
      <c r="K46" s="254">
        <f t="shared" si="2"/>
        <v>0</v>
      </c>
      <c r="L46" s="180" t="s">
        <v>291</v>
      </c>
      <c r="M46" s="256"/>
      <c r="N46" s="256"/>
      <c r="O46" s="256"/>
    </row>
    <row r="47" spans="1:15" ht="28.5">
      <c r="A47" s="253" t="s">
        <v>97</v>
      </c>
      <c r="B47" s="179" t="s">
        <v>98</v>
      </c>
      <c r="C47" s="23">
        <v>89</v>
      </c>
      <c r="D47" s="23">
        <v>1</v>
      </c>
      <c r="E47" s="41">
        <f t="shared" si="0"/>
        <v>89</v>
      </c>
      <c r="F47" s="19">
        <v>2</v>
      </c>
      <c r="G47" s="41">
        <f t="shared" si="1"/>
        <v>178</v>
      </c>
      <c r="H47" s="25">
        <v>178</v>
      </c>
      <c r="I47" s="254">
        <f t="shared" si="3"/>
        <v>0</v>
      </c>
      <c r="J47" s="254">
        <v>0</v>
      </c>
      <c r="K47" s="254">
        <f t="shared" si="2"/>
        <v>0</v>
      </c>
      <c r="L47" s="180" t="s">
        <v>291</v>
      </c>
      <c r="M47" s="256"/>
      <c r="N47" s="256"/>
      <c r="O47" s="256"/>
    </row>
    <row r="48" spans="1:15" ht="15">
      <c r="A48" s="253" t="s">
        <v>99</v>
      </c>
      <c r="B48" s="179" t="s">
        <v>100</v>
      </c>
      <c r="C48" s="23">
        <v>89</v>
      </c>
      <c r="D48" s="23">
        <v>1</v>
      </c>
      <c r="E48" s="41">
        <f t="shared" si="0"/>
        <v>89</v>
      </c>
      <c r="F48" s="19">
        <v>40</v>
      </c>
      <c r="G48" s="41">
        <f t="shared" si="1"/>
        <v>3560</v>
      </c>
      <c r="H48" s="25">
        <v>3560</v>
      </c>
      <c r="I48" s="254">
        <f t="shared" si="3"/>
        <v>0</v>
      </c>
      <c r="J48" s="254">
        <f t="shared" si="4"/>
        <v>0</v>
      </c>
      <c r="K48" s="254">
        <f t="shared" si="2"/>
        <v>0</v>
      </c>
      <c r="L48" s="180" t="s">
        <v>291</v>
      </c>
      <c r="M48" s="256"/>
      <c r="N48" s="256"/>
      <c r="O48" s="256"/>
    </row>
    <row r="49" spans="1:15" ht="15">
      <c r="A49" s="253" t="s">
        <v>101</v>
      </c>
      <c r="B49" s="179" t="s">
        <v>102</v>
      </c>
      <c r="C49" s="23">
        <v>89</v>
      </c>
      <c r="D49" s="23">
        <f>(6243960*0.02)/89</f>
        <v>1403.1370786516854</v>
      </c>
      <c r="E49" s="41">
        <f t="shared" si="0"/>
        <v>124879.20000000001</v>
      </c>
      <c r="F49" s="19">
        <v>8.3500000000000005E-2</v>
      </c>
      <c r="G49" s="41">
        <f t="shared" si="1"/>
        <v>10427.413200000001</v>
      </c>
      <c r="H49" s="25">
        <v>10427.413200000001</v>
      </c>
      <c r="I49" s="254">
        <f t="shared" si="3"/>
        <v>0</v>
      </c>
      <c r="J49" s="254">
        <v>0</v>
      </c>
      <c r="K49" s="254">
        <f t="shared" si="2"/>
        <v>0</v>
      </c>
      <c r="L49" s="180" t="s">
        <v>291</v>
      </c>
      <c r="M49" s="256"/>
      <c r="N49" s="256"/>
      <c r="O49" s="256"/>
    </row>
    <row r="50" spans="1:15" ht="28.5">
      <c r="A50" s="253" t="s">
        <v>103</v>
      </c>
      <c r="B50" s="179" t="s">
        <v>304</v>
      </c>
      <c r="C50" s="23">
        <v>89</v>
      </c>
      <c r="D50" s="23">
        <f>(0.33*3289)/89</f>
        <v>12.195168539325843</v>
      </c>
      <c r="E50" s="41">
        <f t="shared" si="0"/>
        <v>1085.3700000000001</v>
      </c>
      <c r="F50" s="19">
        <v>0.66800000000000004</v>
      </c>
      <c r="G50" s="41">
        <f t="shared" si="1"/>
        <v>725.02716000000009</v>
      </c>
      <c r="H50" s="25">
        <v>725.02716000000009</v>
      </c>
      <c r="I50" s="254">
        <f t="shared" si="3"/>
        <v>0</v>
      </c>
      <c r="J50" s="254">
        <v>0</v>
      </c>
      <c r="K50" s="254">
        <f t="shared" si="2"/>
        <v>0</v>
      </c>
      <c r="L50" s="180" t="s">
        <v>291</v>
      </c>
      <c r="M50" s="256"/>
      <c r="N50" s="256"/>
      <c r="O50" s="256"/>
    </row>
    <row r="51" spans="1:15" ht="15">
      <c r="A51" s="253" t="s">
        <v>105</v>
      </c>
      <c r="B51" s="179" t="s">
        <v>305</v>
      </c>
      <c r="C51" s="23">
        <v>89</v>
      </c>
      <c r="D51" s="23">
        <f>(3289*0.02)/89</f>
        <v>0.73910112359550562</v>
      </c>
      <c r="E51" s="41">
        <f>C51*D51</f>
        <v>65.78</v>
      </c>
      <c r="F51" s="19">
        <v>8.3500000000000005E-2</v>
      </c>
      <c r="G51" s="41">
        <f>E51*F51</f>
        <v>5.4926300000000001</v>
      </c>
      <c r="H51" s="25">
        <v>5.4926300000000001</v>
      </c>
      <c r="I51" s="254">
        <f t="shared" si="3"/>
        <v>0</v>
      </c>
      <c r="J51" s="254">
        <v>0</v>
      </c>
      <c r="K51" s="254">
        <f t="shared" si="2"/>
        <v>0</v>
      </c>
      <c r="L51" s="180" t="s">
        <v>291</v>
      </c>
      <c r="M51" s="256"/>
      <c r="N51" s="256"/>
      <c r="O51" s="256"/>
    </row>
    <row r="52" spans="1:15" ht="28.5">
      <c r="A52" s="253" t="s">
        <v>107</v>
      </c>
      <c r="B52" s="179" t="s">
        <v>108</v>
      </c>
      <c r="C52" s="23">
        <v>89</v>
      </c>
      <c r="D52" s="23">
        <v>1</v>
      </c>
      <c r="E52" s="41">
        <f>C52*D52</f>
        <v>89</v>
      </c>
      <c r="F52" s="19">
        <v>3</v>
      </c>
      <c r="G52" s="41">
        <f>E52*F52</f>
        <v>267</v>
      </c>
      <c r="H52" s="25">
        <v>267</v>
      </c>
      <c r="I52" s="254">
        <f t="shared" si="3"/>
        <v>0</v>
      </c>
      <c r="J52" s="254">
        <v>0</v>
      </c>
      <c r="K52" s="254">
        <f t="shared" si="2"/>
        <v>0</v>
      </c>
      <c r="L52" s="180" t="s">
        <v>291</v>
      </c>
      <c r="M52" s="256"/>
      <c r="N52" s="256"/>
      <c r="O52" s="256"/>
    </row>
    <row r="53" spans="1:15" ht="15">
      <c r="A53" s="253" t="s">
        <v>111</v>
      </c>
      <c r="B53" s="179" t="s">
        <v>112</v>
      </c>
      <c r="C53" s="23">
        <v>20</v>
      </c>
      <c r="D53" s="23">
        <v>1</v>
      </c>
      <c r="E53" s="41">
        <f t="shared" si="0"/>
        <v>20</v>
      </c>
      <c r="F53" s="19">
        <v>160</v>
      </c>
      <c r="G53" s="41">
        <f t="shared" si="1"/>
        <v>3200</v>
      </c>
      <c r="H53" s="25">
        <v>3200</v>
      </c>
      <c r="I53" s="254">
        <f t="shared" si="3"/>
        <v>0</v>
      </c>
      <c r="J53" s="254">
        <f t="shared" si="4"/>
        <v>0</v>
      </c>
      <c r="K53" s="254">
        <f t="shared" si="2"/>
        <v>0</v>
      </c>
      <c r="L53" s="180" t="s">
        <v>291</v>
      </c>
      <c r="M53" s="256"/>
      <c r="N53" s="256"/>
      <c r="O53" s="256"/>
    </row>
    <row r="54" spans="1:15" ht="30">
      <c r="A54" s="253" t="s">
        <v>113</v>
      </c>
      <c r="B54" s="179" t="s">
        <v>114</v>
      </c>
      <c r="C54" s="23">
        <v>27</v>
      </c>
      <c r="D54" s="23">
        <v>1</v>
      </c>
      <c r="E54" s="41">
        <f t="shared" si="0"/>
        <v>27</v>
      </c>
      <c r="F54" s="19">
        <v>2</v>
      </c>
      <c r="G54" s="41">
        <f t="shared" si="1"/>
        <v>54</v>
      </c>
      <c r="H54" s="25">
        <v>54</v>
      </c>
      <c r="I54" s="254">
        <f t="shared" si="3"/>
        <v>0</v>
      </c>
      <c r="J54" s="254">
        <v>0</v>
      </c>
      <c r="K54" s="254">
        <f t="shared" si="2"/>
        <v>0</v>
      </c>
      <c r="L54" s="180" t="s">
        <v>291</v>
      </c>
      <c r="M54" s="256"/>
      <c r="N54" s="256"/>
      <c r="O54" s="256"/>
    </row>
    <row r="55" spans="1:15" ht="15">
      <c r="A55" s="253" t="s">
        <v>115</v>
      </c>
      <c r="B55" s="179" t="s">
        <v>116</v>
      </c>
      <c r="C55" s="23">
        <v>89</v>
      </c>
      <c r="D55" s="23">
        <f>(1810*4)/89</f>
        <v>81.348314606741567</v>
      </c>
      <c r="E55" s="41">
        <f t="shared" si="0"/>
        <v>7239.9999999999991</v>
      </c>
      <c r="F55" s="19">
        <v>2</v>
      </c>
      <c r="G55" s="41">
        <f t="shared" si="1"/>
        <v>14479.999999999998</v>
      </c>
      <c r="H55" s="25">
        <v>14479.999999999998</v>
      </c>
      <c r="I55" s="254">
        <v>0</v>
      </c>
      <c r="J55" s="254">
        <f t="shared" si="4"/>
        <v>0</v>
      </c>
      <c r="K55" s="254">
        <f t="shared" si="2"/>
        <v>0</v>
      </c>
      <c r="L55" s="180" t="s">
        <v>291</v>
      </c>
      <c r="M55" s="256"/>
      <c r="N55" s="256"/>
      <c r="O55" s="256"/>
    </row>
    <row r="56" spans="1:15" ht="57">
      <c r="A56" s="253" t="s">
        <v>117</v>
      </c>
      <c r="B56" s="179" t="s">
        <v>118</v>
      </c>
      <c r="C56" s="23">
        <v>30</v>
      </c>
      <c r="D56" s="23">
        <v>1</v>
      </c>
      <c r="E56" s="41">
        <f t="shared" si="0"/>
        <v>30</v>
      </c>
      <c r="F56" s="19">
        <v>1.5</v>
      </c>
      <c r="G56" s="41">
        <f t="shared" si="1"/>
        <v>45</v>
      </c>
      <c r="H56" s="25">
        <v>45</v>
      </c>
      <c r="I56" s="254">
        <f t="shared" si="3"/>
        <v>0</v>
      </c>
      <c r="J56" s="254">
        <v>0</v>
      </c>
      <c r="K56" s="254">
        <f t="shared" si="2"/>
        <v>0</v>
      </c>
      <c r="L56" s="180" t="s">
        <v>291</v>
      </c>
      <c r="M56" s="256"/>
      <c r="N56" s="256"/>
      <c r="O56" s="256"/>
    </row>
    <row r="57" spans="1:15" ht="28.5">
      <c r="A57" s="253" t="s">
        <v>119</v>
      </c>
      <c r="B57" s="179" t="s">
        <v>120</v>
      </c>
      <c r="C57" s="23">
        <f>79/5</f>
        <v>15.8</v>
      </c>
      <c r="D57" s="23">
        <v>1</v>
      </c>
      <c r="E57" s="41">
        <f t="shared" si="0"/>
        <v>15.8</v>
      </c>
      <c r="F57" s="19">
        <v>1968</v>
      </c>
      <c r="G57" s="41">
        <f t="shared" si="1"/>
        <v>31094.400000000001</v>
      </c>
      <c r="H57" s="25">
        <v>31094.400000000001</v>
      </c>
      <c r="I57" s="254">
        <f t="shared" si="3"/>
        <v>0</v>
      </c>
      <c r="J57" s="254">
        <v>0</v>
      </c>
      <c r="K57" s="254">
        <f t="shared" si="2"/>
        <v>0</v>
      </c>
      <c r="L57" s="180" t="s">
        <v>291</v>
      </c>
      <c r="M57" s="256"/>
      <c r="N57" s="256"/>
      <c r="O57" s="256"/>
    </row>
    <row r="58" spans="1:15" ht="15">
      <c r="A58" s="253" t="s">
        <v>121</v>
      </c>
      <c r="B58" s="179" t="s">
        <v>122</v>
      </c>
      <c r="C58" s="23">
        <v>2</v>
      </c>
      <c r="D58" s="23">
        <v>1</v>
      </c>
      <c r="E58" s="41">
        <f t="shared" si="0"/>
        <v>2</v>
      </c>
      <c r="F58" s="19">
        <v>8</v>
      </c>
      <c r="G58" s="41">
        <f t="shared" si="1"/>
        <v>16</v>
      </c>
      <c r="H58" s="25">
        <v>16</v>
      </c>
      <c r="I58" s="254">
        <f t="shared" si="3"/>
        <v>0</v>
      </c>
      <c r="J58" s="254">
        <v>0</v>
      </c>
      <c r="K58" s="254">
        <f t="shared" si="2"/>
        <v>0</v>
      </c>
      <c r="L58" s="180" t="s">
        <v>291</v>
      </c>
      <c r="M58" s="256"/>
      <c r="N58" s="256"/>
      <c r="O58" s="256"/>
    </row>
    <row r="59" spans="1:15" ht="28.5">
      <c r="A59" s="253" t="s">
        <v>123</v>
      </c>
      <c r="B59" s="179" t="s">
        <v>124</v>
      </c>
      <c r="C59" s="23">
        <v>2</v>
      </c>
      <c r="D59" s="23">
        <v>1</v>
      </c>
      <c r="E59" s="41">
        <f t="shared" si="0"/>
        <v>2</v>
      </c>
      <c r="F59" s="19">
        <v>480</v>
      </c>
      <c r="G59" s="41">
        <f t="shared" si="1"/>
        <v>960</v>
      </c>
      <c r="H59" s="25">
        <v>960</v>
      </c>
      <c r="I59" s="254">
        <f t="shared" si="3"/>
        <v>0</v>
      </c>
      <c r="J59" s="254">
        <v>0</v>
      </c>
      <c r="K59" s="254">
        <f t="shared" si="2"/>
        <v>0</v>
      </c>
      <c r="L59" s="180" t="s">
        <v>291</v>
      </c>
      <c r="M59" s="256"/>
      <c r="N59" s="256"/>
      <c r="O59" s="256"/>
    </row>
    <row r="60" spans="1:15" ht="28.5">
      <c r="A60" s="253" t="s">
        <v>125</v>
      </c>
      <c r="B60" s="179" t="s">
        <v>126</v>
      </c>
      <c r="C60" s="23">
        <v>74</v>
      </c>
      <c r="D60" s="23">
        <v>1</v>
      </c>
      <c r="E60" s="41">
        <f t="shared" si="0"/>
        <v>74</v>
      </c>
      <c r="F60" s="19">
        <v>40</v>
      </c>
      <c r="G60" s="41">
        <f t="shared" si="1"/>
        <v>2960</v>
      </c>
      <c r="H60" s="25">
        <v>2960</v>
      </c>
      <c r="I60" s="254">
        <f t="shared" si="3"/>
        <v>0</v>
      </c>
      <c r="J60" s="254">
        <v>0</v>
      </c>
      <c r="K60" s="254">
        <f t="shared" si="2"/>
        <v>0</v>
      </c>
      <c r="L60" s="180" t="s">
        <v>291</v>
      </c>
      <c r="M60" s="256"/>
      <c r="N60" s="256"/>
      <c r="O60" s="256"/>
    </row>
    <row r="61" spans="1:15" ht="15">
      <c r="A61" s="253" t="s">
        <v>127</v>
      </c>
      <c r="B61" s="179" t="s">
        <v>128</v>
      </c>
      <c r="C61" s="23">
        <v>89</v>
      </c>
      <c r="D61" s="23">
        <f>(10/89)</f>
        <v>0.11235955056179775</v>
      </c>
      <c r="E61" s="41">
        <f t="shared" si="0"/>
        <v>10</v>
      </c>
      <c r="F61" s="19">
        <v>8</v>
      </c>
      <c r="G61" s="41">
        <f t="shared" si="1"/>
        <v>80</v>
      </c>
      <c r="H61" s="25">
        <v>80</v>
      </c>
      <c r="I61" s="254">
        <f t="shared" si="3"/>
        <v>0</v>
      </c>
      <c r="J61" s="254">
        <f t="shared" si="4"/>
        <v>0</v>
      </c>
      <c r="K61" s="254">
        <f t="shared" si="2"/>
        <v>0</v>
      </c>
      <c r="L61" s="180" t="s">
        <v>291</v>
      </c>
      <c r="M61" s="256"/>
      <c r="N61" s="256"/>
      <c r="O61" s="256"/>
    </row>
    <row r="62" spans="1:15" ht="28.5">
      <c r="A62" s="253">
        <v>246.18</v>
      </c>
      <c r="B62" s="179" t="s">
        <v>129</v>
      </c>
      <c r="C62" s="23">
        <v>89</v>
      </c>
      <c r="D62" s="23">
        <f>((1048+65.78)*0.02)/89</f>
        <v>0.25028764044943819</v>
      </c>
      <c r="E62" s="41">
        <f t="shared" si="0"/>
        <v>22.275599999999997</v>
      </c>
      <c r="F62" s="19">
        <v>2</v>
      </c>
      <c r="G62" s="41">
        <f t="shared" si="1"/>
        <v>44.551199999999994</v>
      </c>
      <c r="H62" s="25">
        <v>44.551199999999994</v>
      </c>
      <c r="I62" s="254">
        <f t="shared" si="3"/>
        <v>0</v>
      </c>
      <c r="J62" s="254">
        <v>0</v>
      </c>
      <c r="K62" s="254">
        <f t="shared" si="2"/>
        <v>0</v>
      </c>
      <c r="L62" s="180" t="s">
        <v>291</v>
      </c>
      <c r="M62" s="256"/>
      <c r="N62" s="256"/>
      <c r="O62" s="256"/>
    </row>
    <row r="63" spans="1:15" ht="15">
      <c r="A63" s="253" t="s">
        <v>130</v>
      </c>
      <c r="B63" s="179" t="s">
        <v>131</v>
      </c>
      <c r="C63" s="23">
        <f>89*0.33</f>
        <v>29.37</v>
      </c>
      <c r="D63" s="23">
        <v>1</v>
      </c>
      <c r="E63" s="41">
        <f t="shared" si="0"/>
        <v>29.37</v>
      </c>
      <c r="F63" s="19">
        <v>30</v>
      </c>
      <c r="G63" s="41">
        <f t="shared" si="1"/>
        <v>881.1</v>
      </c>
      <c r="H63" s="25">
        <v>881.1</v>
      </c>
      <c r="I63" s="254">
        <f t="shared" si="3"/>
        <v>0</v>
      </c>
      <c r="J63" s="254">
        <f t="shared" si="4"/>
        <v>0</v>
      </c>
      <c r="K63" s="254">
        <f t="shared" si="2"/>
        <v>0</v>
      </c>
      <c r="L63" s="180" t="s">
        <v>291</v>
      </c>
      <c r="M63" s="256"/>
      <c r="N63" s="256"/>
      <c r="O63" s="256"/>
    </row>
    <row r="64" spans="1:15" ht="15">
      <c r="A64" s="253" t="s">
        <v>130</v>
      </c>
      <c r="B64" s="179" t="s">
        <v>132</v>
      </c>
      <c r="C64" s="23">
        <v>17</v>
      </c>
      <c r="D64" s="23">
        <v>1</v>
      </c>
      <c r="E64" s="41">
        <f t="shared" si="0"/>
        <v>17</v>
      </c>
      <c r="F64" s="19">
        <v>3</v>
      </c>
      <c r="G64" s="41">
        <f t="shared" si="1"/>
        <v>51</v>
      </c>
      <c r="H64" s="25">
        <v>51</v>
      </c>
      <c r="I64" s="254">
        <f t="shared" si="3"/>
        <v>0</v>
      </c>
      <c r="J64" s="254">
        <v>0</v>
      </c>
      <c r="K64" s="254">
        <f t="shared" si="2"/>
        <v>0</v>
      </c>
      <c r="L64" s="180" t="s">
        <v>291</v>
      </c>
      <c r="M64" s="256"/>
      <c r="N64" s="256"/>
      <c r="O64" s="256"/>
    </row>
    <row r="65" spans="1:15" ht="15">
      <c r="A65" s="253" t="s">
        <v>133</v>
      </c>
      <c r="B65" s="179" t="s">
        <v>134</v>
      </c>
      <c r="C65" s="23">
        <v>89</v>
      </c>
      <c r="D65" s="23">
        <f>(1810/2)/89</f>
        <v>10.168539325842696</v>
      </c>
      <c r="E65" s="41">
        <f t="shared" si="0"/>
        <v>904.99999999999989</v>
      </c>
      <c r="F65" s="19">
        <v>2</v>
      </c>
      <c r="G65" s="41">
        <f t="shared" si="1"/>
        <v>1809.9999999999998</v>
      </c>
      <c r="H65" s="25">
        <v>1809.9999999999998</v>
      </c>
      <c r="I65" s="254">
        <f t="shared" si="3"/>
        <v>0</v>
      </c>
      <c r="J65" s="254">
        <v>0</v>
      </c>
      <c r="K65" s="254">
        <f t="shared" si="2"/>
        <v>0</v>
      </c>
      <c r="L65" s="180" t="s">
        <v>291</v>
      </c>
      <c r="M65" s="256"/>
      <c r="N65" s="256"/>
      <c r="O65" s="256"/>
    </row>
    <row r="66" spans="1:15" ht="15">
      <c r="A66" s="253" t="s">
        <v>135</v>
      </c>
      <c r="B66" s="179" t="s">
        <v>136</v>
      </c>
      <c r="C66" s="23">
        <v>89</v>
      </c>
      <c r="D66" s="23">
        <f>(1810/89)*0.5*0.25</f>
        <v>2.542134831460674</v>
      </c>
      <c r="E66" s="41">
        <f t="shared" si="0"/>
        <v>226.24999999999997</v>
      </c>
      <c r="F66" s="19">
        <v>2</v>
      </c>
      <c r="G66" s="41">
        <f t="shared" si="1"/>
        <v>452.49999999999994</v>
      </c>
      <c r="H66" s="25">
        <v>452.49999999999994</v>
      </c>
      <c r="I66" s="254">
        <v>0</v>
      </c>
      <c r="J66" s="254">
        <f t="shared" si="4"/>
        <v>0</v>
      </c>
      <c r="K66" s="254">
        <f t="shared" si="2"/>
        <v>0</v>
      </c>
      <c r="L66" s="180" t="s">
        <v>291</v>
      </c>
      <c r="N66" s="256"/>
      <c r="O66" s="256"/>
    </row>
    <row r="67" spans="1:15" ht="15">
      <c r="A67" s="266" t="s">
        <v>137</v>
      </c>
      <c r="B67" s="179" t="s">
        <v>138</v>
      </c>
      <c r="C67" s="23">
        <v>1</v>
      </c>
      <c r="D67" s="23">
        <v>1</v>
      </c>
      <c r="E67" s="41">
        <f t="shared" si="0"/>
        <v>1</v>
      </c>
      <c r="F67" s="19">
        <v>40</v>
      </c>
      <c r="G67" s="41">
        <f t="shared" si="1"/>
        <v>40</v>
      </c>
      <c r="H67" s="25">
        <v>40</v>
      </c>
      <c r="I67" s="254">
        <f t="shared" si="3"/>
        <v>0</v>
      </c>
      <c r="J67" s="254">
        <f t="shared" si="4"/>
        <v>0</v>
      </c>
      <c r="K67" s="254">
        <f t="shared" si="2"/>
        <v>0</v>
      </c>
      <c r="L67" s="180" t="s">
        <v>291</v>
      </c>
      <c r="M67" s="256"/>
      <c r="N67" s="256"/>
    </row>
    <row r="68" spans="1:15" ht="15">
      <c r="A68" s="267" t="s">
        <v>139</v>
      </c>
      <c r="B68" s="268" t="s">
        <v>140</v>
      </c>
      <c r="C68" s="23">
        <v>89</v>
      </c>
      <c r="D68" s="23">
        <v>1</v>
      </c>
      <c r="E68" s="41">
        <f t="shared" si="0"/>
        <v>89</v>
      </c>
      <c r="F68" s="19">
        <v>8</v>
      </c>
      <c r="G68" s="41">
        <f t="shared" si="1"/>
        <v>712</v>
      </c>
      <c r="H68" s="25">
        <v>712</v>
      </c>
      <c r="I68" s="254">
        <f t="shared" si="3"/>
        <v>0</v>
      </c>
      <c r="J68" s="254">
        <v>0</v>
      </c>
      <c r="K68" s="254">
        <f t="shared" si="2"/>
        <v>0</v>
      </c>
      <c r="L68" s="180" t="s">
        <v>291</v>
      </c>
      <c r="M68" s="256"/>
      <c r="N68" s="256"/>
    </row>
    <row r="69" spans="1:15" ht="15">
      <c r="A69" s="253" t="s">
        <v>141</v>
      </c>
      <c r="B69" s="179" t="s">
        <v>142</v>
      </c>
      <c r="C69" s="23">
        <v>1</v>
      </c>
      <c r="D69" s="23">
        <v>1</v>
      </c>
      <c r="E69" s="41">
        <f t="shared" si="0"/>
        <v>1</v>
      </c>
      <c r="F69" s="19">
        <v>2</v>
      </c>
      <c r="G69" s="41">
        <f t="shared" si="1"/>
        <v>2</v>
      </c>
      <c r="H69" s="25">
        <v>2</v>
      </c>
      <c r="I69" s="254">
        <f t="shared" si="3"/>
        <v>0</v>
      </c>
      <c r="J69" s="254">
        <v>0</v>
      </c>
      <c r="K69" s="254">
        <f t="shared" si="2"/>
        <v>0</v>
      </c>
      <c r="L69" s="180" t="s">
        <v>291</v>
      </c>
      <c r="M69" s="256"/>
      <c r="N69" s="256"/>
    </row>
    <row r="70" spans="1:15" ht="15">
      <c r="A70" s="253" t="s">
        <v>143</v>
      </c>
      <c r="B70" s="179" t="s">
        <v>144</v>
      </c>
      <c r="C70" s="23">
        <v>1</v>
      </c>
      <c r="D70" s="23">
        <v>1</v>
      </c>
      <c r="E70" s="41">
        <f t="shared" si="0"/>
        <v>1</v>
      </c>
      <c r="F70" s="19">
        <v>2</v>
      </c>
      <c r="G70" s="41">
        <f t="shared" si="1"/>
        <v>2</v>
      </c>
      <c r="H70" s="25">
        <v>2</v>
      </c>
      <c r="I70" s="254">
        <f t="shared" si="3"/>
        <v>0</v>
      </c>
      <c r="J70" s="254">
        <v>0</v>
      </c>
      <c r="K70" s="254">
        <f t="shared" si="2"/>
        <v>0</v>
      </c>
      <c r="L70" s="180" t="s">
        <v>291</v>
      </c>
      <c r="M70" s="256"/>
      <c r="N70" s="256"/>
    </row>
    <row r="71" spans="1:15" ht="28.5">
      <c r="A71" s="269" t="s">
        <v>145</v>
      </c>
      <c r="B71" s="270" t="s">
        <v>146</v>
      </c>
      <c r="C71" s="23">
        <f>(89*0.25)</f>
        <v>22.25</v>
      </c>
      <c r="D71" s="23">
        <v>1</v>
      </c>
      <c r="E71" s="41">
        <f t="shared" si="0"/>
        <v>22.25</v>
      </c>
      <c r="F71" s="19">
        <v>0.25</v>
      </c>
      <c r="G71" s="41">
        <f t="shared" si="1"/>
        <v>5.5625</v>
      </c>
      <c r="H71" s="25">
        <v>5.5625</v>
      </c>
      <c r="I71" s="254">
        <f t="shared" si="3"/>
        <v>0</v>
      </c>
      <c r="J71" s="254">
        <v>0</v>
      </c>
      <c r="K71" s="254">
        <f t="shared" si="2"/>
        <v>0</v>
      </c>
      <c r="L71" s="180" t="s">
        <v>291</v>
      </c>
      <c r="M71" s="256"/>
      <c r="N71" s="256"/>
    </row>
    <row r="72" spans="1:15" ht="15">
      <c r="A72" s="609" t="s">
        <v>147</v>
      </c>
      <c r="B72" s="609"/>
      <c r="C72" s="212">
        <f>C5+1267</f>
        <v>1356</v>
      </c>
      <c r="D72" s="212">
        <f>E72/C72</f>
        <v>10076.844580555276</v>
      </c>
      <c r="E72" s="212">
        <f>SUM(E5:E71)</f>
        <v>13664201.251232954</v>
      </c>
      <c r="F72" s="213">
        <f>G72/E72</f>
        <v>0.28793801942663849</v>
      </c>
      <c r="G72" s="381">
        <f>SUM(G5:G71)</f>
        <v>3934443.0453270124</v>
      </c>
      <c r="H72" s="214">
        <f>SUM(H5:H71)</f>
        <v>3349222.4821270127</v>
      </c>
      <c r="I72" s="213">
        <f>SUM(I5:I71)</f>
        <v>585220.56320000021</v>
      </c>
      <c r="J72" s="215">
        <f>SUM(J5:J12)+SUM(J13:J71)</f>
        <v>0</v>
      </c>
      <c r="K72" s="271">
        <f>G72-H72</f>
        <v>585220.56319999974</v>
      </c>
      <c r="L72" s="272"/>
    </row>
    <row r="73" spans="1:15" ht="15">
      <c r="A73" s="610" t="s">
        <v>148</v>
      </c>
      <c r="B73" s="611"/>
      <c r="C73" s="611"/>
      <c r="D73" s="611"/>
      <c r="E73" s="611"/>
      <c r="F73" s="611"/>
      <c r="G73" s="611"/>
      <c r="H73" s="611"/>
      <c r="I73" s="611"/>
      <c r="J73" s="611"/>
      <c r="K73" s="611"/>
      <c r="L73" s="612"/>
      <c r="N73" s="256"/>
    </row>
    <row r="74" spans="1:15" ht="24.75" customHeight="1">
      <c r="A74" s="260" t="s">
        <v>32</v>
      </c>
      <c r="B74" s="261" t="s">
        <v>31</v>
      </c>
      <c r="C74" s="273">
        <v>1379126</v>
      </c>
      <c r="D74" s="224">
        <v>1</v>
      </c>
      <c r="E74" s="225">
        <f>C74*D74</f>
        <v>1379126</v>
      </c>
      <c r="F74" s="226">
        <v>0.46760000000000002</v>
      </c>
      <c r="G74" s="225">
        <f>E74*F74</f>
        <v>644879.31760000007</v>
      </c>
      <c r="H74" s="227">
        <v>575785.10499999998</v>
      </c>
      <c r="I74" s="274">
        <f t="shared" ref="I74:I85" si="5">G74-H74</f>
        <v>69094.212600000086</v>
      </c>
      <c r="J74" s="262">
        <v>0</v>
      </c>
      <c r="K74" s="262">
        <f>G74-H74</f>
        <v>69094.212600000086</v>
      </c>
      <c r="L74" s="372" t="s">
        <v>296</v>
      </c>
      <c r="N74" s="256"/>
      <c r="O74" s="256"/>
    </row>
    <row r="75" spans="1:15" ht="24.75" customHeight="1">
      <c r="A75" s="260" t="s">
        <v>32</v>
      </c>
      <c r="B75" s="261" t="s">
        <v>149</v>
      </c>
      <c r="C75" s="275">
        <v>3400090</v>
      </c>
      <c r="D75" s="224">
        <v>1</v>
      </c>
      <c r="E75" s="225">
        <f t="shared" ref="E75:E85" si="6">C75*D75</f>
        <v>3400090</v>
      </c>
      <c r="F75" s="226">
        <v>0.46760000000000002</v>
      </c>
      <c r="G75" s="225">
        <f t="shared" ref="G75:G85" si="7">E75*F75</f>
        <v>1589882.084</v>
      </c>
      <c r="H75" s="227">
        <v>1419537.575</v>
      </c>
      <c r="I75" s="274">
        <f t="shared" si="5"/>
        <v>170344.50900000008</v>
      </c>
      <c r="J75" s="262">
        <v>0</v>
      </c>
      <c r="K75" s="262">
        <f t="shared" ref="K75:K85" si="8">G75-H75</f>
        <v>170344.50900000008</v>
      </c>
      <c r="L75" s="372" t="s">
        <v>296</v>
      </c>
      <c r="N75" s="256"/>
    </row>
    <row r="76" spans="1:15" ht="24.75" customHeight="1">
      <c r="A76" s="260" t="s">
        <v>32</v>
      </c>
      <c r="B76" s="261" t="s">
        <v>34</v>
      </c>
      <c r="C76" s="273">
        <v>1464744</v>
      </c>
      <c r="D76" s="224">
        <v>1</v>
      </c>
      <c r="E76" s="225">
        <f t="shared" si="6"/>
        <v>1464744</v>
      </c>
      <c r="F76" s="226">
        <v>0.46760000000000002</v>
      </c>
      <c r="G76" s="225">
        <f t="shared" si="7"/>
        <v>684914.29440000001</v>
      </c>
      <c r="H76" s="227">
        <v>611530.62</v>
      </c>
      <c r="I76" s="274">
        <f t="shared" si="5"/>
        <v>73383.674400000018</v>
      </c>
      <c r="J76" s="262">
        <v>0</v>
      </c>
      <c r="K76" s="262">
        <f t="shared" si="8"/>
        <v>73383.674400000018</v>
      </c>
      <c r="L76" s="372" t="s">
        <v>296</v>
      </c>
      <c r="N76" s="256"/>
    </row>
    <row r="77" spans="1:15" ht="24.75" customHeight="1">
      <c r="A77" s="260" t="s">
        <v>32</v>
      </c>
      <c r="B77" s="261" t="s">
        <v>35</v>
      </c>
      <c r="C77" s="273">
        <v>6243960</v>
      </c>
      <c r="D77" s="224">
        <v>1</v>
      </c>
      <c r="E77" s="225">
        <f t="shared" si="6"/>
        <v>6243960</v>
      </c>
      <c r="F77" s="226">
        <v>8.3500000000000005E-2</v>
      </c>
      <c r="G77" s="225">
        <f t="shared" si="7"/>
        <v>521370.66000000003</v>
      </c>
      <c r="H77" s="227">
        <v>0</v>
      </c>
      <c r="I77" s="274">
        <f t="shared" si="5"/>
        <v>521370.66000000003</v>
      </c>
      <c r="J77" s="262">
        <v>0</v>
      </c>
      <c r="K77" s="262">
        <f t="shared" si="8"/>
        <v>521370.66000000003</v>
      </c>
      <c r="L77" s="372" t="s">
        <v>293</v>
      </c>
      <c r="N77" s="256"/>
    </row>
    <row r="78" spans="1:15" ht="28.5">
      <c r="A78" s="253" t="s">
        <v>151</v>
      </c>
      <c r="B78" s="179" t="s">
        <v>150</v>
      </c>
      <c r="C78" s="27">
        <v>6243960</v>
      </c>
      <c r="D78" s="23">
        <v>1</v>
      </c>
      <c r="E78" s="41">
        <f t="shared" si="6"/>
        <v>6243960</v>
      </c>
      <c r="F78" s="23">
        <v>0.33400000000000002</v>
      </c>
      <c r="G78" s="41">
        <f t="shared" si="7"/>
        <v>2085482.6400000001</v>
      </c>
      <c r="H78" s="25">
        <v>2085482.6400000001</v>
      </c>
      <c r="I78" s="276">
        <f t="shared" si="5"/>
        <v>0</v>
      </c>
      <c r="J78" s="254">
        <v>0</v>
      </c>
      <c r="K78" s="254">
        <f t="shared" si="8"/>
        <v>0</v>
      </c>
      <c r="L78" s="180" t="s">
        <v>291</v>
      </c>
      <c r="M78" s="256"/>
      <c r="N78" s="256"/>
    </row>
    <row r="79" spans="1:15" ht="15">
      <c r="A79" s="253" t="s">
        <v>151</v>
      </c>
      <c r="B79" s="179" t="s">
        <v>152</v>
      </c>
      <c r="C79" s="27">
        <v>6243960</v>
      </c>
      <c r="D79" s="23">
        <v>1</v>
      </c>
      <c r="E79" s="41">
        <f t="shared" si="6"/>
        <v>6243960</v>
      </c>
      <c r="F79" s="23">
        <v>0.33400000000000002</v>
      </c>
      <c r="G79" s="41">
        <f t="shared" si="7"/>
        <v>2085482.6400000001</v>
      </c>
      <c r="H79" s="25">
        <v>2085482.6400000001</v>
      </c>
      <c r="I79" s="276">
        <f t="shared" si="5"/>
        <v>0</v>
      </c>
      <c r="J79" s="254">
        <v>0</v>
      </c>
      <c r="K79" s="254">
        <f t="shared" si="8"/>
        <v>0</v>
      </c>
      <c r="L79" s="180" t="s">
        <v>291</v>
      </c>
      <c r="M79" s="256"/>
      <c r="N79" s="256"/>
    </row>
    <row r="80" spans="1:15" ht="15">
      <c r="A80" s="253">
        <v>246.9</v>
      </c>
      <c r="B80" s="179" t="s">
        <v>153</v>
      </c>
      <c r="C80" s="27">
        <f>(6243960*0.02*0.02)</f>
        <v>2497.5839999999998</v>
      </c>
      <c r="D80" s="23">
        <v>1</v>
      </c>
      <c r="E80" s="41">
        <f t="shared" si="6"/>
        <v>2497.5839999999998</v>
      </c>
      <c r="F80" s="23">
        <v>2</v>
      </c>
      <c r="G80" s="41">
        <f t="shared" si="7"/>
        <v>4995.1679999999997</v>
      </c>
      <c r="H80" s="25">
        <v>4995.1679999999997</v>
      </c>
      <c r="I80" s="276">
        <f t="shared" si="5"/>
        <v>0</v>
      </c>
      <c r="J80" s="254">
        <v>0</v>
      </c>
      <c r="K80" s="254">
        <f t="shared" si="8"/>
        <v>0</v>
      </c>
      <c r="L80" s="180" t="s">
        <v>291</v>
      </c>
      <c r="M80" s="256"/>
    </row>
    <row r="81" spans="1:13" ht="28.5">
      <c r="A81" s="253" t="s">
        <v>53</v>
      </c>
      <c r="B81" s="179" t="s">
        <v>54</v>
      </c>
      <c r="C81" s="27">
        <f>1464744*0.01</f>
        <v>14647.44</v>
      </c>
      <c r="D81" s="23">
        <v>1</v>
      </c>
      <c r="E81" s="41">
        <f t="shared" si="6"/>
        <v>14647.44</v>
      </c>
      <c r="F81" s="23">
        <v>3.3399999999999999E-2</v>
      </c>
      <c r="G81" s="41">
        <f t="shared" si="7"/>
        <v>489.22449599999999</v>
      </c>
      <c r="H81" s="25">
        <v>489.22449599999999</v>
      </c>
      <c r="I81" s="276">
        <v>0</v>
      </c>
      <c r="J81" s="254">
        <f t="shared" ref="J81:J82" si="9">G81-H81</f>
        <v>0</v>
      </c>
      <c r="K81" s="254">
        <f t="shared" si="8"/>
        <v>0</v>
      </c>
      <c r="L81" s="180" t="s">
        <v>291</v>
      </c>
      <c r="M81" s="256"/>
    </row>
    <row r="82" spans="1:13" ht="15">
      <c r="A82" s="253" t="s">
        <v>53</v>
      </c>
      <c r="B82" s="179" t="s">
        <v>154</v>
      </c>
      <c r="C82" s="27">
        <f>(3400090*0.01)+(6243960 *0.01)+(1379126*0.01)</f>
        <v>110231.76</v>
      </c>
      <c r="D82" s="23">
        <v>2</v>
      </c>
      <c r="E82" s="41">
        <f t="shared" si="6"/>
        <v>220463.52</v>
      </c>
      <c r="F82" s="23">
        <v>5.0099999999999999E-2</v>
      </c>
      <c r="G82" s="41">
        <f t="shared" si="7"/>
        <v>11045.222351999999</v>
      </c>
      <c r="H82" s="113">
        <v>11045.222351999999</v>
      </c>
      <c r="I82" s="276">
        <v>0</v>
      </c>
      <c r="J82" s="254">
        <f t="shared" si="9"/>
        <v>0</v>
      </c>
      <c r="K82" s="254">
        <f t="shared" si="8"/>
        <v>0</v>
      </c>
      <c r="L82" s="180" t="s">
        <v>291</v>
      </c>
      <c r="M82" s="256"/>
    </row>
    <row r="83" spans="1:13" ht="15">
      <c r="A83" s="277" t="s">
        <v>155</v>
      </c>
      <c r="B83" s="270" t="s">
        <v>156</v>
      </c>
      <c r="C83" s="27">
        <v>6243960</v>
      </c>
      <c r="D83" s="23">
        <v>1</v>
      </c>
      <c r="E83" s="41">
        <f t="shared" si="6"/>
        <v>6243960</v>
      </c>
      <c r="F83" s="23">
        <v>0.25</v>
      </c>
      <c r="G83" s="41">
        <f t="shared" si="7"/>
        <v>1560990</v>
      </c>
      <c r="H83" s="113">
        <v>1560990</v>
      </c>
      <c r="I83" s="276">
        <f t="shared" si="5"/>
        <v>0</v>
      </c>
      <c r="J83" s="254">
        <v>0</v>
      </c>
      <c r="K83" s="254">
        <f t="shared" si="8"/>
        <v>0</v>
      </c>
      <c r="L83" s="180" t="s">
        <v>291</v>
      </c>
      <c r="M83" s="256"/>
    </row>
    <row r="84" spans="1:13" ht="57">
      <c r="A84" s="277" t="s">
        <v>306</v>
      </c>
      <c r="B84" s="278" t="s">
        <v>158</v>
      </c>
      <c r="C84" s="27">
        <f>((6243960/89)/2)*17</f>
        <v>596333.25842696626</v>
      </c>
      <c r="D84" s="23">
        <v>3</v>
      </c>
      <c r="E84" s="41">
        <f t="shared" si="6"/>
        <v>1788999.7752808989</v>
      </c>
      <c r="F84" s="23">
        <v>0.5</v>
      </c>
      <c r="G84" s="41">
        <f t="shared" si="7"/>
        <v>894499.88764044945</v>
      </c>
      <c r="H84" s="113">
        <v>894499.88764044945</v>
      </c>
      <c r="I84" s="276">
        <f t="shared" si="5"/>
        <v>0</v>
      </c>
      <c r="J84" s="254">
        <v>0</v>
      </c>
      <c r="K84" s="254">
        <f t="shared" si="8"/>
        <v>0</v>
      </c>
      <c r="L84" s="180" t="s">
        <v>291</v>
      </c>
      <c r="M84" s="256"/>
    </row>
    <row r="85" spans="1:13" ht="57">
      <c r="A85" s="277" t="s">
        <v>306</v>
      </c>
      <c r="B85" s="278" t="s">
        <v>159</v>
      </c>
      <c r="C85" s="27">
        <f>((6243960/89)/2)*72</f>
        <v>2525646.7415730339</v>
      </c>
      <c r="D85" s="23">
        <v>1</v>
      </c>
      <c r="E85" s="41">
        <f t="shared" si="6"/>
        <v>2525646.7415730339</v>
      </c>
      <c r="F85" s="23">
        <v>0.5</v>
      </c>
      <c r="G85" s="41">
        <f t="shared" si="7"/>
        <v>1262823.3707865169</v>
      </c>
      <c r="H85" s="113">
        <v>1262823.3707865169</v>
      </c>
      <c r="I85" s="276">
        <f t="shared" si="5"/>
        <v>0</v>
      </c>
      <c r="J85" s="254">
        <v>0</v>
      </c>
      <c r="K85" s="254">
        <f t="shared" si="8"/>
        <v>0</v>
      </c>
      <c r="L85" s="180" t="s">
        <v>291</v>
      </c>
      <c r="M85" s="256"/>
    </row>
    <row r="86" spans="1:13" ht="15">
      <c r="A86" s="613" t="s">
        <v>160</v>
      </c>
      <c r="B86" s="613"/>
      <c r="C86" s="217">
        <f>C74+C75+C76</f>
        <v>6243960</v>
      </c>
      <c r="D86" s="213">
        <f>E86/C86</f>
        <v>5.7290653785184302</v>
      </c>
      <c r="E86" s="212">
        <f>SUM(E74:E85)</f>
        <v>35772055.060853936</v>
      </c>
      <c r="F86" s="213">
        <f>G86/E86</f>
        <v>0.31719884390125669</v>
      </c>
      <c r="G86" s="212">
        <f>SUM(G74:G85)</f>
        <v>11346854.509274967</v>
      </c>
      <c r="H86" s="212">
        <f>SUM(H74:H85)</f>
        <v>10512661.453274965</v>
      </c>
      <c r="I86" s="213">
        <f>SUM(I74:I85)</f>
        <v>834193.05600000022</v>
      </c>
      <c r="J86" s="213">
        <f>SUM(J74:J85)</f>
        <v>0</v>
      </c>
      <c r="K86" s="218">
        <f>G86-H86</f>
        <v>834193.05600000173</v>
      </c>
      <c r="L86" s="272"/>
    </row>
    <row r="87" spans="1:13" ht="15">
      <c r="A87" s="610" t="s">
        <v>161</v>
      </c>
      <c r="B87" s="611"/>
      <c r="C87" s="611"/>
      <c r="D87" s="611"/>
      <c r="E87" s="611"/>
      <c r="F87" s="611"/>
      <c r="G87" s="611"/>
      <c r="H87" s="611"/>
      <c r="I87" s="611"/>
      <c r="J87" s="611"/>
      <c r="K87" s="611"/>
      <c r="L87" s="612"/>
    </row>
    <row r="88" spans="1:13" ht="15">
      <c r="A88" s="269" t="s">
        <v>19</v>
      </c>
      <c r="B88" s="279" t="s">
        <v>162</v>
      </c>
      <c r="C88" s="280">
        <f>543*0.5</f>
        <v>271.5</v>
      </c>
      <c r="D88" s="281">
        <v>1</v>
      </c>
      <c r="E88" s="282">
        <f>C88*D88</f>
        <v>271.5</v>
      </c>
      <c r="F88" s="283">
        <v>2</v>
      </c>
      <c r="G88" s="284">
        <f>E88*F88</f>
        <v>543</v>
      </c>
      <c r="H88" s="285">
        <v>543</v>
      </c>
      <c r="I88" s="286">
        <f>G88-H88</f>
        <v>0</v>
      </c>
      <c r="J88" s="287">
        <v>0</v>
      </c>
      <c r="K88" s="286">
        <f>G88-H88</f>
        <v>0</v>
      </c>
      <c r="L88" s="180" t="s">
        <v>291</v>
      </c>
    </row>
    <row r="89" spans="1:13" ht="15">
      <c r="A89" s="269">
        <v>246.6</v>
      </c>
      <c r="B89" s="279" t="s">
        <v>163</v>
      </c>
      <c r="C89" s="280">
        <f>1810*0.5*0.3</f>
        <v>271.5</v>
      </c>
      <c r="D89" s="281">
        <v>1</v>
      </c>
      <c r="E89" s="282">
        <f>C89*D89</f>
        <v>271.5</v>
      </c>
      <c r="F89" s="283">
        <v>1.5</v>
      </c>
      <c r="G89" s="284">
        <f>E89*F89</f>
        <v>407.25</v>
      </c>
      <c r="H89" s="285">
        <v>407.25</v>
      </c>
      <c r="I89" s="287">
        <f>G89-H89</f>
        <v>0</v>
      </c>
      <c r="J89" s="287">
        <v>0</v>
      </c>
      <c r="K89" s="287">
        <f t="shared" ref="K89:K112" si="10">G89-H89</f>
        <v>0</v>
      </c>
      <c r="L89" s="180" t="s">
        <v>291</v>
      </c>
    </row>
    <row r="90" spans="1:13" ht="15">
      <c r="A90" s="253" t="s">
        <v>28</v>
      </c>
      <c r="B90" s="265" t="s">
        <v>29</v>
      </c>
      <c r="C90" s="280">
        <f>(1810*0.3)/6</f>
        <v>90.5</v>
      </c>
      <c r="D90" s="281">
        <v>1</v>
      </c>
      <c r="E90" s="282">
        <f>C90*D90</f>
        <v>90.5</v>
      </c>
      <c r="F90" s="283">
        <v>0.25</v>
      </c>
      <c r="G90" s="288">
        <f>E90*F90</f>
        <v>22.625</v>
      </c>
      <c r="H90" s="285">
        <v>22.625</v>
      </c>
      <c r="I90" s="287">
        <f>G90-H90</f>
        <v>0</v>
      </c>
      <c r="J90" s="287">
        <v>0</v>
      </c>
      <c r="K90" s="287">
        <f t="shared" si="10"/>
        <v>0</v>
      </c>
      <c r="L90" s="180" t="s">
        <v>291</v>
      </c>
    </row>
    <row r="91" spans="1:13" ht="32.25" customHeight="1">
      <c r="A91" s="260" t="s">
        <v>32</v>
      </c>
      <c r="B91" s="261" t="s">
        <v>31</v>
      </c>
      <c r="C91" s="289">
        <f>1810*0.3</f>
        <v>543</v>
      </c>
      <c r="D91" s="290">
        <f>(0.3*1379126)/543</f>
        <v>761.9480662983425</v>
      </c>
      <c r="E91" s="291">
        <f t="shared" ref="E91:E112" si="11">C91*D91</f>
        <v>413737.8</v>
      </c>
      <c r="F91" s="226">
        <v>0.46760000000000002</v>
      </c>
      <c r="G91" s="292">
        <f t="shared" ref="G91:G112" si="12">E91*F91</f>
        <v>193463.79527999999</v>
      </c>
      <c r="H91" s="293">
        <v>172735.53149999998</v>
      </c>
      <c r="I91" s="294">
        <f>G91-H91</f>
        <v>20728.263780000008</v>
      </c>
      <c r="J91" s="294">
        <v>0</v>
      </c>
      <c r="K91" s="294">
        <f t="shared" si="10"/>
        <v>20728.263780000008</v>
      </c>
      <c r="L91" s="372" t="s">
        <v>296</v>
      </c>
      <c r="M91" s="256"/>
    </row>
    <row r="92" spans="1:13" ht="32.25" customHeight="1">
      <c r="A92" s="260" t="s">
        <v>32</v>
      </c>
      <c r="B92" s="261" t="s">
        <v>149</v>
      </c>
      <c r="C92" s="289">
        <f>1810*0.3</f>
        <v>543</v>
      </c>
      <c r="D92" s="290">
        <f>(0.3*3400090)/543</f>
        <v>1878.5027624309391</v>
      </c>
      <c r="E92" s="291">
        <f t="shared" si="11"/>
        <v>1020027</v>
      </c>
      <c r="F92" s="226">
        <v>0.46760000000000002</v>
      </c>
      <c r="G92" s="292">
        <f t="shared" si="12"/>
        <v>476964.62520000001</v>
      </c>
      <c r="H92" s="293">
        <v>425861.27249999996</v>
      </c>
      <c r="I92" s="294">
        <f t="shared" ref="I92:I112" si="13">G92-H92</f>
        <v>51103.352700000047</v>
      </c>
      <c r="J92" s="294">
        <v>0</v>
      </c>
      <c r="K92" s="294">
        <f t="shared" si="10"/>
        <v>51103.352700000047</v>
      </c>
      <c r="L92" s="372" t="s">
        <v>296</v>
      </c>
      <c r="M92" s="256"/>
    </row>
    <row r="93" spans="1:13" ht="32.25" customHeight="1">
      <c r="A93" s="260" t="s">
        <v>32</v>
      </c>
      <c r="B93" s="261" t="s">
        <v>34</v>
      </c>
      <c r="C93" s="289">
        <f>1810*0.3</f>
        <v>543</v>
      </c>
      <c r="D93" s="290">
        <f>(1*0.3*1464744)/543</f>
        <v>809.25082872928181</v>
      </c>
      <c r="E93" s="291">
        <f t="shared" si="11"/>
        <v>439423.2</v>
      </c>
      <c r="F93" s="226">
        <v>0.46760000000000002</v>
      </c>
      <c r="G93" s="292">
        <f t="shared" si="12"/>
        <v>205474.28832000002</v>
      </c>
      <c r="H93" s="293">
        <v>183459.18599999999</v>
      </c>
      <c r="I93" s="294">
        <f t="shared" si="13"/>
        <v>22015.102320000035</v>
      </c>
      <c r="J93" s="294">
        <v>0</v>
      </c>
      <c r="K93" s="294">
        <f t="shared" si="10"/>
        <v>22015.102320000035</v>
      </c>
      <c r="L93" s="372" t="s">
        <v>296</v>
      </c>
      <c r="M93" s="256"/>
    </row>
    <row r="94" spans="1:13" ht="28.5">
      <c r="A94" s="260" t="s">
        <v>32</v>
      </c>
      <c r="B94" s="261" t="s">
        <v>35</v>
      </c>
      <c r="C94" s="289">
        <f>1810*0.3</f>
        <v>543</v>
      </c>
      <c r="D94" s="290">
        <f>(0.3*6243960)/543</f>
        <v>3449.7016574585637</v>
      </c>
      <c r="E94" s="291">
        <f t="shared" si="11"/>
        <v>1873188</v>
      </c>
      <c r="F94" s="226">
        <v>8.3500000000000005E-2</v>
      </c>
      <c r="G94" s="292">
        <f t="shared" si="12"/>
        <v>156411.198</v>
      </c>
      <c r="H94" s="293">
        <v>0</v>
      </c>
      <c r="I94" s="294">
        <f t="shared" si="13"/>
        <v>156411.198</v>
      </c>
      <c r="J94" s="294">
        <v>0</v>
      </c>
      <c r="K94" s="294">
        <f t="shared" si="10"/>
        <v>156411.198</v>
      </c>
      <c r="L94" s="372" t="s">
        <v>293</v>
      </c>
      <c r="M94" s="256"/>
    </row>
    <row r="95" spans="1:13" ht="15">
      <c r="A95" s="253" t="s">
        <v>38</v>
      </c>
      <c r="B95" s="265" t="s">
        <v>39</v>
      </c>
      <c r="C95" s="295">
        <f>0.3*1810</f>
        <v>543</v>
      </c>
      <c r="D95" s="296">
        <f>(0.03*6243960/543)*0.3</f>
        <v>103.49104972375689</v>
      </c>
      <c r="E95" s="41">
        <f t="shared" si="11"/>
        <v>56195.639999999992</v>
      </c>
      <c r="F95" s="19">
        <v>8.3500000000000005E-2</v>
      </c>
      <c r="G95" s="220">
        <f t="shared" si="12"/>
        <v>4692.3359399999999</v>
      </c>
      <c r="H95" s="297">
        <v>4692.3359399999999</v>
      </c>
      <c r="I95" s="254">
        <f>G95-H95</f>
        <v>0</v>
      </c>
      <c r="J95" s="254">
        <v>0</v>
      </c>
      <c r="K95" s="254">
        <f t="shared" si="10"/>
        <v>0</v>
      </c>
      <c r="L95" s="180" t="s">
        <v>291</v>
      </c>
    </row>
    <row r="96" spans="1:13" ht="28.5">
      <c r="A96" s="260" t="s">
        <v>51</v>
      </c>
      <c r="B96" s="261" t="s">
        <v>52</v>
      </c>
      <c r="C96" s="289">
        <f>1810*0.3</f>
        <v>543</v>
      </c>
      <c r="D96" s="298">
        <v>1</v>
      </c>
      <c r="E96" s="291">
        <f t="shared" si="11"/>
        <v>543</v>
      </c>
      <c r="F96" s="226">
        <v>1</v>
      </c>
      <c r="G96" s="292">
        <f t="shared" si="12"/>
        <v>543</v>
      </c>
      <c r="H96" s="293">
        <v>0</v>
      </c>
      <c r="I96" s="294">
        <f t="shared" si="13"/>
        <v>543</v>
      </c>
      <c r="J96" s="294">
        <v>0</v>
      </c>
      <c r="K96" s="294">
        <f t="shared" si="10"/>
        <v>543</v>
      </c>
      <c r="L96" s="404" t="s">
        <v>307</v>
      </c>
    </row>
    <row r="97" spans="1:15" ht="28.5">
      <c r="A97" s="253" t="s">
        <v>53</v>
      </c>
      <c r="B97" s="265" t="s">
        <v>54</v>
      </c>
      <c r="C97" s="295">
        <f>0.3*1810</f>
        <v>543</v>
      </c>
      <c r="D97" s="296">
        <f>(1464744*0.3*0.01)/543</f>
        <v>8.0925082872928176</v>
      </c>
      <c r="E97" s="41">
        <f t="shared" si="11"/>
        <v>4394.232</v>
      </c>
      <c r="F97" s="19">
        <v>3.3399999999999999E-2</v>
      </c>
      <c r="G97" s="288">
        <f t="shared" si="12"/>
        <v>146.76734880000001</v>
      </c>
      <c r="H97" s="297">
        <v>146.76734880000001</v>
      </c>
      <c r="I97" s="254">
        <f>G97-H97</f>
        <v>0</v>
      </c>
      <c r="J97" s="254">
        <v>0</v>
      </c>
      <c r="K97" s="254">
        <f t="shared" si="10"/>
        <v>0</v>
      </c>
      <c r="L97" s="180" t="s">
        <v>291</v>
      </c>
    </row>
    <row r="98" spans="1:15" ht="30">
      <c r="A98" s="253" t="s">
        <v>57</v>
      </c>
      <c r="B98" s="265" t="s">
        <v>58</v>
      </c>
      <c r="C98" s="295">
        <f>0.3*1810</f>
        <v>543</v>
      </c>
      <c r="D98" s="296">
        <f>(6243960*0.3)/543</f>
        <v>3449.7016574585637</v>
      </c>
      <c r="E98" s="41">
        <f t="shared" si="11"/>
        <v>1873188</v>
      </c>
      <c r="F98" s="19">
        <v>0.25</v>
      </c>
      <c r="G98" s="220">
        <f t="shared" si="12"/>
        <v>468297</v>
      </c>
      <c r="H98" s="297">
        <v>468297</v>
      </c>
      <c r="I98" s="254">
        <f t="shared" ref="I98" si="14">G98-H98</f>
        <v>0</v>
      </c>
      <c r="J98" s="254">
        <v>0</v>
      </c>
      <c r="K98" s="287">
        <f t="shared" si="10"/>
        <v>0</v>
      </c>
      <c r="L98" s="180" t="s">
        <v>291</v>
      </c>
    </row>
    <row r="99" spans="1:15" ht="15">
      <c r="A99" s="253" t="s">
        <v>59</v>
      </c>
      <c r="B99" s="265" t="s">
        <v>60</v>
      </c>
      <c r="C99" s="295">
        <f>0.3*1810</f>
        <v>543</v>
      </c>
      <c r="D99" s="296">
        <v>1</v>
      </c>
      <c r="E99" s="41">
        <f t="shared" si="11"/>
        <v>543</v>
      </c>
      <c r="F99" s="19">
        <v>40</v>
      </c>
      <c r="G99" s="41">
        <f t="shared" si="12"/>
        <v>21720</v>
      </c>
      <c r="H99" s="25">
        <v>21720</v>
      </c>
      <c r="I99" s="254">
        <f>G99-H99</f>
        <v>0</v>
      </c>
      <c r="J99" s="254">
        <v>0</v>
      </c>
      <c r="K99" s="287">
        <f t="shared" si="10"/>
        <v>0</v>
      </c>
      <c r="L99" s="180" t="s">
        <v>291</v>
      </c>
    </row>
    <row r="100" spans="1:15" ht="15">
      <c r="A100" s="253" t="s">
        <v>66</v>
      </c>
      <c r="B100" s="179" t="s">
        <v>164</v>
      </c>
      <c r="C100" s="295">
        <v>840</v>
      </c>
      <c r="D100" s="296">
        <v>1</v>
      </c>
      <c r="E100" s="41">
        <f t="shared" si="11"/>
        <v>840</v>
      </c>
      <c r="F100" s="19">
        <v>2</v>
      </c>
      <c r="G100" s="41">
        <f t="shared" si="12"/>
        <v>1680</v>
      </c>
      <c r="H100" s="25">
        <v>1680</v>
      </c>
      <c r="I100" s="254">
        <v>0</v>
      </c>
      <c r="J100" s="287">
        <f t="shared" ref="J100:J105" si="15">G100-H100</f>
        <v>0</v>
      </c>
      <c r="K100" s="287">
        <f t="shared" si="10"/>
        <v>0</v>
      </c>
      <c r="L100" s="180" t="s">
        <v>291</v>
      </c>
    </row>
    <row r="101" spans="1:15" ht="28.5">
      <c r="A101" s="260" t="s">
        <v>68</v>
      </c>
      <c r="B101" s="261" t="s">
        <v>69</v>
      </c>
      <c r="C101" s="224">
        <f>(79/89)*(37417-150)</f>
        <v>33079.696629213482</v>
      </c>
      <c r="D101" s="298">
        <v>2</v>
      </c>
      <c r="E101" s="225">
        <f t="shared" si="11"/>
        <v>66159.393258426964</v>
      </c>
      <c r="F101" s="226">
        <v>2</v>
      </c>
      <c r="G101" s="225">
        <f t="shared" si="12"/>
        <v>132318.78651685393</v>
      </c>
      <c r="H101" s="227">
        <v>132851.37078651684</v>
      </c>
      <c r="I101" s="262">
        <f>G101-H101</f>
        <v>-532.58426966291154</v>
      </c>
      <c r="J101" s="294">
        <v>0</v>
      </c>
      <c r="K101" s="294">
        <f t="shared" si="10"/>
        <v>-532.58426966291154</v>
      </c>
      <c r="L101" s="372" t="s">
        <v>300</v>
      </c>
      <c r="M101" s="256"/>
    </row>
    <row r="102" spans="1:15" ht="28.5">
      <c r="A102" s="253" t="s">
        <v>73</v>
      </c>
      <c r="B102" s="179" t="s">
        <v>165</v>
      </c>
      <c r="C102" s="23">
        <f>89*17</f>
        <v>1513</v>
      </c>
      <c r="D102" s="296">
        <v>1</v>
      </c>
      <c r="E102" s="41">
        <f t="shared" si="11"/>
        <v>1513</v>
      </c>
      <c r="F102" s="19">
        <v>0.66800000000000004</v>
      </c>
      <c r="G102" s="41">
        <f t="shared" si="12"/>
        <v>1010.6840000000001</v>
      </c>
      <c r="H102" s="25">
        <v>1010.6840000000001</v>
      </c>
      <c r="I102" s="254">
        <f t="shared" si="13"/>
        <v>0</v>
      </c>
      <c r="J102" s="287">
        <v>0</v>
      </c>
      <c r="K102" s="287">
        <f t="shared" si="10"/>
        <v>0</v>
      </c>
      <c r="L102" s="180" t="s">
        <v>291</v>
      </c>
    </row>
    <row r="103" spans="1:15" ht="28.5">
      <c r="A103" s="260" t="s">
        <v>78</v>
      </c>
      <c r="B103" s="261" t="s">
        <v>166</v>
      </c>
      <c r="C103" s="224">
        <f>0.33*(37417-150)</f>
        <v>12298.11</v>
      </c>
      <c r="D103" s="224">
        <v>1</v>
      </c>
      <c r="E103" s="225">
        <f t="shared" si="11"/>
        <v>12298.11</v>
      </c>
      <c r="F103" s="226">
        <v>1</v>
      </c>
      <c r="G103" s="225">
        <f t="shared" si="12"/>
        <v>12298.11</v>
      </c>
      <c r="H103" s="227">
        <v>12347.61</v>
      </c>
      <c r="I103" s="262">
        <f t="shared" si="13"/>
        <v>-49.5</v>
      </c>
      <c r="J103" s="294">
        <v>0</v>
      </c>
      <c r="K103" s="294">
        <f t="shared" si="10"/>
        <v>-49.5</v>
      </c>
      <c r="L103" s="372" t="s">
        <v>300</v>
      </c>
      <c r="M103" s="256"/>
    </row>
    <row r="104" spans="1:15" ht="28.5">
      <c r="A104" s="306" t="s">
        <v>167</v>
      </c>
      <c r="B104" s="261" t="s">
        <v>168</v>
      </c>
      <c r="C104" s="224">
        <f>37417-150</f>
        <v>37267</v>
      </c>
      <c r="D104" s="224">
        <v>1</v>
      </c>
      <c r="E104" s="225">
        <f t="shared" si="11"/>
        <v>37267</v>
      </c>
      <c r="F104" s="226">
        <v>1</v>
      </c>
      <c r="G104" s="225">
        <f t="shared" si="12"/>
        <v>37267</v>
      </c>
      <c r="H104" s="227">
        <v>37417</v>
      </c>
      <c r="I104" s="262">
        <f>G104-H104</f>
        <v>-150</v>
      </c>
      <c r="J104" s="294">
        <v>0</v>
      </c>
      <c r="K104" s="294">
        <f t="shared" si="10"/>
        <v>-150</v>
      </c>
      <c r="L104" s="372" t="s">
        <v>300</v>
      </c>
    </row>
    <row r="105" spans="1:15" ht="15">
      <c r="A105" s="299" t="s">
        <v>169</v>
      </c>
      <c r="B105" s="179" t="s">
        <v>170</v>
      </c>
      <c r="C105" s="23">
        <f>(4/10)*850</f>
        <v>340</v>
      </c>
      <c r="D105" s="23">
        <v>1</v>
      </c>
      <c r="E105" s="41">
        <f t="shared" si="11"/>
        <v>340</v>
      </c>
      <c r="F105" s="19">
        <v>1</v>
      </c>
      <c r="G105" s="41">
        <f t="shared" si="12"/>
        <v>340</v>
      </c>
      <c r="H105" s="25">
        <v>340</v>
      </c>
      <c r="I105" s="254">
        <v>0</v>
      </c>
      <c r="J105" s="287">
        <f t="shared" si="15"/>
        <v>0</v>
      </c>
      <c r="K105" s="286">
        <f t="shared" si="10"/>
        <v>0</v>
      </c>
      <c r="L105" s="180" t="s">
        <v>291</v>
      </c>
    </row>
    <row r="106" spans="1:15" ht="28.5">
      <c r="A106" s="382" t="s">
        <v>171</v>
      </c>
      <c r="B106" s="383" t="s">
        <v>308</v>
      </c>
      <c r="C106" s="224">
        <f>37417-150</f>
        <v>37267</v>
      </c>
      <c r="D106" s="224">
        <v>1</v>
      </c>
      <c r="E106" s="225">
        <f>C106*D106</f>
        <v>37267</v>
      </c>
      <c r="F106" s="226">
        <v>2</v>
      </c>
      <c r="G106" s="225">
        <f t="shared" si="12"/>
        <v>74534</v>
      </c>
      <c r="H106" s="227">
        <v>74834</v>
      </c>
      <c r="I106" s="262">
        <f>G106-H106</f>
        <v>-300</v>
      </c>
      <c r="J106" s="294">
        <v>0</v>
      </c>
      <c r="K106" s="294">
        <f t="shared" si="10"/>
        <v>-300</v>
      </c>
      <c r="L106" s="372" t="s">
        <v>300</v>
      </c>
      <c r="O106" s="256"/>
    </row>
    <row r="107" spans="1:15" ht="28.5">
      <c r="A107" s="277" t="s">
        <v>103</v>
      </c>
      <c r="B107" s="300" t="s">
        <v>172</v>
      </c>
      <c r="C107" s="23">
        <f>3289*0.33</f>
        <v>1085.3700000000001</v>
      </c>
      <c r="D107" s="23">
        <v>1</v>
      </c>
      <c r="E107" s="41">
        <f t="shared" si="11"/>
        <v>1085.3700000000001</v>
      </c>
      <c r="F107" s="19">
        <v>1</v>
      </c>
      <c r="G107" s="41">
        <f t="shared" si="12"/>
        <v>1085.3700000000001</v>
      </c>
      <c r="H107" s="25">
        <v>1085.3700000000001</v>
      </c>
      <c r="I107" s="254">
        <f t="shared" si="13"/>
        <v>0</v>
      </c>
      <c r="J107" s="287">
        <v>0</v>
      </c>
      <c r="K107" s="287">
        <f t="shared" si="10"/>
        <v>0</v>
      </c>
      <c r="L107" s="180" t="s">
        <v>291</v>
      </c>
    </row>
    <row r="108" spans="1:15" ht="15">
      <c r="A108" s="277" t="s">
        <v>173</v>
      </c>
      <c r="B108" s="300" t="s">
        <v>174</v>
      </c>
      <c r="C108" s="23">
        <v>3289</v>
      </c>
      <c r="D108" s="23">
        <v>1</v>
      </c>
      <c r="E108" s="41">
        <f t="shared" si="11"/>
        <v>3289</v>
      </c>
      <c r="F108" s="19">
        <v>2</v>
      </c>
      <c r="G108" s="41">
        <f t="shared" si="12"/>
        <v>6578</v>
      </c>
      <c r="H108" s="25">
        <v>6578</v>
      </c>
      <c r="I108" s="254">
        <f t="shared" si="13"/>
        <v>0</v>
      </c>
      <c r="J108" s="287">
        <v>0</v>
      </c>
      <c r="K108" s="287">
        <f t="shared" si="10"/>
        <v>0</v>
      </c>
      <c r="L108" s="180" t="s">
        <v>291</v>
      </c>
    </row>
    <row r="109" spans="1:15" ht="28.5">
      <c r="A109" s="277" t="s">
        <v>119</v>
      </c>
      <c r="B109" s="300" t="s">
        <v>175</v>
      </c>
      <c r="C109" s="23">
        <v>3</v>
      </c>
      <c r="D109" s="23">
        <v>12</v>
      </c>
      <c r="E109" s="41">
        <f t="shared" si="11"/>
        <v>36</v>
      </c>
      <c r="F109" s="19">
        <v>4</v>
      </c>
      <c r="G109" s="41">
        <f t="shared" si="12"/>
        <v>144</v>
      </c>
      <c r="H109" s="25">
        <v>144</v>
      </c>
      <c r="I109" s="254">
        <f t="shared" si="13"/>
        <v>0</v>
      </c>
      <c r="J109" s="287">
        <v>0</v>
      </c>
      <c r="K109" s="287">
        <f t="shared" si="10"/>
        <v>0</v>
      </c>
      <c r="L109" s="180" t="s">
        <v>291</v>
      </c>
    </row>
    <row r="110" spans="1:15" ht="28.5">
      <c r="A110" s="277" t="s">
        <v>125</v>
      </c>
      <c r="B110" s="300" t="s">
        <v>176</v>
      </c>
      <c r="C110" s="23">
        <v>1</v>
      </c>
      <c r="D110" s="23">
        <v>1</v>
      </c>
      <c r="E110" s="41">
        <f t="shared" si="11"/>
        <v>1</v>
      </c>
      <c r="F110" s="19">
        <v>4</v>
      </c>
      <c r="G110" s="41">
        <f t="shared" si="12"/>
        <v>4</v>
      </c>
      <c r="H110" s="25">
        <v>4</v>
      </c>
      <c r="I110" s="254">
        <f t="shared" si="13"/>
        <v>0</v>
      </c>
      <c r="J110" s="287">
        <v>0</v>
      </c>
      <c r="K110" s="287">
        <f t="shared" si="10"/>
        <v>0</v>
      </c>
      <c r="L110" s="180" t="s">
        <v>291</v>
      </c>
    </row>
    <row r="111" spans="1:15" ht="15">
      <c r="A111" s="277" t="s">
        <v>177</v>
      </c>
      <c r="B111" s="300" t="s">
        <v>178</v>
      </c>
      <c r="C111" s="23">
        <f>(1048*0.02)</f>
        <v>20.96</v>
      </c>
      <c r="D111" s="23">
        <v>1</v>
      </c>
      <c r="E111" s="282">
        <f t="shared" si="11"/>
        <v>20.96</v>
      </c>
      <c r="F111" s="19">
        <v>2</v>
      </c>
      <c r="G111" s="284">
        <f t="shared" si="12"/>
        <v>41.92</v>
      </c>
      <c r="H111" s="25">
        <v>41.92</v>
      </c>
      <c r="I111" s="254">
        <f t="shared" si="13"/>
        <v>0</v>
      </c>
      <c r="J111" s="287">
        <v>0</v>
      </c>
      <c r="K111" s="287">
        <f t="shared" si="10"/>
        <v>0</v>
      </c>
      <c r="L111" s="180" t="s">
        <v>291</v>
      </c>
    </row>
    <row r="112" spans="1:15" ht="15">
      <c r="A112" s="277" t="s">
        <v>179</v>
      </c>
      <c r="B112" s="300" t="s">
        <v>309</v>
      </c>
      <c r="C112" s="23">
        <f>3289*0.02*0.02</f>
        <v>1.3156000000000001</v>
      </c>
      <c r="D112" s="23">
        <v>1</v>
      </c>
      <c r="E112" s="384">
        <f t="shared" si="11"/>
        <v>1.3156000000000001</v>
      </c>
      <c r="F112" s="19">
        <v>2</v>
      </c>
      <c r="G112" s="385">
        <f t="shared" si="12"/>
        <v>2.6312000000000002</v>
      </c>
      <c r="H112" s="25">
        <v>2.6312000000000002</v>
      </c>
      <c r="I112" s="280">
        <f t="shared" si="13"/>
        <v>0</v>
      </c>
      <c r="J112" s="287">
        <v>0</v>
      </c>
      <c r="K112" s="280">
        <f t="shared" si="10"/>
        <v>0</v>
      </c>
      <c r="L112" s="180" t="s">
        <v>291</v>
      </c>
    </row>
    <row r="113" spans="1:15" ht="15">
      <c r="A113" s="599" t="s">
        <v>181</v>
      </c>
      <c r="B113" s="599"/>
      <c r="C113" s="386">
        <f>(37417-150)+543</f>
        <v>37810</v>
      </c>
      <c r="D113" s="208">
        <f>+E113/C113</f>
        <v>154.50916479392825</v>
      </c>
      <c r="E113" s="387">
        <f>SUM(E88:E112)</f>
        <v>5841991.5208584275</v>
      </c>
      <c r="F113" s="204">
        <f>+G113/E113</f>
        <v>0.30742776335658722</v>
      </c>
      <c r="G113" s="386">
        <f>SUM(G88:G112)</f>
        <v>1795990.3868056538</v>
      </c>
      <c r="H113" s="206">
        <f>SUM(H88:H112)</f>
        <v>1546221.5542753169</v>
      </c>
      <c r="I113" s="204">
        <f>SUM(I88:I112)</f>
        <v>249768.83253033718</v>
      </c>
      <c r="J113" s="201">
        <f>SUM(J88:J112)</f>
        <v>0</v>
      </c>
      <c r="K113" s="202">
        <f>G113-H113</f>
        <v>249768.83253033692</v>
      </c>
      <c r="L113" s="272"/>
    </row>
    <row r="114" spans="1:15" ht="15">
      <c r="A114" s="599" t="s">
        <v>182</v>
      </c>
      <c r="B114" s="599"/>
      <c r="C114" s="203">
        <f>SUM(C72,C86,C113)</f>
        <v>6283126</v>
      </c>
      <c r="D114" s="207">
        <f>E114/C114</f>
        <v>8.7978894316213481</v>
      </c>
      <c r="E114" s="203">
        <f>SUM(E72,E86,E113)</f>
        <v>55278247.832945317</v>
      </c>
      <c r="F114" s="34">
        <f>+G114/E114</f>
        <v>0.30893323523958965</v>
      </c>
      <c r="G114" s="203">
        <f>SUM(G72+G86+G113)</f>
        <v>17077287.941407632</v>
      </c>
      <c r="H114" s="205">
        <f>SUM(H113+H86+H72)</f>
        <v>15408105.489677295</v>
      </c>
      <c r="I114" s="13">
        <f>SUM(I72,I86,I113)</f>
        <v>1669182.4517303377</v>
      </c>
      <c r="J114" s="201">
        <f>J113+J86+J72</f>
        <v>0</v>
      </c>
      <c r="K114" s="197">
        <f>K113+K86+K72</f>
        <v>1669182.4517303384</v>
      </c>
      <c r="L114" s="301"/>
    </row>
    <row r="115" spans="1:15" ht="15">
      <c r="A115" s="601" t="s">
        <v>183</v>
      </c>
      <c r="B115" s="601"/>
      <c r="C115" s="601"/>
      <c r="D115" s="601"/>
      <c r="E115" s="601"/>
      <c r="F115" s="601"/>
      <c r="G115" s="601"/>
      <c r="H115" s="601"/>
      <c r="I115" s="601"/>
      <c r="J115" s="601"/>
      <c r="K115" s="601"/>
      <c r="L115" s="614"/>
    </row>
    <row r="116" spans="1:15" ht="15">
      <c r="A116" s="615" t="s">
        <v>15</v>
      </c>
      <c r="B116" s="615"/>
      <c r="C116" s="615"/>
      <c r="D116" s="615"/>
      <c r="E116" s="615"/>
      <c r="F116" s="615"/>
      <c r="G116" s="615"/>
      <c r="H116" s="615"/>
      <c r="I116" s="615"/>
      <c r="J116" s="615"/>
      <c r="K116" s="615"/>
      <c r="L116" s="616"/>
    </row>
    <row r="117" spans="1:15" ht="15">
      <c r="A117" s="277" t="s">
        <v>184</v>
      </c>
      <c r="B117" s="270" t="s">
        <v>185</v>
      </c>
      <c r="C117" s="23">
        <v>89</v>
      </c>
      <c r="D117" s="23">
        <v>1</v>
      </c>
      <c r="E117" s="305">
        <f>C117*D117</f>
        <v>89</v>
      </c>
      <c r="F117" s="313">
        <v>0.16700000000000001</v>
      </c>
      <c r="G117" s="388">
        <f>E117*F117</f>
        <v>14.863000000000001</v>
      </c>
      <c r="H117" s="303">
        <v>14.863000000000001</v>
      </c>
      <c r="I117" s="304">
        <f>G117-H117</f>
        <v>0</v>
      </c>
      <c r="J117" s="304">
        <v>0</v>
      </c>
      <c r="K117" s="304">
        <f>G117-H117</f>
        <v>0</v>
      </c>
      <c r="L117" s="180" t="s">
        <v>291</v>
      </c>
      <c r="M117" s="256"/>
    </row>
    <row r="118" spans="1:15" ht="30">
      <c r="A118" s="310" t="s">
        <v>186</v>
      </c>
      <c r="B118" s="179" t="s">
        <v>187</v>
      </c>
      <c r="C118" s="23">
        <v>15</v>
      </c>
      <c r="D118" s="23">
        <v>1</v>
      </c>
      <c r="E118" s="305">
        <f>C118*D118</f>
        <v>15</v>
      </c>
      <c r="F118" s="313">
        <v>2</v>
      </c>
      <c r="G118" s="388">
        <f>E118*F118</f>
        <v>30</v>
      </c>
      <c r="H118" s="303">
        <v>30</v>
      </c>
      <c r="I118" s="304">
        <f>G118-H118</f>
        <v>0</v>
      </c>
      <c r="J118" s="304">
        <v>0</v>
      </c>
      <c r="K118" s="304">
        <f>G118-H118</f>
        <v>0</v>
      </c>
      <c r="L118" s="180" t="s">
        <v>291</v>
      </c>
      <c r="M118" s="256"/>
    </row>
    <row r="119" spans="1:15" ht="15">
      <c r="A119" s="299" t="s">
        <v>53</v>
      </c>
      <c r="B119" s="179" t="s">
        <v>154</v>
      </c>
      <c r="C119" s="23">
        <f>1810*0.7</f>
        <v>1267</v>
      </c>
      <c r="D119" s="23">
        <f>(10000/1267)*2*0.7</f>
        <v>11.049723756906078</v>
      </c>
      <c r="E119" s="305">
        <f t="shared" ref="E119:E134" si="16">C119*D119</f>
        <v>14000</v>
      </c>
      <c r="F119" s="126">
        <v>1.67E-2</v>
      </c>
      <c r="G119" s="305">
        <f t="shared" ref="G119:G134" si="17">E119*F119</f>
        <v>233.79999999999998</v>
      </c>
      <c r="H119" s="25">
        <v>233.79999999999998</v>
      </c>
      <c r="I119" s="304">
        <f>G119-H119</f>
        <v>0</v>
      </c>
      <c r="J119" s="304">
        <v>0</v>
      </c>
      <c r="K119" s="304">
        <f t="shared" ref="K119:K134" si="18">G119-H119</f>
        <v>0</v>
      </c>
      <c r="L119" s="180" t="s">
        <v>291</v>
      </c>
      <c r="M119" s="256"/>
    </row>
    <row r="120" spans="1:15" ht="15">
      <c r="A120" s="299" t="s">
        <v>189</v>
      </c>
      <c r="B120" s="179" t="s">
        <v>190</v>
      </c>
      <c r="C120" s="23">
        <v>89</v>
      </c>
      <c r="D120" s="23">
        <v>1</v>
      </c>
      <c r="E120" s="305">
        <f t="shared" si="16"/>
        <v>89</v>
      </c>
      <c r="F120" s="126">
        <v>50</v>
      </c>
      <c r="G120" s="305">
        <f t="shared" si="17"/>
        <v>4450</v>
      </c>
      <c r="H120" s="25">
        <v>4450</v>
      </c>
      <c r="I120" s="304">
        <f t="shared" ref="I120:I134" si="19">G120-H120</f>
        <v>0</v>
      </c>
      <c r="J120" s="304">
        <f t="shared" ref="J120:J130" si="20">G120-H120</f>
        <v>0</v>
      </c>
      <c r="K120" s="304">
        <f t="shared" si="18"/>
        <v>0</v>
      </c>
      <c r="L120" s="180" t="s">
        <v>291</v>
      </c>
      <c r="M120" s="256"/>
    </row>
    <row r="121" spans="1:15" ht="28.5">
      <c r="A121" s="306" t="s">
        <v>191</v>
      </c>
      <c r="B121" s="261" t="s">
        <v>166</v>
      </c>
      <c r="C121" s="224">
        <v>89</v>
      </c>
      <c r="D121" s="224">
        <f>(((37417-150)*0.33)/89)</f>
        <v>138.18101123595505</v>
      </c>
      <c r="E121" s="307">
        <f t="shared" si="16"/>
        <v>12298.11</v>
      </c>
      <c r="F121" s="233">
        <v>1</v>
      </c>
      <c r="G121" s="307">
        <f t="shared" si="17"/>
        <v>12298.11</v>
      </c>
      <c r="H121" s="227">
        <v>12347.609999999999</v>
      </c>
      <c r="I121" s="308">
        <f t="shared" si="19"/>
        <v>-49.499999999998181</v>
      </c>
      <c r="J121" s="309">
        <v>0</v>
      </c>
      <c r="K121" s="309">
        <f t="shared" si="18"/>
        <v>-49.499999999998181</v>
      </c>
      <c r="L121" s="405" t="s">
        <v>300</v>
      </c>
      <c r="M121" s="256"/>
    </row>
    <row r="122" spans="1:15" ht="15">
      <c r="A122" s="299" t="s">
        <v>169</v>
      </c>
      <c r="B122" s="179" t="s">
        <v>170</v>
      </c>
      <c r="C122" s="23">
        <f>(4/10)*973</f>
        <v>389.20000000000005</v>
      </c>
      <c r="D122" s="23">
        <v>1</v>
      </c>
      <c r="E122" s="305">
        <f t="shared" si="16"/>
        <v>389.20000000000005</v>
      </c>
      <c r="F122" s="126">
        <v>1</v>
      </c>
      <c r="G122" s="305">
        <f t="shared" si="17"/>
        <v>389.20000000000005</v>
      </c>
      <c r="H122" s="25">
        <v>389.20000000000005</v>
      </c>
      <c r="I122" s="304">
        <f t="shared" si="19"/>
        <v>0</v>
      </c>
      <c r="J122" s="304">
        <f t="shared" si="20"/>
        <v>0</v>
      </c>
      <c r="K122" s="304">
        <f t="shared" si="18"/>
        <v>0</v>
      </c>
      <c r="L122" s="180" t="s">
        <v>291</v>
      </c>
      <c r="M122" s="256"/>
    </row>
    <row r="123" spans="1:15" ht="15">
      <c r="A123" s="253" t="s">
        <v>192</v>
      </c>
      <c r="B123" s="179" t="s">
        <v>193</v>
      </c>
      <c r="C123" s="23">
        <v>89</v>
      </c>
      <c r="D123" s="23">
        <v>1</v>
      </c>
      <c r="E123" s="305">
        <f t="shared" si="16"/>
        <v>89</v>
      </c>
      <c r="F123" s="126">
        <v>2</v>
      </c>
      <c r="G123" s="305">
        <f t="shared" si="17"/>
        <v>178</v>
      </c>
      <c r="H123" s="25">
        <v>178</v>
      </c>
      <c r="I123" s="304">
        <f t="shared" si="19"/>
        <v>0</v>
      </c>
      <c r="J123" s="304">
        <f t="shared" si="20"/>
        <v>0</v>
      </c>
      <c r="K123" s="304">
        <f t="shared" si="18"/>
        <v>0</v>
      </c>
      <c r="L123" s="180" t="s">
        <v>291</v>
      </c>
      <c r="M123" s="256"/>
    </row>
    <row r="124" spans="1:15" ht="28.5">
      <c r="A124" s="260" t="s">
        <v>194</v>
      </c>
      <c r="B124" s="261" t="s">
        <v>195</v>
      </c>
      <c r="C124" s="224">
        <v>89</v>
      </c>
      <c r="D124" s="224">
        <f>((37417-150)/89)*0.05</f>
        <v>20.936516853932588</v>
      </c>
      <c r="E124" s="307">
        <f t="shared" si="16"/>
        <v>1863.3500000000004</v>
      </c>
      <c r="F124" s="233">
        <v>0.5</v>
      </c>
      <c r="G124" s="307">
        <f t="shared" si="17"/>
        <v>931.67500000000018</v>
      </c>
      <c r="H124" s="227">
        <v>935.42499999999995</v>
      </c>
      <c r="I124" s="308">
        <f>G124-H124</f>
        <v>-3.7499999999997726</v>
      </c>
      <c r="J124" s="308">
        <v>0</v>
      </c>
      <c r="K124" s="308">
        <f t="shared" si="18"/>
        <v>-3.7499999999997726</v>
      </c>
      <c r="L124" s="405" t="s">
        <v>300</v>
      </c>
      <c r="M124" s="256"/>
    </row>
    <row r="125" spans="1:15" ht="28.5">
      <c r="A125" s="260" t="s">
        <v>196</v>
      </c>
      <c r="B125" s="261" t="s">
        <v>310</v>
      </c>
      <c r="C125" s="224">
        <v>89</v>
      </c>
      <c r="D125" s="224">
        <f>((37417-150)/89)*0.05</f>
        <v>20.936516853932588</v>
      </c>
      <c r="E125" s="307">
        <f t="shared" si="16"/>
        <v>1863.3500000000004</v>
      </c>
      <c r="F125" s="233">
        <v>2</v>
      </c>
      <c r="G125" s="307">
        <f t="shared" si="17"/>
        <v>3726.7000000000007</v>
      </c>
      <c r="H125" s="227">
        <v>3741.7</v>
      </c>
      <c r="I125" s="308">
        <f>G125-H125</f>
        <v>-14.999999999999091</v>
      </c>
      <c r="J125" s="308">
        <v>0</v>
      </c>
      <c r="K125" s="308">
        <f t="shared" si="18"/>
        <v>-14.999999999999091</v>
      </c>
      <c r="L125" s="405" t="s">
        <v>300</v>
      </c>
      <c r="M125" s="256"/>
    </row>
    <row r="126" spans="1:15" ht="15">
      <c r="A126" s="253" t="s">
        <v>91</v>
      </c>
      <c r="B126" s="179" t="s">
        <v>198</v>
      </c>
      <c r="C126" s="23">
        <v>89</v>
      </c>
      <c r="D126" s="23">
        <f>1048/89</f>
        <v>11.775280898876405</v>
      </c>
      <c r="E126" s="305">
        <f t="shared" si="16"/>
        <v>1048</v>
      </c>
      <c r="F126" s="126">
        <v>1</v>
      </c>
      <c r="G126" s="305">
        <f t="shared" si="17"/>
        <v>1048</v>
      </c>
      <c r="H126" s="25">
        <v>1048</v>
      </c>
      <c r="I126" s="304">
        <v>0</v>
      </c>
      <c r="J126" s="304">
        <f t="shared" si="20"/>
        <v>0</v>
      </c>
      <c r="K126" s="304">
        <f t="shared" si="18"/>
        <v>0</v>
      </c>
      <c r="L126" s="180" t="s">
        <v>291</v>
      </c>
      <c r="M126" s="256"/>
    </row>
    <row r="127" spans="1:15" ht="15">
      <c r="A127" s="310" t="s">
        <v>199</v>
      </c>
      <c r="B127" s="311" t="s">
        <v>94</v>
      </c>
      <c r="C127" s="129">
        <v>1</v>
      </c>
      <c r="D127" s="129">
        <v>1</v>
      </c>
      <c r="E127" s="312">
        <f t="shared" si="16"/>
        <v>1</v>
      </c>
      <c r="F127" s="222">
        <v>0.20039999999999999</v>
      </c>
      <c r="G127" s="312">
        <f t="shared" si="17"/>
        <v>0.20039999999999999</v>
      </c>
      <c r="H127" s="130">
        <v>0.20039999999999999</v>
      </c>
      <c r="I127" s="304">
        <f t="shared" si="19"/>
        <v>0</v>
      </c>
      <c r="J127" s="304">
        <v>0</v>
      </c>
      <c r="K127" s="304">
        <f t="shared" si="18"/>
        <v>0</v>
      </c>
      <c r="L127" s="180" t="s">
        <v>291</v>
      </c>
      <c r="M127" s="256"/>
      <c r="O127" s="256"/>
    </row>
    <row r="128" spans="1:15" ht="15">
      <c r="A128" s="253" t="s">
        <v>200</v>
      </c>
      <c r="B128" s="179" t="s">
        <v>134</v>
      </c>
      <c r="C128" s="23">
        <v>89</v>
      </c>
      <c r="D128" s="23">
        <f>(1810/89)</f>
        <v>20.337078651685392</v>
      </c>
      <c r="E128" s="305">
        <f t="shared" si="16"/>
        <v>1809.9999999999998</v>
      </c>
      <c r="F128" s="126">
        <v>0.5</v>
      </c>
      <c r="G128" s="305">
        <f t="shared" si="17"/>
        <v>904.99999999999989</v>
      </c>
      <c r="H128" s="25">
        <v>904.99999999999989</v>
      </c>
      <c r="I128" s="304">
        <f t="shared" si="19"/>
        <v>0</v>
      </c>
      <c r="J128" s="304">
        <v>0</v>
      </c>
      <c r="K128" s="304">
        <f t="shared" si="18"/>
        <v>0</v>
      </c>
      <c r="L128" s="180" t="s">
        <v>291</v>
      </c>
      <c r="M128" s="256"/>
    </row>
    <row r="129" spans="1:13" ht="15">
      <c r="A129" s="253" t="s">
        <v>139</v>
      </c>
      <c r="B129" s="179" t="s">
        <v>201</v>
      </c>
      <c r="C129" s="23">
        <v>89</v>
      </c>
      <c r="D129" s="23">
        <v>1</v>
      </c>
      <c r="E129" s="305">
        <f t="shared" si="16"/>
        <v>89</v>
      </c>
      <c r="F129" s="126">
        <v>0.16700000000000001</v>
      </c>
      <c r="G129" s="305">
        <f t="shared" si="17"/>
        <v>14.863000000000001</v>
      </c>
      <c r="H129" s="25">
        <v>14.863000000000001</v>
      </c>
      <c r="I129" s="304">
        <f t="shared" si="19"/>
        <v>0</v>
      </c>
      <c r="J129" s="304">
        <v>0</v>
      </c>
      <c r="K129" s="304">
        <f t="shared" si="18"/>
        <v>0</v>
      </c>
      <c r="L129" s="180" t="s">
        <v>291</v>
      </c>
      <c r="M129" s="256"/>
    </row>
    <row r="130" spans="1:13" ht="15">
      <c r="A130" s="253" t="s">
        <v>202</v>
      </c>
      <c r="B130" s="179" t="s">
        <v>203</v>
      </c>
      <c r="C130" s="23">
        <v>89</v>
      </c>
      <c r="D130" s="23">
        <v>1</v>
      </c>
      <c r="E130" s="305">
        <f t="shared" si="16"/>
        <v>89</v>
      </c>
      <c r="F130" s="126">
        <v>5</v>
      </c>
      <c r="G130" s="305">
        <f t="shared" si="17"/>
        <v>445</v>
      </c>
      <c r="H130" s="25">
        <v>445</v>
      </c>
      <c r="I130" s="304">
        <f t="shared" si="19"/>
        <v>0</v>
      </c>
      <c r="J130" s="304">
        <f t="shared" si="20"/>
        <v>0</v>
      </c>
      <c r="K130" s="304">
        <f t="shared" si="18"/>
        <v>0</v>
      </c>
      <c r="L130" s="180" t="s">
        <v>291</v>
      </c>
      <c r="M130" s="256"/>
    </row>
    <row r="131" spans="1:13" ht="15">
      <c r="A131" s="253" t="s">
        <v>204</v>
      </c>
      <c r="B131" s="179" t="s">
        <v>205</v>
      </c>
      <c r="C131" s="23">
        <f>89+1267</f>
        <v>1356</v>
      </c>
      <c r="D131" s="23">
        <v>12</v>
      </c>
      <c r="E131" s="305">
        <f t="shared" si="16"/>
        <v>16272</v>
      </c>
      <c r="F131" s="126">
        <v>2</v>
      </c>
      <c r="G131" s="305">
        <f t="shared" si="17"/>
        <v>32544</v>
      </c>
      <c r="H131" s="25">
        <v>32544</v>
      </c>
      <c r="I131" s="304">
        <f>G131-H131</f>
        <v>0</v>
      </c>
      <c r="J131" s="304">
        <v>0</v>
      </c>
      <c r="K131" s="304">
        <f t="shared" si="18"/>
        <v>0</v>
      </c>
      <c r="L131" s="180" t="s">
        <v>291</v>
      </c>
      <c r="M131" s="256"/>
    </row>
    <row r="132" spans="1:13" ht="28.5">
      <c r="A132" s="253" t="s">
        <v>204</v>
      </c>
      <c r="B132" s="179" t="s">
        <v>206</v>
      </c>
      <c r="C132" s="23">
        <f>1810*0.7</f>
        <v>1267</v>
      </c>
      <c r="D132" s="23">
        <f>((6243960)/1267)*2*0.7</f>
        <v>6899.4033149171264</v>
      </c>
      <c r="E132" s="305">
        <f t="shared" si="16"/>
        <v>8741544</v>
      </c>
      <c r="F132" s="131">
        <v>1.67E-2</v>
      </c>
      <c r="G132" s="305">
        <f t="shared" si="17"/>
        <v>145983.78479999999</v>
      </c>
      <c r="H132" s="25">
        <v>145983.78479999999</v>
      </c>
      <c r="I132" s="304">
        <f>G132-H132</f>
        <v>0</v>
      </c>
      <c r="J132" s="313">
        <v>0</v>
      </c>
      <c r="K132" s="304">
        <f t="shared" si="18"/>
        <v>0</v>
      </c>
      <c r="L132" s="180" t="s">
        <v>291</v>
      </c>
      <c r="M132" s="256"/>
    </row>
    <row r="133" spans="1:13" ht="15">
      <c r="A133" s="253" t="s">
        <v>204</v>
      </c>
      <c r="B133" s="179" t="s">
        <v>207</v>
      </c>
      <c r="C133" s="23">
        <f>89+1267</f>
        <v>1356</v>
      </c>
      <c r="D133" s="23">
        <v>1</v>
      </c>
      <c r="E133" s="305">
        <f t="shared" si="16"/>
        <v>1356</v>
      </c>
      <c r="F133" s="126">
        <v>0.25</v>
      </c>
      <c r="G133" s="305">
        <f t="shared" si="17"/>
        <v>339</v>
      </c>
      <c r="H133" s="25">
        <v>339</v>
      </c>
      <c r="I133" s="304">
        <f>G133-H133</f>
        <v>0</v>
      </c>
      <c r="J133" s="313">
        <v>0</v>
      </c>
      <c r="K133" s="313">
        <f t="shared" si="18"/>
        <v>0</v>
      </c>
      <c r="L133" s="180" t="s">
        <v>291</v>
      </c>
      <c r="M133" s="256"/>
    </row>
    <row r="134" spans="1:13" ht="28.5">
      <c r="A134" s="277" t="s">
        <v>145</v>
      </c>
      <c r="B134" s="270" t="s">
        <v>146</v>
      </c>
      <c r="C134" s="27">
        <v>76</v>
      </c>
      <c r="D134" s="23">
        <v>1</v>
      </c>
      <c r="E134" s="305">
        <f t="shared" si="16"/>
        <v>76</v>
      </c>
      <c r="F134" s="126">
        <v>0.16700000000000001</v>
      </c>
      <c r="G134" s="388">
        <f t="shared" si="17"/>
        <v>12.692</v>
      </c>
      <c r="H134" s="132">
        <v>12.692</v>
      </c>
      <c r="I134" s="304">
        <f t="shared" si="19"/>
        <v>0</v>
      </c>
      <c r="J134" s="313">
        <v>0</v>
      </c>
      <c r="K134" s="313">
        <f t="shared" si="18"/>
        <v>0</v>
      </c>
      <c r="L134" s="180" t="s">
        <v>291</v>
      </c>
      <c r="M134" s="256"/>
    </row>
    <row r="135" spans="1:13" ht="15">
      <c r="A135" s="598" t="s">
        <v>208</v>
      </c>
      <c r="B135" s="598"/>
      <c r="C135" s="13">
        <v>1356</v>
      </c>
      <c r="D135" s="33">
        <f>+E135/C135</f>
        <v>6484.4992699115046</v>
      </c>
      <c r="E135" s="13">
        <f>SUM(E117:E134)</f>
        <v>8792981.0099999998</v>
      </c>
      <c r="F135" s="33">
        <f>+G135/E135</f>
        <v>2.3148564516233389E-2</v>
      </c>
      <c r="G135" s="13">
        <f>SUM(G117:G134)</f>
        <v>203544.88820000002</v>
      </c>
      <c r="H135" s="14">
        <f>SUM(H117:H134)</f>
        <v>203613.13820000002</v>
      </c>
      <c r="I135" s="34">
        <f>SUM(I117:I134)</f>
        <v>-68.249999999997044</v>
      </c>
      <c r="J135" s="34">
        <f>SUM(J117:J134)</f>
        <v>0</v>
      </c>
      <c r="K135" s="34">
        <f>SUM(K117:K134)</f>
        <v>-68.249999999997044</v>
      </c>
      <c r="L135" s="314"/>
    </row>
    <row r="136" spans="1:13" ht="15">
      <c r="A136" s="596" t="s">
        <v>161</v>
      </c>
      <c r="B136" s="596"/>
      <c r="C136" s="596"/>
      <c r="D136" s="596"/>
      <c r="E136" s="596"/>
      <c r="F136" s="596"/>
      <c r="G136" s="596"/>
      <c r="H136" s="596"/>
      <c r="I136" s="596"/>
      <c r="J136" s="596"/>
      <c r="K136" s="596"/>
      <c r="L136" s="597"/>
    </row>
    <row r="137" spans="1:13" ht="15">
      <c r="A137" s="299" t="s">
        <v>53</v>
      </c>
      <c r="B137" s="179" t="s">
        <v>154</v>
      </c>
      <c r="C137" s="23">
        <f>0.3*1810</f>
        <v>543</v>
      </c>
      <c r="D137" s="23">
        <f>(10000/543)*2*0.3</f>
        <v>11.049723756906078</v>
      </c>
      <c r="E137" s="302">
        <f t="shared" ref="E137:E141" si="21">C137*D137</f>
        <v>6000</v>
      </c>
      <c r="F137" s="126">
        <v>1.67E-2</v>
      </c>
      <c r="G137" s="388">
        <f t="shared" ref="G137:G141" si="22">E137*F137</f>
        <v>100.2</v>
      </c>
      <c r="H137" s="25">
        <v>100.2</v>
      </c>
      <c r="I137" s="389">
        <f t="shared" ref="I137:I138" si="23">G137-H137</f>
        <v>0</v>
      </c>
      <c r="J137" s="389">
        <v>0</v>
      </c>
      <c r="K137" s="315">
        <f>G137-H137</f>
        <v>0</v>
      </c>
      <c r="L137" s="180" t="s">
        <v>291</v>
      </c>
    </row>
    <row r="138" spans="1:13" ht="28.5">
      <c r="A138" s="306" t="s">
        <v>209</v>
      </c>
      <c r="B138" s="261" t="s">
        <v>311</v>
      </c>
      <c r="C138" s="224">
        <f>37417-150</f>
        <v>37267</v>
      </c>
      <c r="D138" s="224">
        <v>1</v>
      </c>
      <c r="E138" s="307">
        <f t="shared" si="21"/>
        <v>37267</v>
      </c>
      <c r="F138" s="233">
        <v>0.16700000000000001</v>
      </c>
      <c r="G138" s="307">
        <f t="shared" si="22"/>
        <v>6223.5889999999999</v>
      </c>
      <c r="H138" s="227">
        <v>6248.6390000000001</v>
      </c>
      <c r="I138" s="262">
        <f t="shared" si="23"/>
        <v>-25.050000000000182</v>
      </c>
      <c r="J138" s="262">
        <v>0</v>
      </c>
      <c r="K138" s="390">
        <f t="shared" ref="K138:K141" si="24">G138-H138</f>
        <v>-25.050000000000182</v>
      </c>
      <c r="L138" s="405" t="s">
        <v>300</v>
      </c>
    </row>
    <row r="139" spans="1:13" ht="15">
      <c r="A139" s="253" t="s">
        <v>204</v>
      </c>
      <c r="B139" s="179" t="s">
        <v>205</v>
      </c>
      <c r="C139" s="23">
        <f>1810*0.3</f>
        <v>543</v>
      </c>
      <c r="D139" s="23">
        <v>12</v>
      </c>
      <c r="E139" s="305">
        <f t="shared" si="21"/>
        <v>6516</v>
      </c>
      <c r="F139" s="126">
        <v>2</v>
      </c>
      <c r="G139" s="305">
        <f t="shared" si="22"/>
        <v>13032</v>
      </c>
      <c r="H139" s="25">
        <v>13032</v>
      </c>
      <c r="I139" s="254">
        <f>G139-H139</f>
        <v>0</v>
      </c>
      <c r="J139" s="254">
        <v>0</v>
      </c>
      <c r="K139" s="315">
        <f t="shared" si="24"/>
        <v>0</v>
      </c>
      <c r="L139" s="180" t="s">
        <v>291</v>
      </c>
    </row>
    <row r="140" spans="1:13" ht="28.5">
      <c r="A140" s="253" t="s">
        <v>204</v>
      </c>
      <c r="B140" s="179" t="s">
        <v>206</v>
      </c>
      <c r="C140" s="23">
        <f>1810*0.3</f>
        <v>543</v>
      </c>
      <c r="D140" s="23">
        <f>((6243960)/543)*2*0.3</f>
        <v>6899.4033149171273</v>
      </c>
      <c r="E140" s="305">
        <f t="shared" si="21"/>
        <v>3746376</v>
      </c>
      <c r="F140" s="131">
        <v>1.67E-2</v>
      </c>
      <c r="G140" s="305">
        <f t="shared" si="22"/>
        <v>62564.479200000002</v>
      </c>
      <c r="H140" s="25">
        <v>62564.479200000002</v>
      </c>
      <c r="I140" s="254">
        <f>G140-H140</f>
        <v>0</v>
      </c>
      <c r="J140" s="254">
        <v>0</v>
      </c>
      <c r="K140" s="315">
        <f t="shared" si="24"/>
        <v>0</v>
      </c>
      <c r="L140" s="180" t="s">
        <v>291</v>
      </c>
    </row>
    <row r="141" spans="1:13" ht="15">
      <c r="A141" s="253" t="s">
        <v>204</v>
      </c>
      <c r="B141" s="179" t="s">
        <v>207</v>
      </c>
      <c r="C141" s="23">
        <f>1810*0.3</f>
        <v>543</v>
      </c>
      <c r="D141" s="23">
        <v>1</v>
      </c>
      <c r="E141" s="305">
        <f t="shared" si="21"/>
        <v>543</v>
      </c>
      <c r="F141" s="126">
        <v>0.25</v>
      </c>
      <c r="G141" s="302">
        <f t="shared" si="22"/>
        <v>135.75</v>
      </c>
      <c r="H141" s="25">
        <v>135.75</v>
      </c>
      <c r="I141" s="391">
        <f>G141-H141</f>
        <v>0</v>
      </c>
      <c r="J141" s="391">
        <v>0</v>
      </c>
      <c r="K141" s="315">
        <f t="shared" si="24"/>
        <v>0</v>
      </c>
      <c r="L141" s="180" t="s">
        <v>291</v>
      </c>
    </row>
    <row r="142" spans="1:13" ht="15">
      <c r="A142" s="598" t="s">
        <v>211</v>
      </c>
      <c r="B142" s="598"/>
      <c r="C142" s="13">
        <f>C138+543</f>
        <v>37810</v>
      </c>
      <c r="D142" s="33">
        <f>E142/C142</f>
        <v>100.4152869611214</v>
      </c>
      <c r="E142" s="392">
        <f>SUM(E137:E141)</f>
        <v>3796702</v>
      </c>
      <c r="F142" s="33">
        <f>G142/E142</f>
        <v>2.161244632841872E-2</v>
      </c>
      <c r="G142" s="393">
        <f>SUM(G137:G141)</f>
        <v>82056.018200000006</v>
      </c>
      <c r="H142" s="394">
        <f>SUM(H137:H141)</f>
        <v>82081.068200000009</v>
      </c>
      <c r="I142" s="34">
        <f>SUM(I137:I141)</f>
        <v>-25.050000000000182</v>
      </c>
      <c r="J142" s="34">
        <f>SUM(J137:J141)</f>
        <v>0</v>
      </c>
      <c r="K142" s="34">
        <f>SUM(K137:K141)</f>
        <v>-25.050000000000182</v>
      </c>
      <c r="L142" s="314"/>
    </row>
    <row r="143" spans="1:13" ht="15">
      <c r="A143" s="599" t="s">
        <v>212</v>
      </c>
      <c r="B143" s="600"/>
      <c r="C143" s="13">
        <f>C142+C135</f>
        <v>39166</v>
      </c>
      <c r="D143" s="33">
        <f>+E143/C143</f>
        <v>321.44418653934537</v>
      </c>
      <c r="E143" s="13">
        <f>E142+E135</f>
        <v>12589683.01</v>
      </c>
      <c r="F143" s="33">
        <f>G143/E143</f>
        <v>2.2685313535944225E-2</v>
      </c>
      <c r="G143" s="13">
        <f>G142+G135</f>
        <v>285600.90640000004</v>
      </c>
      <c r="H143" s="14">
        <f>H142+H135</f>
        <v>285694.20640000002</v>
      </c>
      <c r="I143" s="34">
        <f>I142+I135</f>
        <v>-93.299999999997226</v>
      </c>
      <c r="J143" s="34">
        <f>J142+J135</f>
        <v>0</v>
      </c>
      <c r="K143" s="13">
        <f>K142+K135</f>
        <v>-93.299999999997226</v>
      </c>
      <c r="L143" s="314"/>
    </row>
    <row r="144" spans="1:13" ht="15">
      <c r="A144" s="601" t="s">
        <v>213</v>
      </c>
      <c r="B144" s="601"/>
      <c r="C144" s="601"/>
      <c r="D144" s="601"/>
      <c r="E144" s="601"/>
      <c r="F144" s="601"/>
      <c r="G144" s="601"/>
      <c r="H144" s="601"/>
      <c r="I144" s="601"/>
      <c r="J144" s="601"/>
      <c r="K144" s="601"/>
      <c r="L144" s="602"/>
    </row>
    <row r="145" spans="1:13" ht="15">
      <c r="A145" s="603" t="s">
        <v>15</v>
      </c>
      <c r="B145" s="603"/>
      <c r="C145" s="603"/>
      <c r="D145" s="603"/>
      <c r="E145" s="603"/>
      <c r="F145" s="603"/>
      <c r="G145" s="603"/>
      <c r="H145" s="603"/>
      <c r="I145" s="603"/>
      <c r="J145" s="603"/>
      <c r="K145" s="603"/>
      <c r="L145" s="604"/>
    </row>
    <row r="146" spans="1:13" ht="15">
      <c r="A146" s="253" t="s">
        <v>214</v>
      </c>
      <c r="B146" s="179" t="s">
        <v>215</v>
      </c>
      <c r="C146" s="23">
        <f>(89*0.33)</f>
        <v>29.37</v>
      </c>
      <c r="D146" s="23">
        <v>1</v>
      </c>
      <c r="E146" s="41">
        <f t="shared" ref="E146" si="25">C146*D146</f>
        <v>29.37</v>
      </c>
      <c r="F146" s="19">
        <v>0.5</v>
      </c>
      <c r="G146" s="41">
        <f t="shared" ref="G146" si="26">E146*F146</f>
        <v>14.685</v>
      </c>
      <c r="H146" s="25">
        <v>14.685</v>
      </c>
      <c r="I146" s="254">
        <f t="shared" ref="I146" si="27">G146-H146</f>
        <v>0</v>
      </c>
      <c r="J146" s="254">
        <v>0</v>
      </c>
      <c r="K146" s="254">
        <f>G146-H146</f>
        <v>0</v>
      </c>
      <c r="L146" s="180" t="s">
        <v>291</v>
      </c>
    </row>
    <row r="147" spans="1:13" ht="15">
      <c r="A147" s="598" t="s">
        <v>216</v>
      </c>
      <c r="B147" s="598"/>
      <c r="C147" s="13">
        <f t="shared" ref="C147:K148" si="28">C146</f>
        <v>29.37</v>
      </c>
      <c r="D147" s="33">
        <f t="shared" si="28"/>
        <v>1</v>
      </c>
      <c r="E147" s="13">
        <f t="shared" si="28"/>
        <v>29.37</v>
      </c>
      <c r="F147" s="33">
        <f t="shared" si="28"/>
        <v>0.5</v>
      </c>
      <c r="G147" s="13">
        <f t="shared" si="28"/>
        <v>14.685</v>
      </c>
      <c r="H147" s="14">
        <f t="shared" si="28"/>
        <v>14.685</v>
      </c>
      <c r="I147" s="34">
        <f t="shared" si="28"/>
        <v>0</v>
      </c>
      <c r="J147" s="34">
        <f t="shared" si="28"/>
        <v>0</v>
      </c>
      <c r="K147" s="34">
        <f t="shared" si="28"/>
        <v>0</v>
      </c>
      <c r="L147" s="314"/>
    </row>
    <row r="148" spans="1:13" ht="15">
      <c r="A148" s="599" t="s">
        <v>217</v>
      </c>
      <c r="B148" s="600"/>
      <c r="C148" s="13">
        <f t="shared" si="28"/>
        <v>29.37</v>
      </c>
      <c r="D148" s="33">
        <f t="shared" si="28"/>
        <v>1</v>
      </c>
      <c r="E148" s="13">
        <f t="shared" si="28"/>
        <v>29.37</v>
      </c>
      <c r="F148" s="33">
        <f t="shared" si="28"/>
        <v>0.5</v>
      </c>
      <c r="G148" s="13">
        <f t="shared" si="28"/>
        <v>14.685</v>
      </c>
      <c r="H148" s="14">
        <f t="shared" si="28"/>
        <v>14.685</v>
      </c>
      <c r="I148" s="34">
        <f t="shared" si="28"/>
        <v>0</v>
      </c>
      <c r="J148" s="34">
        <f t="shared" si="28"/>
        <v>0</v>
      </c>
      <c r="K148" s="34">
        <f t="shared" si="28"/>
        <v>0</v>
      </c>
      <c r="L148" s="314"/>
    </row>
    <row r="149" spans="1:13" ht="36" customHeight="1">
      <c r="A149" s="605" t="s">
        <v>218</v>
      </c>
      <c r="B149" s="606"/>
      <c r="C149" s="16">
        <f>C114</f>
        <v>6283126</v>
      </c>
      <c r="D149" s="28">
        <f>E149/C149</f>
        <v>10.801623302309284</v>
      </c>
      <c r="E149" s="16">
        <f>E143+E114+E148</f>
        <v>67867960.212945327</v>
      </c>
      <c r="F149" s="28">
        <f>G149/E149</f>
        <v>0.25583358448270821</v>
      </c>
      <c r="G149" s="16">
        <f>G143+G114+G148</f>
        <v>17362903.53280763</v>
      </c>
      <c r="H149" s="95">
        <f>H143+H114+H148</f>
        <v>15693814.381077295</v>
      </c>
      <c r="I149" s="16">
        <f>I143+I114+I148</f>
        <v>1669089.1517303376</v>
      </c>
      <c r="J149" s="16">
        <f>J143+J114+J148</f>
        <v>0</v>
      </c>
      <c r="K149" s="198">
        <f>G149-H149</f>
        <v>1669089.1517303344</v>
      </c>
      <c r="L149" s="316"/>
      <c r="M149" s="256"/>
    </row>
    <row r="151" spans="1:13" ht="15">
      <c r="A151" s="589" t="s">
        <v>219</v>
      </c>
      <c r="B151" s="590"/>
      <c r="C151" s="590"/>
      <c r="D151" s="591"/>
      <c r="F151" s="164"/>
      <c r="G151" s="395"/>
    </row>
    <row r="152" spans="1:13" ht="15">
      <c r="A152" s="581" t="s">
        <v>220</v>
      </c>
      <c r="B152" s="582"/>
      <c r="C152" s="585">
        <f>+C114</f>
        <v>6283126</v>
      </c>
      <c r="D152" s="586"/>
      <c r="E152" s="318"/>
      <c r="F152" s="396"/>
      <c r="G152" s="397"/>
    </row>
    <row r="153" spans="1:13" ht="15">
      <c r="A153" s="594" t="s">
        <v>221</v>
      </c>
      <c r="B153" s="595"/>
      <c r="C153" s="592">
        <f>+C154/C152</f>
        <v>8.7978894316213481</v>
      </c>
      <c r="D153" s="593"/>
    </row>
    <row r="154" spans="1:13" ht="15">
      <c r="A154" s="581" t="s">
        <v>222</v>
      </c>
      <c r="B154" s="582"/>
      <c r="C154" s="585">
        <f>+E114</f>
        <v>55278247.832945317</v>
      </c>
      <c r="D154" s="586"/>
      <c r="F154" s="319"/>
    </row>
    <row r="155" spans="1:13" ht="15">
      <c r="A155" s="581" t="s">
        <v>223</v>
      </c>
      <c r="B155" s="582"/>
      <c r="C155" s="592">
        <f>+C156/C154</f>
        <v>0.30893323523958965</v>
      </c>
      <c r="D155" s="593"/>
      <c r="F155" s="398"/>
    </row>
    <row r="156" spans="1:13" ht="15">
      <c r="A156" s="581" t="s">
        <v>224</v>
      </c>
      <c r="B156" s="582"/>
      <c r="C156" s="585">
        <f>+G114</f>
        <v>17077287.941407632</v>
      </c>
      <c r="D156" s="586"/>
      <c r="F156" s="320"/>
    </row>
    <row r="157" spans="1:13" ht="15">
      <c r="A157" s="581" t="s">
        <v>225</v>
      </c>
      <c r="B157" s="582"/>
      <c r="C157" s="585">
        <f>H114</f>
        <v>15408105.489677295</v>
      </c>
      <c r="D157" s="586"/>
    </row>
    <row r="158" spans="1:13" ht="15">
      <c r="A158" s="587" t="s">
        <v>226</v>
      </c>
      <c r="B158" s="588"/>
      <c r="C158" s="585">
        <f>C156-C157</f>
        <v>1669182.451730337</v>
      </c>
      <c r="D158" s="586"/>
    </row>
    <row r="160" spans="1:13" ht="15">
      <c r="A160" s="589" t="s">
        <v>227</v>
      </c>
      <c r="B160" s="590"/>
      <c r="C160" s="590"/>
      <c r="D160" s="591"/>
    </row>
    <row r="161" spans="1:4" ht="15.75" thickBot="1">
      <c r="A161" s="581" t="s">
        <v>228</v>
      </c>
      <c r="B161" s="582"/>
      <c r="C161" s="585">
        <f>+C143</f>
        <v>39166</v>
      </c>
      <c r="D161" s="586"/>
    </row>
    <row r="162" spans="1:4" ht="15.75" thickBot="1">
      <c r="A162" s="594" t="s">
        <v>221</v>
      </c>
      <c r="B162" s="595"/>
      <c r="C162" s="592">
        <f>+C163/C161</f>
        <v>321.44418653934537</v>
      </c>
      <c r="D162" s="593"/>
    </row>
    <row r="163" spans="1:4" ht="15.75" thickBot="1">
      <c r="A163" s="581" t="s">
        <v>222</v>
      </c>
      <c r="B163" s="582"/>
      <c r="C163" s="585">
        <f>+E143</f>
        <v>12589683.01</v>
      </c>
      <c r="D163" s="586"/>
    </row>
    <row r="164" spans="1:4" ht="15.75" thickBot="1">
      <c r="A164" s="581" t="s">
        <v>223</v>
      </c>
      <c r="B164" s="582"/>
      <c r="C164" s="592">
        <f>+C165/C163</f>
        <v>2.2685313535944225E-2</v>
      </c>
      <c r="D164" s="593"/>
    </row>
    <row r="165" spans="1:4" ht="15.75" thickBot="1">
      <c r="A165" s="581" t="s">
        <v>224</v>
      </c>
      <c r="B165" s="582"/>
      <c r="C165" s="585">
        <f>+G143</f>
        <v>285600.90640000004</v>
      </c>
      <c r="D165" s="586"/>
    </row>
    <row r="166" spans="1:4" ht="15.75" thickBot="1">
      <c r="A166" s="581" t="s">
        <v>225</v>
      </c>
      <c r="B166" s="582"/>
      <c r="C166" s="585">
        <f>+H143</f>
        <v>285694.20640000002</v>
      </c>
      <c r="D166" s="586"/>
    </row>
    <row r="167" spans="1:4" ht="15.75" thickBot="1">
      <c r="A167" s="587" t="s">
        <v>226</v>
      </c>
      <c r="B167" s="588"/>
      <c r="C167" s="585">
        <f>C165-C166</f>
        <v>-93.299999999988358</v>
      </c>
      <c r="D167" s="586"/>
    </row>
    <row r="169" spans="1:4" ht="15.75" thickBot="1">
      <c r="A169" s="589" t="s">
        <v>229</v>
      </c>
      <c r="B169" s="590"/>
      <c r="C169" s="590"/>
      <c r="D169" s="591"/>
    </row>
    <row r="170" spans="1:4" ht="15.75" thickBot="1">
      <c r="A170" s="581" t="s">
        <v>228</v>
      </c>
      <c r="B170" s="582"/>
      <c r="C170" s="585">
        <f>C148</f>
        <v>29.37</v>
      </c>
      <c r="D170" s="586"/>
    </row>
    <row r="171" spans="1:4" ht="15.75" thickBot="1">
      <c r="A171" s="594" t="s">
        <v>221</v>
      </c>
      <c r="B171" s="595"/>
      <c r="C171" s="592">
        <f>D148</f>
        <v>1</v>
      </c>
      <c r="D171" s="593"/>
    </row>
    <row r="172" spans="1:4" ht="15.75" thickBot="1">
      <c r="A172" s="581" t="s">
        <v>222</v>
      </c>
      <c r="B172" s="582"/>
      <c r="C172" s="585">
        <f>E148</f>
        <v>29.37</v>
      </c>
      <c r="D172" s="586"/>
    </row>
    <row r="173" spans="1:4" ht="15.75" thickBot="1">
      <c r="A173" s="581" t="s">
        <v>223</v>
      </c>
      <c r="B173" s="582"/>
      <c r="C173" s="592">
        <f>F148</f>
        <v>0.5</v>
      </c>
      <c r="D173" s="593"/>
    </row>
    <row r="174" spans="1:4" ht="15.75" thickBot="1">
      <c r="A174" s="581" t="s">
        <v>224</v>
      </c>
      <c r="B174" s="582"/>
      <c r="C174" s="585">
        <f>G148</f>
        <v>14.685</v>
      </c>
      <c r="D174" s="586"/>
    </row>
    <row r="175" spans="1:4" ht="15.75" thickBot="1">
      <c r="A175" s="581" t="s">
        <v>225</v>
      </c>
      <c r="B175" s="582"/>
      <c r="C175" s="585">
        <f>H148</f>
        <v>14.685</v>
      </c>
      <c r="D175" s="586"/>
    </row>
    <row r="176" spans="1:4" ht="15.75" thickBot="1">
      <c r="A176" s="587" t="s">
        <v>226</v>
      </c>
      <c r="B176" s="588"/>
      <c r="C176" s="585">
        <f>C174-C175</f>
        <v>0</v>
      </c>
      <c r="D176" s="586"/>
    </row>
    <row r="177" spans="1:7" ht="15.75" thickBot="1">
      <c r="A177" s="524"/>
      <c r="B177" s="321"/>
      <c r="C177" s="322"/>
      <c r="D177" s="523"/>
    </row>
    <row r="178" spans="1:7" ht="15.75" thickBot="1">
      <c r="A178" s="589" t="s">
        <v>312</v>
      </c>
      <c r="B178" s="590"/>
      <c r="C178" s="590"/>
      <c r="D178" s="591"/>
    </row>
    <row r="179" spans="1:7" ht="15.75" thickBot="1">
      <c r="A179" s="581" t="s">
        <v>313</v>
      </c>
      <c r="B179" s="582"/>
      <c r="C179" s="585">
        <f>C149</f>
        <v>6283126</v>
      </c>
      <c r="D179" s="586"/>
    </row>
    <row r="180" spans="1:7" ht="15">
      <c r="A180" s="581" t="s">
        <v>231</v>
      </c>
      <c r="B180" s="582"/>
      <c r="C180" s="585">
        <f>E149</f>
        <v>67867960.212945327</v>
      </c>
      <c r="D180" s="586"/>
      <c r="G180" s="323"/>
    </row>
    <row r="181" spans="1:7" ht="15">
      <c r="A181" s="581" t="s">
        <v>232</v>
      </c>
      <c r="B181" s="582"/>
      <c r="C181" s="585">
        <f>G149</f>
        <v>17362903.53280763</v>
      </c>
      <c r="D181" s="586"/>
    </row>
    <row r="182" spans="1:7" ht="15">
      <c r="A182" s="581" t="s">
        <v>225</v>
      </c>
      <c r="B182" s="582"/>
      <c r="C182" s="585">
        <f>H149</f>
        <v>15693814.381077295</v>
      </c>
      <c r="D182" s="586"/>
    </row>
    <row r="183" spans="1:7" ht="15">
      <c r="A183" s="587" t="s">
        <v>226</v>
      </c>
      <c r="B183" s="588"/>
      <c r="C183" s="585">
        <f>C181-C182</f>
        <v>1669089.1517303344</v>
      </c>
      <c r="D183" s="586"/>
    </row>
    <row r="185" spans="1:7" ht="14.25" customHeight="1" thickBot="1">
      <c r="A185" s="589" t="s">
        <v>314</v>
      </c>
      <c r="B185" s="590"/>
      <c r="C185" s="590"/>
      <c r="D185" s="591"/>
    </row>
    <row r="186" spans="1:7" ht="15">
      <c r="A186" s="581" t="s">
        <v>313</v>
      </c>
      <c r="B186" s="582"/>
      <c r="C186" s="585">
        <v>6283276</v>
      </c>
      <c r="D186" s="586"/>
      <c r="G186" s="323"/>
    </row>
    <row r="187" spans="1:7" ht="15">
      <c r="A187" s="581" t="s">
        <v>231</v>
      </c>
      <c r="B187" s="582"/>
      <c r="C187" s="583">
        <v>55379486</v>
      </c>
      <c r="D187" s="584"/>
      <c r="E187" s="323"/>
    </row>
    <row r="188" spans="1:7" ht="15.75" thickBot="1">
      <c r="A188" s="581" t="s">
        <v>232</v>
      </c>
      <c r="B188" s="582"/>
      <c r="C188" s="583">
        <v>15693814</v>
      </c>
      <c r="D188" s="584"/>
    </row>
  </sheetData>
  <mergeCells count="83">
    <mergeCell ref="A135:B135"/>
    <mergeCell ref="A1:L1"/>
    <mergeCell ref="A3:L3"/>
    <mergeCell ref="A4:L4"/>
    <mergeCell ref="A72:B72"/>
    <mergeCell ref="A73:L73"/>
    <mergeCell ref="A86:B86"/>
    <mergeCell ref="A87:L87"/>
    <mergeCell ref="A113:B113"/>
    <mergeCell ref="A114:B114"/>
    <mergeCell ref="A115:L115"/>
    <mergeCell ref="A116:L116"/>
    <mergeCell ref="A153:B153"/>
    <mergeCell ref="C153:D153"/>
    <mergeCell ref="A136:L136"/>
    <mergeCell ref="A142:B142"/>
    <mergeCell ref="A143:B143"/>
    <mergeCell ref="A144:L144"/>
    <mergeCell ref="A145:L145"/>
    <mergeCell ref="A147:B147"/>
    <mergeCell ref="A148:B148"/>
    <mergeCell ref="A149:B149"/>
    <mergeCell ref="A151:D151"/>
    <mergeCell ref="A152:B152"/>
    <mergeCell ref="C152:D152"/>
    <mergeCell ref="A161:B161"/>
    <mergeCell ref="C161:D161"/>
    <mergeCell ref="A154:B154"/>
    <mergeCell ref="C154:D154"/>
    <mergeCell ref="A155:B155"/>
    <mergeCell ref="C155:D155"/>
    <mergeCell ref="A156:B156"/>
    <mergeCell ref="C156:D156"/>
    <mergeCell ref="A157:B157"/>
    <mergeCell ref="C157:D157"/>
    <mergeCell ref="A158:B158"/>
    <mergeCell ref="C158:D158"/>
    <mergeCell ref="A160:D160"/>
    <mergeCell ref="A162:B162"/>
    <mergeCell ref="C162:D162"/>
    <mergeCell ref="A163:B163"/>
    <mergeCell ref="C163:D163"/>
    <mergeCell ref="A164:B164"/>
    <mergeCell ref="C164:D164"/>
    <mergeCell ref="A172:B172"/>
    <mergeCell ref="C172:D172"/>
    <mergeCell ref="A165:B165"/>
    <mergeCell ref="C165:D165"/>
    <mergeCell ref="A166:B166"/>
    <mergeCell ref="C166:D166"/>
    <mergeCell ref="A167:B167"/>
    <mergeCell ref="C167:D167"/>
    <mergeCell ref="A169:D169"/>
    <mergeCell ref="A170:B170"/>
    <mergeCell ref="C170:D170"/>
    <mergeCell ref="A171:B171"/>
    <mergeCell ref="C171:D171"/>
    <mergeCell ref="A180:B180"/>
    <mergeCell ref="C180:D180"/>
    <mergeCell ref="A173:B173"/>
    <mergeCell ref="C173:D173"/>
    <mergeCell ref="A174:B174"/>
    <mergeCell ref="C174:D174"/>
    <mergeCell ref="A175:B175"/>
    <mergeCell ref="C175:D175"/>
    <mergeCell ref="A176:B176"/>
    <mergeCell ref="C176:D176"/>
    <mergeCell ref="A178:D178"/>
    <mergeCell ref="A179:B179"/>
    <mergeCell ref="C179:D179"/>
    <mergeCell ref="A188:B188"/>
    <mergeCell ref="C188:D188"/>
    <mergeCell ref="A181:B181"/>
    <mergeCell ref="C181:D181"/>
    <mergeCell ref="A182:B182"/>
    <mergeCell ref="C182:D182"/>
    <mergeCell ref="A183:B183"/>
    <mergeCell ref="C183:D183"/>
    <mergeCell ref="A185:D185"/>
    <mergeCell ref="A186:B186"/>
    <mergeCell ref="C186:D186"/>
    <mergeCell ref="A187:B187"/>
    <mergeCell ref="C187:D18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A0AC-453A-4DD2-B5FC-997944EBAF6C}">
  <sheetPr>
    <tabColor theme="0" tint="-0.14999847407452621"/>
    <pageSetUpPr fitToPage="1"/>
  </sheetPr>
  <dimension ref="A1:AB97"/>
  <sheetViews>
    <sheetView zoomScale="98" zoomScaleNormal="98" workbookViewId="0">
      <pane ySplit="2" topLeftCell="A3" activePane="bottomLeft" state="frozen"/>
      <selection pane="bottomLeft" activeCell="F2" sqref="F2"/>
    </sheetView>
  </sheetViews>
  <sheetFormatPr defaultColWidth="9.140625" defaultRowHeight="12.75"/>
  <cols>
    <col min="1" max="1" width="18.7109375" style="9" bestFit="1" customWidth="1"/>
    <col min="2" max="2" width="36.85546875" style="9" customWidth="1"/>
    <col min="3" max="3" width="15.140625" style="9" bestFit="1" customWidth="1"/>
    <col min="4" max="4" width="14.140625" style="9" customWidth="1"/>
    <col min="5" max="5" width="17.7109375" style="9" customWidth="1"/>
    <col min="6" max="6" width="13.140625" style="9" bestFit="1" customWidth="1"/>
    <col min="7" max="7" width="16.28515625" style="9" customWidth="1"/>
    <col min="8" max="8" width="15.5703125" style="9" bestFit="1" customWidth="1"/>
    <col min="9" max="9" width="15.7109375" style="36" customWidth="1"/>
    <col min="10" max="10" width="14" style="9" bestFit="1" customWidth="1"/>
    <col min="11" max="11" width="14" style="9" customWidth="1"/>
    <col min="12" max="12" width="57.42578125" style="9" customWidth="1"/>
    <col min="13" max="13" width="93.5703125" style="9" customWidth="1"/>
    <col min="14" max="14" width="16.85546875" style="9" customWidth="1"/>
    <col min="15" max="15" width="6" style="9" customWidth="1"/>
    <col min="16" max="16" width="12.85546875" style="9" bestFit="1" customWidth="1"/>
    <col min="17" max="17" width="9.140625" style="9"/>
    <col min="18" max="18" width="17.28515625" style="9" customWidth="1"/>
    <col min="19" max="19" width="16.42578125" style="9" customWidth="1"/>
    <col min="20" max="20" width="13.42578125" style="9" customWidth="1"/>
    <col min="21" max="21" width="14.140625" style="9" customWidth="1"/>
    <col min="22" max="27" width="9.140625" style="9"/>
    <col min="28" max="28" width="9.85546875" style="9" bestFit="1" customWidth="1"/>
    <col min="29" max="16384" width="9.140625" style="9"/>
  </cols>
  <sheetData>
    <row r="1" spans="1:28" s="8" customFormat="1" ht="15" customHeight="1" thickBot="1">
      <c r="A1" s="578" t="s">
        <v>315</v>
      </c>
      <c r="B1" s="636"/>
      <c r="C1" s="636"/>
      <c r="D1" s="636"/>
      <c r="E1" s="636"/>
      <c r="F1" s="636"/>
      <c r="G1" s="636"/>
      <c r="H1" s="636"/>
      <c r="I1" s="636"/>
      <c r="J1" s="636"/>
      <c r="K1" s="636"/>
      <c r="L1" s="636"/>
    </row>
    <row r="2" spans="1:28" s="8" customFormat="1" ht="93.75" customHeight="1" thickBot="1">
      <c r="A2" s="484" t="s">
        <v>1</v>
      </c>
      <c r="B2" s="485" t="s">
        <v>2</v>
      </c>
      <c r="C2" s="486" t="s">
        <v>3</v>
      </c>
      <c r="D2" s="374" t="s">
        <v>4</v>
      </c>
      <c r="E2" s="487" t="s">
        <v>5</v>
      </c>
      <c r="F2" s="488" t="s">
        <v>7</v>
      </c>
      <c r="G2" s="375" t="s">
        <v>235</v>
      </c>
      <c r="H2" s="489" t="s">
        <v>316</v>
      </c>
      <c r="I2" s="490" t="s">
        <v>10</v>
      </c>
      <c r="J2" s="491" t="s">
        <v>11</v>
      </c>
      <c r="K2" s="492" t="s">
        <v>12</v>
      </c>
      <c r="L2" s="7" t="s">
        <v>13</v>
      </c>
      <c r="M2" s="17"/>
      <c r="N2" s="30"/>
      <c r="Q2" s="17"/>
      <c r="R2" s="26"/>
      <c r="T2" s="26"/>
      <c r="U2" s="26"/>
    </row>
    <row r="3" spans="1:28" s="8" customFormat="1" ht="15" customHeight="1">
      <c r="A3" s="541" t="s">
        <v>14</v>
      </c>
      <c r="B3" s="551"/>
      <c r="C3" s="551"/>
      <c r="D3" s="551"/>
      <c r="E3" s="551"/>
      <c r="F3" s="551"/>
      <c r="G3" s="551"/>
      <c r="H3" s="551"/>
      <c r="I3" s="551"/>
      <c r="J3" s="551"/>
      <c r="K3" s="551"/>
      <c r="L3" s="561"/>
      <c r="R3" s="45"/>
      <c r="S3" s="46"/>
      <c r="T3" s="47"/>
      <c r="U3" s="48"/>
    </row>
    <row r="4" spans="1:28" s="8" customFormat="1" ht="15" customHeight="1" thickBot="1">
      <c r="A4" s="543" t="s">
        <v>15</v>
      </c>
      <c r="B4" s="562"/>
      <c r="C4" s="562"/>
      <c r="D4" s="562"/>
      <c r="E4" s="562"/>
      <c r="F4" s="562"/>
      <c r="G4" s="562"/>
      <c r="H4" s="562"/>
      <c r="I4" s="562"/>
      <c r="J4" s="562"/>
      <c r="K4" s="562"/>
      <c r="L4" s="563"/>
      <c r="M4" s="49"/>
      <c r="R4" s="45"/>
      <c r="S4" s="46"/>
      <c r="T4" s="47"/>
      <c r="U4" s="48"/>
    </row>
    <row r="5" spans="1:28" ht="30.95" customHeight="1">
      <c r="A5" s="73">
        <v>246.4</v>
      </c>
      <c r="B5" s="64" t="s">
        <v>16</v>
      </c>
      <c r="C5" s="23">
        <v>89</v>
      </c>
      <c r="D5" s="23">
        <v>1</v>
      </c>
      <c r="E5" s="41">
        <f>C5*D5</f>
        <v>89</v>
      </c>
      <c r="F5" s="19">
        <v>134.62</v>
      </c>
      <c r="G5" s="41">
        <f>E5*F5</f>
        <v>11981.18</v>
      </c>
      <c r="H5" s="25">
        <v>11981.18</v>
      </c>
      <c r="I5" s="24">
        <f t="shared" ref="I5:I23" si="0">G5-H5</f>
        <v>0</v>
      </c>
      <c r="J5" s="24">
        <f>G5-H5</f>
        <v>0</v>
      </c>
      <c r="K5" s="24">
        <f>SUM(I5:J5)</f>
        <v>0</v>
      </c>
      <c r="L5" s="65"/>
      <c r="N5" s="36"/>
      <c r="R5" s="45"/>
      <c r="S5" s="46"/>
      <c r="T5" s="48"/>
      <c r="U5" s="48"/>
    </row>
    <row r="6" spans="1:28" ht="30.95" customHeight="1">
      <c r="A6" s="73" t="s">
        <v>19</v>
      </c>
      <c r="B6" s="64" t="s">
        <v>20</v>
      </c>
      <c r="C6" s="23">
        <v>904</v>
      </c>
      <c r="D6" s="23">
        <v>1</v>
      </c>
      <c r="E6" s="41">
        <f t="shared" ref="E6:E35" si="1">C6*D6</f>
        <v>904</v>
      </c>
      <c r="F6" s="19">
        <v>2</v>
      </c>
      <c r="G6" s="41">
        <f t="shared" ref="G6:G35" si="2">E6*F6</f>
        <v>1808</v>
      </c>
      <c r="H6" s="25">
        <v>1808</v>
      </c>
      <c r="I6" s="24">
        <f t="shared" si="0"/>
        <v>0</v>
      </c>
      <c r="J6" s="24">
        <f>G6-H6</f>
        <v>0</v>
      </c>
      <c r="K6" s="24">
        <f t="shared" ref="K6:K8" si="3">SUM(I6:J6)</f>
        <v>0</v>
      </c>
      <c r="L6" s="66"/>
      <c r="N6" s="36"/>
      <c r="R6" s="45"/>
      <c r="S6" s="46"/>
      <c r="T6" s="48"/>
      <c r="U6" s="48"/>
    </row>
    <row r="7" spans="1:28" ht="30.95" customHeight="1">
      <c r="A7" s="73">
        <v>246.6</v>
      </c>
      <c r="B7" s="64" t="s">
        <v>25</v>
      </c>
      <c r="C7" s="23">
        <v>904</v>
      </c>
      <c r="D7" s="23">
        <v>1</v>
      </c>
      <c r="E7" s="41">
        <f t="shared" si="1"/>
        <v>904</v>
      </c>
      <c r="F7" s="19">
        <v>1.5</v>
      </c>
      <c r="G7" s="41">
        <f t="shared" si="2"/>
        <v>1356</v>
      </c>
      <c r="H7" s="25">
        <v>1356</v>
      </c>
      <c r="I7" s="24">
        <f t="shared" si="0"/>
        <v>0</v>
      </c>
      <c r="J7" s="24">
        <f>G7-H7</f>
        <v>0</v>
      </c>
      <c r="K7" s="24">
        <f t="shared" si="3"/>
        <v>0</v>
      </c>
      <c r="L7" s="66"/>
      <c r="N7" s="36"/>
      <c r="R7" s="45"/>
      <c r="S7" s="46"/>
      <c r="T7" s="48"/>
      <c r="U7" s="48"/>
    </row>
    <row r="8" spans="1:28" ht="30.95" customHeight="1">
      <c r="A8" s="73" t="s">
        <v>28</v>
      </c>
      <c r="B8" s="64" t="s">
        <v>29</v>
      </c>
      <c r="C8" s="23">
        <v>301.3</v>
      </c>
      <c r="D8" s="23">
        <v>1</v>
      </c>
      <c r="E8" s="41">
        <f t="shared" si="1"/>
        <v>301.3</v>
      </c>
      <c r="F8" s="19">
        <v>0.25</v>
      </c>
      <c r="G8" s="41">
        <f>ROUND(E8*F8, 2)</f>
        <v>75.33</v>
      </c>
      <c r="H8" s="25">
        <v>75.33</v>
      </c>
      <c r="I8" s="24">
        <f t="shared" si="0"/>
        <v>0</v>
      </c>
      <c r="J8" s="24">
        <f>G8-H8</f>
        <v>0</v>
      </c>
      <c r="K8" s="24">
        <f t="shared" si="3"/>
        <v>0</v>
      </c>
      <c r="L8" s="66"/>
      <c r="N8" s="36"/>
      <c r="R8" s="45"/>
      <c r="S8" s="46"/>
      <c r="T8" s="48"/>
      <c r="U8" s="48"/>
    </row>
    <row r="9" spans="1:28" ht="51">
      <c r="A9" s="238" t="s">
        <v>32</v>
      </c>
      <c r="B9" s="223" t="s">
        <v>317</v>
      </c>
      <c r="C9" s="224">
        <f>1808*0.7</f>
        <v>1265.5999999999999</v>
      </c>
      <c r="D9" s="224">
        <f>(2*1633864)/1808</f>
        <v>1807.3716814159293</v>
      </c>
      <c r="E9" s="225">
        <f t="shared" si="1"/>
        <v>2287409.6</v>
      </c>
      <c r="F9" s="226">
        <f>ROUND(13/60, 4)</f>
        <v>0.2167</v>
      </c>
      <c r="G9" s="225">
        <f>E9*F9</f>
        <v>495681.66032000002</v>
      </c>
      <c r="H9" s="227">
        <v>545711</v>
      </c>
      <c r="I9" s="228">
        <f>C9*D9*(F9-(10/60))</f>
        <v>114446.7269866667</v>
      </c>
      <c r="J9" s="228">
        <f>C9*D9*(10/60)-H9</f>
        <v>-164476.06666666665</v>
      </c>
      <c r="K9" s="228">
        <f t="shared" ref="K9:K10" si="4">SUM(I9:J9)</f>
        <v>-50029.339679999946</v>
      </c>
      <c r="L9" s="493" t="s">
        <v>318</v>
      </c>
      <c r="M9" s="61"/>
      <c r="N9" s="61"/>
      <c r="P9" s="27"/>
      <c r="R9" s="45"/>
      <c r="S9" s="50"/>
      <c r="T9" s="48"/>
      <c r="U9" s="48"/>
      <c r="AB9" s="494"/>
    </row>
    <row r="10" spans="1:28" ht="51">
      <c r="A10" s="238" t="s">
        <v>32</v>
      </c>
      <c r="B10" s="223" t="s">
        <v>33</v>
      </c>
      <c r="C10" s="224">
        <f t="shared" ref="C10:C12" si="5">1808*0.7</f>
        <v>1265.5999999999999</v>
      </c>
      <c r="D10" s="224">
        <f>(1.5*3523863)/1808</f>
        <v>2923.5589048672568</v>
      </c>
      <c r="E10" s="225">
        <f t="shared" si="1"/>
        <v>3700056.15</v>
      </c>
      <c r="F10" s="226">
        <f t="shared" ref="F10:F11" si="6">ROUND(13/60, 4)</f>
        <v>0.2167</v>
      </c>
      <c r="G10" s="225">
        <f>E10*F10</f>
        <v>801802.16770500003</v>
      </c>
      <c r="H10" s="227">
        <v>882728</v>
      </c>
      <c r="I10" s="228">
        <f t="shared" ref="I10:I11" si="7">C10*D10*(F10-(10/60))</f>
        <v>185126.14270500003</v>
      </c>
      <c r="J10" s="228">
        <f t="shared" ref="J10:J11" si="8">C10*D10*(10/60)-H10</f>
        <v>-266051.97500000009</v>
      </c>
      <c r="K10" s="228">
        <f t="shared" si="4"/>
        <v>-80925.832295000058</v>
      </c>
      <c r="L10" s="493" t="s">
        <v>318</v>
      </c>
      <c r="M10" s="61"/>
      <c r="N10" s="61"/>
      <c r="P10" s="51"/>
      <c r="R10" s="45"/>
      <c r="S10" s="48"/>
      <c r="T10" s="48"/>
      <c r="U10" s="48"/>
    </row>
    <row r="11" spans="1:28" ht="51">
      <c r="A11" s="238" t="s">
        <v>32</v>
      </c>
      <c r="B11" s="223" t="s">
        <v>34</v>
      </c>
      <c r="C11" s="224">
        <f t="shared" si="5"/>
        <v>1265.5999999999999</v>
      </c>
      <c r="D11" s="224">
        <f>1*(1712401/1808)</f>
        <v>947.12444690265488</v>
      </c>
      <c r="E11" s="225">
        <f t="shared" si="1"/>
        <v>1198680.7</v>
      </c>
      <c r="F11" s="226">
        <f t="shared" si="6"/>
        <v>0.2167</v>
      </c>
      <c r="G11" s="225">
        <f>E11*F11</f>
        <v>259754.10769</v>
      </c>
      <c r="H11" s="227">
        <v>285970.96999999997</v>
      </c>
      <c r="I11" s="228">
        <f t="shared" si="7"/>
        <v>59973.991023333343</v>
      </c>
      <c r="J11" s="228">
        <f t="shared" si="8"/>
        <v>-86190.853333333333</v>
      </c>
      <c r="K11" s="228">
        <f t="shared" ref="K11:K18" si="9">SUM(I11:J11)</f>
        <v>-26216.86230999999</v>
      </c>
      <c r="L11" s="493" t="s">
        <v>318</v>
      </c>
      <c r="M11" s="61"/>
      <c r="N11" s="61"/>
      <c r="P11" s="52"/>
      <c r="R11" s="45"/>
      <c r="S11" s="46"/>
      <c r="T11" s="48"/>
      <c r="U11" s="48"/>
    </row>
    <row r="12" spans="1:28" ht="30.6" customHeight="1">
      <c r="A12" s="238" t="s">
        <v>32</v>
      </c>
      <c r="B12" s="223" t="s">
        <v>35</v>
      </c>
      <c r="C12" s="224">
        <f t="shared" si="5"/>
        <v>1265.5999999999999</v>
      </c>
      <c r="D12" s="224">
        <f>6870128/1808</f>
        <v>3799.8495575221241</v>
      </c>
      <c r="E12" s="225">
        <f>C12*D12</f>
        <v>4809089.5999999996</v>
      </c>
      <c r="F12" s="226">
        <f>ROUND(5/60, 4)</f>
        <v>8.3299999999999999E-2</v>
      </c>
      <c r="G12" s="225">
        <f>E12*F12</f>
        <v>400597.16367999994</v>
      </c>
      <c r="H12" s="227">
        <v>0</v>
      </c>
      <c r="I12" s="228">
        <f>G12-H12</f>
        <v>400597.16367999994</v>
      </c>
      <c r="J12" s="228">
        <v>0</v>
      </c>
      <c r="K12" s="228">
        <f t="shared" si="9"/>
        <v>400597.16367999994</v>
      </c>
      <c r="L12" s="493" t="s">
        <v>319</v>
      </c>
      <c r="M12" s="35"/>
      <c r="N12" s="61"/>
      <c r="P12" s="52"/>
      <c r="R12" s="45"/>
      <c r="S12" s="46"/>
      <c r="T12" s="48"/>
      <c r="U12" s="48"/>
    </row>
    <row r="13" spans="1:28" ht="30.95" customHeight="1">
      <c r="A13" s="73" t="s">
        <v>36</v>
      </c>
      <c r="B13" s="64" t="s">
        <v>37</v>
      </c>
      <c r="C13" s="23">
        <v>4</v>
      </c>
      <c r="D13" s="23">
        <v>1</v>
      </c>
      <c r="E13" s="41">
        <f t="shared" si="1"/>
        <v>4</v>
      </c>
      <c r="F13" s="19">
        <v>8.3500000000000005E-2</v>
      </c>
      <c r="G13" s="41">
        <f>ROUND(E13*F13, 2)</f>
        <v>0.33</v>
      </c>
      <c r="H13" s="25">
        <v>0.33</v>
      </c>
      <c r="I13" s="24">
        <f t="shared" si="0"/>
        <v>0</v>
      </c>
      <c r="J13" s="24">
        <f>G13-H13</f>
        <v>0</v>
      </c>
      <c r="K13" s="24">
        <f t="shared" si="9"/>
        <v>0</v>
      </c>
      <c r="L13" s="65"/>
      <c r="N13" s="36"/>
      <c r="R13" s="45"/>
      <c r="S13" s="46"/>
      <c r="T13" s="48"/>
      <c r="U13" s="48"/>
    </row>
    <row r="14" spans="1:28" ht="30.95" customHeight="1">
      <c r="A14" s="73" t="s">
        <v>38</v>
      </c>
      <c r="B14" s="64" t="s">
        <v>39</v>
      </c>
      <c r="C14" s="23">
        <v>1808</v>
      </c>
      <c r="D14" s="23">
        <f>((0.03*6870128)/1808)</f>
        <v>113.99548672566371</v>
      </c>
      <c r="E14" s="41">
        <f t="shared" si="1"/>
        <v>206103.84</v>
      </c>
      <c r="F14" s="19">
        <v>8.3500000000000005E-2</v>
      </c>
      <c r="G14" s="41">
        <v>17210</v>
      </c>
      <c r="H14" s="25">
        <v>17210</v>
      </c>
      <c r="I14" s="24">
        <f t="shared" si="0"/>
        <v>0</v>
      </c>
      <c r="J14" s="24">
        <f>G14-H14</f>
        <v>0</v>
      </c>
      <c r="K14" s="24">
        <f t="shared" si="9"/>
        <v>0</v>
      </c>
      <c r="L14" s="66"/>
      <c r="M14" s="29"/>
      <c r="N14" s="36"/>
    </row>
    <row r="15" spans="1:28" ht="30.95" customHeight="1">
      <c r="A15" s="238" t="s">
        <v>45</v>
      </c>
      <c r="B15" s="223" t="s">
        <v>46</v>
      </c>
      <c r="C15" s="224">
        <v>89</v>
      </c>
      <c r="D15" s="224">
        <v>1</v>
      </c>
      <c r="E15" s="225">
        <f t="shared" si="1"/>
        <v>89</v>
      </c>
      <c r="F15" s="226">
        <v>43</v>
      </c>
      <c r="G15" s="225">
        <f t="shared" si="2"/>
        <v>3827</v>
      </c>
      <c r="H15" s="227">
        <v>3560</v>
      </c>
      <c r="I15" s="495">
        <f t="shared" si="0"/>
        <v>267</v>
      </c>
      <c r="J15" s="228">
        <v>0</v>
      </c>
      <c r="K15" s="228">
        <f t="shared" si="9"/>
        <v>267</v>
      </c>
      <c r="L15" s="493" t="s">
        <v>320</v>
      </c>
      <c r="N15" s="36"/>
    </row>
    <row r="16" spans="1:28" ht="30.95" customHeight="1">
      <c r="A16" s="73" t="s">
        <v>297</v>
      </c>
      <c r="B16" s="64" t="s">
        <v>321</v>
      </c>
      <c r="C16" s="23">
        <v>54</v>
      </c>
      <c r="D16" s="23">
        <v>4</v>
      </c>
      <c r="E16" s="41">
        <f>C16*D16</f>
        <v>216</v>
      </c>
      <c r="F16" s="19">
        <v>8.3000000000000001E-3</v>
      </c>
      <c r="G16" s="41">
        <f>ROUND(E16*F16, 2)</f>
        <v>1.79</v>
      </c>
      <c r="H16" s="25">
        <v>1.79</v>
      </c>
      <c r="I16" s="57">
        <f t="shared" si="0"/>
        <v>0</v>
      </c>
      <c r="J16" s="53">
        <f t="shared" ref="J16:J23" si="10">G16-H16</f>
        <v>0</v>
      </c>
      <c r="K16" s="24">
        <f t="shared" si="9"/>
        <v>0</v>
      </c>
      <c r="L16" s="496"/>
      <c r="M16" s="29"/>
      <c r="N16" s="36"/>
    </row>
    <row r="17" spans="1:14" ht="38.25">
      <c r="A17" s="238" t="s">
        <v>51</v>
      </c>
      <c r="B17" s="223" t="s">
        <v>322</v>
      </c>
      <c r="C17" s="224">
        <v>89</v>
      </c>
      <c r="D17" s="224">
        <v>1</v>
      </c>
      <c r="E17" s="225">
        <f>C17*D17</f>
        <v>89</v>
      </c>
      <c r="F17" s="226">
        <v>5</v>
      </c>
      <c r="G17" s="225">
        <f>E17*F17</f>
        <v>445</v>
      </c>
      <c r="H17" s="227">
        <v>0</v>
      </c>
      <c r="I17" s="368">
        <f t="shared" si="0"/>
        <v>445</v>
      </c>
      <c r="J17" s="228">
        <v>0</v>
      </c>
      <c r="K17" s="228">
        <f t="shared" si="9"/>
        <v>445</v>
      </c>
      <c r="L17" s="497" t="s">
        <v>323</v>
      </c>
      <c r="M17" s="29"/>
      <c r="N17" s="36"/>
    </row>
    <row r="18" spans="1:14" ht="30.95" customHeight="1">
      <c r="A18" s="238" t="s">
        <v>51</v>
      </c>
      <c r="B18" s="223" t="s">
        <v>52</v>
      </c>
      <c r="C18" s="224">
        <f>1808*0.7</f>
        <v>1265.5999999999999</v>
      </c>
      <c r="D18" s="224">
        <v>1</v>
      </c>
      <c r="E18" s="225">
        <f>C18*D18</f>
        <v>1265.5999999999999</v>
      </c>
      <c r="F18" s="226">
        <v>1</v>
      </c>
      <c r="G18" s="225">
        <f>E18*F18</f>
        <v>1265.5999999999999</v>
      </c>
      <c r="H18" s="227">
        <v>0</v>
      </c>
      <c r="I18" s="368">
        <f t="shared" si="0"/>
        <v>1265.5999999999999</v>
      </c>
      <c r="J18" s="228">
        <v>0</v>
      </c>
      <c r="K18" s="228">
        <f t="shared" si="9"/>
        <v>1265.5999999999999</v>
      </c>
      <c r="L18" s="497" t="s">
        <v>299</v>
      </c>
      <c r="M18" s="29"/>
      <c r="N18" s="36"/>
    </row>
    <row r="19" spans="1:14" ht="30.95" customHeight="1">
      <c r="A19" s="73" t="s">
        <v>53</v>
      </c>
      <c r="B19" s="64" t="s">
        <v>54</v>
      </c>
      <c r="C19" s="23">
        <v>1808</v>
      </c>
      <c r="D19" s="23">
        <f>(1712401*0.01)/1808</f>
        <v>9.4712444690265496</v>
      </c>
      <c r="E19" s="41">
        <f t="shared" si="1"/>
        <v>17124.010000000002</v>
      </c>
      <c r="F19" s="19">
        <v>3.3399999999999999E-2</v>
      </c>
      <c r="G19" s="41">
        <v>572</v>
      </c>
      <c r="H19" s="25">
        <v>572</v>
      </c>
      <c r="I19" s="57">
        <f t="shared" si="0"/>
        <v>0</v>
      </c>
      <c r="J19" s="55">
        <f t="shared" si="10"/>
        <v>0</v>
      </c>
      <c r="K19" s="24">
        <f t="shared" ref="K19:K35" si="11">SUM(I19:J19)</f>
        <v>0</v>
      </c>
      <c r="L19" s="498"/>
      <c r="N19" s="36"/>
    </row>
    <row r="20" spans="1:14" ht="30.95" customHeight="1">
      <c r="A20" s="73" t="s">
        <v>59</v>
      </c>
      <c r="B20" s="64" t="s">
        <v>60</v>
      </c>
      <c r="C20" s="23">
        <v>1808</v>
      </c>
      <c r="D20" s="23">
        <v>1</v>
      </c>
      <c r="E20" s="41">
        <f t="shared" si="1"/>
        <v>1808</v>
      </c>
      <c r="F20" s="19">
        <v>40</v>
      </c>
      <c r="G20" s="41">
        <f t="shared" si="2"/>
        <v>72320</v>
      </c>
      <c r="H20" s="25">
        <v>72320</v>
      </c>
      <c r="I20" s="24">
        <f t="shared" si="0"/>
        <v>0</v>
      </c>
      <c r="J20" s="54">
        <f t="shared" si="10"/>
        <v>0</v>
      </c>
      <c r="K20" s="24">
        <f t="shared" si="11"/>
        <v>0</v>
      </c>
      <c r="L20" s="66"/>
      <c r="M20" s="29"/>
      <c r="N20" s="36"/>
    </row>
    <row r="21" spans="1:14" ht="30.95" customHeight="1">
      <c r="A21" s="73" t="s">
        <v>66</v>
      </c>
      <c r="B21" s="64" t="s">
        <v>67</v>
      </c>
      <c r="C21" s="23">
        <v>89</v>
      </c>
      <c r="D21" s="23">
        <f>(3691)/89</f>
        <v>41.471910112359552</v>
      </c>
      <c r="E21" s="41">
        <f t="shared" si="1"/>
        <v>3691</v>
      </c>
      <c r="F21" s="19">
        <v>4</v>
      </c>
      <c r="G21" s="41">
        <f t="shared" si="2"/>
        <v>14764</v>
      </c>
      <c r="H21" s="25">
        <v>14764</v>
      </c>
      <c r="I21" s="24">
        <f t="shared" si="0"/>
        <v>0</v>
      </c>
      <c r="J21" s="54">
        <f t="shared" si="10"/>
        <v>0</v>
      </c>
      <c r="K21" s="24">
        <f t="shared" si="11"/>
        <v>0</v>
      </c>
      <c r="L21" s="67"/>
      <c r="M21" s="29"/>
      <c r="N21" s="36"/>
    </row>
    <row r="22" spans="1:14" ht="30.95" customHeight="1">
      <c r="A22" s="73" t="s">
        <v>68</v>
      </c>
      <c r="B22" s="64" t="s">
        <v>69</v>
      </c>
      <c r="C22" s="23">
        <v>79</v>
      </c>
      <c r="D22" s="23">
        <f>2*(41164/79)</f>
        <v>1042.126582278481</v>
      </c>
      <c r="E22" s="41">
        <f t="shared" si="1"/>
        <v>82328</v>
      </c>
      <c r="F22" s="19">
        <v>2</v>
      </c>
      <c r="G22" s="41">
        <f t="shared" si="2"/>
        <v>164656</v>
      </c>
      <c r="H22" s="25">
        <v>164656</v>
      </c>
      <c r="I22" s="24">
        <f t="shared" si="0"/>
        <v>0</v>
      </c>
      <c r="J22" s="54">
        <f t="shared" si="10"/>
        <v>0</v>
      </c>
      <c r="K22" s="24">
        <f t="shared" si="11"/>
        <v>0</v>
      </c>
      <c r="L22" s="66"/>
      <c r="M22" s="29"/>
      <c r="N22" s="36"/>
    </row>
    <row r="23" spans="1:14" ht="30.95" customHeight="1">
      <c r="A23" s="73" t="s">
        <v>68</v>
      </c>
      <c r="B23" s="64" t="s">
        <v>70</v>
      </c>
      <c r="C23" s="23">
        <v>5</v>
      </c>
      <c r="D23" s="23">
        <v>1</v>
      </c>
      <c r="E23" s="41">
        <f t="shared" si="1"/>
        <v>5</v>
      </c>
      <c r="F23" s="19">
        <v>8</v>
      </c>
      <c r="G23" s="41">
        <f t="shared" si="2"/>
        <v>40</v>
      </c>
      <c r="H23" s="25">
        <v>40</v>
      </c>
      <c r="I23" s="24">
        <f t="shared" si="0"/>
        <v>0</v>
      </c>
      <c r="J23" s="54">
        <f t="shared" si="10"/>
        <v>0</v>
      </c>
      <c r="K23" s="24">
        <f t="shared" si="11"/>
        <v>0</v>
      </c>
      <c r="L23" s="65"/>
      <c r="N23" s="36"/>
    </row>
    <row r="24" spans="1:14" ht="30.95" customHeight="1">
      <c r="A24" s="237" t="s">
        <v>191</v>
      </c>
      <c r="B24" s="223" t="s">
        <v>166</v>
      </c>
      <c r="C24" s="224">
        <v>89</v>
      </c>
      <c r="D24" s="224">
        <f>((41164-150)*0.33)/89</f>
        <v>152.07438202247192</v>
      </c>
      <c r="E24" s="224">
        <f t="shared" si="1"/>
        <v>13534.62</v>
      </c>
      <c r="F24" s="226">
        <v>0.75</v>
      </c>
      <c r="G24" s="224">
        <f t="shared" si="2"/>
        <v>10150.965</v>
      </c>
      <c r="H24" s="227">
        <f>(41164*0.33)*0.75</f>
        <v>10188.09</v>
      </c>
      <c r="I24" s="228">
        <f>G24-H24</f>
        <v>-37.125</v>
      </c>
      <c r="J24" s="228">
        <v>0</v>
      </c>
      <c r="K24" s="228">
        <f>SUM(I24:J24)</f>
        <v>-37.125</v>
      </c>
      <c r="L24" s="499" t="s">
        <v>324</v>
      </c>
      <c r="N24" s="36"/>
    </row>
    <row r="25" spans="1:14" ht="30.95" customHeight="1">
      <c r="A25" s="73" t="s">
        <v>80</v>
      </c>
      <c r="B25" s="64" t="s">
        <v>81</v>
      </c>
      <c r="C25" s="23">
        <v>89</v>
      </c>
      <c r="D25" s="23">
        <v>1</v>
      </c>
      <c r="E25" s="41">
        <f t="shared" si="1"/>
        <v>89</v>
      </c>
      <c r="F25" s="19">
        <v>8</v>
      </c>
      <c r="G25" s="41">
        <f t="shared" si="2"/>
        <v>712</v>
      </c>
      <c r="H25" s="25">
        <v>712</v>
      </c>
      <c r="I25" s="24">
        <f t="shared" ref="I25:I35" si="12">G25-H25</f>
        <v>0</v>
      </c>
      <c r="J25" s="24">
        <f t="shared" ref="J25:J35" si="13">G25-H25</f>
        <v>0</v>
      </c>
      <c r="K25" s="24">
        <f t="shared" si="11"/>
        <v>0</v>
      </c>
      <c r="L25" s="65"/>
      <c r="M25" s="29"/>
      <c r="N25" s="36"/>
    </row>
    <row r="26" spans="1:14" ht="30.95" customHeight="1">
      <c r="A26" s="73" t="s">
        <v>80</v>
      </c>
      <c r="B26" s="64" t="s">
        <v>82</v>
      </c>
      <c r="C26" s="24">
        <v>89</v>
      </c>
      <c r="D26" s="23">
        <f>(41164/89)</f>
        <v>462.5168539325843</v>
      </c>
      <c r="E26" s="41">
        <f t="shared" si="1"/>
        <v>41164</v>
      </c>
      <c r="F26" s="19">
        <v>2</v>
      </c>
      <c r="G26" s="41">
        <f t="shared" si="2"/>
        <v>82328</v>
      </c>
      <c r="H26" s="25">
        <v>82328</v>
      </c>
      <c r="I26" s="24">
        <f t="shared" si="12"/>
        <v>0</v>
      </c>
      <c r="J26" s="24">
        <f t="shared" si="13"/>
        <v>0</v>
      </c>
      <c r="K26" s="24">
        <f t="shared" si="11"/>
        <v>0</v>
      </c>
      <c r="L26" s="66"/>
      <c r="M26" s="29"/>
      <c r="N26" s="36"/>
    </row>
    <row r="27" spans="1:14" ht="30.95" customHeight="1">
      <c r="A27" s="73" t="s">
        <v>86</v>
      </c>
      <c r="B27" s="64" t="s">
        <v>197</v>
      </c>
      <c r="C27" s="24">
        <v>89</v>
      </c>
      <c r="D27" s="23">
        <f>(41164*0.05)/89</f>
        <v>23.125842696629217</v>
      </c>
      <c r="E27" s="41">
        <f t="shared" si="1"/>
        <v>2058.2000000000003</v>
      </c>
      <c r="F27" s="19">
        <v>2</v>
      </c>
      <c r="G27" s="41">
        <f t="shared" si="2"/>
        <v>4116.4000000000005</v>
      </c>
      <c r="H27" s="25">
        <v>4116.3999999999996</v>
      </c>
      <c r="I27" s="24">
        <f t="shared" si="12"/>
        <v>0</v>
      </c>
      <c r="J27" s="24">
        <f t="shared" si="13"/>
        <v>0</v>
      </c>
      <c r="K27" s="24">
        <f t="shared" si="11"/>
        <v>0</v>
      </c>
      <c r="L27" s="66"/>
      <c r="N27" s="36"/>
    </row>
    <row r="28" spans="1:14" ht="30.95" customHeight="1">
      <c r="A28" s="73" t="s">
        <v>95</v>
      </c>
      <c r="B28" s="64" t="s">
        <v>96</v>
      </c>
      <c r="C28" s="23">
        <v>89</v>
      </c>
      <c r="D28" s="23">
        <f>10000/89</f>
        <v>112.35955056179775</v>
      </c>
      <c r="E28" s="41">
        <f t="shared" si="1"/>
        <v>10000</v>
      </c>
      <c r="F28" s="19">
        <v>1</v>
      </c>
      <c r="G28" s="41">
        <f t="shared" si="2"/>
        <v>10000</v>
      </c>
      <c r="H28" s="25">
        <f>G28</f>
        <v>10000</v>
      </c>
      <c r="I28" s="24">
        <f t="shared" si="12"/>
        <v>0</v>
      </c>
      <c r="J28" s="24">
        <f t="shared" si="13"/>
        <v>0</v>
      </c>
      <c r="K28" s="24">
        <f t="shared" si="11"/>
        <v>0</v>
      </c>
      <c r="L28" s="65"/>
      <c r="N28" s="36"/>
    </row>
    <row r="29" spans="1:14" ht="30.95" customHeight="1">
      <c r="A29" s="73" t="s">
        <v>99</v>
      </c>
      <c r="B29" s="64" t="s">
        <v>100</v>
      </c>
      <c r="C29" s="23">
        <v>89</v>
      </c>
      <c r="D29" s="23">
        <v>1</v>
      </c>
      <c r="E29" s="41">
        <f t="shared" si="1"/>
        <v>89</v>
      </c>
      <c r="F29" s="19">
        <v>40</v>
      </c>
      <c r="G29" s="41">
        <f t="shared" si="2"/>
        <v>3560</v>
      </c>
      <c r="H29" s="25">
        <v>3560</v>
      </c>
      <c r="I29" s="24">
        <f t="shared" si="12"/>
        <v>0</v>
      </c>
      <c r="J29" s="24">
        <f t="shared" si="13"/>
        <v>0</v>
      </c>
      <c r="K29" s="24">
        <f t="shared" si="11"/>
        <v>0</v>
      </c>
      <c r="L29" s="65"/>
      <c r="N29" s="36"/>
    </row>
    <row r="30" spans="1:14" ht="30.95" customHeight="1">
      <c r="A30" s="73" t="s">
        <v>111</v>
      </c>
      <c r="B30" s="64" t="s">
        <v>112</v>
      </c>
      <c r="C30" s="23">
        <v>20</v>
      </c>
      <c r="D30" s="23">
        <v>1</v>
      </c>
      <c r="E30" s="41">
        <f t="shared" si="1"/>
        <v>20</v>
      </c>
      <c r="F30" s="19">
        <v>160</v>
      </c>
      <c r="G30" s="41">
        <f t="shared" si="2"/>
        <v>3200</v>
      </c>
      <c r="H30" s="25">
        <v>3200</v>
      </c>
      <c r="I30" s="24">
        <f t="shared" si="12"/>
        <v>0</v>
      </c>
      <c r="J30" s="24">
        <f t="shared" si="13"/>
        <v>0</v>
      </c>
      <c r="K30" s="24">
        <f t="shared" si="11"/>
        <v>0</v>
      </c>
      <c r="L30" s="70"/>
      <c r="M30" s="29"/>
      <c r="N30" s="36"/>
    </row>
    <row r="31" spans="1:14" ht="30.95" customHeight="1">
      <c r="A31" s="73" t="s">
        <v>115</v>
      </c>
      <c r="B31" s="64" t="s">
        <v>116</v>
      </c>
      <c r="C31" s="23">
        <v>89</v>
      </c>
      <c r="D31" s="23">
        <f>(1808*4)/89</f>
        <v>81.258426966292134</v>
      </c>
      <c r="E31" s="41">
        <f t="shared" si="1"/>
        <v>7232</v>
      </c>
      <c r="F31" s="19">
        <v>2</v>
      </c>
      <c r="G31" s="41">
        <f t="shared" si="2"/>
        <v>14464</v>
      </c>
      <c r="H31" s="25">
        <v>14464</v>
      </c>
      <c r="I31" s="24">
        <f t="shared" si="12"/>
        <v>0</v>
      </c>
      <c r="J31" s="24">
        <f t="shared" si="13"/>
        <v>0</v>
      </c>
      <c r="K31" s="24">
        <f t="shared" si="11"/>
        <v>0</v>
      </c>
      <c r="L31" s="71"/>
      <c r="N31" s="36"/>
    </row>
    <row r="32" spans="1:14" ht="30.95" customHeight="1">
      <c r="A32" s="73" t="s">
        <v>127</v>
      </c>
      <c r="B32" s="64" t="s">
        <v>128</v>
      </c>
      <c r="C32" s="23">
        <v>89</v>
      </c>
      <c r="D32" s="23">
        <f>(10/89)</f>
        <v>0.11235955056179775</v>
      </c>
      <c r="E32" s="41">
        <f t="shared" si="1"/>
        <v>10</v>
      </c>
      <c r="F32" s="19">
        <v>8</v>
      </c>
      <c r="G32" s="41">
        <f t="shared" si="2"/>
        <v>80</v>
      </c>
      <c r="H32" s="25">
        <f>G32</f>
        <v>80</v>
      </c>
      <c r="I32" s="24">
        <f t="shared" si="12"/>
        <v>0</v>
      </c>
      <c r="J32" s="24">
        <f t="shared" si="13"/>
        <v>0</v>
      </c>
      <c r="K32" s="24">
        <f t="shared" si="11"/>
        <v>0</v>
      </c>
      <c r="L32" s="65"/>
      <c r="N32" s="36"/>
    </row>
    <row r="33" spans="1:28" ht="30.95" customHeight="1">
      <c r="A33" s="73" t="s">
        <v>130</v>
      </c>
      <c r="B33" s="64" t="s">
        <v>131</v>
      </c>
      <c r="C33" s="23">
        <f>89*0.33</f>
        <v>29.37</v>
      </c>
      <c r="D33" s="23">
        <v>1</v>
      </c>
      <c r="E33" s="41">
        <f t="shared" si="1"/>
        <v>29.37</v>
      </c>
      <c r="F33" s="19">
        <v>30</v>
      </c>
      <c r="G33" s="41">
        <f t="shared" si="2"/>
        <v>881.1</v>
      </c>
      <c r="H33" s="25">
        <v>881.1</v>
      </c>
      <c r="I33" s="24">
        <f t="shared" si="12"/>
        <v>0</v>
      </c>
      <c r="J33" s="24">
        <f t="shared" si="13"/>
        <v>0</v>
      </c>
      <c r="K33" s="24">
        <f t="shared" si="11"/>
        <v>0</v>
      </c>
      <c r="L33" s="65"/>
      <c r="N33" s="36"/>
    </row>
    <row r="34" spans="1:28" ht="30.95" customHeight="1">
      <c r="A34" s="73" t="s">
        <v>135</v>
      </c>
      <c r="B34" s="64" t="s">
        <v>136</v>
      </c>
      <c r="C34" s="23">
        <v>89</v>
      </c>
      <c r="D34" s="23">
        <f>(1808/89)*0.5*0.25</f>
        <v>2.5393258426966292</v>
      </c>
      <c r="E34" s="41">
        <f t="shared" si="1"/>
        <v>226</v>
      </c>
      <c r="F34" s="19">
        <v>2</v>
      </c>
      <c r="G34" s="41">
        <f t="shared" si="2"/>
        <v>452</v>
      </c>
      <c r="H34" s="25">
        <v>452</v>
      </c>
      <c r="I34" s="24">
        <f t="shared" si="12"/>
        <v>0</v>
      </c>
      <c r="J34" s="24">
        <f t="shared" si="13"/>
        <v>0</v>
      </c>
      <c r="K34" s="24">
        <f t="shared" si="11"/>
        <v>0</v>
      </c>
      <c r="L34" s="66"/>
      <c r="N34" s="36"/>
    </row>
    <row r="35" spans="1:28" ht="30.95" customHeight="1" thickBot="1">
      <c r="A35" s="500" t="s">
        <v>137</v>
      </c>
      <c r="B35" s="64" t="s">
        <v>138</v>
      </c>
      <c r="C35" s="23">
        <v>1</v>
      </c>
      <c r="D35" s="23">
        <v>1</v>
      </c>
      <c r="E35" s="41">
        <f t="shared" si="1"/>
        <v>1</v>
      </c>
      <c r="F35" s="19">
        <v>40</v>
      </c>
      <c r="G35" s="41">
        <f t="shared" si="2"/>
        <v>40</v>
      </c>
      <c r="H35" s="25">
        <v>40</v>
      </c>
      <c r="I35" s="24">
        <f t="shared" si="12"/>
        <v>0</v>
      </c>
      <c r="J35" s="24">
        <f t="shared" si="13"/>
        <v>0</v>
      </c>
      <c r="K35" s="24">
        <f t="shared" si="11"/>
        <v>0</v>
      </c>
      <c r="L35" s="66"/>
    </row>
    <row r="36" spans="1:28" ht="15.75" customHeight="1" thickBot="1">
      <c r="A36" s="550" t="s">
        <v>147</v>
      </c>
      <c r="B36" s="637"/>
      <c r="C36" s="11">
        <f>C5+1808</f>
        <v>1897</v>
      </c>
      <c r="D36" s="33">
        <f>E36/C36</f>
        <v>6528.5245071164982</v>
      </c>
      <c r="E36" s="33">
        <f>SUM(E5:E35)</f>
        <v>12384610.989999996</v>
      </c>
      <c r="F36" s="33">
        <f>G36/E36</f>
        <v>0.19202393973579307</v>
      </c>
      <c r="G36" s="33">
        <f>SUM(G5:G35)</f>
        <v>2378141.7943949997</v>
      </c>
      <c r="H36" s="501">
        <f>SUM(H5:H35)</f>
        <v>2132776.1900000004</v>
      </c>
      <c r="I36" s="33">
        <f>SUM(I5:I35)</f>
        <v>762084.49939499993</v>
      </c>
      <c r="J36" s="33">
        <f>SUM(J5:J35)</f>
        <v>-516718.89500000008</v>
      </c>
      <c r="K36" s="33">
        <f>SUM(K5:K35)</f>
        <v>245365.60439499994</v>
      </c>
      <c r="L36" s="75"/>
    </row>
    <row r="37" spans="1:28" ht="15.75" thickBot="1">
      <c r="A37" s="638" t="s">
        <v>148</v>
      </c>
      <c r="B37" s="639"/>
      <c r="C37" s="639"/>
      <c r="D37" s="639"/>
      <c r="E37" s="639"/>
      <c r="F37" s="639"/>
      <c r="G37" s="639"/>
      <c r="H37" s="639"/>
      <c r="I37" s="639"/>
      <c r="J37" s="639"/>
      <c r="K37" s="639"/>
      <c r="L37" s="640"/>
    </row>
    <row r="38" spans="1:28" ht="30.95" customHeight="1">
      <c r="A38" s="238" t="s">
        <v>32</v>
      </c>
      <c r="B38" s="223" t="s">
        <v>31</v>
      </c>
      <c r="C38" s="224">
        <v>1633864</v>
      </c>
      <c r="D38" s="224">
        <v>2</v>
      </c>
      <c r="E38" s="225">
        <f t="shared" ref="E38:E43" si="14">C38*D38</f>
        <v>3267728</v>
      </c>
      <c r="F38" s="226">
        <f>ROUND(13/60, 4)</f>
        <v>0.2167</v>
      </c>
      <c r="G38" s="225">
        <f>E38*F38</f>
        <v>708116.65760000004</v>
      </c>
      <c r="H38" s="227">
        <v>545710.57999999996</v>
      </c>
      <c r="I38" s="449">
        <f t="shared" ref="I38:I43" si="15">G38-H38</f>
        <v>162406.07760000008</v>
      </c>
      <c r="J38" s="228">
        <v>0</v>
      </c>
      <c r="K38" s="228">
        <f>SUM(I38:J38)</f>
        <v>162406.07760000008</v>
      </c>
      <c r="L38" s="493" t="s">
        <v>320</v>
      </c>
      <c r="M38" s="35"/>
      <c r="N38" s="29"/>
    </row>
    <row r="39" spans="1:28" ht="30.95" customHeight="1">
      <c r="A39" s="238" t="s">
        <v>32</v>
      </c>
      <c r="B39" s="223" t="s">
        <v>149</v>
      </c>
      <c r="C39" s="229">
        <v>3523863</v>
      </c>
      <c r="D39" s="224">
        <v>1.5</v>
      </c>
      <c r="E39" s="225">
        <f t="shared" si="14"/>
        <v>5285794.5</v>
      </c>
      <c r="F39" s="226">
        <f t="shared" ref="F39:F40" si="16">ROUND(13/60, 4)</f>
        <v>0.2167</v>
      </c>
      <c r="G39" s="225">
        <f>E39*F39</f>
        <v>1145431.66815</v>
      </c>
      <c r="H39" s="227">
        <v>882727.68</v>
      </c>
      <c r="I39" s="449">
        <f t="shared" si="15"/>
        <v>262703.98814999999</v>
      </c>
      <c r="J39" s="228">
        <v>0</v>
      </c>
      <c r="K39" s="228">
        <f t="shared" ref="K39:K41" si="17">SUM(I39:J39)</f>
        <v>262703.98814999999</v>
      </c>
      <c r="L39" s="493" t="s">
        <v>320</v>
      </c>
      <c r="M39" s="35"/>
      <c r="N39" s="61"/>
    </row>
    <row r="40" spans="1:28" ht="30.95" customHeight="1">
      <c r="A40" s="238" t="s">
        <v>32</v>
      </c>
      <c r="B40" s="223" t="s">
        <v>34</v>
      </c>
      <c r="C40" s="229">
        <v>1712401</v>
      </c>
      <c r="D40" s="224">
        <v>1</v>
      </c>
      <c r="E40" s="225">
        <f t="shared" si="14"/>
        <v>1712401</v>
      </c>
      <c r="F40" s="226">
        <f t="shared" si="16"/>
        <v>0.2167</v>
      </c>
      <c r="G40" s="225">
        <f>E40*F40</f>
        <v>371077.29670000001</v>
      </c>
      <c r="H40" s="227">
        <v>285970.96999999997</v>
      </c>
      <c r="I40" s="449">
        <f t="shared" si="15"/>
        <v>85106.326700000034</v>
      </c>
      <c r="J40" s="228">
        <v>0</v>
      </c>
      <c r="K40" s="228">
        <f t="shared" si="17"/>
        <v>85106.326700000034</v>
      </c>
      <c r="L40" s="493" t="s">
        <v>320</v>
      </c>
      <c r="M40" s="35"/>
      <c r="N40" s="29"/>
    </row>
    <row r="41" spans="1:28" ht="30.95" customHeight="1">
      <c r="A41" s="238" t="s">
        <v>32</v>
      </c>
      <c r="B41" s="223" t="s">
        <v>35</v>
      </c>
      <c r="C41" s="224">
        <f>SUM(C38:C40)</f>
        <v>6870128</v>
      </c>
      <c r="D41" s="224">
        <v>1</v>
      </c>
      <c r="E41" s="225">
        <f t="shared" si="14"/>
        <v>6870128</v>
      </c>
      <c r="F41" s="226">
        <f>ROUND(5/60, 4)</f>
        <v>8.3299999999999999E-2</v>
      </c>
      <c r="G41" s="225">
        <f>E41*F41</f>
        <v>572281.66240000003</v>
      </c>
      <c r="H41" s="227">
        <v>0</v>
      </c>
      <c r="I41" s="228">
        <f t="shared" si="15"/>
        <v>572281.66240000003</v>
      </c>
      <c r="J41" s="228">
        <v>0</v>
      </c>
      <c r="K41" s="228">
        <f t="shared" si="17"/>
        <v>572281.66240000003</v>
      </c>
      <c r="L41" s="493" t="s">
        <v>319</v>
      </c>
      <c r="M41" s="35"/>
      <c r="N41" s="29"/>
    </row>
    <row r="42" spans="1:28" ht="30.95" customHeight="1">
      <c r="A42" s="73" t="s">
        <v>53</v>
      </c>
      <c r="B42" s="64" t="s">
        <v>54</v>
      </c>
      <c r="C42" s="27">
        <f>1712401*0.01</f>
        <v>17124.010000000002</v>
      </c>
      <c r="D42" s="23">
        <v>1</v>
      </c>
      <c r="E42" s="41">
        <f t="shared" si="14"/>
        <v>17124.010000000002</v>
      </c>
      <c r="F42" s="23">
        <v>3.3399999999999999E-2</v>
      </c>
      <c r="G42" s="41">
        <v>572</v>
      </c>
      <c r="H42" s="25">
        <v>572</v>
      </c>
      <c r="I42" s="112">
        <f t="shared" si="15"/>
        <v>0</v>
      </c>
      <c r="J42" s="24">
        <f>G42-H42</f>
        <v>0</v>
      </c>
      <c r="K42" s="24">
        <f>SUM(I42:J42)</f>
        <v>0</v>
      </c>
      <c r="L42" s="67"/>
    </row>
    <row r="43" spans="1:28" ht="30.95" customHeight="1" thickBot="1">
      <c r="A43" s="73" t="s">
        <v>53</v>
      </c>
      <c r="B43" s="64" t="s">
        <v>154</v>
      </c>
      <c r="C43" s="27">
        <f>(6870128*0.01)+(1633864*0.01)+(3523863*0.01)</f>
        <v>120278.54999999999</v>
      </c>
      <c r="D43" s="23">
        <v>2</v>
      </c>
      <c r="E43" s="41">
        <f t="shared" si="14"/>
        <v>240557.09999999998</v>
      </c>
      <c r="F43" s="23">
        <v>5.0099999999999999E-2</v>
      </c>
      <c r="G43" s="42">
        <f>E43*F43</f>
        <v>12051.910709999998</v>
      </c>
      <c r="H43" s="113">
        <v>12051.91</v>
      </c>
      <c r="I43" s="112">
        <f t="shared" si="15"/>
        <v>7.09999998434796E-4</v>
      </c>
      <c r="J43" s="24">
        <f>G43-H43</f>
        <v>7.09999998434796E-4</v>
      </c>
      <c r="K43" s="24">
        <f>SUM(I43:J43)</f>
        <v>1.419999996869592E-3</v>
      </c>
      <c r="L43" s="91"/>
      <c r="M43" s="29"/>
      <c r="N43" s="29"/>
    </row>
    <row r="44" spans="1:28" ht="14.45" customHeight="1" thickBot="1">
      <c r="A44" s="550" t="s">
        <v>325</v>
      </c>
      <c r="B44" s="637"/>
      <c r="C44" s="15">
        <f>C38+C39+C40</f>
        <v>6870128</v>
      </c>
      <c r="D44" s="33">
        <f>E44/C44</f>
        <v>2.5317916361965893</v>
      </c>
      <c r="E44" s="33">
        <f>SUM(E38:E43)</f>
        <v>17393732.610000003</v>
      </c>
      <c r="F44" s="33">
        <f>G44/E44</f>
        <v>0.16152549073594158</v>
      </c>
      <c r="G44" s="33">
        <f>SUM(G38:G43)</f>
        <v>2809531.1955600004</v>
      </c>
      <c r="H44" s="501">
        <f>SUM(H38:H43)</f>
        <v>1727033.14</v>
      </c>
      <c r="I44" s="33">
        <f>SUM(I38:I43)</f>
        <v>1082498.0555600002</v>
      </c>
      <c r="J44" s="33">
        <f>SUM(J38:J43)</f>
        <v>7.09999998434796E-4</v>
      </c>
      <c r="K44" s="33">
        <f>SUM(K38:K43)</f>
        <v>1082498.0562700003</v>
      </c>
      <c r="L44" s="502"/>
    </row>
    <row r="45" spans="1:28" ht="15.75" customHeight="1" thickBot="1">
      <c r="A45" s="638" t="s">
        <v>326</v>
      </c>
      <c r="B45" s="639"/>
      <c r="C45" s="639"/>
      <c r="D45" s="639"/>
      <c r="E45" s="639"/>
      <c r="F45" s="639"/>
      <c r="G45" s="639"/>
      <c r="H45" s="639"/>
      <c r="I45" s="639"/>
      <c r="J45" s="639"/>
      <c r="K45" s="639"/>
      <c r="L45" s="640"/>
    </row>
    <row r="46" spans="1:28" ht="30.95" customHeight="1">
      <c r="A46" s="238" t="s">
        <v>32</v>
      </c>
      <c r="B46" s="223" t="s">
        <v>317</v>
      </c>
      <c r="C46" s="224">
        <f>1808*0.3</f>
        <v>542.4</v>
      </c>
      <c r="D46" s="224">
        <f>(2*1633864)/1808</f>
        <v>1807.3716814159293</v>
      </c>
      <c r="E46" s="225">
        <f t="shared" ref="E46:E54" si="18">C46*D46</f>
        <v>980318.4</v>
      </c>
      <c r="F46" s="226">
        <f>ROUND(13/60, 4)</f>
        <v>0.2167</v>
      </c>
      <c r="G46" s="225">
        <f t="shared" ref="G46:G51" si="19">E46*F46</f>
        <v>212434.99728000001</v>
      </c>
      <c r="H46" s="227">
        <v>0</v>
      </c>
      <c r="I46" s="228">
        <f>C46*D46*(F46-(10/60))</f>
        <v>49048.597280000016</v>
      </c>
      <c r="J46" s="228">
        <f>C46*D46*(10/60)</f>
        <v>163386.4</v>
      </c>
      <c r="K46" s="228">
        <f>SUM(I46:J46)</f>
        <v>212434.99728000001</v>
      </c>
      <c r="L46" s="493" t="s">
        <v>327</v>
      </c>
      <c r="M46" s="29"/>
      <c r="N46" s="61"/>
      <c r="P46" s="27"/>
      <c r="R46" s="45"/>
      <c r="S46" s="50"/>
      <c r="T46" s="48"/>
      <c r="U46" s="48"/>
      <c r="AB46" s="494"/>
    </row>
    <row r="47" spans="1:28" ht="30.95" customHeight="1">
      <c r="A47" s="238" t="s">
        <v>32</v>
      </c>
      <c r="B47" s="223" t="s">
        <v>33</v>
      </c>
      <c r="C47" s="224">
        <f t="shared" ref="C47:C49" si="20">1808*0.3</f>
        <v>542.4</v>
      </c>
      <c r="D47" s="224">
        <f>(1.5*3523863)/1808</f>
        <v>2923.5589048672568</v>
      </c>
      <c r="E47" s="225">
        <f t="shared" si="18"/>
        <v>1585738.35</v>
      </c>
      <c r="F47" s="226">
        <f t="shared" ref="F47:F48" si="21">ROUND(13/60, 4)</f>
        <v>0.2167</v>
      </c>
      <c r="G47" s="225">
        <f t="shared" si="19"/>
        <v>343629.50044500001</v>
      </c>
      <c r="H47" s="227">
        <v>0</v>
      </c>
      <c r="I47" s="228">
        <f t="shared" ref="I47:I48" si="22">C47*D47*(F47-(10/60))</f>
        <v>79339.775445000021</v>
      </c>
      <c r="J47" s="228">
        <f t="shared" ref="J47:J48" si="23">C47*D47*(10/60)</f>
        <v>264289.72499999998</v>
      </c>
      <c r="K47" s="228">
        <f t="shared" ref="K47:K49" si="24">SUM(I47:J47)</f>
        <v>343629.50044500001</v>
      </c>
      <c r="L47" s="493" t="s">
        <v>327</v>
      </c>
      <c r="M47" s="29"/>
      <c r="N47" s="61"/>
      <c r="P47" s="51"/>
      <c r="R47" s="45"/>
      <c r="S47" s="48"/>
      <c r="T47" s="48"/>
      <c r="U47" s="48"/>
    </row>
    <row r="48" spans="1:28" ht="30.95" customHeight="1">
      <c r="A48" s="238" t="s">
        <v>32</v>
      </c>
      <c r="B48" s="223" t="s">
        <v>34</v>
      </c>
      <c r="C48" s="224">
        <f t="shared" si="20"/>
        <v>542.4</v>
      </c>
      <c r="D48" s="224">
        <f>1*(1712401/1808)</f>
        <v>947.12444690265488</v>
      </c>
      <c r="E48" s="225">
        <f t="shared" si="18"/>
        <v>513720.3</v>
      </c>
      <c r="F48" s="226">
        <f t="shared" si="21"/>
        <v>0.2167</v>
      </c>
      <c r="G48" s="225">
        <f t="shared" si="19"/>
        <v>111323.18901</v>
      </c>
      <c r="H48" s="227">
        <v>0</v>
      </c>
      <c r="I48" s="228">
        <f t="shared" si="22"/>
        <v>25703.139010000006</v>
      </c>
      <c r="J48" s="228">
        <f t="shared" si="23"/>
        <v>85620.049999999988</v>
      </c>
      <c r="K48" s="228">
        <f t="shared" si="24"/>
        <v>111323.18901</v>
      </c>
      <c r="L48" s="493" t="s">
        <v>327</v>
      </c>
      <c r="M48" s="10"/>
      <c r="N48" s="61"/>
      <c r="P48" s="52"/>
      <c r="R48" s="45"/>
      <c r="S48" s="46"/>
      <c r="T48" s="48"/>
      <c r="U48" s="48"/>
    </row>
    <row r="49" spans="1:21" ht="30.95" customHeight="1">
      <c r="A49" s="238" t="s">
        <v>32</v>
      </c>
      <c r="B49" s="223" t="s">
        <v>35</v>
      </c>
      <c r="C49" s="224">
        <f t="shared" si="20"/>
        <v>542.4</v>
      </c>
      <c r="D49" s="224">
        <f>6870128/1808</f>
        <v>3799.8495575221241</v>
      </c>
      <c r="E49" s="225">
        <f t="shared" si="18"/>
        <v>2061038.4</v>
      </c>
      <c r="F49" s="226">
        <f>ROUND(5/60, 4)</f>
        <v>8.3299999999999999E-2</v>
      </c>
      <c r="G49" s="225">
        <f t="shared" si="19"/>
        <v>171684.49872</v>
      </c>
      <c r="H49" s="227">
        <v>0</v>
      </c>
      <c r="I49" s="228">
        <f t="shared" ref="I49:I50" si="25">G49-H49</f>
        <v>171684.49872</v>
      </c>
      <c r="J49" s="228">
        <v>0</v>
      </c>
      <c r="K49" s="228">
        <f t="shared" si="24"/>
        <v>171684.49872</v>
      </c>
      <c r="L49" s="493" t="s">
        <v>319</v>
      </c>
      <c r="M49" s="10"/>
      <c r="N49" s="61"/>
      <c r="P49" s="52"/>
      <c r="R49" s="45"/>
      <c r="S49" s="46"/>
      <c r="T49" s="48"/>
      <c r="U49" s="48"/>
    </row>
    <row r="50" spans="1:21" ht="30.95" customHeight="1">
      <c r="A50" s="238" t="s">
        <v>51</v>
      </c>
      <c r="B50" s="223" t="s">
        <v>52</v>
      </c>
      <c r="C50" s="224">
        <f>1808*0.3</f>
        <v>542.4</v>
      </c>
      <c r="D50" s="224">
        <v>1</v>
      </c>
      <c r="E50" s="225">
        <f t="shared" si="18"/>
        <v>542.4</v>
      </c>
      <c r="F50" s="226">
        <v>1</v>
      </c>
      <c r="G50" s="225">
        <f t="shared" si="19"/>
        <v>542.4</v>
      </c>
      <c r="H50" s="227">
        <v>0</v>
      </c>
      <c r="I50" s="368">
        <f t="shared" si="25"/>
        <v>542.4</v>
      </c>
      <c r="J50" s="228">
        <v>0</v>
      </c>
      <c r="K50" s="228">
        <f t="shared" ref="K50" si="26">SUM(I50:J50)</f>
        <v>542.4</v>
      </c>
      <c r="L50" s="497" t="s">
        <v>307</v>
      </c>
    </row>
    <row r="51" spans="1:21" ht="30.95" customHeight="1">
      <c r="A51" s="73" t="s">
        <v>66</v>
      </c>
      <c r="B51" s="64" t="s">
        <v>164</v>
      </c>
      <c r="C51" s="23">
        <v>3691</v>
      </c>
      <c r="D51" s="23">
        <v>1</v>
      </c>
      <c r="E51" s="41">
        <f t="shared" si="18"/>
        <v>3691</v>
      </c>
      <c r="F51" s="18">
        <v>2</v>
      </c>
      <c r="G51" s="41">
        <f t="shared" si="19"/>
        <v>7382</v>
      </c>
      <c r="H51" s="12">
        <v>7382</v>
      </c>
      <c r="I51" s="24">
        <f>G51-H51</f>
        <v>0</v>
      </c>
      <c r="J51" s="24">
        <f>G51-H51</f>
        <v>0</v>
      </c>
      <c r="K51" s="24">
        <f>SUM(I51:J51)</f>
        <v>0</v>
      </c>
      <c r="L51" s="498"/>
      <c r="M51" s="29"/>
    </row>
    <row r="52" spans="1:21" ht="30.95" customHeight="1">
      <c r="A52" s="73" t="s">
        <v>68</v>
      </c>
      <c r="B52" s="64" t="s">
        <v>69</v>
      </c>
      <c r="C52" s="23">
        <f>(79/89)*41164</f>
        <v>36538.831460674155</v>
      </c>
      <c r="D52" s="23">
        <v>2</v>
      </c>
      <c r="E52" s="41">
        <f t="shared" si="18"/>
        <v>73077.66292134831</v>
      </c>
      <c r="F52" s="18">
        <v>2</v>
      </c>
      <c r="G52" s="41">
        <f>ROUND(E52*F52, 2)</f>
        <v>146155.32999999999</v>
      </c>
      <c r="H52" s="12">
        <v>146155.32999999999</v>
      </c>
      <c r="I52" s="24">
        <f>G52-H52</f>
        <v>0</v>
      </c>
      <c r="J52" s="24">
        <f>G52-H52</f>
        <v>0</v>
      </c>
      <c r="K52" s="24">
        <f>SUM(I52:J52)</f>
        <v>0</v>
      </c>
      <c r="L52" s="66"/>
    </row>
    <row r="53" spans="1:21" ht="30.95" customHeight="1">
      <c r="A53" s="238" t="s">
        <v>191</v>
      </c>
      <c r="B53" s="223" t="s">
        <v>328</v>
      </c>
      <c r="C53" s="224">
        <f>(41164-150)*0.33</f>
        <v>13534.62</v>
      </c>
      <c r="D53" s="224">
        <v>1</v>
      </c>
      <c r="E53" s="225">
        <f t="shared" si="18"/>
        <v>13534.62</v>
      </c>
      <c r="F53" s="503">
        <v>1</v>
      </c>
      <c r="G53" s="225">
        <f t="shared" ref="G53:G54" si="27">E53*F53</f>
        <v>13534.62</v>
      </c>
      <c r="H53" s="504">
        <v>13584.12</v>
      </c>
      <c r="I53" s="228">
        <f>G53-H53</f>
        <v>-49.5</v>
      </c>
      <c r="J53" s="228">
        <v>0</v>
      </c>
      <c r="K53" s="228">
        <f>SUM(I53:J53)</f>
        <v>-49.5</v>
      </c>
      <c r="L53" s="493" t="s">
        <v>324</v>
      </c>
    </row>
    <row r="54" spans="1:21" ht="30.95" customHeight="1" thickBot="1">
      <c r="A54" s="77" t="s">
        <v>169</v>
      </c>
      <c r="B54" s="64" t="s">
        <v>170</v>
      </c>
      <c r="C54" s="23">
        <f>(4/10)*973</f>
        <v>389.20000000000005</v>
      </c>
      <c r="D54" s="23">
        <v>1</v>
      </c>
      <c r="E54" s="41">
        <f t="shared" si="18"/>
        <v>389.20000000000005</v>
      </c>
      <c r="F54" s="18">
        <v>1</v>
      </c>
      <c r="G54" s="41">
        <f t="shared" si="27"/>
        <v>389.20000000000005</v>
      </c>
      <c r="H54" s="12">
        <v>389.2</v>
      </c>
      <c r="I54" s="24">
        <f>G54-H54</f>
        <v>0</v>
      </c>
      <c r="J54" s="24">
        <f>G54-H54</f>
        <v>0</v>
      </c>
      <c r="K54" s="24">
        <f>SUM(I54:J54)</f>
        <v>0</v>
      </c>
      <c r="L54" s="66"/>
      <c r="M54" s="29"/>
    </row>
    <row r="55" spans="1:21" ht="14.45" customHeight="1" thickBot="1">
      <c r="A55" s="550" t="s">
        <v>329</v>
      </c>
      <c r="B55" s="637"/>
      <c r="C55" s="15">
        <f>(41164-150)+(1808*0.3)</f>
        <v>41556.400000000001</v>
      </c>
      <c r="D55" s="33">
        <f>+E55/C55</f>
        <v>125.90239609112793</v>
      </c>
      <c r="E55" s="33">
        <f>SUM(E46:E54)</f>
        <v>5232050.3329213485</v>
      </c>
      <c r="F55" s="33">
        <f>+G55/E55</f>
        <v>0.19248204267421351</v>
      </c>
      <c r="G55" s="33">
        <f>SUM(G46:G54)</f>
        <v>1007075.735455</v>
      </c>
      <c r="H55" s="501">
        <f>SUM(H46:H54)</f>
        <v>167510.65</v>
      </c>
      <c r="I55" s="33">
        <f>SUM(I46:I54)</f>
        <v>326268.91045500006</v>
      </c>
      <c r="J55" s="33">
        <f>SUM(J46:J54)</f>
        <v>513296.17499999999</v>
      </c>
      <c r="K55" s="33">
        <f>SUM(K46:K54)</f>
        <v>839565.08545500005</v>
      </c>
      <c r="L55" s="79"/>
      <c r="N55" s="61"/>
    </row>
    <row r="56" spans="1:21" s="10" customFormat="1" ht="15.75" thickBot="1">
      <c r="A56" s="550" t="s">
        <v>330</v>
      </c>
      <c r="B56" s="641"/>
      <c r="C56" s="13">
        <f>SUM(C36,C44,(C55-(1808*0.3)))</f>
        <v>6913039</v>
      </c>
      <c r="D56" s="33">
        <f>E56/C56</f>
        <v>5.0643998873608771</v>
      </c>
      <c r="E56" s="34">
        <f>SUM(E36,E44,E55)</f>
        <v>35010393.93292135</v>
      </c>
      <c r="F56" s="34">
        <f>+G56/E56</f>
        <v>0.1769402748589152</v>
      </c>
      <c r="G56" s="34">
        <f>SUM(G36,G44,G55)</f>
        <v>6194748.7254100004</v>
      </c>
      <c r="H56" s="505">
        <f>SUM(H36,H44,H55)</f>
        <v>4027319.98</v>
      </c>
      <c r="I56" s="34">
        <f>SUM(I36,I44,I55)</f>
        <v>2170851.4654100002</v>
      </c>
      <c r="J56" s="34">
        <f>SUM(J36,J44,J55)</f>
        <v>-3422.7192900000955</v>
      </c>
      <c r="K56" s="34">
        <f>SUM(K36,K44,K55)</f>
        <v>2167428.7461200003</v>
      </c>
      <c r="L56" s="75"/>
    </row>
    <row r="57" spans="1:21" s="10" customFormat="1" ht="15.75" customHeight="1">
      <c r="A57" s="541" t="s">
        <v>183</v>
      </c>
      <c r="B57" s="551"/>
      <c r="C57" s="551"/>
      <c r="D57" s="551"/>
      <c r="E57" s="551"/>
      <c r="F57" s="551"/>
      <c r="G57" s="551"/>
      <c r="H57" s="551"/>
      <c r="I57" s="551"/>
      <c r="J57" s="551"/>
      <c r="K57" s="551"/>
      <c r="L57" s="561"/>
    </row>
    <row r="58" spans="1:21" ht="15" customHeight="1" thickBot="1">
      <c r="A58" s="543" t="s">
        <v>15</v>
      </c>
      <c r="B58" s="562"/>
      <c r="C58" s="562"/>
      <c r="D58" s="562"/>
      <c r="E58" s="562"/>
      <c r="F58" s="562"/>
      <c r="G58" s="562"/>
      <c r="H58" s="562"/>
      <c r="I58" s="562"/>
      <c r="J58" s="562"/>
      <c r="K58" s="562"/>
      <c r="L58" s="563"/>
    </row>
    <row r="59" spans="1:21" ht="30.6" customHeight="1">
      <c r="A59" s="77" t="s">
        <v>53</v>
      </c>
      <c r="B59" s="64" t="s">
        <v>154</v>
      </c>
      <c r="C59" s="23">
        <v>10000</v>
      </c>
      <c r="D59" s="23">
        <v>2</v>
      </c>
      <c r="E59" s="41">
        <f>C59*D59</f>
        <v>20000</v>
      </c>
      <c r="F59" s="19">
        <v>1.67E-2</v>
      </c>
      <c r="G59" s="41">
        <f>E59*F59</f>
        <v>334</v>
      </c>
      <c r="H59" s="25">
        <v>334</v>
      </c>
      <c r="I59" s="24">
        <f t="shared" ref="I59:I71" si="28">G59-H59</f>
        <v>0</v>
      </c>
      <c r="J59" s="24">
        <f>G59-H59</f>
        <v>0</v>
      </c>
      <c r="K59" s="24">
        <f>SUM(I59:J59)</f>
        <v>0</v>
      </c>
      <c r="L59" s="65"/>
    </row>
    <row r="60" spans="1:21" s="10" customFormat="1" ht="30.6" customHeight="1">
      <c r="A60" s="77" t="s">
        <v>189</v>
      </c>
      <c r="B60" s="64" t="s">
        <v>190</v>
      </c>
      <c r="C60" s="23">
        <v>89</v>
      </c>
      <c r="D60" s="23">
        <v>1</v>
      </c>
      <c r="E60" s="41">
        <f>C60*D60</f>
        <v>89</v>
      </c>
      <c r="F60" s="19">
        <v>50</v>
      </c>
      <c r="G60" s="41">
        <f>E60*F60</f>
        <v>4450</v>
      </c>
      <c r="H60" s="25">
        <v>4450</v>
      </c>
      <c r="I60" s="24">
        <f t="shared" si="28"/>
        <v>0</v>
      </c>
      <c r="J60" s="24">
        <f>G60-H60</f>
        <v>0</v>
      </c>
      <c r="K60" s="24">
        <f t="shared" ref="K60:K71" si="29">SUM(I60:J60)</f>
        <v>0</v>
      </c>
      <c r="L60" s="65"/>
    </row>
    <row r="61" spans="1:21" s="10" customFormat="1" ht="30.6" customHeight="1">
      <c r="A61" s="237" t="s">
        <v>191</v>
      </c>
      <c r="B61" s="223" t="s">
        <v>166</v>
      </c>
      <c r="C61" s="224">
        <v>89</v>
      </c>
      <c r="D61" s="224">
        <f>(41164-150)*0.33/89</f>
        <v>152.07438202247192</v>
      </c>
      <c r="E61" s="225">
        <f t="shared" ref="E61:E71" si="30">C61*D61</f>
        <v>13534.62</v>
      </c>
      <c r="F61" s="226">
        <v>1</v>
      </c>
      <c r="G61" s="225">
        <f t="shared" ref="G61:G71" si="31">E61*F61</f>
        <v>13534.62</v>
      </c>
      <c r="H61" s="227">
        <v>13584.12</v>
      </c>
      <c r="I61" s="228">
        <f t="shared" si="28"/>
        <v>-49.5</v>
      </c>
      <c r="J61" s="228">
        <v>0</v>
      </c>
      <c r="K61" s="228">
        <f t="shared" si="29"/>
        <v>-49.5</v>
      </c>
      <c r="L61" s="499" t="s">
        <v>324</v>
      </c>
    </row>
    <row r="62" spans="1:21" s="10" customFormat="1" ht="30.6" customHeight="1">
      <c r="A62" s="77" t="s">
        <v>169</v>
      </c>
      <c r="B62" s="64" t="s">
        <v>170</v>
      </c>
      <c r="C62" s="23">
        <f>(4/10)*973</f>
        <v>389.20000000000005</v>
      </c>
      <c r="D62" s="23">
        <v>1</v>
      </c>
      <c r="E62" s="41">
        <f t="shared" si="30"/>
        <v>389.20000000000005</v>
      </c>
      <c r="F62" s="18">
        <v>1</v>
      </c>
      <c r="G62" s="41">
        <f t="shared" si="31"/>
        <v>389.20000000000005</v>
      </c>
      <c r="H62" s="25">
        <v>389.2</v>
      </c>
      <c r="I62" s="24">
        <f t="shared" si="28"/>
        <v>0</v>
      </c>
      <c r="J62" s="24">
        <f t="shared" ref="J62:J71" si="32">G62-H62</f>
        <v>0</v>
      </c>
      <c r="K62" s="24">
        <f t="shared" si="29"/>
        <v>0</v>
      </c>
      <c r="L62" s="83"/>
      <c r="M62" s="29"/>
    </row>
    <row r="63" spans="1:21" s="10" customFormat="1" ht="30.6" customHeight="1">
      <c r="A63" s="73" t="s">
        <v>192</v>
      </c>
      <c r="B63" s="64" t="s">
        <v>193</v>
      </c>
      <c r="C63" s="23">
        <v>89</v>
      </c>
      <c r="D63" s="23">
        <v>1</v>
      </c>
      <c r="E63" s="41">
        <f t="shared" si="30"/>
        <v>89</v>
      </c>
      <c r="F63" s="18">
        <v>2</v>
      </c>
      <c r="G63" s="41">
        <f t="shared" si="31"/>
        <v>178</v>
      </c>
      <c r="H63" s="25">
        <v>178</v>
      </c>
      <c r="I63" s="24">
        <f t="shared" si="28"/>
        <v>0</v>
      </c>
      <c r="J63" s="24">
        <f t="shared" si="32"/>
        <v>0</v>
      </c>
      <c r="K63" s="24">
        <f t="shared" si="29"/>
        <v>0</v>
      </c>
      <c r="L63" s="65"/>
    </row>
    <row r="64" spans="1:21" s="10" customFormat="1" ht="30.6" customHeight="1">
      <c r="A64" s="73" t="s">
        <v>194</v>
      </c>
      <c r="B64" s="64" t="s">
        <v>195</v>
      </c>
      <c r="C64" s="23">
        <v>89</v>
      </c>
      <c r="D64" s="23">
        <f>(41164/89)*0.05</f>
        <v>23.125842696629217</v>
      </c>
      <c r="E64" s="41">
        <f t="shared" si="30"/>
        <v>2058.2000000000003</v>
      </c>
      <c r="F64" s="18">
        <v>0.5</v>
      </c>
      <c r="G64" s="41">
        <f t="shared" si="31"/>
        <v>1029.1000000000001</v>
      </c>
      <c r="H64" s="25">
        <v>1029.0999999999999</v>
      </c>
      <c r="I64" s="24">
        <f t="shared" si="28"/>
        <v>0</v>
      </c>
      <c r="J64" s="24">
        <f t="shared" si="32"/>
        <v>0</v>
      </c>
      <c r="K64" s="24">
        <f t="shared" si="29"/>
        <v>0</v>
      </c>
      <c r="L64" s="84"/>
    </row>
    <row r="65" spans="1:14" s="10" customFormat="1" ht="30.6" customHeight="1">
      <c r="A65" s="73" t="s">
        <v>196</v>
      </c>
      <c r="B65" s="64" t="s">
        <v>310</v>
      </c>
      <c r="C65" s="23">
        <v>89</v>
      </c>
      <c r="D65" s="23">
        <f>(41164/89)*0.05</f>
        <v>23.125842696629217</v>
      </c>
      <c r="E65" s="41">
        <f t="shared" si="30"/>
        <v>2058.2000000000003</v>
      </c>
      <c r="F65" s="18">
        <v>2</v>
      </c>
      <c r="G65" s="41">
        <f t="shared" si="31"/>
        <v>4116.4000000000005</v>
      </c>
      <c r="H65" s="25">
        <v>4116.3999999999996</v>
      </c>
      <c r="I65" s="24">
        <f t="shared" si="28"/>
        <v>0</v>
      </c>
      <c r="J65" s="24">
        <f t="shared" si="32"/>
        <v>0</v>
      </c>
      <c r="K65" s="24">
        <f t="shared" si="29"/>
        <v>0</v>
      </c>
      <c r="L65" s="84"/>
    </row>
    <row r="66" spans="1:14" s="10" customFormat="1" ht="30.6" customHeight="1">
      <c r="A66" s="73" t="s">
        <v>91</v>
      </c>
      <c r="B66" s="64" t="s">
        <v>198</v>
      </c>
      <c r="C66" s="23">
        <v>89</v>
      </c>
      <c r="D66" s="23">
        <f>514/89</f>
        <v>5.7752808988764048</v>
      </c>
      <c r="E66" s="41">
        <f>C66*D66</f>
        <v>514</v>
      </c>
      <c r="F66" s="18">
        <v>1</v>
      </c>
      <c r="G66" s="41">
        <f t="shared" si="31"/>
        <v>514</v>
      </c>
      <c r="H66" s="25">
        <v>514</v>
      </c>
      <c r="I66" s="24">
        <f t="shared" si="28"/>
        <v>0</v>
      </c>
      <c r="J66" s="24">
        <f t="shared" si="32"/>
        <v>0</v>
      </c>
      <c r="K66" s="24">
        <f t="shared" si="29"/>
        <v>0</v>
      </c>
      <c r="L66" s="85"/>
    </row>
    <row r="67" spans="1:14" s="10" customFormat="1" ht="30.6" customHeight="1">
      <c r="A67" s="73" t="s">
        <v>202</v>
      </c>
      <c r="B67" s="64" t="s">
        <v>203</v>
      </c>
      <c r="C67" s="23">
        <v>89</v>
      </c>
      <c r="D67" s="23">
        <v>1</v>
      </c>
      <c r="E67" s="41">
        <f t="shared" si="30"/>
        <v>89</v>
      </c>
      <c r="F67" s="18">
        <v>5</v>
      </c>
      <c r="G67" s="41">
        <f t="shared" si="31"/>
        <v>445</v>
      </c>
      <c r="H67" s="25">
        <v>445</v>
      </c>
      <c r="I67" s="24">
        <f t="shared" si="28"/>
        <v>0</v>
      </c>
      <c r="J67" s="24">
        <f t="shared" si="32"/>
        <v>0</v>
      </c>
      <c r="K67" s="24">
        <f t="shared" si="29"/>
        <v>0</v>
      </c>
      <c r="L67" s="65"/>
    </row>
    <row r="68" spans="1:14" s="10" customFormat="1" ht="30.6" customHeight="1">
      <c r="A68" s="73" t="s">
        <v>204</v>
      </c>
      <c r="B68" s="64" t="s">
        <v>205</v>
      </c>
      <c r="C68" s="23">
        <f>89+1808</f>
        <v>1897</v>
      </c>
      <c r="D68" s="23">
        <v>12</v>
      </c>
      <c r="E68" s="41">
        <f t="shared" si="30"/>
        <v>22764</v>
      </c>
      <c r="F68" s="18">
        <v>2</v>
      </c>
      <c r="G68" s="41">
        <f t="shared" si="31"/>
        <v>45528</v>
      </c>
      <c r="H68" s="25">
        <v>45528</v>
      </c>
      <c r="I68" s="24">
        <f t="shared" si="28"/>
        <v>0</v>
      </c>
      <c r="J68" s="24">
        <f t="shared" si="32"/>
        <v>0</v>
      </c>
      <c r="K68" s="24">
        <f t="shared" si="29"/>
        <v>0</v>
      </c>
      <c r="L68" s="84"/>
    </row>
    <row r="69" spans="1:14" s="10" customFormat="1" ht="30.6" customHeight="1">
      <c r="A69" s="73" t="s">
        <v>204</v>
      </c>
      <c r="B69" s="64" t="s">
        <v>331</v>
      </c>
      <c r="C69" s="23">
        <v>1808</v>
      </c>
      <c r="D69" s="23">
        <f>((1633864+3523863)/1808)*4</f>
        <v>11410.900442477876</v>
      </c>
      <c r="E69" s="41">
        <f t="shared" si="30"/>
        <v>20630908</v>
      </c>
      <c r="F69" s="92">
        <v>1.67E-2</v>
      </c>
      <c r="G69" s="41">
        <f>ROUND(E69*F69, 2)</f>
        <v>344536.16</v>
      </c>
      <c r="H69" s="25">
        <v>344536.16</v>
      </c>
      <c r="I69" s="24">
        <f t="shared" si="28"/>
        <v>0</v>
      </c>
      <c r="J69" s="24">
        <f t="shared" si="32"/>
        <v>0</v>
      </c>
      <c r="K69" s="24">
        <f t="shared" si="29"/>
        <v>0</v>
      </c>
      <c r="L69" s="84"/>
      <c r="N69" s="61"/>
    </row>
    <row r="70" spans="1:14" s="10" customFormat="1" ht="30.6" customHeight="1">
      <c r="A70" s="73" t="s">
        <v>204</v>
      </c>
      <c r="B70" s="64" t="s">
        <v>332</v>
      </c>
      <c r="C70" s="23">
        <v>1808</v>
      </c>
      <c r="D70" s="23">
        <f>(1712401/1808)*4</f>
        <v>3788.4977876106195</v>
      </c>
      <c r="E70" s="41">
        <f t="shared" si="30"/>
        <v>6849604</v>
      </c>
      <c r="F70" s="18">
        <v>1.67E-2</v>
      </c>
      <c r="G70" s="41">
        <f>ROUND(E70*F70, 2)</f>
        <v>114388.39</v>
      </c>
      <c r="H70" s="25">
        <v>114388.39</v>
      </c>
      <c r="I70" s="24">
        <f t="shared" si="28"/>
        <v>0</v>
      </c>
      <c r="J70" s="24">
        <f t="shared" si="32"/>
        <v>0</v>
      </c>
      <c r="K70" s="24">
        <f t="shared" si="29"/>
        <v>0</v>
      </c>
      <c r="L70" s="84"/>
    </row>
    <row r="71" spans="1:14" s="10" customFormat="1" ht="30.6" customHeight="1" thickBot="1">
      <c r="A71" s="73" t="s">
        <v>204</v>
      </c>
      <c r="B71" s="64" t="s">
        <v>207</v>
      </c>
      <c r="C71" s="23">
        <f>89+1808</f>
        <v>1897</v>
      </c>
      <c r="D71" s="23">
        <v>1</v>
      </c>
      <c r="E71" s="41">
        <f t="shared" si="30"/>
        <v>1897</v>
      </c>
      <c r="F71" s="18">
        <v>0.25</v>
      </c>
      <c r="G71" s="41">
        <f t="shared" si="31"/>
        <v>474.25</v>
      </c>
      <c r="H71" s="25">
        <v>474.25</v>
      </c>
      <c r="I71" s="24">
        <f t="shared" si="28"/>
        <v>0</v>
      </c>
      <c r="J71" s="24">
        <f t="shared" si="32"/>
        <v>0</v>
      </c>
      <c r="K71" s="24">
        <f t="shared" si="29"/>
        <v>0</v>
      </c>
      <c r="L71" s="84"/>
    </row>
    <row r="72" spans="1:14" s="10" customFormat="1" ht="15.75" thickBot="1">
      <c r="A72" s="550" t="s">
        <v>333</v>
      </c>
      <c r="B72" s="635"/>
      <c r="C72" s="13">
        <f>10000+1808+89</f>
        <v>11897</v>
      </c>
      <c r="D72" s="33">
        <f>+E72/C72</f>
        <v>2315.2050281583593</v>
      </c>
      <c r="E72" s="34">
        <f>SUM(E59:E71)</f>
        <v>27543994.219999999</v>
      </c>
      <c r="F72" s="33">
        <f>+G72/E72</f>
        <v>1.92389352018968E-2</v>
      </c>
      <c r="G72" s="34">
        <f>SUM(G59:G71)</f>
        <v>529917.12</v>
      </c>
      <c r="H72" s="505">
        <f>SUM(H59:H71)</f>
        <v>529966.62</v>
      </c>
      <c r="I72" s="34">
        <f>SUM(I59:I71)</f>
        <v>-49.5</v>
      </c>
      <c r="J72" s="34">
        <f>SUM(J59:J71)</f>
        <v>0</v>
      </c>
      <c r="K72" s="34">
        <f>SUM(K59:K71)</f>
        <v>-49.5</v>
      </c>
      <c r="L72" s="87"/>
    </row>
    <row r="73" spans="1:14" s="10" customFormat="1" ht="38.25" customHeight="1" thickBot="1">
      <c r="A73" s="564" t="s">
        <v>334</v>
      </c>
      <c r="B73" s="634"/>
      <c r="C73" s="16">
        <f>SUM(C56)</f>
        <v>6913039</v>
      </c>
      <c r="D73" s="28">
        <f>E73/C73</f>
        <v>9.0487538335775834</v>
      </c>
      <c r="E73" s="28">
        <f>SUM(E56,E72)</f>
        <v>62554388.152921349</v>
      </c>
      <c r="F73" s="28">
        <f>G73/E73</f>
        <v>0.10750110494200321</v>
      </c>
      <c r="G73" s="28">
        <f>SUM(G56,G72)</f>
        <v>6724665.8454100005</v>
      </c>
      <c r="H73" s="506">
        <f>SUM(H56,H72)</f>
        <v>4557286.5999999996</v>
      </c>
      <c r="I73" s="28">
        <f>SUM(I56,I72)</f>
        <v>2170801.9654100002</v>
      </c>
      <c r="J73" s="28">
        <f t="shared" ref="J73" si="33">SUM(J56,J72)</f>
        <v>-3422.7192900000955</v>
      </c>
      <c r="K73" s="28">
        <f>SUM(K56,K72)</f>
        <v>2167379.2461200003</v>
      </c>
      <c r="L73" s="88"/>
    </row>
    <row r="74" spans="1:14" ht="15" thickBot="1">
      <c r="A74" s="10"/>
      <c r="B74" s="10"/>
      <c r="C74" s="10"/>
      <c r="D74" s="10"/>
      <c r="E74" s="10"/>
      <c r="F74" s="10"/>
      <c r="G74" s="10"/>
      <c r="H74" s="10"/>
      <c r="I74" s="35"/>
      <c r="J74" s="10"/>
      <c r="K74" s="10"/>
    </row>
    <row r="75" spans="1:14" ht="15.75" thickBot="1">
      <c r="A75" s="566" t="s">
        <v>219</v>
      </c>
      <c r="B75" s="567"/>
      <c r="C75" s="567"/>
      <c r="D75" s="621"/>
      <c r="E75" s="10"/>
      <c r="F75" s="10"/>
      <c r="G75" s="10"/>
      <c r="H75" s="10"/>
      <c r="I75" s="35"/>
      <c r="J75" s="10"/>
      <c r="K75" s="10"/>
    </row>
    <row r="76" spans="1:14" ht="17.25" thickBot="1">
      <c r="A76" s="622" t="s">
        <v>220</v>
      </c>
      <c r="B76" s="623"/>
      <c r="C76" s="571">
        <f>+C56</f>
        <v>6913039</v>
      </c>
      <c r="D76" s="624"/>
      <c r="E76" s="31"/>
      <c r="F76" s="62" t="s">
        <v>335</v>
      </c>
      <c r="G76" s="10"/>
      <c r="H76" s="10"/>
      <c r="I76" s="35"/>
      <c r="J76" s="10"/>
      <c r="K76" s="10"/>
    </row>
    <row r="77" spans="1:14" ht="16.5" thickBot="1">
      <c r="A77" s="627" t="s">
        <v>221</v>
      </c>
      <c r="B77" s="628"/>
      <c r="C77" s="629">
        <f>+C78/C76</f>
        <v>5.0643998873608771</v>
      </c>
      <c r="D77" s="630"/>
      <c r="E77" s="10"/>
      <c r="F77" s="10"/>
      <c r="G77" s="10"/>
      <c r="H77" s="10"/>
      <c r="I77" s="35"/>
      <c r="J77" s="10"/>
      <c r="K77" s="10"/>
    </row>
    <row r="78" spans="1:14" ht="16.5" thickBot="1">
      <c r="A78" s="622" t="s">
        <v>222</v>
      </c>
      <c r="B78" s="625"/>
      <c r="C78" s="571">
        <f>+E56</f>
        <v>35010393.93292135</v>
      </c>
      <c r="D78" s="624"/>
      <c r="E78" s="10"/>
      <c r="F78" s="89"/>
      <c r="G78" s="10"/>
      <c r="H78" s="10"/>
      <c r="I78" s="35"/>
      <c r="J78" s="10"/>
      <c r="K78" s="10"/>
    </row>
    <row r="79" spans="1:14" ht="16.5" thickBot="1">
      <c r="A79" s="622" t="s">
        <v>223</v>
      </c>
      <c r="B79" s="625"/>
      <c r="C79" s="631">
        <f>+C80/C78</f>
        <v>0.1769402748589152</v>
      </c>
      <c r="D79" s="632"/>
      <c r="E79" s="10"/>
      <c r="F79" s="89" t="s">
        <v>336</v>
      </c>
      <c r="G79" s="10"/>
      <c r="H79" s="10"/>
      <c r="I79" s="35"/>
      <c r="J79" s="10"/>
      <c r="K79" s="10"/>
    </row>
    <row r="80" spans="1:14" ht="17.25" thickBot="1">
      <c r="A80" s="622" t="s">
        <v>224</v>
      </c>
      <c r="B80" s="626"/>
      <c r="C80" s="571">
        <f>+G56</f>
        <v>6194748.7254100004</v>
      </c>
      <c r="D80" s="624"/>
      <c r="E80" s="10"/>
      <c r="F80" s="90" t="s">
        <v>337</v>
      </c>
      <c r="G80" s="10"/>
      <c r="H80" s="10"/>
      <c r="I80" s="35"/>
      <c r="J80" s="10"/>
      <c r="K80" s="10"/>
    </row>
    <row r="81" spans="1:12" ht="16.5" thickBot="1">
      <c r="A81" s="622" t="s">
        <v>338</v>
      </c>
      <c r="B81" s="625"/>
      <c r="C81" s="571">
        <f>H56</f>
        <v>4027319.98</v>
      </c>
      <c r="D81" s="624"/>
      <c r="E81" s="10"/>
      <c r="F81" s="10"/>
      <c r="G81" s="10"/>
      <c r="H81" s="10"/>
      <c r="I81" s="35"/>
      <c r="J81" s="10"/>
      <c r="K81" s="10"/>
    </row>
    <row r="82" spans="1:12" ht="15" thickBot="1">
      <c r="A82" s="617" t="s">
        <v>226</v>
      </c>
      <c r="B82" s="618"/>
      <c r="C82" s="619">
        <f>C80-C81</f>
        <v>2167428.7454100004</v>
      </c>
      <c r="D82" s="620"/>
      <c r="E82" s="10"/>
      <c r="F82" s="633" t="s">
        <v>339</v>
      </c>
      <c r="G82" s="633"/>
      <c r="H82" s="633"/>
      <c r="I82" s="633"/>
      <c r="J82" s="633"/>
      <c r="K82" s="633"/>
      <c r="L82" s="633"/>
    </row>
    <row r="83" spans="1:12" ht="13.5" thickBot="1">
      <c r="F83" s="633"/>
      <c r="G83" s="633"/>
      <c r="H83" s="633"/>
      <c r="I83" s="633"/>
      <c r="J83" s="633"/>
      <c r="K83" s="633"/>
      <c r="L83" s="633"/>
    </row>
    <row r="84" spans="1:12" ht="15.75" thickBot="1">
      <c r="A84" s="566" t="s">
        <v>227</v>
      </c>
      <c r="B84" s="567"/>
      <c r="C84" s="567"/>
      <c r="D84" s="621"/>
      <c r="F84" s="633"/>
      <c r="G84" s="633"/>
      <c r="H84" s="633"/>
      <c r="I84" s="633"/>
      <c r="J84" s="633"/>
      <c r="K84" s="633"/>
      <c r="L84" s="633"/>
    </row>
    <row r="85" spans="1:12" ht="17.25" thickBot="1">
      <c r="A85" s="622" t="s">
        <v>228</v>
      </c>
      <c r="B85" s="623"/>
      <c r="C85" s="571">
        <f>+C72</f>
        <v>11897</v>
      </c>
      <c r="D85" s="624"/>
      <c r="F85" s="633"/>
      <c r="G85" s="633"/>
      <c r="H85" s="633"/>
      <c r="I85" s="633"/>
      <c r="J85" s="633"/>
      <c r="K85" s="633"/>
      <c r="L85" s="633"/>
    </row>
    <row r="86" spans="1:12" ht="16.5" thickBot="1">
      <c r="A86" s="627" t="s">
        <v>221</v>
      </c>
      <c r="B86" s="628"/>
      <c r="C86" s="629">
        <f>+C87/C85</f>
        <v>2315.2050281583593</v>
      </c>
      <c r="D86" s="630"/>
    </row>
    <row r="87" spans="1:12" ht="16.5" thickBot="1">
      <c r="A87" s="622" t="s">
        <v>222</v>
      </c>
      <c r="B87" s="625"/>
      <c r="C87" s="571">
        <f>+E72</f>
        <v>27543994.219999999</v>
      </c>
      <c r="D87" s="624"/>
    </row>
    <row r="88" spans="1:12" ht="16.5" thickBot="1">
      <c r="A88" s="622" t="s">
        <v>223</v>
      </c>
      <c r="B88" s="625"/>
      <c r="C88" s="631">
        <f>+C89/C87</f>
        <v>1.92389352018968E-2</v>
      </c>
      <c r="D88" s="632"/>
    </row>
    <row r="89" spans="1:12" ht="17.25" thickBot="1">
      <c r="A89" s="622" t="s">
        <v>224</v>
      </c>
      <c r="B89" s="626"/>
      <c r="C89" s="571">
        <f>+G72</f>
        <v>529917.12</v>
      </c>
      <c r="D89" s="624"/>
    </row>
    <row r="90" spans="1:12" ht="16.5" thickBot="1">
      <c r="A90" s="622" t="s">
        <v>225</v>
      </c>
      <c r="B90" s="625"/>
      <c r="C90" s="571">
        <f>+H72</f>
        <v>529966.62</v>
      </c>
      <c r="D90" s="624"/>
    </row>
    <row r="91" spans="1:12" ht="15" thickBot="1">
      <c r="A91" s="617" t="s">
        <v>226</v>
      </c>
      <c r="B91" s="618"/>
      <c r="C91" s="619">
        <f>C89-C90</f>
        <v>-49.5</v>
      </c>
      <c r="D91" s="620"/>
    </row>
    <row r="93" spans="1:12" ht="15.75" thickBot="1">
      <c r="A93" s="566" t="s">
        <v>230</v>
      </c>
      <c r="B93" s="567"/>
      <c r="C93" s="567"/>
      <c r="D93" s="621"/>
    </row>
    <row r="94" spans="1:12" ht="17.25" thickBot="1">
      <c r="A94" s="622" t="s">
        <v>231</v>
      </c>
      <c r="B94" s="623"/>
      <c r="C94" s="571">
        <f>+C78+C87</f>
        <v>62554388.152921349</v>
      </c>
      <c r="D94" s="624"/>
      <c r="E94" s="507"/>
    </row>
    <row r="95" spans="1:12" ht="17.25" thickBot="1">
      <c r="A95" s="622" t="s">
        <v>232</v>
      </c>
      <c r="B95" s="623"/>
      <c r="C95" s="571">
        <f>+C80+C89</f>
        <v>6724665.8454100005</v>
      </c>
      <c r="D95" s="624"/>
      <c r="E95" s="507"/>
    </row>
    <row r="96" spans="1:12" ht="16.5" thickBot="1">
      <c r="A96" s="622" t="s">
        <v>338</v>
      </c>
      <c r="B96" s="625"/>
      <c r="C96" s="571">
        <f>H73</f>
        <v>4557286.5999999996</v>
      </c>
      <c r="D96" s="624"/>
    </row>
    <row r="97" spans="1:4" ht="15" thickBot="1">
      <c r="A97" s="617" t="s">
        <v>226</v>
      </c>
      <c r="B97" s="618"/>
      <c r="C97" s="619">
        <f>C82+C91</f>
        <v>2167379.2454100004</v>
      </c>
      <c r="D97" s="620"/>
    </row>
  </sheetData>
  <mergeCells count="53">
    <mergeCell ref="A72:B72"/>
    <mergeCell ref="A1:L1"/>
    <mergeCell ref="A3:L3"/>
    <mergeCell ref="A4:L4"/>
    <mergeCell ref="A36:B36"/>
    <mergeCell ref="A37:L37"/>
    <mergeCell ref="A44:B44"/>
    <mergeCell ref="A45:L45"/>
    <mergeCell ref="A55:B55"/>
    <mergeCell ref="A56:B56"/>
    <mergeCell ref="A57:L57"/>
    <mergeCell ref="A58:L58"/>
    <mergeCell ref="A73:B73"/>
    <mergeCell ref="A75:D75"/>
    <mergeCell ref="A76:B76"/>
    <mergeCell ref="C76:D76"/>
    <mergeCell ref="A77:B77"/>
    <mergeCell ref="C77:D77"/>
    <mergeCell ref="A78:B78"/>
    <mergeCell ref="C78:D78"/>
    <mergeCell ref="A79:B79"/>
    <mergeCell ref="C79:D79"/>
    <mergeCell ref="A80:B80"/>
    <mergeCell ref="C80:D80"/>
    <mergeCell ref="A81:B81"/>
    <mergeCell ref="C81:D81"/>
    <mergeCell ref="A82:B82"/>
    <mergeCell ref="C82:D82"/>
    <mergeCell ref="F82:L85"/>
    <mergeCell ref="A84:D84"/>
    <mergeCell ref="A85:B85"/>
    <mergeCell ref="C85:D85"/>
    <mergeCell ref="A86:B86"/>
    <mergeCell ref="C86:D86"/>
    <mergeCell ref="A87:B87"/>
    <mergeCell ref="C87:D87"/>
    <mergeCell ref="A88:B88"/>
    <mergeCell ref="C88:D88"/>
    <mergeCell ref="A89:B89"/>
    <mergeCell ref="C89:D89"/>
    <mergeCell ref="A90:B90"/>
    <mergeCell ref="C90:D90"/>
    <mergeCell ref="A91:B91"/>
    <mergeCell ref="C91:D91"/>
    <mergeCell ref="A97:B97"/>
    <mergeCell ref="C97:D97"/>
    <mergeCell ref="A93:D93"/>
    <mergeCell ref="A94:B94"/>
    <mergeCell ref="C94:D94"/>
    <mergeCell ref="A95:B95"/>
    <mergeCell ref="C95:D95"/>
    <mergeCell ref="A96:B96"/>
    <mergeCell ref="C96:D96"/>
  </mergeCells>
  <printOptions gridLines="1"/>
  <pageMargins left="0.25" right="0.25" top="0.75" bottom="0.75" header="0.3" footer="0.3"/>
  <pageSetup scale="38" fitToHeight="3" orientation="landscape" r:id="rId1"/>
  <headerFooter>
    <oddHeader>&amp;A</oddHeader>
    <oddFooter>Page &amp;P of &amp;N</oddFooter>
  </headerFooter>
  <rowBreaks count="2" manualBreakCount="2">
    <brk id="35" max="16383" man="1"/>
    <brk id="5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A26DC-67BA-41D4-84F8-A25DE54C4DBE}">
  <dimension ref="A1:U157"/>
  <sheetViews>
    <sheetView topLeftCell="A116" workbookViewId="0">
      <selection activeCell="H139" sqref="H139"/>
    </sheetView>
  </sheetViews>
  <sheetFormatPr defaultColWidth="9.28515625" defaultRowHeight="14.25"/>
  <cols>
    <col min="1" max="1" width="18.7109375" style="10" bestFit="1" customWidth="1"/>
    <col min="2" max="2" width="33.5703125" style="100" bestFit="1" customWidth="1"/>
    <col min="3" max="3" width="15.28515625" style="10" bestFit="1" customWidth="1"/>
    <col min="4" max="4" width="14.28515625" style="10" customWidth="1"/>
    <col min="5" max="5" width="17.7109375" style="10" customWidth="1"/>
    <col min="6" max="6" width="13.28515625" style="10" bestFit="1" customWidth="1"/>
    <col min="7" max="7" width="16.28515625" style="10" customWidth="1"/>
    <col min="8" max="8" width="15.5703125" style="10" bestFit="1" customWidth="1"/>
    <col min="9" max="9" width="15.7109375" style="35" customWidth="1"/>
    <col min="10" max="10" width="14" style="10" bestFit="1" customWidth="1"/>
    <col min="11" max="11" width="57.42578125" style="100" customWidth="1"/>
    <col min="12" max="12" width="42.42578125" style="10" customWidth="1"/>
    <col min="13" max="13" width="28.28515625" style="10" customWidth="1"/>
    <col min="14" max="14" width="16.7109375" style="10" customWidth="1"/>
    <col min="15" max="15" width="17.7109375" style="10" customWidth="1"/>
    <col min="16" max="16" width="23.28515625" style="10" customWidth="1"/>
    <col min="17" max="17" width="17.7109375" style="10" customWidth="1"/>
    <col min="18" max="18" width="17.28515625" style="10" customWidth="1"/>
    <col min="19" max="19" width="16.42578125" style="10" customWidth="1"/>
    <col min="20" max="20" width="13.42578125" style="10" customWidth="1"/>
    <col min="21" max="21" width="14.28515625" style="10" customWidth="1"/>
    <col min="22" max="16384" width="9.28515625" style="10"/>
  </cols>
  <sheetData>
    <row r="1" spans="1:21" s="149" customFormat="1" ht="15" customHeight="1" thickBot="1">
      <c r="A1" s="578" t="s">
        <v>340</v>
      </c>
      <c r="B1" s="578"/>
      <c r="C1" s="578"/>
      <c r="D1" s="578"/>
      <c r="E1" s="578"/>
      <c r="F1" s="578"/>
      <c r="G1" s="578"/>
      <c r="H1" s="578"/>
      <c r="I1" s="578"/>
      <c r="J1" s="578"/>
      <c r="K1" s="578"/>
      <c r="M1" s="142" t="s">
        <v>234</v>
      </c>
      <c r="N1" s="150"/>
    </row>
    <row r="2" spans="1:21" s="149" customFormat="1" ht="93.75" customHeight="1" thickBot="1">
      <c r="A2" s="1" t="s">
        <v>1</v>
      </c>
      <c r="B2" s="99" t="s">
        <v>2</v>
      </c>
      <c r="C2" s="3" t="s">
        <v>3</v>
      </c>
      <c r="D2" s="4" t="s">
        <v>4</v>
      </c>
      <c r="E2" s="20" t="s">
        <v>5</v>
      </c>
      <c r="F2" s="5" t="s">
        <v>7</v>
      </c>
      <c r="G2" s="21" t="s">
        <v>235</v>
      </c>
      <c r="H2" s="6" t="s">
        <v>341</v>
      </c>
      <c r="I2" s="32" t="s">
        <v>10</v>
      </c>
      <c r="J2" s="7" t="s">
        <v>11</v>
      </c>
      <c r="K2" s="101" t="s">
        <v>290</v>
      </c>
      <c r="L2" s="151"/>
      <c r="M2" s="152" t="s">
        <v>342</v>
      </c>
      <c r="N2" s="153" t="s">
        <v>343</v>
      </c>
      <c r="O2" s="152" t="s">
        <v>344</v>
      </c>
      <c r="P2" s="152" t="s">
        <v>345</v>
      </c>
      <c r="Q2" s="152" t="s">
        <v>346</v>
      </c>
      <c r="R2" s="152" t="s">
        <v>347</v>
      </c>
      <c r="S2" s="152" t="s">
        <v>348</v>
      </c>
      <c r="T2" s="152" t="s">
        <v>349</v>
      </c>
      <c r="U2" s="154"/>
    </row>
    <row r="3" spans="1:21" s="149" customFormat="1" ht="15" customHeight="1">
      <c r="A3" s="541" t="s">
        <v>14</v>
      </c>
      <c r="B3" s="541"/>
      <c r="C3" s="541"/>
      <c r="D3" s="541"/>
      <c r="E3" s="541"/>
      <c r="F3" s="541"/>
      <c r="G3" s="541"/>
      <c r="H3" s="541"/>
      <c r="I3" s="541"/>
      <c r="J3" s="541"/>
      <c r="K3" s="541"/>
      <c r="M3" s="149">
        <v>89</v>
      </c>
      <c r="N3" s="155">
        <v>1810</v>
      </c>
      <c r="O3" s="149">
        <v>6243960</v>
      </c>
      <c r="P3" s="149">
        <v>1379126</v>
      </c>
      <c r="Q3" s="149">
        <v>1464744</v>
      </c>
      <c r="R3" s="142">
        <v>3400090</v>
      </c>
      <c r="S3" s="156">
        <v>37417</v>
      </c>
      <c r="T3" s="156">
        <v>3289</v>
      </c>
      <c r="U3" s="157"/>
    </row>
    <row r="4" spans="1:21" s="149" customFormat="1" ht="15" customHeight="1" thickBot="1">
      <c r="A4" s="543" t="s">
        <v>15</v>
      </c>
      <c r="B4" s="543"/>
      <c r="C4" s="543"/>
      <c r="D4" s="543"/>
      <c r="E4" s="543"/>
      <c r="F4" s="543"/>
      <c r="G4" s="543"/>
      <c r="H4" s="543"/>
      <c r="I4" s="543"/>
      <c r="J4" s="543"/>
      <c r="K4" s="543"/>
      <c r="L4" s="158"/>
      <c r="M4" s="149" t="s">
        <v>350</v>
      </c>
      <c r="N4" s="149" t="s">
        <v>351</v>
      </c>
      <c r="O4" s="149" t="s">
        <v>352</v>
      </c>
      <c r="P4" s="149" t="s">
        <v>352</v>
      </c>
      <c r="Q4" s="149" t="s">
        <v>352</v>
      </c>
      <c r="R4" s="143" t="s">
        <v>352</v>
      </c>
      <c r="S4" s="148" t="s">
        <v>352</v>
      </c>
      <c r="T4" s="156" t="s">
        <v>291</v>
      </c>
      <c r="U4" s="157"/>
    </row>
    <row r="5" spans="1:21" ht="15">
      <c r="A5" s="98">
        <v>246.4</v>
      </c>
      <c r="B5" s="64" t="s">
        <v>16</v>
      </c>
      <c r="C5" s="23">
        <v>89</v>
      </c>
      <c r="D5" s="23">
        <v>1</v>
      </c>
      <c r="E5" s="41">
        <f>C5*D5</f>
        <v>89</v>
      </c>
      <c r="F5" s="19">
        <v>134.62</v>
      </c>
      <c r="G5" s="41">
        <f>E5*F5</f>
        <v>11981.18</v>
      </c>
      <c r="H5" s="25">
        <f>'2020'!G5</f>
        <v>11981.18</v>
      </c>
      <c r="I5" s="24">
        <f>G5-H5</f>
        <v>0</v>
      </c>
      <c r="J5" s="24">
        <f>G5-H5</f>
        <v>0</v>
      </c>
      <c r="K5" s="159" t="s">
        <v>291</v>
      </c>
      <c r="N5" s="35"/>
      <c r="S5" s="160"/>
      <c r="T5" s="157"/>
      <c r="U5" s="157"/>
    </row>
    <row r="6" spans="1:21" ht="15">
      <c r="A6" s="98" t="s">
        <v>19</v>
      </c>
      <c r="B6" s="64" t="s">
        <v>20</v>
      </c>
      <c r="C6" s="23">
        <f>1810*0.5</f>
        <v>905</v>
      </c>
      <c r="D6" s="23">
        <v>1</v>
      </c>
      <c r="E6" s="41">
        <f t="shared" ref="E6:E68" si="0">C6*D6</f>
        <v>905</v>
      </c>
      <c r="F6" s="19">
        <v>2</v>
      </c>
      <c r="G6" s="41">
        <f t="shared" ref="G6:G68" si="1">E6*F6</f>
        <v>1810</v>
      </c>
      <c r="H6" s="25">
        <f>'2020'!G6</f>
        <v>1808</v>
      </c>
      <c r="I6" s="24">
        <v>0</v>
      </c>
      <c r="J6" s="24">
        <f t="shared" ref="J6:J64" si="2">G6-H6</f>
        <v>2</v>
      </c>
      <c r="K6" s="159" t="s">
        <v>353</v>
      </c>
      <c r="N6" s="35"/>
      <c r="R6" s="161"/>
      <c r="S6" s="160"/>
      <c r="T6" s="157"/>
      <c r="U6" s="157"/>
    </row>
    <row r="7" spans="1:21" ht="15">
      <c r="A7" s="98" t="s">
        <v>21</v>
      </c>
      <c r="B7" s="64" t="s">
        <v>22</v>
      </c>
      <c r="C7" s="23">
        <v>4</v>
      </c>
      <c r="D7" s="23">
        <v>1</v>
      </c>
      <c r="E7" s="41">
        <f t="shared" si="0"/>
        <v>4</v>
      </c>
      <c r="F7" s="19">
        <v>0.16700000000000001</v>
      </c>
      <c r="G7" s="41">
        <f t="shared" si="1"/>
        <v>0.66800000000000004</v>
      </c>
      <c r="H7" s="25">
        <v>0</v>
      </c>
      <c r="I7" s="24">
        <f t="shared" ref="I7:I68" si="3">G7-H7</f>
        <v>0.66800000000000004</v>
      </c>
      <c r="J7" s="24">
        <v>0</v>
      </c>
      <c r="K7" s="162" t="s">
        <v>354</v>
      </c>
      <c r="N7" s="35"/>
      <c r="R7" s="161"/>
      <c r="S7" s="160"/>
      <c r="T7" s="157"/>
      <c r="U7" s="157"/>
    </row>
    <row r="8" spans="1:21" ht="15">
      <c r="A8" s="98" t="s">
        <v>214</v>
      </c>
      <c r="B8" s="64" t="s">
        <v>215</v>
      </c>
      <c r="C8" s="23">
        <f>(89*0.33)</f>
        <v>29.37</v>
      </c>
      <c r="D8" s="23">
        <v>1</v>
      </c>
      <c r="E8" s="41">
        <f t="shared" si="0"/>
        <v>29.37</v>
      </c>
      <c r="F8" s="19">
        <v>0.5</v>
      </c>
      <c r="G8" s="41">
        <f t="shared" si="1"/>
        <v>14.685</v>
      </c>
      <c r="H8" s="25">
        <v>0</v>
      </c>
      <c r="I8" s="24">
        <f t="shared" si="3"/>
        <v>14.685</v>
      </c>
      <c r="J8" s="24">
        <v>0</v>
      </c>
      <c r="K8" s="162" t="s">
        <v>354</v>
      </c>
      <c r="N8" s="35"/>
      <c r="R8" s="161"/>
      <c r="S8" s="160"/>
      <c r="T8" s="157"/>
      <c r="U8" s="157"/>
    </row>
    <row r="9" spans="1:21" ht="17.25" customHeight="1">
      <c r="A9" s="98" t="s">
        <v>23</v>
      </c>
      <c r="B9" s="102" t="s">
        <v>24</v>
      </c>
      <c r="C9" s="23">
        <v>4</v>
      </c>
      <c r="D9" s="23">
        <f>(1810/89)*0.02</f>
        <v>0.40674157303370784</v>
      </c>
      <c r="E9" s="41">
        <f t="shared" si="0"/>
        <v>1.6269662921348313</v>
      </c>
      <c r="F9" s="19">
        <v>0.5</v>
      </c>
      <c r="G9" s="41">
        <f t="shared" si="1"/>
        <v>0.81348314606741567</v>
      </c>
      <c r="H9" s="25">
        <v>0</v>
      </c>
      <c r="I9" s="24">
        <f t="shared" si="3"/>
        <v>0.81348314606741567</v>
      </c>
      <c r="J9" s="24">
        <v>0</v>
      </c>
      <c r="K9" s="162" t="s">
        <v>354</v>
      </c>
      <c r="N9" s="35"/>
      <c r="R9" s="161"/>
      <c r="S9" s="160"/>
      <c r="T9" s="157"/>
      <c r="U9" s="157"/>
    </row>
    <row r="10" spans="1:21" ht="15">
      <c r="A10" s="98">
        <v>246.6</v>
      </c>
      <c r="B10" s="64" t="s">
        <v>25</v>
      </c>
      <c r="C10" s="23">
        <f>1810*0.5</f>
        <v>905</v>
      </c>
      <c r="D10" s="23">
        <v>1</v>
      </c>
      <c r="E10" s="41">
        <f t="shared" si="0"/>
        <v>905</v>
      </c>
      <c r="F10" s="19">
        <v>1.5</v>
      </c>
      <c r="G10" s="41">
        <f t="shared" si="1"/>
        <v>1357.5</v>
      </c>
      <c r="H10" s="25">
        <f>'2020'!G7</f>
        <v>1356</v>
      </c>
      <c r="I10" s="24">
        <v>0</v>
      </c>
      <c r="J10" s="24">
        <f t="shared" si="2"/>
        <v>1.5</v>
      </c>
      <c r="K10" s="159" t="s">
        <v>353</v>
      </c>
      <c r="N10" s="35"/>
      <c r="R10" s="161"/>
      <c r="S10" s="160"/>
      <c r="T10" s="157"/>
      <c r="U10" s="157"/>
    </row>
    <row r="11" spans="1:21" ht="28.5">
      <c r="A11" s="98" t="s">
        <v>26</v>
      </c>
      <c r="B11" s="64" t="s">
        <v>27</v>
      </c>
      <c r="C11" s="23">
        <v>89</v>
      </c>
      <c r="D11" s="23">
        <f>(1810/89)</f>
        <v>20.337078651685392</v>
      </c>
      <c r="E11" s="41">
        <f t="shared" si="0"/>
        <v>1809.9999999999998</v>
      </c>
      <c r="F11" s="19">
        <v>0.25</v>
      </c>
      <c r="G11" s="41">
        <f t="shared" si="1"/>
        <v>452.49999999999994</v>
      </c>
      <c r="H11" s="25">
        <v>0</v>
      </c>
      <c r="I11" s="24">
        <f>G11-H11</f>
        <v>452.49999999999994</v>
      </c>
      <c r="J11" s="24">
        <v>0</v>
      </c>
      <c r="K11" s="162" t="s">
        <v>354</v>
      </c>
      <c r="N11" s="35"/>
      <c r="R11" s="161"/>
      <c r="S11" s="160"/>
      <c r="T11" s="157"/>
      <c r="U11" s="157"/>
    </row>
    <row r="12" spans="1:21" ht="14.25" customHeight="1">
      <c r="A12" s="98" t="s">
        <v>28</v>
      </c>
      <c r="B12" s="64" t="s">
        <v>29</v>
      </c>
      <c r="C12" s="23">
        <f>1810/6</f>
        <v>301.66666666666669</v>
      </c>
      <c r="D12" s="23">
        <v>1</v>
      </c>
      <c r="E12" s="41">
        <f t="shared" si="0"/>
        <v>301.66666666666669</v>
      </c>
      <c r="F12" s="19">
        <v>0.25</v>
      </c>
      <c r="G12" s="41">
        <f t="shared" si="1"/>
        <v>75.416666666666671</v>
      </c>
      <c r="H12" s="25">
        <f>'2020'!G8</f>
        <v>75.325000000000003</v>
      </c>
      <c r="I12" s="24">
        <v>0</v>
      </c>
      <c r="J12" s="24">
        <f t="shared" si="2"/>
        <v>9.1666666666668561E-2</v>
      </c>
      <c r="K12" s="159" t="s">
        <v>353</v>
      </c>
      <c r="N12" s="35"/>
      <c r="R12" s="161"/>
      <c r="S12" s="160"/>
      <c r="T12" s="157"/>
      <c r="U12" s="157"/>
    </row>
    <row r="13" spans="1:21" ht="11.25" hidden="1" customHeight="1">
      <c r="A13" s="98" t="s">
        <v>32</v>
      </c>
      <c r="B13" s="64" t="s">
        <v>355</v>
      </c>
      <c r="C13" s="23"/>
      <c r="D13" s="23"/>
      <c r="E13" s="41">
        <f t="shared" si="0"/>
        <v>0</v>
      </c>
      <c r="F13" s="19"/>
      <c r="G13" s="41">
        <f t="shared" si="1"/>
        <v>0</v>
      </c>
      <c r="H13" s="25">
        <f>'2020'!G9</f>
        <v>1428439</v>
      </c>
      <c r="I13" s="24">
        <f t="shared" si="3"/>
        <v>-1428439</v>
      </c>
      <c r="J13" s="24">
        <f t="shared" si="2"/>
        <v>-1428439</v>
      </c>
      <c r="K13" s="159" t="s">
        <v>291</v>
      </c>
      <c r="N13" s="35"/>
      <c r="O13" s="35"/>
      <c r="P13" s="35"/>
      <c r="R13" s="161"/>
      <c r="S13" s="160"/>
      <c r="T13" s="163"/>
      <c r="U13" s="157"/>
    </row>
    <row r="14" spans="1:21" ht="40.5" customHeight="1">
      <c r="A14" s="98" t="s">
        <v>30</v>
      </c>
      <c r="B14" s="64" t="s">
        <v>31</v>
      </c>
      <c r="C14" s="23">
        <f>1810*0.7</f>
        <v>1267</v>
      </c>
      <c r="D14" s="23">
        <f>(1379126*0.7)/1267</f>
        <v>761.9480662983425</v>
      </c>
      <c r="E14" s="41">
        <f t="shared" si="0"/>
        <v>965388.2</v>
      </c>
      <c r="F14" s="19">
        <v>0.41749999999999998</v>
      </c>
      <c r="G14" s="41">
        <f t="shared" si="1"/>
        <v>403049.57349999994</v>
      </c>
      <c r="H14" s="25">
        <f>'2020'!G10</f>
        <v>545711</v>
      </c>
      <c r="I14" s="24">
        <v>0</v>
      </c>
      <c r="J14" s="24">
        <f t="shared" si="2"/>
        <v>-142661.42650000006</v>
      </c>
      <c r="K14" s="64" t="s">
        <v>356</v>
      </c>
      <c r="N14" s="35"/>
      <c r="P14" s="27"/>
      <c r="R14" s="161"/>
      <c r="S14" s="163"/>
      <c r="T14" s="157"/>
      <c r="U14" s="157"/>
    </row>
    <row r="15" spans="1:21" ht="99.75" customHeight="1">
      <c r="A15" s="98" t="s">
        <v>32</v>
      </c>
      <c r="B15" s="64" t="s">
        <v>33</v>
      </c>
      <c r="C15" s="23">
        <f>1810*0.7</f>
        <v>1267</v>
      </c>
      <c r="D15" s="23">
        <f>(3400090*0.7)/1267</f>
        <v>1878.5027624309391</v>
      </c>
      <c r="E15" s="41">
        <f t="shared" si="0"/>
        <v>2380063</v>
      </c>
      <c r="F15" s="19">
        <v>0.41749999999999998</v>
      </c>
      <c r="G15" s="41">
        <f t="shared" si="1"/>
        <v>993676.30249999999</v>
      </c>
      <c r="H15" s="25">
        <f>'2020'!G11</f>
        <v>882728</v>
      </c>
      <c r="I15" s="24">
        <v>0</v>
      </c>
      <c r="J15" s="24">
        <f t="shared" si="2"/>
        <v>110948.30249999999</v>
      </c>
      <c r="K15" s="64" t="s">
        <v>357</v>
      </c>
      <c r="N15" s="35"/>
      <c r="P15" s="164"/>
      <c r="R15" s="161"/>
      <c r="S15" s="157"/>
      <c r="T15" s="157"/>
      <c r="U15" s="157"/>
    </row>
    <row r="16" spans="1:21" ht="36" customHeight="1">
      <c r="A16" s="98" t="s">
        <v>32</v>
      </c>
      <c r="B16" s="64" t="s">
        <v>34</v>
      </c>
      <c r="C16" s="23">
        <f>1810*0.7</f>
        <v>1267</v>
      </c>
      <c r="D16" s="23">
        <f>1*(1464744*0.7/1267)</f>
        <v>809.25082872928169</v>
      </c>
      <c r="E16" s="41">
        <f t="shared" si="0"/>
        <v>1025320.7999999999</v>
      </c>
      <c r="F16" s="19">
        <v>0.41749999999999998</v>
      </c>
      <c r="G16" s="41">
        <f t="shared" si="1"/>
        <v>428071.43399999995</v>
      </c>
      <c r="H16" s="25">
        <f>'2020'!G12</f>
        <v>285970.967</v>
      </c>
      <c r="I16" s="24">
        <v>0</v>
      </c>
      <c r="J16" s="24">
        <f t="shared" si="2"/>
        <v>142100.46699999995</v>
      </c>
      <c r="K16" s="64" t="s">
        <v>358</v>
      </c>
      <c r="N16" s="35"/>
      <c r="P16" s="165"/>
      <c r="R16" s="161"/>
      <c r="S16" s="160"/>
      <c r="T16" s="157"/>
      <c r="U16" s="157"/>
    </row>
    <row r="17" spans="1:21" ht="15">
      <c r="A17" s="98" t="s">
        <v>36</v>
      </c>
      <c r="B17" s="64" t="s">
        <v>37</v>
      </c>
      <c r="C17" s="23">
        <v>4</v>
      </c>
      <c r="D17" s="23">
        <v>1</v>
      </c>
      <c r="E17" s="41">
        <f t="shared" si="0"/>
        <v>4</v>
      </c>
      <c r="F17" s="19">
        <v>8.3500000000000005E-2</v>
      </c>
      <c r="G17" s="41">
        <f t="shared" si="1"/>
        <v>0.33400000000000002</v>
      </c>
      <c r="H17" s="25">
        <f>'2020'!G13</f>
        <v>0.33400000000000002</v>
      </c>
      <c r="I17" s="24">
        <f t="shared" si="3"/>
        <v>0</v>
      </c>
      <c r="J17" s="24">
        <f t="shared" si="2"/>
        <v>0</v>
      </c>
      <c r="K17" s="159" t="s">
        <v>291</v>
      </c>
      <c r="N17" s="35"/>
      <c r="R17" s="161"/>
      <c r="S17" s="160"/>
      <c r="T17" s="157"/>
      <c r="U17" s="157"/>
    </row>
    <row r="18" spans="1:21" ht="15">
      <c r="A18" s="98" t="s">
        <v>38</v>
      </c>
      <c r="B18" s="64" t="s">
        <v>39</v>
      </c>
      <c r="C18" s="23">
        <f>1810*0.7</f>
        <v>1267</v>
      </c>
      <c r="D18" s="23">
        <f>((0.03*6243960*0.7)/1267)</f>
        <v>103.49104972375689</v>
      </c>
      <c r="E18" s="41">
        <f t="shared" si="0"/>
        <v>131123.15999999997</v>
      </c>
      <c r="F18" s="19">
        <v>8.3500000000000005E-2</v>
      </c>
      <c r="G18" s="41">
        <f t="shared" si="1"/>
        <v>10948.783859999998</v>
      </c>
      <c r="H18" s="25">
        <f>'2020'!G14</f>
        <v>17210</v>
      </c>
      <c r="I18" s="24">
        <v>0</v>
      </c>
      <c r="J18" s="24">
        <f t="shared" si="2"/>
        <v>-6261.2161400000023</v>
      </c>
      <c r="K18" s="159" t="s">
        <v>359</v>
      </c>
      <c r="N18" s="35"/>
    </row>
    <row r="19" spans="1:21" ht="15">
      <c r="A19" s="103">
        <v>246.8</v>
      </c>
      <c r="B19" s="104" t="s">
        <v>40</v>
      </c>
      <c r="C19" s="105">
        <v>79</v>
      </c>
      <c r="D19" s="105">
        <v>1</v>
      </c>
      <c r="E19" s="41">
        <f t="shared" si="0"/>
        <v>79</v>
      </c>
      <c r="F19" s="106">
        <v>3</v>
      </c>
      <c r="G19" s="133">
        <f t="shared" si="1"/>
        <v>237</v>
      </c>
      <c r="H19" s="107">
        <v>0</v>
      </c>
      <c r="I19" s="24">
        <f t="shared" si="3"/>
        <v>237</v>
      </c>
      <c r="J19" s="24">
        <v>0</v>
      </c>
      <c r="K19" s="166" t="s">
        <v>354</v>
      </c>
      <c r="N19" s="35"/>
    </row>
    <row r="20" spans="1:21" ht="42.75">
      <c r="A20" s="98" t="s">
        <v>294</v>
      </c>
      <c r="B20" s="64" t="s">
        <v>42</v>
      </c>
      <c r="C20" s="23">
        <v>89</v>
      </c>
      <c r="D20" s="23">
        <f>(6243959*0.02)/89</f>
        <v>1403.1368539325842</v>
      </c>
      <c r="E20" s="41">
        <f t="shared" si="0"/>
        <v>124879.18</v>
      </c>
      <c r="F20" s="19">
        <v>8.3500000000000005E-2</v>
      </c>
      <c r="G20" s="41">
        <f t="shared" si="1"/>
        <v>10427.411529999999</v>
      </c>
      <c r="H20" s="25">
        <v>0</v>
      </c>
      <c r="I20" s="24">
        <f t="shared" si="3"/>
        <v>10427.411529999999</v>
      </c>
      <c r="J20" s="24">
        <v>0</v>
      </c>
      <c r="K20" s="159" t="s">
        <v>354</v>
      </c>
      <c r="N20" s="35"/>
    </row>
    <row r="21" spans="1:21" ht="28.5">
      <c r="A21" s="98" t="s">
        <v>295</v>
      </c>
      <c r="B21" s="64" t="s">
        <v>44</v>
      </c>
      <c r="C21" s="23">
        <v>89</v>
      </c>
      <c r="D21" s="23">
        <f>(6243959*0.02*0.02)/89</f>
        <v>28.06273707865169</v>
      </c>
      <c r="E21" s="41">
        <f t="shared" si="0"/>
        <v>2497.5836000000004</v>
      </c>
      <c r="F21" s="19">
        <v>3</v>
      </c>
      <c r="G21" s="41">
        <f t="shared" si="1"/>
        <v>7492.7508000000016</v>
      </c>
      <c r="H21" s="25">
        <v>0</v>
      </c>
      <c r="I21" s="24">
        <f t="shared" si="3"/>
        <v>7492.7508000000016</v>
      </c>
      <c r="J21" s="24">
        <v>0</v>
      </c>
      <c r="K21" s="159" t="s">
        <v>354</v>
      </c>
      <c r="N21" s="35"/>
    </row>
    <row r="22" spans="1:21" ht="15">
      <c r="A22" s="98" t="s">
        <v>45</v>
      </c>
      <c r="B22" s="64" t="s">
        <v>46</v>
      </c>
      <c r="C22" s="23">
        <v>89</v>
      </c>
      <c r="D22" s="23">
        <v>1</v>
      </c>
      <c r="E22" s="41">
        <f t="shared" si="0"/>
        <v>89</v>
      </c>
      <c r="F22" s="19">
        <v>40</v>
      </c>
      <c r="G22" s="41">
        <f t="shared" si="1"/>
        <v>3560</v>
      </c>
      <c r="H22" s="25">
        <f>'2020'!G15</f>
        <v>3560</v>
      </c>
      <c r="I22" s="24">
        <f t="shared" si="3"/>
        <v>0</v>
      </c>
      <c r="J22" s="24">
        <f t="shared" si="2"/>
        <v>0</v>
      </c>
      <c r="K22" s="159" t="s">
        <v>291</v>
      </c>
      <c r="N22" s="35"/>
    </row>
    <row r="23" spans="1:21" ht="15">
      <c r="A23" s="98" t="s">
        <v>47</v>
      </c>
      <c r="B23" s="64" t="s">
        <v>48</v>
      </c>
      <c r="C23" s="23">
        <v>54</v>
      </c>
      <c r="D23" s="23">
        <v>4</v>
      </c>
      <c r="E23" s="41">
        <f t="shared" si="0"/>
        <v>216</v>
      </c>
      <c r="F23" s="19">
        <v>8.3000000000000001E-3</v>
      </c>
      <c r="G23" s="41">
        <f t="shared" si="1"/>
        <v>1.7927999999999999</v>
      </c>
      <c r="H23" s="25">
        <f>'2020'!G16</f>
        <v>1.7927999999999999</v>
      </c>
      <c r="I23" s="24">
        <f t="shared" si="3"/>
        <v>0</v>
      </c>
      <c r="J23" s="24">
        <f t="shared" si="2"/>
        <v>0</v>
      </c>
      <c r="K23" s="167" t="s">
        <v>291</v>
      </c>
      <c r="N23" s="35"/>
    </row>
    <row r="24" spans="1:21" ht="28.5">
      <c r="A24" s="98" t="s">
        <v>53</v>
      </c>
      <c r="B24" s="64" t="s">
        <v>54</v>
      </c>
      <c r="C24" s="23">
        <f>1810*0.7</f>
        <v>1267</v>
      </c>
      <c r="D24" s="23">
        <f>(1464744*0.7*0.01)/1267</f>
        <v>8.0925082872928158</v>
      </c>
      <c r="E24" s="41">
        <f t="shared" si="0"/>
        <v>10253.207999999997</v>
      </c>
      <c r="F24" s="19">
        <v>3.3399999999999999E-2</v>
      </c>
      <c r="G24" s="41">
        <f t="shared" si="1"/>
        <v>342.45714719999989</v>
      </c>
      <c r="H24" s="25">
        <f>'2020'!G17</f>
        <v>572</v>
      </c>
      <c r="I24" s="24">
        <v>0</v>
      </c>
      <c r="J24" s="24">
        <f t="shared" si="2"/>
        <v>-229.54285280000011</v>
      </c>
      <c r="K24" s="64" t="s">
        <v>360</v>
      </c>
      <c r="N24" s="35"/>
    </row>
    <row r="25" spans="1:21" ht="15">
      <c r="A25" s="98" t="s">
        <v>55</v>
      </c>
      <c r="B25" s="64" t="s">
        <v>56</v>
      </c>
      <c r="C25" s="23">
        <f>(1/5)</f>
        <v>0.2</v>
      </c>
      <c r="D25" s="23">
        <v>1</v>
      </c>
      <c r="E25" s="41">
        <f t="shared" si="0"/>
        <v>0.2</v>
      </c>
      <c r="F25" s="19">
        <v>2</v>
      </c>
      <c r="G25" s="41">
        <f t="shared" si="1"/>
        <v>0.4</v>
      </c>
      <c r="H25" s="25"/>
      <c r="I25" s="24">
        <f t="shared" si="3"/>
        <v>0.4</v>
      </c>
      <c r="J25" s="24">
        <f t="shared" si="2"/>
        <v>0.4</v>
      </c>
      <c r="K25" s="64" t="s">
        <v>354</v>
      </c>
      <c r="N25" s="35"/>
    </row>
    <row r="26" spans="1:21" ht="30">
      <c r="A26" s="98" t="s">
        <v>57</v>
      </c>
      <c r="B26" s="64" t="s">
        <v>58</v>
      </c>
      <c r="C26" s="23">
        <f>1810*0.7</f>
        <v>1267</v>
      </c>
      <c r="D26" s="23">
        <f>((6243960*0.7)/1267)</f>
        <v>3449.7016574585637</v>
      </c>
      <c r="E26" s="41">
        <f t="shared" si="0"/>
        <v>4370772</v>
      </c>
      <c r="F26" s="19">
        <v>0.25</v>
      </c>
      <c r="G26" s="41">
        <f t="shared" si="1"/>
        <v>1092693</v>
      </c>
      <c r="H26" s="25">
        <v>0</v>
      </c>
      <c r="I26" s="24">
        <f t="shared" si="3"/>
        <v>1092693</v>
      </c>
      <c r="J26" s="24">
        <v>0</v>
      </c>
      <c r="K26" s="64" t="s">
        <v>354</v>
      </c>
      <c r="N26" s="35"/>
    </row>
    <row r="27" spans="1:21" ht="28.5">
      <c r="A27" s="98" t="s">
        <v>59</v>
      </c>
      <c r="B27" s="64" t="s">
        <v>60</v>
      </c>
      <c r="C27" s="23">
        <f>0.7*1810</f>
        <v>1267</v>
      </c>
      <c r="D27" s="23">
        <v>1</v>
      </c>
      <c r="E27" s="41">
        <f t="shared" si="0"/>
        <v>1267</v>
      </c>
      <c r="F27" s="19">
        <v>40</v>
      </c>
      <c r="G27" s="41">
        <f t="shared" si="1"/>
        <v>50680</v>
      </c>
      <c r="H27" s="25">
        <f>'2020'!G18</f>
        <v>72320</v>
      </c>
      <c r="I27" s="24">
        <v>0</v>
      </c>
      <c r="J27" s="24">
        <f t="shared" si="2"/>
        <v>-21640</v>
      </c>
      <c r="K27" s="159" t="s">
        <v>361</v>
      </c>
      <c r="N27" s="35"/>
    </row>
    <row r="28" spans="1:21" ht="15">
      <c r="A28" s="98" t="s">
        <v>62</v>
      </c>
      <c r="B28" s="64" t="s">
        <v>63</v>
      </c>
      <c r="C28" s="23">
        <v>89</v>
      </c>
      <c r="D28" s="23">
        <v>1</v>
      </c>
      <c r="E28" s="41">
        <f t="shared" si="0"/>
        <v>89</v>
      </c>
      <c r="F28" s="19">
        <v>3</v>
      </c>
      <c r="G28" s="41">
        <f t="shared" si="1"/>
        <v>267</v>
      </c>
      <c r="H28" s="25">
        <v>0</v>
      </c>
      <c r="I28" s="24">
        <f t="shared" si="3"/>
        <v>267</v>
      </c>
      <c r="J28" s="24">
        <v>0</v>
      </c>
      <c r="K28" s="159" t="s">
        <v>354</v>
      </c>
      <c r="N28" s="35"/>
    </row>
    <row r="29" spans="1:21" ht="15">
      <c r="A29" s="98" t="s">
        <v>64</v>
      </c>
      <c r="B29" s="64" t="s">
        <v>65</v>
      </c>
      <c r="C29" s="23">
        <v>89</v>
      </c>
      <c r="D29" s="23">
        <v>1</v>
      </c>
      <c r="E29" s="41">
        <f t="shared" si="0"/>
        <v>89</v>
      </c>
      <c r="F29" s="19">
        <v>3</v>
      </c>
      <c r="G29" s="41">
        <f t="shared" si="1"/>
        <v>267</v>
      </c>
      <c r="H29" s="25">
        <v>0</v>
      </c>
      <c r="I29" s="24">
        <f t="shared" si="3"/>
        <v>267</v>
      </c>
      <c r="J29" s="24">
        <v>0</v>
      </c>
      <c r="K29" s="159" t="s">
        <v>354</v>
      </c>
      <c r="N29" s="35"/>
    </row>
    <row r="30" spans="1:21" ht="15">
      <c r="A30" s="98" t="s">
        <v>66</v>
      </c>
      <c r="B30" s="64" t="s">
        <v>67</v>
      </c>
      <c r="C30" s="23">
        <v>89</v>
      </c>
      <c r="D30" s="23">
        <f>(840)/89</f>
        <v>9.4382022471910112</v>
      </c>
      <c r="E30" s="41">
        <f t="shared" si="0"/>
        <v>840</v>
      </c>
      <c r="F30" s="19">
        <v>4</v>
      </c>
      <c r="G30" s="41">
        <f t="shared" si="1"/>
        <v>3360</v>
      </c>
      <c r="H30" s="25">
        <f>'2020'!G19</f>
        <v>14764</v>
      </c>
      <c r="I30" s="24">
        <f t="shared" si="3"/>
        <v>-11404</v>
      </c>
      <c r="J30" s="24">
        <f t="shared" si="2"/>
        <v>-11404</v>
      </c>
      <c r="K30" s="104" t="s">
        <v>362</v>
      </c>
      <c r="N30" s="35"/>
    </row>
    <row r="31" spans="1:21" ht="15">
      <c r="A31" s="98" t="s">
        <v>68</v>
      </c>
      <c r="B31" s="64" t="s">
        <v>69</v>
      </c>
      <c r="C31" s="23">
        <v>79</v>
      </c>
      <c r="D31" s="23">
        <f>2*(37417/79)</f>
        <v>947.2658227848101</v>
      </c>
      <c r="E31" s="41">
        <f t="shared" si="0"/>
        <v>74834</v>
      </c>
      <c r="F31" s="19">
        <v>2</v>
      </c>
      <c r="G31" s="41">
        <f t="shared" si="1"/>
        <v>149668</v>
      </c>
      <c r="H31" s="25">
        <f>'2020'!G20</f>
        <v>164656</v>
      </c>
      <c r="I31" s="24">
        <v>0</v>
      </c>
      <c r="J31" s="24">
        <f t="shared" si="2"/>
        <v>-14988</v>
      </c>
      <c r="K31" s="159" t="s">
        <v>363</v>
      </c>
      <c r="N31" s="35"/>
    </row>
    <row r="32" spans="1:21" ht="15">
      <c r="A32" s="98" t="s">
        <v>68</v>
      </c>
      <c r="B32" s="64" t="s">
        <v>70</v>
      </c>
      <c r="C32" s="23">
        <v>5</v>
      </c>
      <c r="D32" s="23">
        <v>1</v>
      </c>
      <c r="E32" s="41">
        <f t="shared" si="0"/>
        <v>5</v>
      </c>
      <c r="F32" s="19">
        <v>8</v>
      </c>
      <c r="G32" s="41">
        <f t="shared" si="1"/>
        <v>40</v>
      </c>
      <c r="H32" s="25">
        <f>'2020'!G21</f>
        <v>40</v>
      </c>
      <c r="I32" s="24">
        <f t="shared" si="3"/>
        <v>0</v>
      </c>
      <c r="J32" s="24">
        <f t="shared" si="2"/>
        <v>0</v>
      </c>
      <c r="K32" s="159" t="s">
        <v>291</v>
      </c>
      <c r="N32" s="35"/>
    </row>
    <row r="33" spans="1:14" ht="15">
      <c r="A33" s="98" t="s">
        <v>71</v>
      </c>
      <c r="B33" s="64" t="s">
        <v>72</v>
      </c>
      <c r="C33" s="23">
        <v>89</v>
      </c>
      <c r="D33" s="23">
        <v>1</v>
      </c>
      <c r="E33" s="41">
        <f t="shared" si="0"/>
        <v>89</v>
      </c>
      <c r="F33" s="19">
        <v>3</v>
      </c>
      <c r="G33" s="41">
        <f t="shared" si="1"/>
        <v>267</v>
      </c>
      <c r="H33" s="25">
        <v>0</v>
      </c>
      <c r="I33" s="24">
        <f t="shared" si="3"/>
        <v>267</v>
      </c>
      <c r="J33" s="24">
        <v>0</v>
      </c>
      <c r="K33" s="159" t="s">
        <v>354</v>
      </c>
      <c r="N33" s="35"/>
    </row>
    <row r="34" spans="1:14" ht="28.5">
      <c r="A34" s="98" t="s">
        <v>73</v>
      </c>
      <c r="B34" s="64" t="s">
        <v>165</v>
      </c>
      <c r="C34" s="23">
        <v>89</v>
      </c>
      <c r="D34" s="23">
        <v>17</v>
      </c>
      <c r="E34" s="41">
        <f t="shared" si="0"/>
        <v>1513</v>
      </c>
      <c r="F34" s="19">
        <v>1</v>
      </c>
      <c r="G34" s="41">
        <f t="shared" si="1"/>
        <v>1513</v>
      </c>
      <c r="H34" s="25">
        <v>0</v>
      </c>
      <c r="I34" s="24">
        <f t="shared" si="3"/>
        <v>1513</v>
      </c>
      <c r="J34" s="24">
        <v>0</v>
      </c>
      <c r="K34" s="166" t="s">
        <v>354</v>
      </c>
      <c r="N34" s="35"/>
    </row>
    <row r="35" spans="1:14" ht="15">
      <c r="A35" s="98" t="s">
        <v>76</v>
      </c>
      <c r="B35" s="64" t="s">
        <v>77</v>
      </c>
      <c r="C35" s="23">
        <v>89</v>
      </c>
      <c r="D35" s="23">
        <v>1</v>
      </c>
      <c r="E35" s="41">
        <f t="shared" si="0"/>
        <v>89</v>
      </c>
      <c r="F35" s="19">
        <v>3</v>
      </c>
      <c r="G35" s="41">
        <f t="shared" si="1"/>
        <v>267</v>
      </c>
      <c r="H35" s="25">
        <v>0</v>
      </c>
      <c r="I35" s="24">
        <f t="shared" si="3"/>
        <v>267</v>
      </c>
      <c r="J35" s="24">
        <v>0</v>
      </c>
      <c r="K35" s="159" t="s">
        <v>354</v>
      </c>
      <c r="N35" s="35"/>
    </row>
    <row r="36" spans="1:14" ht="28.5">
      <c r="A36" s="98" t="s">
        <v>78</v>
      </c>
      <c r="B36" s="64" t="s">
        <v>364</v>
      </c>
      <c r="C36" s="23">
        <v>89</v>
      </c>
      <c r="D36" s="23">
        <f>(0.33*37417)/89</f>
        <v>138.73719101123595</v>
      </c>
      <c r="E36" s="41">
        <f t="shared" si="0"/>
        <v>12347.609999999999</v>
      </c>
      <c r="F36" s="19">
        <v>0.67800000000000005</v>
      </c>
      <c r="G36" s="41">
        <f t="shared" si="1"/>
        <v>8371.67958</v>
      </c>
      <c r="H36" s="25">
        <v>0</v>
      </c>
      <c r="I36" s="24">
        <f t="shared" si="3"/>
        <v>8371.67958</v>
      </c>
      <c r="J36" s="24">
        <v>0</v>
      </c>
      <c r="K36" s="159" t="s">
        <v>354</v>
      </c>
      <c r="N36" s="35"/>
    </row>
    <row r="37" spans="1:14" ht="15">
      <c r="A37" s="98" t="s">
        <v>80</v>
      </c>
      <c r="B37" s="64" t="s">
        <v>81</v>
      </c>
      <c r="C37" s="23">
        <v>89</v>
      </c>
      <c r="D37" s="23">
        <v>1</v>
      </c>
      <c r="E37" s="41">
        <f t="shared" si="0"/>
        <v>89</v>
      </c>
      <c r="F37" s="19">
        <v>8</v>
      </c>
      <c r="G37" s="41">
        <f t="shared" si="1"/>
        <v>712</v>
      </c>
      <c r="H37" s="25">
        <f>'2020'!G22</f>
        <v>712</v>
      </c>
      <c r="I37" s="24">
        <f t="shared" si="3"/>
        <v>0</v>
      </c>
      <c r="J37" s="24">
        <f t="shared" si="2"/>
        <v>0</v>
      </c>
      <c r="K37" s="159" t="s">
        <v>291</v>
      </c>
      <c r="N37" s="35"/>
    </row>
    <row r="38" spans="1:14" ht="15">
      <c r="A38" s="98" t="s">
        <v>80</v>
      </c>
      <c r="B38" s="64" t="s">
        <v>82</v>
      </c>
      <c r="C38" s="24">
        <v>89</v>
      </c>
      <c r="D38" s="23">
        <f>(S3/89)</f>
        <v>420.41573033707863</v>
      </c>
      <c r="E38" s="41">
        <f t="shared" si="0"/>
        <v>37417</v>
      </c>
      <c r="F38" s="19">
        <v>2</v>
      </c>
      <c r="G38" s="41">
        <f t="shared" si="1"/>
        <v>74834</v>
      </c>
      <c r="H38" s="25">
        <f>'2020'!G23</f>
        <v>82328</v>
      </c>
      <c r="I38" s="24">
        <v>0</v>
      </c>
      <c r="J38" s="24">
        <f t="shared" si="2"/>
        <v>-7494</v>
      </c>
      <c r="K38" s="159" t="s">
        <v>363</v>
      </c>
      <c r="N38" s="35"/>
    </row>
    <row r="39" spans="1:14" ht="102" customHeight="1">
      <c r="A39" s="98" t="s">
        <v>302</v>
      </c>
      <c r="B39" s="64" t="s">
        <v>195</v>
      </c>
      <c r="C39" s="24">
        <v>89</v>
      </c>
      <c r="D39" s="23">
        <f>(0.05*37417)/89</f>
        <v>21.020786516853935</v>
      </c>
      <c r="E39" s="41">
        <f t="shared" si="0"/>
        <v>1870.8500000000001</v>
      </c>
      <c r="F39" s="19">
        <v>1.3340000000000001</v>
      </c>
      <c r="G39" s="41">
        <f t="shared" si="1"/>
        <v>2495.7139000000002</v>
      </c>
      <c r="H39" s="25">
        <v>0</v>
      </c>
      <c r="I39" s="24">
        <f t="shared" si="3"/>
        <v>2495.7139000000002</v>
      </c>
      <c r="J39" s="24">
        <v>0</v>
      </c>
      <c r="K39" s="159" t="s">
        <v>354</v>
      </c>
      <c r="N39" s="35"/>
    </row>
    <row r="40" spans="1:14" ht="15">
      <c r="A40" s="98" t="s">
        <v>303</v>
      </c>
      <c r="B40" s="64" t="s">
        <v>197</v>
      </c>
      <c r="C40" s="24">
        <v>89</v>
      </c>
      <c r="D40" s="23">
        <f>(37417*0.05)/89</f>
        <v>21.020786516853935</v>
      </c>
      <c r="E40" s="41">
        <f t="shared" si="0"/>
        <v>1870.8500000000001</v>
      </c>
      <c r="F40" s="19">
        <v>2.3340000000000001</v>
      </c>
      <c r="G40" s="41">
        <f t="shared" si="1"/>
        <v>4366.5639000000001</v>
      </c>
      <c r="H40" s="25">
        <f>'2020'!G24</f>
        <v>4116.4000000000005</v>
      </c>
      <c r="I40" s="24">
        <v>0</v>
      </c>
      <c r="J40" s="24">
        <f t="shared" si="2"/>
        <v>250.16389999999956</v>
      </c>
      <c r="K40" s="166" t="s">
        <v>363</v>
      </c>
      <c r="N40" s="35"/>
    </row>
    <row r="41" spans="1:14" ht="28.5">
      <c r="A41" s="98" t="s">
        <v>89</v>
      </c>
      <c r="B41" s="64" t="s">
        <v>90</v>
      </c>
      <c r="C41" s="24">
        <v>2</v>
      </c>
      <c r="D41" s="23">
        <v>1</v>
      </c>
      <c r="E41" s="41">
        <f t="shared" si="0"/>
        <v>2</v>
      </c>
      <c r="F41" s="19">
        <v>3</v>
      </c>
      <c r="G41" s="41">
        <f t="shared" si="1"/>
        <v>6</v>
      </c>
      <c r="H41" s="25">
        <v>0</v>
      </c>
      <c r="I41" s="24">
        <f t="shared" si="3"/>
        <v>6</v>
      </c>
      <c r="J41" s="24">
        <v>0</v>
      </c>
      <c r="K41" s="159" t="s">
        <v>354</v>
      </c>
      <c r="N41" s="35"/>
    </row>
    <row r="42" spans="1:14" ht="15">
      <c r="A42" s="98" t="s">
        <v>91</v>
      </c>
      <c r="B42" s="64" t="s">
        <v>92</v>
      </c>
      <c r="C42" s="24">
        <v>89</v>
      </c>
      <c r="D42" s="23">
        <f>(37417*0.02)/89</f>
        <v>8.4083146067415733</v>
      </c>
      <c r="E42" s="41">
        <f t="shared" si="0"/>
        <v>748.34</v>
      </c>
      <c r="F42" s="19">
        <v>0.05</v>
      </c>
      <c r="G42" s="41">
        <f t="shared" si="1"/>
        <v>37.417000000000002</v>
      </c>
      <c r="H42" s="25">
        <v>0</v>
      </c>
      <c r="I42" s="24">
        <f t="shared" si="3"/>
        <v>37.417000000000002</v>
      </c>
      <c r="J42" s="24">
        <v>0</v>
      </c>
      <c r="K42" s="159" t="s">
        <v>354</v>
      </c>
      <c r="N42" s="35"/>
    </row>
    <row r="43" spans="1:14" ht="15">
      <c r="A43" s="98" t="s">
        <v>93</v>
      </c>
      <c r="B43" s="64" t="s">
        <v>94</v>
      </c>
      <c r="C43" s="24">
        <v>1</v>
      </c>
      <c r="D43" s="23">
        <v>12</v>
      </c>
      <c r="E43" s="41">
        <f>C43*D43</f>
        <v>12</v>
      </c>
      <c r="F43" s="19">
        <v>40</v>
      </c>
      <c r="G43" s="41">
        <f>E43*F43</f>
        <v>480</v>
      </c>
      <c r="H43" s="25">
        <v>0</v>
      </c>
      <c r="I43" s="24">
        <f t="shared" si="3"/>
        <v>480</v>
      </c>
      <c r="J43" s="24">
        <v>0</v>
      </c>
      <c r="K43" s="159" t="s">
        <v>354</v>
      </c>
      <c r="N43" s="35"/>
    </row>
    <row r="44" spans="1:14" ht="15">
      <c r="A44" s="98" t="s">
        <v>95</v>
      </c>
      <c r="B44" s="64" t="s">
        <v>96</v>
      </c>
      <c r="C44" s="23">
        <v>89</v>
      </c>
      <c r="D44" s="23">
        <f>10000/89</f>
        <v>112.35955056179775</v>
      </c>
      <c r="E44" s="41">
        <f t="shared" si="0"/>
        <v>10000</v>
      </c>
      <c r="F44" s="19">
        <v>1</v>
      </c>
      <c r="G44" s="41">
        <f t="shared" si="1"/>
        <v>10000</v>
      </c>
      <c r="H44" s="25">
        <f>'2020'!G25</f>
        <v>10000</v>
      </c>
      <c r="I44" s="24">
        <f t="shared" si="3"/>
        <v>0</v>
      </c>
      <c r="J44" s="24">
        <f t="shared" si="2"/>
        <v>0</v>
      </c>
      <c r="K44" s="159" t="s">
        <v>291</v>
      </c>
      <c r="N44" s="35"/>
    </row>
    <row r="45" spans="1:14" ht="28.5">
      <c r="A45" s="98" t="s">
        <v>97</v>
      </c>
      <c r="B45" s="64" t="s">
        <v>98</v>
      </c>
      <c r="C45" s="23">
        <v>89</v>
      </c>
      <c r="D45" s="23">
        <v>1</v>
      </c>
      <c r="E45" s="41">
        <f t="shared" si="0"/>
        <v>89</v>
      </c>
      <c r="F45" s="19">
        <v>2</v>
      </c>
      <c r="G45" s="41">
        <f t="shared" si="1"/>
        <v>178</v>
      </c>
      <c r="H45" s="25">
        <v>0</v>
      </c>
      <c r="I45" s="24">
        <f t="shared" si="3"/>
        <v>178</v>
      </c>
      <c r="J45" s="24">
        <v>0</v>
      </c>
      <c r="K45" s="159" t="s">
        <v>354</v>
      </c>
      <c r="N45" s="35"/>
    </row>
    <row r="46" spans="1:14" ht="15">
      <c r="A46" s="98" t="s">
        <v>99</v>
      </c>
      <c r="B46" s="64" t="s">
        <v>100</v>
      </c>
      <c r="C46" s="23">
        <v>89</v>
      </c>
      <c r="D46" s="23">
        <v>1</v>
      </c>
      <c r="E46" s="41">
        <f t="shared" si="0"/>
        <v>89</v>
      </c>
      <c r="F46" s="19">
        <v>40</v>
      </c>
      <c r="G46" s="41">
        <f t="shared" si="1"/>
        <v>3560</v>
      </c>
      <c r="H46" s="25">
        <f>'2020'!G26</f>
        <v>3560</v>
      </c>
      <c r="I46" s="24">
        <f t="shared" si="3"/>
        <v>0</v>
      </c>
      <c r="J46" s="24">
        <f t="shared" si="2"/>
        <v>0</v>
      </c>
      <c r="K46" s="159" t="s">
        <v>291</v>
      </c>
      <c r="N46" s="35"/>
    </row>
    <row r="47" spans="1:14" ht="15">
      <c r="A47" s="98" t="s">
        <v>101</v>
      </c>
      <c r="B47" s="64" t="s">
        <v>102</v>
      </c>
      <c r="C47" s="23">
        <v>89</v>
      </c>
      <c r="D47" s="23">
        <f>(6243959*0.02)/89</f>
        <v>1403.1368539325842</v>
      </c>
      <c r="E47" s="41">
        <f t="shared" si="0"/>
        <v>124879.18</v>
      </c>
      <c r="F47" s="19">
        <v>8.3500000000000005E-2</v>
      </c>
      <c r="G47" s="41">
        <f t="shared" si="1"/>
        <v>10427.411529999999</v>
      </c>
      <c r="H47" s="25">
        <v>0</v>
      </c>
      <c r="I47" s="24">
        <f t="shared" si="3"/>
        <v>10427.411529999999</v>
      </c>
      <c r="J47" s="24">
        <v>0</v>
      </c>
      <c r="K47" s="159" t="s">
        <v>354</v>
      </c>
      <c r="N47" s="35"/>
    </row>
    <row r="48" spans="1:14" ht="28.5">
      <c r="A48" s="98" t="s">
        <v>103</v>
      </c>
      <c r="B48" s="64" t="s">
        <v>104</v>
      </c>
      <c r="C48" s="23">
        <v>89</v>
      </c>
      <c r="D48" s="23">
        <f>(0.3*3289)/89</f>
        <v>11.086516853932583</v>
      </c>
      <c r="E48" s="41">
        <f t="shared" si="0"/>
        <v>986.69999999999993</v>
      </c>
      <c r="F48" s="19">
        <v>0.67800000000000005</v>
      </c>
      <c r="G48" s="41">
        <f t="shared" si="1"/>
        <v>668.98260000000005</v>
      </c>
      <c r="H48" s="25">
        <v>0</v>
      </c>
      <c r="I48" s="24">
        <f t="shared" si="3"/>
        <v>668.98260000000005</v>
      </c>
      <c r="J48" s="24">
        <v>0</v>
      </c>
      <c r="K48" s="159" t="s">
        <v>354</v>
      </c>
      <c r="N48" s="35"/>
    </row>
    <row r="49" spans="1:14" ht="15">
      <c r="A49" s="98" t="s">
        <v>105</v>
      </c>
      <c r="B49" s="64" t="s">
        <v>106</v>
      </c>
      <c r="C49" s="23">
        <v>89</v>
      </c>
      <c r="D49" s="23">
        <f>(3289*0.02)/89</f>
        <v>0.73910112359550562</v>
      </c>
      <c r="E49" s="41">
        <f>C49*D49</f>
        <v>65.78</v>
      </c>
      <c r="F49" s="19">
        <v>8.3500000000000005E-2</v>
      </c>
      <c r="G49" s="41">
        <f>E49*F49</f>
        <v>5.4926300000000001</v>
      </c>
      <c r="H49" s="25">
        <v>0</v>
      </c>
      <c r="I49" s="24">
        <f t="shared" si="3"/>
        <v>5.4926300000000001</v>
      </c>
      <c r="J49" s="24">
        <v>0</v>
      </c>
      <c r="K49" s="159" t="s">
        <v>354</v>
      </c>
      <c r="N49" s="35"/>
    </row>
    <row r="50" spans="1:14" ht="28.5">
      <c r="A50" s="98" t="s">
        <v>107</v>
      </c>
      <c r="B50" s="64" t="s">
        <v>108</v>
      </c>
      <c r="C50" s="23">
        <v>89</v>
      </c>
      <c r="D50" s="23">
        <v>1</v>
      </c>
      <c r="E50" s="41">
        <f>C50*D50</f>
        <v>89</v>
      </c>
      <c r="F50" s="19">
        <v>3</v>
      </c>
      <c r="G50" s="41">
        <f>E50*F50</f>
        <v>267</v>
      </c>
      <c r="H50" s="25">
        <v>0</v>
      </c>
      <c r="I50" s="24">
        <f t="shared" si="3"/>
        <v>267</v>
      </c>
      <c r="J50" s="24">
        <v>0</v>
      </c>
      <c r="K50" s="159" t="s">
        <v>354</v>
      </c>
      <c r="N50" s="35"/>
    </row>
    <row r="51" spans="1:14" ht="87" customHeight="1">
      <c r="A51" s="98" t="s">
        <v>111</v>
      </c>
      <c r="B51" s="64" t="s">
        <v>112</v>
      </c>
      <c r="C51" s="23">
        <v>20</v>
      </c>
      <c r="D51" s="23">
        <v>1</v>
      </c>
      <c r="E51" s="41">
        <f t="shared" si="0"/>
        <v>20</v>
      </c>
      <c r="F51" s="19">
        <v>160</v>
      </c>
      <c r="G51" s="41">
        <f t="shared" si="1"/>
        <v>3200</v>
      </c>
      <c r="H51" s="25">
        <f>'2020'!G27</f>
        <v>3200</v>
      </c>
      <c r="I51" s="24">
        <f t="shared" si="3"/>
        <v>0</v>
      </c>
      <c r="J51" s="24">
        <f t="shared" si="2"/>
        <v>0</v>
      </c>
      <c r="K51" s="168" t="s">
        <v>291</v>
      </c>
      <c r="N51" s="35"/>
    </row>
    <row r="52" spans="1:14" ht="30">
      <c r="A52" s="98" t="s">
        <v>113</v>
      </c>
      <c r="B52" s="64" t="s">
        <v>114</v>
      </c>
      <c r="C52" s="23">
        <v>27</v>
      </c>
      <c r="D52" s="23">
        <v>1</v>
      </c>
      <c r="E52" s="41">
        <f t="shared" si="0"/>
        <v>27</v>
      </c>
      <c r="F52" s="19">
        <v>2</v>
      </c>
      <c r="G52" s="41">
        <f t="shared" si="1"/>
        <v>54</v>
      </c>
      <c r="H52" s="25">
        <v>0</v>
      </c>
      <c r="I52" s="24">
        <f t="shared" si="3"/>
        <v>54</v>
      </c>
      <c r="J52" s="24">
        <v>0</v>
      </c>
      <c r="K52" s="168" t="s">
        <v>354</v>
      </c>
      <c r="N52" s="35"/>
    </row>
    <row r="53" spans="1:14" ht="15">
      <c r="A53" s="98" t="s">
        <v>115</v>
      </c>
      <c r="B53" s="64" t="s">
        <v>116</v>
      </c>
      <c r="C53" s="23">
        <v>89</v>
      </c>
      <c r="D53" s="23">
        <f>(1810*4)/89</f>
        <v>81.348314606741567</v>
      </c>
      <c r="E53" s="41">
        <f t="shared" si="0"/>
        <v>7239.9999999999991</v>
      </c>
      <c r="F53" s="19">
        <v>2</v>
      </c>
      <c r="G53" s="41">
        <f t="shared" si="1"/>
        <v>14479.999999999998</v>
      </c>
      <c r="H53" s="25">
        <f>'2020'!G28</f>
        <v>14464</v>
      </c>
      <c r="I53" s="24">
        <v>0</v>
      </c>
      <c r="J53" s="24">
        <f t="shared" si="2"/>
        <v>15.999999999998181</v>
      </c>
      <c r="K53" s="169" t="s">
        <v>365</v>
      </c>
      <c r="N53" s="35"/>
    </row>
    <row r="54" spans="1:14" ht="57">
      <c r="A54" s="98" t="s">
        <v>117</v>
      </c>
      <c r="B54" s="64" t="s">
        <v>118</v>
      </c>
      <c r="C54" s="23">
        <v>30</v>
      </c>
      <c r="D54" s="23">
        <v>1</v>
      </c>
      <c r="E54" s="41">
        <f t="shared" si="0"/>
        <v>30</v>
      </c>
      <c r="F54" s="19">
        <v>1.5</v>
      </c>
      <c r="G54" s="41">
        <f t="shared" si="1"/>
        <v>45</v>
      </c>
      <c r="H54" s="25">
        <v>0</v>
      </c>
      <c r="I54" s="24">
        <f t="shared" si="3"/>
        <v>45</v>
      </c>
      <c r="J54" s="24">
        <v>0</v>
      </c>
      <c r="K54" s="168" t="s">
        <v>354</v>
      </c>
      <c r="N54" s="35"/>
    </row>
    <row r="55" spans="1:14" ht="28.5">
      <c r="A55" s="98" t="s">
        <v>119</v>
      </c>
      <c r="B55" s="64" t="s">
        <v>120</v>
      </c>
      <c r="C55" s="23">
        <f>79/5</f>
        <v>15.8</v>
      </c>
      <c r="D55" s="23">
        <v>1</v>
      </c>
      <c r="E55" s="41">
        <f t="shared" si="0"/>
        <v>15.8</v>
      </c>
      <c r="F55" s="19">
        <v>1968</v>
      </c>
      <c r="G55" s="41">
        <f t="shared" si="1"/>
        <v>31094.400000000001</v>
      </c>
      <c r="H55" s="25">
        <v>0</v>
      </c>
      <c r="I55" s="24">
        <f t="shared" si="3"/>
        <v>31094.400000000001</v>
      </c>
      <c r="J55" s="24">
        <v>0</v>
      </c>
      <c r="K55" s="168" t="s">
        <v>354</v>
      </c>
      <c r="N55" s="35"/>
    </row>
    <row r="56" spans="1:14" ht="15">
      <c r="A56" s="98" t="s">
        <v>121</v>
      </c>
      <c r="B56" s="64" t="s">
        <v>122</v>
      </c>
      <c r="C56" s="23">
        <v>2</v>
      </c>
      <c r="D56" s="23">
        <v>1</v>
      </c>
      <c r="E56" s="41">
        <f t="shared" si="0"/>
        <v>2</v>
      </c>
      <c r="F56" s="19">
        <v>8</v>
      </c>
      <c r="G56" s="41">
        <f t="shared" si="1"/>
        <v>16</v>
      </c>
      <c r="H56" s="25">
        <v>0</v>
      </c>
      <c r="I56" s="24">
        <f t="shared" si="3"/>
        <v>16</v>
      </c>
      <c r="J56" s="24">
        <v>0</v>
      </c>
      <c r="K56" s="168" t="s">
        <v>354</v>
      </c>
      <c r="N56" s="35"/>
    </row>
    <row r="57" spans="1:14" ht="28.5">
      <c r="A57" s="98" t="s">
        <v>123</v>
      </c>
      <c r="B57" s="64" t="s">
        <v>124</v>
      </c>
      <c r="C57" s="23">
        <v>2</v>
      </c>
      <c r="D57" s="23">
        <v>1</v>
      </c>
      <c r="E57" s="41">
        <f t="shared" si="0"/>
        <v>2</v>
      </c>
      <c r="F57" s="19">
        <v>480</v>
      </c>
      <c r="G57" s="41">
        <f t="shared" si="1"/>
        <v>960</v>
      </c>
      <c r="H57" s="25">
        <v>0</v>
      </c>
      <c r="I57" s="24">
        <f t="shared" si="3"/>
        <v>960</v>
      </c>
      <c r="J57" s="24">
        <v>0</v>
      </c>
      <c r="K57" s="159" t="s">
        <v>354</v>
      </c>
      <c r="N57" s="35"/>
    </row>
    <row r="58" spans="1:14" ht="15">
      <c r="A58" s="98" t="s">
        <v>127</v>
      </c>
      <c r="B58" s="64" t="s">
        <v>128</v>
      </c>
      <c r="C58" s="23">
        <v>89</v>
      </c>
      <c r="D58" s="23">
        <f>(10/89)</f>
        <v>0.11235955056179775</v>
      </c>
      <c r="E58" s="41">
        <f t="shared" si="0"/>
        <v>10</v>
      </c>
      <c r="F58" s="19">
        <v>8</v>
      </c>
      <c r="G58" s="41">
        <f t="shared" si="1"/>
        <v>80</v>
      </c>
      <c r="H58" s="25">
        <f>'2020'!G29</f>
        <v>80</v>
      </c>
      <c r="I58" s="24">
        <f t="shared" si="3"/>
        <v>0</v>
      </c>
      <c r="J58" s="24">
        <f t="shared" si="2"/>
        <v>0</v>
      </c>
      <c r="K58" s="159" t="s">
        <v>291</v>
      </c>
      <c r="N58" s="35"/>
    </row>
    <row r="59" spans="1:14" ht="28.5">
      <c r="A59" s="98">
        <v>246.18</v>
      </c>
      <c r="B59" s="64" t="s">
        <v>129</v>
      </c>
      <c r="C59" s="23">
        <v>89</v>
      </c>
      <c r="D59" s="23">
        <f>((37417+3289)*0.02)/89</f>
        <v>9.1474157303370784</v>
      </c>
      <c r="E59" s="41">
        <f t="shared" si="0"/>
        <v>814.12</v>
      </c>
      <c r="F59" s="19">
        <v>2</v>
      </c>
      <c r="G59" s="41">
        <f t="shared" si="1"/>
        <v>1628.24</v>
      </c>
      <c r="H59" s="25">
        <v>0</v>
      </c>
      <c r="I59" s="24">
        <f t="shared" si="3"/>
        <v>1628.24</v>
      </c>
      <c r="J59" s="24">
        <v>0</v>
      </c>
      <c r="K59" s="110" t="s">
        <v>354</v>
      </c>
      <c r="N59" s="35"/>
    </row>
    <row r="60" spans="1:14" ht="15">
      <c r="A60" s="98">
        <v>246.19</v>
      </c>
      <c r="B60" s="64" t="s">
        <v>132</v>
      </c>
      <c r="C60" s="23">
        <v>17</v>
      </c>
      <c r="D60" s="23">
        <v>1</v>
      </c>
      <c r="E60" s="41">
        <f t="shared" si="0"/>
        <v>17</v>
      </c>
      <c r="F60" s="19">
        <v>3</v>
      </c>
      <c r="G60" s="41">
        <f t="shared" si="1"/>
        <v>51</v>
      </c>
      <c r="H60" s="25">
        <v>0</v>
      </c>
      <c r="I60" s="24">
        <f t="shared" si="3"/>
        <v>51</v>
      </c>
      <c r="J60" s="24">
        <v>0</v>
      </c>
      <c r="K60" s="159" t="s">
        <v>354</v>
      </c>
      <c r="N60" s="35"/>
    </row>
    <row r="61" spans="1:14" ht="15">
      <c r="A61" s="98" t="s">
        <v>130</v>
      </c>
      <c r="B61" s="64" t="s">
        <v>131</v>
      </c>
      <c r="C61" s="23">
        <f>89*0.33</f>
        <v>29.37</v>
      </c>
      <c r="D61" s="23">
        <v>1</v>
      </c>
      <c r="E61" s="41">
        <f t="shared" si="0"/>
        <v>29.37</v>
      </c>
      <c r="F61" s="19">
        <v>30</v>
      </c>
      <c r="G61" s="41">
        <f t="shared" si="1"/>
        <v>881.1</v>
      </c>
      <c r="H61" s="25">
        <f>'2020'!G30</f>
        <v>881.1</v>
      </c>
      <c r="I61" s="24">
        <f t="shared" si="3"/>
        <v>0</v>
      </c>
      <c r="J61" s="24">
        <f t="shared" si="2"/>
        <v>0</v>
      </c>
      <c r="K61" s="159" t="s">
        <v>291</v>
      </c>
      <c r="N61" s="35"/>
    </row>
    <row r="62" spans="1:14" ht="15">
      <c r="A62" s="98" t="s">
        <v>133</v>
      </c>
      <c r="B62" s="64" t="s">
        <v>134</v>
      </c>
      <c r="C62" s="23">
        <v>89</v>
      </c>
      <c r="D62" s="23">
        <f>(1810/2)/89</f>
        <v>10.168539325842696</v>
      </c>
      <c r="E62" s="41">
        <f t="shared" si="0"/>
        <v>904.99999999999989</v>
      </c>
      <c r="F62" s="19">
        <v>2</v>
      </c>
      <c r="G62" s="41">
        <f t="shared" si="1"/>
        <v>1809.9999999999998</v>
      </c>
      <c r="H62" s="25">
        <v>0</v>
      </c>
      <c r="I62" s="24">
        <f t="shared" si="3"/>
        <v>1809.9999999999998</v>
      </c>
      <c r="J62" s="24">
        <v>0</v>
      </c>
      <c r="K62" s="159" t="s">
        <v>354</v>
      </c>
      <c r="N62" s="35"/>
    </row>
    <row r="63" spans="1:14" ht="15">
      <c r="A63" s="98" t="s">
        <v>135</v>
      </c>
      <c r="B63" s="64" t="s">
        <v>136</v>
      </c>
      <c r="C63" s="23">
        <v>89</v>
      </c>
      <c r="D63" s="23">
        <f>(1810/89)*0.5*0.25</f>
        <v>2.542134831460674</v>
      </c>
      <c r="E63" s="41">
        <f t="shared" si="0"/>
        <v>226.24999999999997</v>
      </c>
      <c r="F63" s="19">
        <v>2</v>
      </c>
      <c r="G63" s="41">
        <f t="shared" si="1"/>
        <v>452.49999999999994</v>
      </c>
      <c r="H63" s="25">
        <f>'2020'!G31</f>
        <v>452</v>
      </c>
      <c r="I63" s="24">
        <v>0</v>
      </c>
      <c r="J63" s="24">
        <f t="shared" si="2"/>
        <v>0.49999999999994316</v>
      </c>
      <c r="K63" s="159" t="s">
        <v>365</v>
      </c>
      <c r="N63" s="35"/>
    </row>
    <row r="64" spans="1:14" ht="15">
      <c r="A64" s="108" t="s">
        <v>137</v>
      </c>
      <c r="B64" s="64" t="s">
        <v>138</v>
      </c>
      <c r="C64" s="23">
        <v>1</v>
      </c>
      <c r="D64" s="23">
        <v>1</v>
      </c>
      <c r="E64" s="41">
        <f t="shared" si="0"/>
        <v>1</v>
      </c>
      <c r="F64" s="19">
        <v>40</v>
      </c>
      <c r="G64" s="41">
        <f t="shared" si="1"/>
        <v>40</v>
      </c>
      <c r="H64" s="25">
        <f>'2020'!G32</f>
        <v>40</v>
      </c>
      <c r="I64" s="24">
        <f t="shared" si="3"/>
        <v>0</v>
      </c>
      <c r="J64" s="24">
        <f t="shared" si="2"/>
        <v>0</v>
      </c>
      <c r="K64" s="159" t="s">
        <v>291</v>
      </c>
    </row>
    <row r="65" spans="1:14" ht="15">
      <c r="A65" s="109" t="s">
        <v>139</v>
      </c>
      <c r="B65" s="110" t="s">
        <v>140</v>
      </c>
      <c r="C65" s="23">
        <v>89</v>
      </c>
      <c r="D65" s="23">
        <v>1</v>
      </c>
      <c r="E65" s="41">
        <f t="shared" si="0"/>
        <v>89</v>
      </c>
      <c r="F65" s="19">
        <v>8</v>
      </c>
      <c r="G65" s="41">
        <f t="shared" si="1"/>
        <v>712</v>
      </c>
      <c r="H65" s="25">
        <v>0</v>
      </c>
      <c r="I65" s="24">
        <f t="shared" si="3"/>
        <v>712</v>
      </c>
      <c r="J65" s="24">
        <v>0</v>
      </c>
      <c r="K65" s="170" t="s">
        <v>354</v>
      </c>
    </row>
    <row r="66" spans="1:14" ht="15">
      <c r="A66" s="98" t="s">
        <v>141</v>
      </c>
      <c r="B66" s="64" t="s">
        <v>142</v>
      </c>
      <c r="C66" s="23">
        <v>1</v>
      </c>
      <c r="D66" s="23">
        <v>1</v>
      </c>
      <c r="E66" s="41">
        <f t="shared" si="0"/>
        <v>1</v>
      </c>
      <c r="F66" s="19">
        <v>2</v>
      </c>
      <c r="G66" s="41">
        <f t="shared" si="1"/>
        <v>2</v>
      </c>
      <c r="H66" s="25">
        <v>0</v>
      </c>
      <c r="I66" s="24">
        <f t="shared" si="3"/>
        <v>2</v>
      </c>
      <c r="J66" s="24">
        <v>0</v>
      </c>
      <c r="K66" s="110" t="s">
        <v>354</v>
      </c>
    </row>
    <row r="67" spans="1:14" ht="15">
      <c r="A67" s="98" t="s">
        <v>143</v>
      </c>
      <c r="B67" s="64" t="s">
        <v>144</v>
      </c>
      <c r="C67" s="23">
        <v>1</v>
      </c>
      <c r="D67" s="23">
        <v>1</v>
      </c>
      <c r="E67" s="41">
        <f t="shared" si="0"/>
        <v>1</v>
      </c>
      <c r="F67" s="19">
        <v>2</v>
      </c>
      <c r="G67" s="41">
        <f t="shared" si="1"/>
        <v>2</v>
      </c>
      <c r="H67" s="25">
        <v>0</v>
      </c>
      <c r="I67" s="24">
        <f t="shared" si="3"/>
        <v>2</v>
      </c>
      <c r="J67" s="24">
        <v>0</v>
      </c>
      <c r="K67" s="110" t="s">
        <v>354</v>
      </c>
    </row>
    <row r="68" spans="1:14" ht="33" customHeight="1">
      <c r="A68" s="144" t="s">
        <v>145</v>
      </c>
      <c r="B68" s="111" t="s">
        <v>146</v>
      </c>
      <c r="C68" s="23">
        <f>(89*0.25)</f>
        <v>22.25</v>
      </c>
      <c r="D68" s="23">
        <v>1</v>
      </c>
      <c r="E68" s="41">
        <f t="shared" si="0"/>
        <v>22.25</v>
      </c>
      <c r="F68" s="19">
        <v>0.25</v>
      </c>
      <c r="G68" s="41">
        <f t="shared" si="1"/>
        <v>5.5625</v>
      </c>
      <c r="H68" s="25">
        <v>0</v>
      </c>
      <c r="I68" s="24">
        <f t="shared" si="3"/>
        <v>5.5625</v>
      </c>
      <c r="J68" s="24">
        <v>0</v>
      </c>
      <c r="K68" s="171" t="s">
        <v>354</v>
      </c>
    </row>
    <row r="69" spans="1:14" ht="23.65" customHeight="1">
      <c r="A69" s="538" t="s">
        <v>147</v>
      </c>
      <c r="B69" s="538"/>
      <c r="C69" s="11">
        <f>C5+1267</f>
        <v>1356</v>
      </c>
      <c r="D69" s="11">
        <f>E69/C69</f>
        <v>6853.6542000243026</v>
      </c>
      <c r="E69" s="11">
        <f>SUM(E5:E68)</f>
        <v>9293555.0952329542</v>
      </c>
      <c r="F69" s="33">
        <f>G69/E69</f>
        <v>0.35986735244540785</v>
      </c>
      <c r="G69" s="11">
        <f>SUM(G5:G68)</f>
        <v>3344447.0669270135</v>
      </c>
      <c r="H69" s="187">
        <v>2122588</v>
      </c>
      <c r="I69" s="33">
        <f>SUM(I5:I68)</f>
        <v>-266624.87144685403</v>
      </c>
      <c r="J69" s="11">
        <f>SUM(J5:J68)</f>
        <v>-1379797.7604261336</v>
      </c>
      <c r="K69" s="172"/>
    </row>
    <row r="70" spans="1:14" ht="42" customHeight="1">
      <c r="A70" s="575" t="s">
        <v>148</v>
      </c>
      <c r="B70" s="575"/>
      <c r="C70" s="575"/>
      <c r="D70" s="575"/>
      <c r="E70" s="575"/>
      <c r="F70" s="575"/>
      <c r="G70" s="575"/>
      <c r="H70" s="575"/>
      <c r="I70" s="575"/>
      <c r="J70" s="575"/>
      <c r="K70" s="575"/>
      <c r="L70" s="35"/>
      <c r="M70" s="35"/>
    </row>
    <row r="71" spans="1:14" ht="87" customHeight="1">
      <c r="A71" s="98" t="s">
        <v>32</v>
      </c>
      <c r="B71" s="64" t="s">
        <v>31</v>
      </c>
      <c r="C71" s="145">
        <v>1379126</v>
      </c>
      <c r="D71" s="23">
        <v>1</v>
      </c>
      <c r="E71" s="41">
        <f>C71*D71</f>
        <v>1379126</v>
      </c>
      <c r="F71" s="23">
        <v>0.41749999999999998</v>
      </c>
      <c r="G71" s="41">
        <f>E71*F71</f>
        <v>575785.10499999998</v>
      </c>
      <c r="H71" s="25">
        <f>'2020'!G35</f>
        <v>545710.576</v>
      </c>
      <c r="I71" s="112">
        <v>0</v>
      </c>
      <c r="J71" s="24">
        <f>G71-H71</f>
        <v>30074.52899999998</v>
      </c>
      <c r="K71" s="64" t="s">
        <v>366</v>
      </c>
      <c r="L71" s="35"/>
      <c r="M71" s="35"/>
      <c r="N71" s="35"/>
    </row>
    <row r="72" spans="1:14" ht="42.75">
      <c r="A72" s="98" t="s">
        <v>32</v>
      </c>
      <c r="B72" s="64" t="s">
        <v>149</v>
      </c>
      <c r="C72" s="146">
        <v>3400090</v>
      </c>
      <c r="D72" s="23">
        <v>1</v>
      </c>
      <c r="E72" s="41">
        <f t="shared" ref="E72:E81" si="4">C72*D72</f>
        <v>3400090</v>
      </c>
      <c r="F72" s="23">
        <v>0.41749999999999998</v>
      </c>
      <c r="G72" s="41">
        <f t="shared" ref="G72:G81" si="5">E72*F72</f>
        <v>1419537.575</v>
      </c>
      <c r="H72" s="25">
        <f>'2020'!G36</f>
        <v>882727.68150000006</v>
      </c>
      <c r="I72" s="112">
        <v>0</v>
      </c>
      <c r="J72" s="24">
        <f t="shared" ref="J72:J78" si="6">G72-H72</f>
        <v>536809.89349999989</v>
      </c>
      <c r="K72" s="64" t="s">
        <v>367</v>
      </c>
      <c r="L72" s="35"/>
      <c r="M72" s="35"/>
    </row>
    <row r="73" spans="1:14" ht="42.75">
      <c r="A73" s="98" t="s">
        <v>32</v>
      </c>
      <c r="B73" s="64" t="s">
        <v>34</v>
      </c>
      <c r="C73" s="145">
        <v>1464744</v>
      </c>
      <c r="D73" s="23">
        <v>1</v>
      </c>
      <c r="E73" s="41">
        <f t="shared" si="4"/>
        <v>1464744</v>
      </c>
      <c r="F73" s="23">
        <v>0.41749999999999998</v>
      </c>
      <c r="G73" s="41">
        <f t="shared" si="5"/>
        <v>611530.62</v>
      </c>
      <c r="H73" s="25">
        <f>'2020'!G37</f>
        <v>285970.967</v>
      </c>
      <c r="I73" s="112">
        <v>0</v>
      </c>
      <c r="J73" s="24">
        <f t="shared" si="6"/>
        <v>325559.65299999999</v>
      </c>
      <c r="K73" s="64" t="s">
        <v>368</v>
      </c>
      <c r="L73" s="35"/>
      <c r="M73" s="35"/>
    </row>
    <row r="74" spans="1:14" ht="28.5">
      <c r="A74" s="98">
        <v>246.7</v>
      </c>
      <c r="B74" s="64" t="s">
        <v>150</v>
      </c>
      <c r="C74" s="27">
        <v>6243960</v>
      </c>
      <c r="D74" s="23">
        <v>1</v>
      </c>
      <c r="E74" s="41">
        <f t="shared" si="4"/>
        <v>6243960</v>
      </c>
      <c r="F74" s="23">
        <v>0.33400000000000002</v>
      </c>
      <c r="G74" s="41">
        <f t="shared" si="5"/>
        <v>2085482.6400000001</v>
      </c>
      <c r="H74" s="25">
        <v>0</v>
      </c>
      <c r="I74" s="112">
        <f t="shared" ref="I74:I81" si="7">G74-H74</f>
        <v>2085482.6400000001</v>
      </c>
      <c r="J74" s="24">
        <v>0</v>
      </c>
      <c r="K74" s="159" t="s">
        <v>354</v>
      </c>
      <c r="L74" s="35"/>
      <c r="M74" s="35"/>
    </row>
    <row r="75" spans="1:14" ht="15">
      <c r="A75" s="98" t="s">
        <v>151</v>
      </c>
      <c r="B75" s="64" t="s">
        <v>152</v>
      </c>
      <c r="C75" s="27">
        <v>6243960</v>
      </c>
      <c r="D75" s="23">
        <v>1</v>
      </c>
      <c r="E75" s="41">
        <f t="shared" si="4"/>
        <v>6243960</v>
      </c>
      <c r="F75" s="23">
        <v>0.33400000000000002</v>
      </c>
      <c r="G75" s="41">
        <f t="shared" si="5"/>
        <v>2085482.6400000001</v>
      </c>
      <c r="H75" s="25">
        <v>0</v>
      </c>
      <c r="I75" s="112">
        <f t="shared" si="7"/>
        <v>2085482.6400000001</v>
      </c>
      <c r="J75" s="24">
        <v>0</v>
      </c>
      <c r="K75" s="159" t="s">
        <v>354</v>
      </c>
      <c r="L75" s="35"/>
      <c r="M75" s="35"/>
    </row>
    <row r="76" spans="1:14" ht="15">
      <c r="A76" s="98">
        <v>246.9</v>
      </c>
      <c r="B76" s="64" t="s">
        <v>153</v>
      </c>
      <c r="C76" s="27">
        <f>(6243959*0.02*0.02)</f>
        <v>2497.5836000000004</v>
      </c>
      <c r="D76" s="23">
        <v>1</v>
      </c>
      <c r="E76" s="41">
        <f t="shared" si="4"/>
        <v>2497.5836000000004</v>
      </c>
      <c r="F76" s="23">
        <v>2</v>
      </c>
      <c r="G76" s="41">
        <f t="shared" si="5"/>
        <v>4995.1672000000008</v>
      </c>
      <c r="H76" s="25">
        <v>0</v>
      </c>
      <c r="I76" s="112">
        <f t="shared" si="7"/>
        <v>4995.1672000000008</v>
      </c>
      <c r="J76" s="24">
        <v>0</v>
      </c>
      <c r="K76" s="159" t="s">
        <v>354</v>
      </c>
    </row>
    <row r="77" spans="1:14" ht="40.5" customHeight="1">
      <c r="A77" s="98" t="s">
        <v>53</v>
      </c>
      <c r="B77" s="64" t="s">
        <v>54</v>
      </c>
      <c r="C77" s="27">
        <f>1464744*0.01</f>
        <v>14647.44</v>
      </c>
      <c r="D77" s="23">
        <v>1</v>
      </c>
      <c r="E77" s="41">
        <f t="shared" si="4"/>
        <v>14647.44</v>
      </c>
      <c r="F77" s="23">
        <v>3.3399999999999999E-2</v>
      </c>
      <c r="G77" s="41">
        <f t="shared" si="5"/>
        <v>489.22449599999999</v>
      </c>
      <c r="H77" s="25">
        <f>'2020'!G38</f>
        <v>572</v>
      </c>
      <c r="I77" s="112">
        <v>0</v>
      </c>
      <c r="J77" s="24">
        <f t="shared" si="6"/>
        <v>-82.775504000000012</v>
      </c>
      <c r="K77" s="64" t="s">
        <v>369</v>
      </c>
    </row>
    <row r="78" spans="1:14" ht="40.5" customHeight="1">
      <c r="A78" s="98" t="s">
        <v>53</v>
      </c>
      <c r="B78" s="64" t="s">
        <v>154</v>
      </c>
      <c r="C78" s="27">
        <f>(3400090*0.01)+(1464744*0.01)+(1379126*0.01)</f>
        <v>62439.600000000006</v>
      </c>
      <c r="D78" s="23">
        <v>2</v>
      </c>
      <c r="E78" s="41">
        <f t="shared" si="4"/>
        <v>124879.20000000001</v>
      </c>
      <c r="F78" s="23">
        <v>5.0099999999999999E-2</v>
      </c>
      <c r="G78" s="41">
        <f t="shared" si="5"/>
        <v>6256.4479200000005</v>
      </c>
      <c r="H78" s="113">
        <f>'2020'!G39</f>
        <v>12051.910709999998</v>
      </c>
      <c r="I78" s="112">
        <v>0</v>
      </c>
      <c r="J78" s="24">
        <f t="shared" si="6"/>
        <v>-5795.4627899999978</v>
      </c>
      <c r="K78" s="64" t="s">
        <v>370</v>
      </c>
    </row>
    <row r="79" spans="1:14" ht="51.75" customHeight="1">
      <c r="A79" s="114" t="s">
        <v>155</v>
      </c>
      <c r="B79" s="111" t="s">
        <v>156</v>
      </c>
      <c r="C79" s="27">
        <v>6243960</v>
      </c>
      <c r="D79" s="23">
        <v>1</v>
      </c>
      <c r="E79" s="41">
        <f t="shared" si="4"/>
        <v>6243960</v>
      </c>
      <c r="F79" s="23">
        <v>0.25</v>
      </c>
      <c r="G79" s="41">
        <f t="shared" si="5"/>
        <v>1560990</v>
      </c>
      <c r="H79" s="113">
        <v>0</v>
      </c>
      <c r="I79" s="112">
        <f t="shared" si="7"/>
        <v>1560990</v>
      </c>
      <c r="J79" s="24">
        <v>0</v>
      </c>
      <c r="K79" s="64" t="s">
        <v>354</v>
      </c>
    </row>
    <row r="80" spans="1:14" ht="52.5" customHeight="1">
      <c r="A80" s="114" t="s">
        <v>306</v>
      </c>
      <c r="B80" s="147" t="s">
        <v>158</v>
      </c>
      <c r="C80" s="27">
        <f>((6243959/89)/2)*17</f>
        <v>596333.16292134835</v>
      </c>
      <c r="D80" s="23">
        <v>3</v>
      </c>
      <c r="E80" s="41">
        <f t="shared" si="4"/>
        <v>1788999.4887640451</v>
      </c>
      <c r="F80" s="23">
        <v>0.5</v>
      </c>
      <c r="G80" s="41">
        <f t="shared" si="5"/>
        <v>894499.74438202253</v>
      </c>
      <c r="H80" s="113">
        <v>0</v>
      </c>
      <c r="I80" s="112">
        <f t="shared" si="7"/>
        <v>894499.74438202253</v>
      </c>
      <c r="J80" s="24">
        <v>0</v>
      </c>
      <c r="K80" s="64" t="s">
        <v>354</v>
      </c>
    </row>
    <row r="81" spans="1:11" ht="50.25" customHeight="1" thickBot="1">
      <c r="A81" s="114" t="s">
        <v>306</v>
      </c>
      <c r="B81" s="147" t="s">
        <v>159</v>
      </c>
      <c r="C81" s="27">
        <f>((6243960/89)/2)*72</f>
        <v>2525646.7415730339</v>
      </c>
      <c r="D81" s="23">
        <v>1</v>
      </c>
      <c r="E81" s="41">
        <f t="shared" si="4"/>
        <v>2525646.7415730339</v>
      </c>
      <c r="F81" s="23">
        <v>0.5</v>
      </c>
      <c r="G81" s="41">
        <f t="shared" si="5"/>
        <v>1262823.3707865169</v>
      </c>
      <c r="H81" s="113">
        <v>0</v>
      </c>
      <c r="I81" s="112">
        <f t="shared" si="7"/>
        <v>1262823.3707865169</v>
      </c>
      <c r="J81" s="24">
        <v>0</v>
      </c>
      <c r="K81" s="173" t="s">
        <v>354</v>
      </c>
    </row>
    <row r="82" spans="1:11" ht="15.75" customHeight="1" thickBot="1">
      <c r="A82" s="550" t="s">
        <v>160</v>
      </c>
      <c r="B82" s="550"/>
      <c r="C82" s="15">
        <f>C71+C72+C73</f>
        <v>6243960</v>
      </c>
      <c r="D82" s="33">
        <f>E82/C82</f>
        <v>4.7137570474405788</v>
      </c>
      <c r="E82" s="11">
        <f>SUM(E71:E81)</f>
        <v>29432510.453937076</v>
      </c>
      <c r="F82" s="33">
        <f>G82/E82</f>
        <v>0.35701584311775697</v>
      </c>
      <c r="G82" s="11">
        <f>SUM(G71:G81)</f>
        <v>10507872.534784541</v>
      </c>
      <c r="H82" s="11">
        <f>SUM(H71:H81)</f>
        <v>1727033.13521</v>
      </c>
      <c r="I82" s="33">
        <f>SUM(I71:I81)</f>
        <v>7894273.5623685401</v>
      </c>
      <c r="J82" s="11">
        <f>SUM(J71:J81)</f>
        <v>886565.83720599976</v>
      </c>
      <c r="K82" s="172"/>
    </row>
    <row r="83" spans="1:11" ht="15.75" thickBot="1">
      <c r="A83" s="575" t="s">
        <v>161</v>
      </c>
      <c r="B83" s="575"/>
      <c r="C83" s="575"/>
      <c r="D83" s="575"/>
      <c r="E83" s="575"/>
      <c r="F83" s="575"/>
      <c r="G83" s="575"/>
      <c r="H83" s="575"/>
      <c r="I83" s="575"/>
      <c r="J83" s="575"/>
      <c r="K83" s="575"/>
    </row>
    <row r="84" spans="1:11" ht="15">
      <c r="A84" s="115" t="s">
        <v>19</v>
      </c>
      <c r="B84" s="116" t="s">
        <v>371</v>
      </c>
      <c r="C84" s="117">
        <f>543*0.5</f>
        <v>271.5</v>
      </c>
      <c r="D84" s="117">
        <v>1</v>
      </c>
      <c r="E84" s="134">
        <f>C84*D84</f>
        <v>271.5</v>
      </c>
      <c r="F84" s="118">
        <v>2</v>
      </c>
      <c r="G84" s="136">
        <f>E84*F84</f>
        <v>543</v>
      </c>
      <c r="H84" s="119">
        <v>0</v>
      </c>
      <c r="I84" s="117">
        <f>G84-H84</f>
        <v>543</v>
      </c>
      <c r="J84" s="117">
        <v>0</v>
      </c>
      <c r="K84" s="174" t="s">
        <v>354</v>
      </c>
    </row>
    <row r="85" spans="1:11" ht="15">
      <c r="A85" s="73" t="s">
        <v>32</v>
      </c>
      <c r="B85" s="64" t="s">
        <v>31</v>
      </c>
      <c r="C85" s="117">
        <f>1810*0.3</f>
        <v>543</v>
      </c>
      <c r="D85" s="120">
        <f>(0.3*1379126)/543</f>
        <v>761.9480662983425</v>
      </c>
      <c r="E85" s="134">
        <f t="shared" ref="E85:E102" si="8">C85*D85</f>
        <v>413737.8</v>
      </c>
      <c r="F85" s="141">
        <v>0.41749999999999998</v>
      </c>
      <c r="G85" s="136">
        <f t="shared" ref="G85:G102" si="9">E85*F85</f>
        <v>172735.53149999998</v>
      </c>
      <c r="H85" s="119">
        <v>0</v>
      </c>
      <c r="I85" s="117">
        <f t="shared" ref="I85:I102" si="10">G85-H85</f>
        <v>172735.53149999998</v>
      </c>
      <c r="J85" s="117">
        <v>0</v>
      </c>
      <c r="K85" s="111" t="s">
        <v>354</v>
      </c>
    </row>
    <row r="86" spans="1:11" ht="15">
      <c r="A86" s="73" t="s">
        <v>32</v>
      </c>
      <c r="B86" s="64" t="s">
        <v>149</v>
      </c>
      <c r="C86" s="117">
        <f>1810*0.3</f>
        <v>543</v>
      </c>
      <c r="D86" s="121">
        <f>(0.3*3400090)/543</f>
        <v>1878.5027624309391</v>
      </c>
      <c r="E86" s="134">
        <f t="shared" si="8"/>
        <v>1020027</v>
      </c>
      <c r="F86" s="141">
        <v>0.41749999999999998</v>
      </c>
      <c r="G86" s="136">
        <f t="shared" si="9"/>
        <v>425861.27249999996</v>
      </c>
      <c r="H86" s="119">
        <v>0</v>
      </c>
      <c r="I86" s="117">
        <f t="shared" si="10"/>
        <v>425861.27249999996</v>
      </c>
      <c r="J86" s="117">
        <v>0</v>
      </c>
      <c r="K86" s="111" t="s">
        <v>354</v>
      </c>
    </row>
    <row r="87" spans="1:11" ht="15">
      <c r="A87" s="73" t="s">
        <v>32</v>
      </c>
      <c r="B87" s="64" t="s">
        <v>34</v>
      </c>
      <c r="C87" s="117">
        <f>1810*0.3</f>
        <v>543</v>
      </c>
      <c r="D87" s="121">
        <f>(1*0.3*1464744)/543</f>
        <v>809.25082872928181</v>
      </c>
      <c r="E87" s="134">
        <f t="shared" si="8"/>
        <v>439423.2</v>
      </c>
      <c r="F87" s="141">
        <v>0.41749999999999998</v>
      </c>
      <c r="G87" s="136">
        <f t="shared" si="9"/>
        <v>183459.18599999999</v>
      </c>
      <c r="H87" s="119">
        <v>0</v>
      </c>
      <c r="I87" s="117">
        <f t="shared" si="10"/>
        <v>183459.18599999999</v>
      </c>
      <c r="J87" s="117">
        <v>0</v>
      </c>
      <c r="K87" s="111" t="s">
        <v>354</v>
      </c>
    </row>
    <row r="88" spans="1:11" ht="15">
      <c r="A88" s="73" t="s">
        <v>38</v>
      </c>
      <c r="B88" s="64" t="s">
        <v>39</v>
      </c>
      <c r="C88" s="23">
        <f>0.3*1810</f>
        <v>543</v>
      </c>
      <c r="D88" s="23">
        <f>(0.03*6243960/543)*0.3</f>
        <v>103.49104972375689</v>
      </c>
      <c r="E88" s="41">
        <f t="shared" si="8"/>
        <v>56195.639999999992</v>
      </c>
      <c r="F88" s="19">
        <v>8.3500000000000005E-2</v>
      </c>
      <c r="G88" s="41">
        <f t="shared" si="9"/>
        <v>4692.3359399999999</v>
      </c>
      <c r="H88" s="25">
        <f>'2020'!G84</f>
        <v>0</v>
      </c>
      <c r="I88" s="24">
        <v>0</v>
      </c>
      <c r="J88" s="24">
        <f t="shared" ref="J88:J89" si="11">G88-H88</f>
        <v>4692.3359399999999</v>
      </c>
      <c r="K88" s="159" t="s">
        <v>359</v>
      </c>
    </row>
    <row r="89" spans="1:11" ht="28.5">
      <c r="A89" s="73" t="s">
        <v>53</v>
      </c>
      <c r="B89" s="64" t="s">
        <v>54</v>
      </c>
      <c r="C89" s="23">
        <f>0.3*1810</f>
        <v>543</v>
      </c>
      <c r="D89" s="23">
        <f>(1464744*0.3*0.01)/543</f>
        <v>8.0925082872928176</v>
      </c>
      <c r="E89" s="41">
        <f t="shared" si="8"/>
        <v>4394.232</v>
      </c>
      <c r="F89" s="19">
        <v>3.3399999999999999E-2</v>
      </c>
      <c r="G89" s="41">
        <f t="shared" si="9"/>
        <v>146.76734880000001</v>
      </c>
      <c r="H89" s="25">
        <f>'2020'!G82</f>
        <v>0</v>
      </c>
      <c r="I89" s="24">
        <v>0</v>
      </c>
      <c r="J89" s="24">
        <f t="shared" si="11"/>
        <v>146.76734880000001</v>
      </c>
      <c r="K89" s="64" t="s">
        <v>372</v>
      </c>
    </row>
    <row r="90" spans="1:11" ht="30">
      <c r="A90" s="73" t="s">
        <v>57</v>
      </c>
      <c r="B90" s="64" t="s">
        <v>58</v>
      </c>
      <c r="C90" s="23">
        <f>0.3*1810</f>
        <v>543</v>
      </c>
      <c r="D90" s="23">
        <f>(6243960*0.3)/543</f>
        <v>3449.7016574585637</v>
      </c>
      <c r="E90" s="41">
        <f t="shared" si="8"/>
        <v>1873188</v>
      </c>
      <c r="F90" s="19">
        <v>0.25</v>
      </c>
      <c r="G90" s="41">
        <f t="shared" si="9"/>
        <v>468297</v>
      </c>
      <c r="H90" s="25">
        <v>0</v>
      </c>
      <c r="I90" s="24">
        <f t="shared" ref="I90" si="12">G90-H90</f>
        <v>468297</v>
      </c>
      <c r="J90" s="24">
        <v>0</v>
      </c>
      <c r="K90" s="64" t="s">
        <v>354</v>
      </c>
    </row>
    <row r="91" spans="1:11" ht="15.75" thickBot="1">
      <c r="A91" s="73" t="s">
        <v>59</v>
      </c>
      <c r="B91" s="64" t="s">
        <v>60</v>
      </c>
      <c r="C91" s="23">
        <f>0.3*1810</f>
        <v>543</v>
      </c>
      <c r="D91" s="23">
        <v>1</v>
      </c>
      <c r="E91" s="41">
        <f t="shared" si="8"/>
        <v>543</v>
      </c>
      <c r="F91" s="19">
        <v>40</v>
      </c>
      <c r="G91" s="41">
        <f t="shared" si="9"/>
        <v>21720</v>
      </c>
      <c r="H91" s="25">
        <f>'2020'!G82</f>
        <v>0</v>
      </c>
      <c r="I91" s="24">
        <v>0</v>
      </c>
      <c r="J91" s="24">
        <f t="shared" ref="J91" si="13">G91-H91</f>
        <v>21720</v>
      </c>
      <c r="K91" s="159" t="s">
        <v>353</v>
      </c>
    </row>
    <row r="92" spans="1:11" ht="41.25" customHeight="1">
      <c r="A92" s="73" t="s">
        <v>66</v>
      </c>
      <c r="B92" s="64" t="s">
        <v>164</v>
      </c>
      <c r="C92" s="23">
        <v>840</v>
      </c>
      <c r="D92" s="23">
        <v>1</v>
      </c>
      <c r="E92" s="134">
        <f t="shared" si="8"/>
        <v>840</v>
      </c>
      <c r="F92" s="19">
        <v>2</v>
      </c>
      <c r="G92" s="136">
        <f t="shared" si="9"/>
        <v>1680</v>
      </c>
      <c r="H92" s="25">
        <f>'2020'!G42</f>
        <v>7382</v>
      </c>
      <c r="I92" s="117">
        <f t="shared" si="10"/>
        <v>-5702</v>
      </c>
      <c r="J92" s="117">
        <f t="shared" ref="J92:J98" si="14">G92-H92</f>
        <v>-5702</v>
      </c>
      <c r="K92" s="175" t="s">
        <v>362</v>
      </c>
    </row>
    <row r="93" spans="1:11" ht="41.25" customHeight="1">
      <c r="A93" s="73" t="s">
        <v>68</v>
      </c>
      <c r="B93" s="64" t="s">
        <v>69</v>
      </c>
      <c r="C93" s="23">
        <f>(79/89)*37417</f>
        <v>33212.84269662921</v>
      </c>
      <c r="D93" s="23">
        <v>2</v>
      </c>
      <c r="E93" s="135">
        <f t="shared" si="8"/>
        <v>66425.68539325842</v>
      </c>
      <c r="F93" s="19">
        <v>2</v>
      </c>
      <c r="G93" s="137">
        <f t="shared" si="9"/>
        <v>132851.37078651684</v>
      </c>
      <c r="H93" s="25">
        <f>'2020'!G43</f>
        <v>146155.32584269662</v>
      </c>
      <c r="I93" s="117">
        <v>0</v>
      </c>
      <c r="J93" s="117">
        <f t="shared" si="14"/>
        <v>-13303.955056179781</v>
      </c>
      <c r="K93" s="159" t="s">
        <v>373</v>
      </c>
    </row>
    <row r="94" spans="1:11" ht="41.25" customHeight="1">
      <c r="A94" s="73" t="s">
        <v>73</v>
      </c>
      <c r="B94" s="64" t="s">
        <v>165</v>
      </c>
      <c r="C94" s="23">
        <f>89*17</f>
        <v>1513</v>
      </c>
      <c r="D94" s="23">
        <v>1</v>
      </c>
      <c r="E94" s="134">
        <f t="shared" si="8"/>
        <v>1513</v>
      </c>
      <c r="F94" s="19">
        <v>1</v>
      </c>
      <c r="G94" s="136">
        <f t="shared" si="9"/>
        <v>1513</v>
      </c>
      <c r="H94" s="25">
        <v>0</v>
      </c>
      <c r="I94" s="117">
        <f t="shared" si="10"/>
        <v>1513</v>
      </c>
      <c r="J94" s="117">
        <v>0</v>
      </c>
      <c r="K94" s="159" t="s">
        <v>354</v>
      </c>
    </row>
    <row r="95" spans="1:11" ht="41.25" customHeight="1">
      <c r="A95" s="73" t="s">
        <v>78</v>
      </c>
      <c r="B95" s="64" t="s">
        <v>328</v>
      </c>
      <c r="C95" s="23">
        <f>0.33*37417</f>
        <v>12347.61</v>
      </c>
      <c r="D95" s="23">
        <v>1</v>
      </c>
      <c r="E95" s="134">
        <f t="shared" si="8"/>
        <v>12347.61</v>
      </c>
      <c r="F95" s="19">
        <v>1</v>
      </c>
      <c r="G95" s="136">
        <f t="shared" si="9"/>
        <v>12347.61</v>
      </c>
      <c r="H95" s="25">
        <f>'2020'!G44</f>
        <v>13584.12</v>
      </c>
      <c r="I95" s="117">
        <v>0</v>
      </c>
      <c r="J95" s="117">
        <f t="shared" si="14"/>
        <v>-1236.5100000000002</v>
      </c>
      <c r="K95" s="159" t="s">
        <v>374</v>
      </c>
    </row>
    <row r="96" spans="1:11" ht="41.25" customHeight="1">
      <c r="A96" s="77" t="s">
        <v>375</v>
      </c>
      <c r="B96" s="64" t="s">
        <v>168</v>
      </c>
      <c r="C96" s="142">
        <v>37417</v>
      </c>
      <c r="D96" s="23">
        <v>1</v>
      </c>
      <c r="E96" s="134">
        <f t="shared" si="8"/>
        <v>37417</v>
      </c>
      <c r="F96" s="19">
        <v>1</v>
      </c>
      <c r="G96" s="136">
        <f t="shared" si="9"/>
        <v>37417</v>
      </c>
      <c r="H96" s="25">
        <v>0</v>
      </c>
      <c r="I96" s="117">
        <v>0</v>
      </c>
      <c r="J96" s="117">
        <f t="shared" si="14"/>
        <v>37417</v>
      </c>
      <c r="K96" s="159" t="s">
        <v>365</v>
      </c>
    </row>
    <row r="97" spans="1:14" ht="41.25" customHeight="1">
      <c r="A97" s="77" t="s">
        <v>169</v>
      </c>
      <c r="B97" s="64" t="s">
        <v>170</v>
      </c>
      <c r="C97" s="23">
        <f>(4/10)*973</f>
        <v>389.20000000000005</v>
      </c>
      <c r="D97" s="23">
        <v>1</v>
      </c>
      <c r="E97" s="134">
        <f t="shared" si="8"/>
        <v>389.20000000000005</v>
      </c>
      <c r="F97" s="19">
        <v>1</v>
      </c>
      <c r="G97" s="136">
        <f t="shared" si="9"/>
        <v>389.20000000000005</v>
      </c>
      <c r="H97" s="25">
        <f>'2020'!G45</f>
        <v>389.20000000000005</v>
      </c>
      <c r="I97" s="117">
        <f t="shared" si="10"/>
        <v>0</v>
      </c>
      <c r="J97" s="117">
        <f t="shared" si="14"/>
        <v>0</v>
      </c>
      <c r="K97" s="159" t="s">
        <v>376</v>
      </c>
    </row>
    <row r="98" spans="1:14" ht="34.5" customHeight="1">
      <c r="A98" s="122" t="s">
        <v>171</v>
      </c>
      <c r="B98" s="123" t="s">
        <v>308</v>
      </c>
      <c r="C98" s="148">
        <v>37417</v>
      </c>
      <c r="D98" s="23">
        <v>1</v>
      </c>
      <c r="E98" s="134">
        <f t="shared" si="8"/>
        <v>37417</v>
      </c>
      <c r="F98" s="19">
        <v>2</v>
      </c>
      <c r="G98" s="136">
        <f t="shared" si="9"/>
        <v>74834</v>
      </c>
      <c r="H98" s="25">
        <v>0</v>
      </c>
      <c r="I98" s="117">
        <v>0</v>
      </c>
      <c r="J98" s="117">
        <f t="shared" si="14"/>
        <v>74834</v>
      </c>
      <c r="K98" s="111" t="s">
        <v>365</v>
      </c>
      <c r="N98" s="35"/>
    </row>
    <row r="99" spans="1:14" ht="15" customHeight="1">
      <c r="A99" s="122" t="s">
        <v>103</v>
      </c>
      <c r="B99" s="123" t="s">
        <v>172</v>
      </c>
      <c r="C99" s="23">
        <f>3289*0.33</f>
        <v>1085.3700000000001</v>
      </c>
      <c r="D99" s="23">
        <v>1</v>
      </c>
      <c r="E99" s="134">
        <f t="shared" si="8"/>
        <v>1085.3700000000001</v>
      </c>
      <c r="F99" s="19">
        <v>1</v>
      </c>
      <c r="G99" s="136">
        <f t="shared" si="9"/>
        <v>1085.3700000000001</v>
      </c>
      <c r="H99" s="25">
        <v>0</v>
      </c>
      <c r="I99" s="117">
        <f t="shared" si="10"/>
        <v>1085.3700000000001</v>
      </c>
      <c r="J99" s="117">
        <v>0</v>
      </c>
      <c r="K99" s="111" t="s">
        <v>354</v>
      </c>
    </row>
    <row r="100" spans="1:14" ht="15.75" customHeight="1">
      <c r="A100" s="122" t="s">
        <v>173</v>
      </c>
      <c r="B100" s="123" t="s">
        <v>174</v>
      </c>
      <c r="C100" s="23">
        <v>3289</v>
      </c>
      <c r="D100" s="23">
        <v>1</v>
      </c>
      <c r="E100" s="134">
        <f t="shared" si="8"/>
        <v>3289</v>
      </c>
      <c r="F100" s="19">
        <v>2</v>
      </c>
      <c r="G100" s="136">
        <f t="shared" si="9"/>
        <v>6578</v>
      </c>
      <c r="H100" s="25">
        <v>0</v>
      </c>
      <c r="I100" s="117">
        <f t="shared" si="10"/>
        <v>6578</v>
      </c>
      <c r="J100" s="117">
        <v>0</v>
      </c>
      <c r="K100" s="111" t="s">
        <v>354</v>
      </c>
    </row>
    <row r="101" spans="1:14" ht="15" customHeight="1">
      <c r="A101" s="122" t="s">
        <v>377</v>
      </c>
      <c r="B101" s="123" t="s">
        <v>178</v>
      </c>
      <c r="C101" s="23">
        <f>(37417*0.02*0.02)</f>
        <v>14.966800000000001</v>
      </c>
      <c r="D101" s="23">
        <v>1</v>
      </c>
      <c r="E101" s="134">
        <f t="shared" si="8"/>
        <v>14.966800000000001</v>
      </c>
      <c r="F101" s="19">
        <v>2</v>
      </c>
      <c r="G101" s="136">
        <f t="shared" si="9"/>
        <v>29.933600000000002</v>
      </c>
      <c r="H101" s="25">
        <v>0</v>
      </c>
      <c r="I101" s="117">
        <f t="shared" si="10"/>
        <v>29.933600000000002</v>
      </c>
      <c r="J101" s="117">
        <v>0</v>
      </c>
      <c r="K101" s="111" t="s">
        <v>354</v>
      </c>
    </row>
    <row r="102" spans="1:14" ht="15" customHeight="1" thickBot="1">
      <c r="A102" s="122" t="s">
        <v>179</v>
      </c>
      <c r="B102" s="123" t="s">
        <v>180</v>
      </c>
      <c r="C102" s="23">
        <f>(3289*0.02*0.02)</f>
        <v>1.3156000000000001</v>
      </c>
      <c r="D102" s="23">
        <v>1</v>
      </c>
      <c r="E102" s="134">
        <f t="shared" si="8"/>
        <v>1.3156000000000001</v>
      </c>
      <c r="F102" s="19">
        <v>2</v>
      </c>
      <c r="G102" s="136">
        <f t="shared" si="9"/>
        <v>2.6312000000000002</v>
      </c>
      <c r="H102" s="25">
        <v>0</v>
      </c>
      <c r="I102" s="117">
        <f t="shared" si="10"/>
        <v>2.6312000000000002</v>
      </c>
      <c r="J102" s="117">
        <v>0</v>
      </c>
      <c r="K102" s="111" t="s">
        <v>354</v>
      </c>
    </row>
    <row r="103" spans="1:14" ht="15">
      <c r="A103" s="550" t="s">
        <v>181</v>
      </c>
      <c r="B103" s="550"/>
      <c r="C103" s="11">
        <f>37417+543</f>
        <v>37960</v>
      </c>
      <c r="D103" s="33">
        <f>+E103/C103</f>
        <v>104.54479767632398</v>
      </c>
      <c r="E103" s="11">
        <f>SUM(E84:E102)</f>
        <v>3968520.5197932585</v>
      </c>
      <c r="F103" s="33">
        <f>+G103/E103</f>
        <v>0.38961199801377522</v>
      </c>
      <c r="G103" s="11">
        <f>SUM(G84:G102)</f>
        <v>1546183.2088753171</v>
      </c>
      <c r="H103" s="187">
        <f>SUM(H84:H102)</f>
        <v>167510.64584269663</v>
      </c>
      <c r="I103" s="33">
        <f>SUM(I84:I102)</f>
        <v>1254402.9248000002</v>
      </c>
      <c r="J103" s="11">
        <f>SUM(J84:J102)</f>
        <v>118567.63823262023</v>
      </c>
      <c r="K103" s="176"/>
    </row>
    <row r="104" spans="1:14" ht="15.75" thickBot="1">
      <c r="A104" s="550" t="s">
        <v>182</v>
      </c>
      <c r="B104" s="550"/>
      <c r="C104" s="13">
        <f>SUM(C69,C82,C103)</f>
        <v>6283276</v>
      </c>
      <c r="D104" s="33">
        <f>E104/C104</f>
        <v>6.7949563363066163</v>
      </c>
      <c r="E104" s="13">
        <f>SUM(E69,E82,E103)</f>
        <v>42694586.068963289</v>
      </c>
      <c r="F104" s="34">
        <f>+G104/E104</f>
        <v>0.36066640359773322</v>
      </c>
      <c r="G104" s="13">
        <f>SUM(G69+G82+G103)</f>
        <v>15398502.810586872</v>
      </c>
      <c r="H104" s="14">
        <f>SUM(H103+H82+H69)</f>
        <v>4017131.7810526965</v>
      </c>
      <c r="I104" s="13">
        <f>SUM(I69,I82,I103)</f>
        <v>8882051.6157216858</v>
      </c>
      <c r="J104" s="13">
        <f>(G104-H104-I104)</f>
        <v>2499319.4138124902</v>
      </c>
      <c r="K104" s="177"/>
    </row>
    <row r="105" spans="1:14" ht="33" customHeight="1">
      <c r="A105" s="541" t="s">
        <v>183</v>
      </c>
      <c r="B105" s="541"/>
      <c r="C105" s="541"/>
      <c r="D105" s="541"/>
      <c r="E105" s="541"/>
      <c r="F105" s="541"/>
      <c r="G105" s="541"/>
      <c r="H105" s="541"/>
      <c r="I105" s="541"/>
      <c r="J105" s="541"/>
      <c r="K105" s="642"/>
    </row>
    <row r="106" spans="1:14" ht="33" customHeight="1">
      <c r="A106" s="553" t="s">
        <v>15</v>
      </c>
      <c r="B106" s="553"/>
      <c r="C106" s="553"/>
      <c r="D106" s="553"/>
      <c r="E106" s="553"/>
      <c r="F106" s="553"/>
      <c r="G106" s="553"/>
      <c r="H106" s="553"/>
      <c r="I106" s="553"/>
      <c r="J106" s="553"/>
      <c r="K106" s="643"/>
    </row>
    <row r="107" spans="1:14" ht="15">
      <c r="A107" s="122" t="s">
        <v>184</v>
      </c>
      <c r="B107" s="111" t="s">
        <v>185</v>
      </c>
      <c r="C107" s="124">
        <v>89</v>
      </c>
      <c r="D107" s="124">
        <v>1</v>
      </c>
      <c r="E107" s="138">
        <f>C107*D107</f>
        <v>89</v>
      </c>
      <c r="F107" s="124">
        <v>0.16700000000000001</v>
      </c>
      <c r="G107" s="138">
        <f>E107*F107</f>
        <v>14.863000000000001</v>
      </c>
      <c r="H107" s="125">
        <v>0</v>
      </c>
      <c r="I107" s="124">
        <f>G107-H107</f>
        <v>14.863000000000001</v>
      </c>
      <c r="J107" s="124">
        <v>0</v>
      </c>
      <c r="K107" s="111" t="s">
        <v>354</v>
      </c>
    </row>
    <row r="108" spans="1:14" ht="15">
      <c r="A108" s="77" t="s">
        <v>53</v>
      </c>
      <c r="B108" s="64" t="s">
        <v>154</v>
      </c>
      <c r="C108" s="23">
        <f>1810*0.7</f>
        <v>1267</v>
      </c>
      <c r="D108" s="23">
        <f>(10000/1267)*2*0.7</f>
        <v>11.049723756906078</v>
      </c>
      <c r="E108" s="138">
        <f t="shared" ref="E108:E123" si="15">C108*D108</f>
        <v>14000</v>
      </c>
      <c r="F108" s="126">
        <v>1.67E-2</v>
      </c>
      <c r="G108" s="138">
        <f t="shared" ref="G108:G123" si="16">E108*F108</f>
        <v>233.79999999999998</v>
      </c>
      <c r="H108" s="25">
        <f>'2020'!G50</f>
        <v>334</v>
      </c>
      <c r="I108" s="124">
        <f t="shared" ref="I108:I123" si="17">G108-H108</f>
        <v>-100.20000000000002</v>
      </c>
      <c r="J108" s="124">
        <f t="shared" ref="J108:J122" si="18">G108-H108</f>
        <v>-100.20000000000002</v>
      </c>
      <c r="K108" s="159" t="s">
        <v>291</v>
      </c>
    </row>
    <row r="109" spans="1:14" ht="15">
      <c r="A109" s="77" t="s">
        <v>189</v>
      </c>
      <c r="B109" s="64" t="s">
        <v>190</v>
      </c>
      <c r="C109" s="23">
        <v>89</v>
      </c>
      <c r="D109" s="23">
        <v>1</v>
      </c>
      <c r="E109" s="138">
        <f t="shared" si="15"/>
        <v>89</v>
      </c>
      <c r="F109" s="126">
        <v>50</v>
      </c>
      <c r="G109" s="138">
        <f t="shared" si="16"/>
        <v>4450</v>
      </c>
      <c r="H109" s="25">
        <f>'2020'!G51</f>
        <v>4450</v>
      </c>
      <c r="I109" s="124">
        <f t="shared" si="17"/>
        <v>0</v>
      </c>
      <c r="J109" s="124">
        <f t="shared" si="18"/>
        <v>0</v>
      </c>
      <c r="K109" s="159" t="s">
        <v>291</v>
      </c>
    </row>
    <row r="110" spans="1:14" ht="15">
      <c r="A110" s="77" t="s">
        <v>191</v>
      </c>
      <c r="B110" s="64" t="s">
        <v>166</v>
      </c>
      <c r="C110" s="23">
        <v>89</v>
      </c>
      <c r="D110" s="23">
        <f>((37417*0.33)/89)</f>
        <v>138.73719101123595</v>
      </c>
      <c r="E110" s="138">
        <f t="shared" si="15"/>
        <v>12347.609999999999</v>
      </c>
      <c r="F110" s="126">
        <v>1</v>
      </c>
      <c r="G110" s="138">
        <f t="shared" si="16"/>
        <v>12347.609999999999</v>
      </c>
      <c r="H110" s="25">
        <f>'2020'!G52</f>
        <v>13584.12</v>
      </c>
      <c r="I110" s="124">
        <v>0</v>
      </c>
      <c r="J110" s="124">
        <f t="shared" si="18"/>
        <v>-1236.510000000002</v>
      </c>
      <c r="K110" s="178" t="s">
        <v>374</v>
      </c>
    </row>
    <row r="111" spans="1:14" ht="15">
      <c r="A111" s="77" t="s">
        <v>169</v>
      </c>
      <c r="B111" s="64" t="s">
        <v>170</v>
      </c>
      <c r="C111" s="23">
        <f>(4/10)*973</f>
        <v>389.20000000000005</v>
      </c>
      <c r="D111" s="23">
        <v>1</v>
      </c>
      <c r="E111" s="138">
        <f t="shared" si="15"/>
        <v>389.20000000000005</v>
      </c>
      <c r="F111" s="126">
        <v>1</v>
      </c>
      <c r="G111" s="138">
        <f t="shared" si="16"/>
        <v>389.20000000000005</v>
      </c>
      <c r="H111" s="25">
        <f>'2020'!G53</f>
        <v>389.20000000000005</v>
      </c>
      <c r="I111" s="124">
        <f t="shared" si="17"/>
        <v>0</v>
      </c>
      <c r="J111" s="124">
        <f t="shared" si="18"/>
        <v>0</v>
      </c>
      <c r="K111" s="179" t="s">
        <v>291</v>
      </c>
    </row>
    <row r="112" spans="1:14" ht="15">
      <c r="A112" s="73" t="s">
        <v>192</v>
      </c>
      <c r="B112" s="64" t="s">
        <v>193</v>
      </c>
      <c r="C112" s="23">
        <v>89</v>
      </c>
      <c r="D112" s="23">
        <v>1</v>
      </c>
      <c r="E112" s="138">
        <f t="shared" si="15"/>
        <v>89</v>
      </c>
      <c r="F112" s="126">
        <v>2</v>
      </c>
      <c r="G112" s="138">
        <f t="shared" si="16"/>
        <v>178</v>
      </c>
      <c r="H112" s="25">
        <f>'2020'!G54</f>
        <v>178</v>
      </c>
      <c r="I112" s="124">
        <f t="shared" si="17"/>
        <v>0</v>
      </c>
      <c r="J112" s="124">
        <f t="shared" si="18"/>
        <v>0</v>
      </c>
      <c r="K112" s="159" t="s">
        <v>291</v>
      </c>
    </row>
    <row r="113" spans="1:14" ht="15">
      <c r="A113" s="73" t="s">
        <v>194</v>
      </c>
      <c r="B113" s="64" t="s">
        <v>195</v>
      </c>
      <c r="C113" s="23">
        <v>89</v>
      </c>
      <c r="D113" s="23">
        <f>(37417/89)*0.05</f>
        <v>21.020786516853931</v>
      </c>
      <c r="E113" s="138">
        <f t="shared" si="15"/>
        <v>1870.85</v>
      </c>
      <c r="F113" s="126">
        <v>0.5</v>
      </c>
      <c r="G113" s="138">
        <f t="shared" si="16"/>
        <v>935.42499999999995</v>
      </c>
      <c r="H113" s="25">
        <f>'2020'!G55</f>
        <v>1029.1000000000001</v>
      </c>
      <c r="I113" s="124">
        <v>0</v>
      </c>
      <c r="J113" s="124">
        <f t="shared" si="18"/>
        <v>-93.675000000000182</v>
      </c>
      <c r="K113" s="180" t="s">
        <v>378</v>
      </c>
    </row>
    <row r="114" spans="1:14" ht="15">
      <c r="A114" s="73" t="s">
        <v>196</v>
      </c>
      <c r="B114" s="64" t="s">
        <v>310</v>
      </c>
      <c r="C114" s="23">
        <v>89</v>
      </c>
      <c r="D114" s="23">
        <f>(37417/89)*0.05</f>
        <v>21.020786516853931</v>
      </c>
      <c r="E114" s="138">
        <f t="shared" si="15"/>
        <v>1870.85</v>
      </c>
      <c r="F114" s="126">
        <v>2</v>
      </c>
      <c r="G114" s="138">
        <f t="shared" si="16"/>
        <v>3741.7</v>
      </c>
      <c r="H114" s="25">
        <f>'2020'!G56</f>
        <v>4116.4000000000005</v>
      </c>
      <c r="I114" s="124">
        <v>0</v>
      </c>
      <c r="J114" s="124">
        <f t="shared" si="18"/>
        <v>-374.70000000000073</v>
      </c>
      <c r="K114" s="180" t="s">
        <v>374</v>
      </c>
    </row>
    <row r="115" spans="1:14" ht="15">
      <c r="A115" s="73" t="s">
        <v>91</v>
      </c>
      <c r="B115" s="64" t="s">
        <v>198</v>
      </c>
      <c r="C115" s="23">
        <v>89</v>
      </c>
      <c r="D115" s="23">
        <f>1048/89</f>
        <v>11.775280898876405</v>
      </c>
      <c r="E115" s="138">
        <f t="shared" si="15"/>
        <v>1048</v>
      </c>
      <c r="F115" s="126">
        <v>1</v>
      </c>
      <c r="G115" s="138">
        <f t="shared" si="16"/>
        <v>1048</v>
      </c>
      <c r="H115" s="25">
        <f>'2020'!G57</f>
        <v>514</v>
      </c>
      <c r="I115" s="124">
        <v>0</v>
      </c>
      <c r="J115" s="124">
        <f t="shared" si="18"/>
        <v>534</v>
      </c>
      <c r="K115" s="181" t="s">
        <v>378</v>
      </c>
    </row>
    <row r="116" spans="1:14" ht="81" customHeight="1">
      <c r="A116" s="127" t="s">
        <v>199</v>
      </c>
      <c r="B116" s="128" t="s">
        <v>94</v>
      </c>
      <c r="C116" s="129">
        <v>1</v>
      </c>
      <c r="D116" s="129">
        <v>1</v>
      </c>
      <c r="E116" s="139">
        <f t="shared" si="15"/>
        <v>1</v>
      </c>
      <c r="F116" s="129">
        <v>0.20039999999999999</v>
      </c>
      <c r="G116" s="139">
        <f t="shared" si="16"/>
        <v>0.20039999999999999</v>
      </c>
      <c r="H116" s="130">
        <v>0</v>
      </c>
      <c r="I116" s="124">
        <f t="shared" si="17"/>
        <v>0.20039999999999999</v>
      </c>
      <c r="J116" s="124">
        <v>0</v>
      </c>
      <c r="K116" s="182" t="s">
        <v>354</v>
      </c>
      <c r="N116" s="35"/>
    </row>
    <row r="117" spans="1:14" ht="32.25" customHeight="1">
      <c r="A117" s="73" t="s">
        <v>379</v>
      </c>
      <c r="B117" s="64" t="s">
        <v>134</v>
      </c>
      <c r="C117" s="23">
        <v>89</v>
      </c>
      <c r="D117" s="23">
        <f>(1810/89)</f>
        <v>20.337078651685392</v>
      </c>
      <c r="E117" s="138">
        <f t="shared" si="15"/>
        <v>1809.9999999999998</v>
      </c>
      <c r="F117" s="126">
        <v>0.5</v>
      </c>
      <c r="G117" s="138">
        <f t="shared" si="16"/>
        <v>904.99999999999989</v>
      </c>
      <c r="H117" s="25">
        <v>0</v>
      </c>
      <c r="I117" s="124">
        <f t="shared" si="17"/>
        <v>904.99999999999989</v>
      </c>
      <c r="J117" s="124">
        <v>0</v>
      </c>
      <c r="K117" s="181" t="s">
        <v>354</v>
      </c>
    </row>
    <row r="118" spans="1:14" ht="32.25" customHeight="1">
      <c r="A118" s="73" t="s">
        <v>139</v>
      </c>
      <c r="B118" s="64" t="s">
        <v>201</v>
      </c>
      <c r="C118" s="23">
        <v>89</v>
      </c>
      <c r="D118" s="23">
        <v>1</v>
      </c>
      <c r="E118" s="138">
        <f t="shared" si="15"/>
        <v>89</v>
      </c>
      <c r="F118" s="126">
        <v>0.16700000000000001</v>
      </c>
      <c r="G118" s="138">
        <f t="shared" si="16"/>
        <v>14.863000000000001</v>
      </c>
      <c r="H118" s="25">
        <v>0</v>
      </c>
      <c r="I118" s="124">
        <f t="shared" si="17"/>
        <v>14.863000000000001</v>
      </c>
      <c r="J118" s="124">
        <v>0</v>
      </c>
      <c r="K118" s="183" t="s">
        <v>354</v>
      </c>
      <c r="L118" s="10" t="s">
        <v>188</v>
      </c>
    </row>
    <row r="119" spans="1:14" ht="30.75" customHeight="1">
      <c r="A119" s="73" t="s">
        <v>202</v>
      </c>
      <c r="B119" s="64" t="s">
        <v>203</v>
      </c>
      <c r="C119" s="23">
        <v>89</v>
      </c>
      <c r="D119" s="23">
        <v>1</v>
      </c>
      <c r="E119" s="138">
        <f t="shared" si="15"/>
        <v>89</v>
      </c>
      <c r="F119" s="126">
        <v>5</v>
      </c>
      <c r="G119" s="138">
        <f t="shared" si="16"/>
        <v>445</v>
      </c>
      <c r="H119" s="25">
        <f>'2020'!G58</f>
        <v>445</v>
      </c>
      <c r="I119" s="124">
        <f t="shared" si="17"/>
        <v>0</v>
      </c>
      <c r="J119" s="124">
        <f t="shared" si="18"/>
        <v>0</v>
      </c>
      <c r="K119" s="159" t="s">
        <v>291</v>
      </c>
    </row>
    <row r="120" spans="1:14" ht="38.25" customHeight="1">
      <c r="A120" s="73" t="s">
        <v>204</v>
      </c>
      <c r="B120" s="64" t="s">
        <v>205</v>
      </c>
      <c r="C120" s="23">
        <f>89+1267</f>
        <v>1356</v>
      </c>
      <c r="D120" s="23">
        <v>12</v>
      </c>
      <c r="E120" s="138">
        <f t="shared" si="15"/>
        <v>16272</v>
      </c>
      <c r="F120" s="126">
        <v>2</v>
      </c>
      <c r="G120" s="140">
        <f t="shared" si="16"/>
        <v>32544</v>
      </c>
      <c r="H120" s="25">
        <f>'2020'!G59</f>
        <v>45528</v>
      </c>
      <c r="I120" s="124">
        <v>0</v>
      </c>
      <c r="J120" s="124">
        <f t="shared" si="18"/>
        <v>-12984</v>
      </c>
      <c r="K120" s="159" t="s">
        <v>361</v>
      </c>
    </row>
    <row r="121" spans="1:14" ht="28.5">
      <c r="A121" s="73" t="s">
        <v>204</v>
      </c>
      <c r="B121" s="64" t="s">
        <v>206</v>
      </c>
      <c r="C121" s="23">
        <f>1810*0.7</f>
        <v>1267</v>
      </c>
      <c r="D121" s="23">
        <f>((6243960)/1267)*2*0.7</f>
        <v>6899.4033149171264</v>
      </c>
      <c r="E121" s="138">
        <f t="shared" si="15"/>
        <v>8741544</v>
      </c>
      <c r="F121" s="131">
        <v>1.67E-2</v>
      </c>
      <c r="G121" s="140">
        <f t="shared" si="16"/>
        <v>145983.78479999999</v>
      </c>
      <c r="H121" s="25">
        <f>'2020'!G60+114388.39</f>
        <v>458924.55359999998</v>
      </c>
      <c r="I121" s="124">
        <v>0</v>
      </c>
      <c r="J121" s="188">
        <f t="shared" si="18"/>
        <v>-312940.76879999996</v>
      </c>
      <c r="K121" s="180" t="s">
        <v>380</v>
      </c>
    </row>
    <row r="122" spans="1:14" ht="15" customHeight="1">
      <c r="A122" s="73" t="s">
        <v>204</v>
      </c>
      <c r="B122" s="64" t="s">
        <v>207</v>
      </c>
      <c r="C122" s="23">
        <f>89+1267</f>
        <v>1356</v>
      </c>
      <c r="D122" s="23">
        <v>1</v>
      </c>
      <c r="E122" s="138">
        <f t="shared" si="15"/>
        <v>1356</v>
      </c>
      <c r="F122" s="126">
        <v>0.25</v>
      </c>
      <c r="G122" s="138">
        <f t="shared" si="16"/>
        <v>339</v>
      </c>
      <c r="H122" s="25">
        <f>'2020'!G62</f>
        <v>474.25</v>
      </c>
      <c r="I122" s="124">
        <v>0</v>
      </c>
      <c r="J122" s="124">
        <f t="shared" si="18"/>
        <v>-135.25</v>
      </c>
      <c r="K122" s="159" t="s">
        <v>361</v>
      </c>
    </row>
    <row r="123" spans="1:14" ht="15" customHeight="1" thickBot="1">
      <c r="A123" s="122" t="s">
        <v>145</v>
      </c>
      <c r="B123" s="111" t="s">
        <v>146</v>
      </c>
      <c r="C123" s="27">
        <v>76</v>
      </c>
      <c r="D123" s="23">
        <v>1</v>
      </c>
      <c r="E123" s="138">
        <f t="shared" si="15"/>
        <v>76</v>
      </c>
      <c r="F123" s="126">
        <v>0.16700000000000001</v>
      </c>
      <c r="G123" s="138">
        <f t="shared" si="16"/>
        <v>12.692</v>
      </c>
      <c r="H123" s="132">
        <v>0</v>
      </c>
      <c r="I123" s="124">
        <f t="shared" si="17"/>
        <v>12.692</v>
      </c>
      <c r="J123" s="124">
        <v>0</v>
      </c>
      <c r="K123" s="184" t="s">
        <v>354</v>
      </c>
    </row>
    <row r="124" spans="1:14" ht="16.5" customHeight="1">
      <c r="A124" s="538" t="s">
        <v>208</v>
      </c>
      <c r="B124" s="538"/>
      <c r="C124" s="13">
        <v>1356</v>
      </c>
      <c r="D124" s="33">
        <f>+E124/C124</f>
        <v>6484.5357743362829</v>
      </c>
      <c r="E124" s="13">
        <f>SUM(E107:E123)</f>
        <v>8793030.5099999998</v>
      </c>
      <c r="F124" s="33">
        <f>+G124/E124</f>
        <v>2.3152784238434313E-2</v>
      </c>
      <c r="G124" s="13">
        <f>SUM(G107:G123)</f>
        <v>203583.13820000002</v>
      </c>
      <c r="H124" s="14">
        <f>SUM(H107:H123)</f>
        <v>529966.62360000005</v>
      </c>
      <c r="I124" s="34">
        <f>SUM(I107:I123)</f>
        <v>847.41839999999991</v>
      </c>
      <c r="J124" s="13">
        <f>SUM(J107:J123)</f>
        <v>-327331.10379999998</v>
      </c>
      <c r="K124" s="185"/>
    </row>
    <row r="125" spans="1:14" ht="14.25" customHeight="1" thickBot="1">
      <c r="A125" s="575" t="s">
        <v>161</v>
      </c>
      <c r="B125" s="575"/>
      <c r="C125" s="575"/>
      <c r="D125" s="575"/>
      <c r="E125" s="575"/>
      <c r="F125" s="575"/>
      <c r="G125" s="575"/>
      <c r="H125" s="575"/>
      <c r="I125" s="575"/>
      <c r="J125" s="575"/>
      <c r="K125" s="575"/>
    </row>
    <row r="126" spans="1:14" ht="14.25" customHeight="1">
      <c r="A126" s="77" t="s">
        <v>53</v>
      </c>
      <c r="B126" s="64" t="s">
        <v>154</v>
      </c>
      <c r="C126" s="23">
        <f>0.3*1810</f>
        <v>543</v>
      </c>
      <c r="D126" s="23">
        <f>(10000/543)*2*0.3</f>
        <v>11.049723756906078</v>
      </c>
      <c r="E126" s="138">
        <f t="shared" ref="E126" si="19">C126*D126</f>
        <v>6000</v>
      </c>
      <c r="F126" s="126">
        <v>1.67E-2</v>
      </c>
      <c r="G126" s="138">
        <f t="shared" ref="G126" si="20">E126*F126</f>
        <v>100.2</v>
      </c>
      <c r="H126" s="25">
        <f>'2020'!G68</f>
        <v>0</v>
      </c>
      <c r="I126" s="124">
        <f t="shared" ref="I126" si="21">G126-H126</f>
        <v>100.2</v>
      </c>
      <c r="J126" s="124">
        <f t="shared" ref="J126" si="22">G126-H126</f>
        <v>100.2</v>
      </c>
      <c r="K126" s="178" t="s">
        <v>354</v>
      </c>
    </row>
    <row r="127" spans="1:14" ht="14.25" customHeight="1">
      <c r="A127" s="77" t="s">
        <v>209</v>
      </c>
      <c r="B127" s="64" t="s">
        <v>311</v>
      </c>
      <c r="C127" s="23">
        <v>37417</v>
      </c>
      <c r="D127" s="23">
        <v>1</v>
      </c>
      <c r="E127" s="138">
        <f t="shared" ref="E127:E130" si="23">C127*D127</f>
        <v>37417</v>
      </c>
      <c r="F127" s="126">
        <v>0.16700000000000001</v>
      </c>
      <c r="G127" s="138">
        <f t="shared" ref="G127:G130" si="24">E127*F127</f>
        <v>6248.6390000000001</v>
      </c>
      <c r="H127" s="25">
        <v>0</v>
      </c>
      <c r="I127" s="124">
        <f t="shared" ref="I127" si="25">G127-H127</f>
        <v>6248.6390000000001</v>
      </c>
      <c r="J127" s="124">
        <v>0</v>
      </c>
      <c r="K127" s="178" t="s">
        <v>354</v>
      </c>
    </row>
    <row r="128" spans="1:14" ht="16.5" customHeight="1">
      <c r="A128" s="73" t="s">
        <v>204</v>
      </c>
      <c r="B128" s="64" t="s">
        <v>205</v>
      </c>
      <c r="C128" s="23">
        <f>1810*0.3</f>
        <v>543</v>
      </c>
      <c r="D128" s="23">
        <v>12</v>
      </c>
      <c r="E128" s="138">
        <f t="shared" si="23"/>
        <v>6516</v>
      </c>
      <c r="F128" s="126">
        <v>2</v>
      </c>
      <c r="G128" s="140">
        <f t="shared" si="24"/>
        <v>13032</v>
      </c>
      <c r="H128" s="25">
        <f>'2020'!G67</f>
        <v>0</v>
      </c>
      <c r="I128" s="124">
        <v>0</v>
      </c>
      <c r="J128" s="124">
        <f t="shared" ref="J128:J130" si="26">G128-H128</f>
        <v>13032</v>
      </c>
      <c r="K128" s="178" t="s">
        <v>354</v>
      </c>
    </row>
    <row r="129" spans="1:11" ht="24" customHeight="1">
      <c r="A129" s="73" t="s">
        <v>204</v>
      </c>
      <c r="B129" s="64" t="s">
        <v>206</v>
      </c>
      <c r="C129" s="23">
        <f>1810*0.3</f>
        <v>543</v>
      </c>
      <c r="D129" s="23">
        <f>((6243960)/543)*2*0.3</f>
        <v>6899.4033149171273</v>
      </c>
      <c r="E129" s="138">
        <f t="shared" si="23"/>
        <v>3746376</v>
      </c>
      <c r="F129" s="131">
        <v>1.67E-2</v>
      </c>
      <c r="G129" s="140">
        <f t="shared" si="24"/>
        <v>62564.479200000002</v>
      </c>
      <c r="H129" s="25">
        <f>'2020'!G68</f>
        <v>0</v>
      </c>
      <c r="I129" s="124">
        <v>0</v>
      </c>
      <c r="J129" s="124">
        <f t="shared" si="26"/>
        <v>62564.479200000002</v>
      </c>
      <c r="K129" s="178" t="s">
        <v>354</v>
      </c>
    </row>
    <row r="130" spans="1:11" ht="14.25" customHeight="1">
      <c r="A130" s="73" t="s">
        <v>204</v>
      </c>
      <c r="B130" s="64" t="s">
        <v>207</v>
      </c>
      <c r="C130" s="23">
        <f>1810*0.3</f>
        <v>543</v>
      </c>
      <c r="D130" s="23">
        <v>1</v>
      </c>
      <c r="E130" s="138">
        <f t="shared" si="23"/>
        <v>543</v>
      </c>
      <c r="F130" s="126">
        <v>0.25</v>
      </c>
      <c r="G130" s="138">
        <f t="shared" si="24"/>
        <v>135.75</v>
      </c>
      <c r="H130" s="25">
        <f>'2020'!G70</f>
        <v>0</v>
      </c>
      <c r="I130" s="124">
        <v>0</v>
      </c>
      <c r="J130" s="124">
        <f t="shared" si="26"/>
        <v>135.75</v>
      </c>
      <c r="K130" s="178" t="s">
        <v>354</v>
      </c>
    </row>
    <row r="131" spans="1:11" ht="15">
      <c r="A131" s="538" t="s">
        <v>211</v>
      </c>
      <c r="B131" s="538"/>
      <c r="C131" s="13">
        <f>C127+543</f>
        <v>37960</v>
      </c>
      <c r="D131" s="33">
        <f>E131/C131</f>
        <v>100.02244467860906</v>
      </c>
      <c r="E131" s="13">
        <f>SUM(E126:E130)</f>
        <v>3796852</v>
      </c>
      <c r="F131" s="33">
        <f>G131/E131</f>
        <v>2.161819006903614E-2</v>
      </c>
      <c r="G131" s="13">
        <f>SUM(G126:G130)</f>
        <v>82081.068200000009</v>
      </c>
      <c r="H131" s="14">
        <f>SUM(H126:H130)</f>
        <v>0</v>
      </c>
      <c r="I131" s="34">
        <f>SUM(I126:I130)</f>
        <v>6348.8389999999999</v>
      </c>
      <c r="J131" s="13">
        <f>SUM(J126:J130)</f>
        <v>75832.429199999999</v>
      </c>
      <c r="K131" s="185"/>
    </row>
    <row r="132" spans="1:11" ht="15" customHeight="1">
      <c r="A132" s="550" t="s">
        <v>212</v>
      </c>
      <c r="B132" s="560"/>
      <c r="C132" s="13">
        <f>C131+C124</f>
        <v>39316</v>
      </c>
      <c r="D132" s="33">
        <f>+E132/C132</f>
        <v>320.22287389358024</v>
      </c>
      <c r="E132" s="13">
        <f>E131+E124</f>
        <v>12589882.51</v>
      </c>
      <c r="F132" s="33">
        <f>G132/E132</f>
        <v>2.26899819099265E-2</v>
      </c>
      <c r="G132" s="13">
        <f>G131+G124</f>
        <v>285664.20640000002</v>
      </c>
      <c r="H132" s="14">
        <f>H131+H124</f>
        <v>529966.62360000005</v>
      </c>
      <c r="I132" s="34">
        <f>I131+I124</f>
        <v>7196.2573999999995</v>
      </c>
      <c r="J132" s="13">
        <f>J131+J124</f>
        <v>-251498.67459999997</v>
      </c>
      <c r="K132" s="185"/>
    </row>
    <row r="133" spans="1:11" ht="16.5" customHeight="1" thickBot="1">
      <c r="A133" s="564" t="s">
        <v>334</v>
      </c>
      <c r="B133" s="565"/>
      <c r="C133" s="16">
        <f>C104</f>
        <v>6283276</v>
      </c>
      <c r="D133" s="28">
        <f>E133/C133</f>
        <v>8.7986694487021246</v>
      </c>
      <c r="E133" s="16">
        <f>E132+E104</f>
        <v>55284468.578963287</v>
      </c>
      <c r="F133" s="28">
        <f>G133/E133</f>
        <v>0.28369933581951756</v>
      </c>
      <c r="G133" s="16">
        <f>G132+G104</f>
        <v>15684167.016986871</v>
      </c>
      <c r="H133" s="95">
        <f>H132+H104+1</f>
        <v>4547099.4046526961</v>
      </c>
      <c r="I133" s="16">
        <f>I132+I104</f>
        <v>8889247.8731216863</v>
      </c>
      <c r="J133" s="16">
        <f>J132+J104</f>
        <v>2247820.7392124902</v>
      </c>
      <c r="K133" s="186"/>
    </row>
    <row r="134" spans="1:11" ht="14.25" customHeight="1" thickBot="1"/>
    <row r="135" spans="1:11" ht="14.25" customHeight="1" thickBot="1">
      <c r="A135" s="566" t="s">
        <v>219</v>
      </c>
      <c r="B135" s="567"/>
      <c r="C135" s="567"/>
      <c r="D135" s="568"/>
    </row>
    <row r="136" spans="1:11" ht="14.25" customHeight="1" thickBot="1">
      <c r="A136" s="569" t="s">
        <v>220</v>
      </c>
      <c r="B136" s="570"/>
      <c r="C136" s="571">
        <f>+C104</f>
        <v>6283276</v>
      </c>
      <c r="D136" s="572"/>
      <c r="E136" s="31"/>
      <c r="F136" s="62"/>
    </row>
    <row r="137" spans="1:11" ht="16.5" customHeight="1" thickBot="1">
      <c r="A137" s="556" t="s">
        <v>221</v>
      </c>
      <c r="B137" s="557"/>
      <c r="C137" s="558">
        <f>+C138/C136</f>
        <v>6.7949563363066163</v>
      </c>
      <c r="D137" s="559"/>
    </row>
    <row r="138" spans="1:11" ht="14.25" customHeight="1" thickBot="1">
      <c r="A138" s="569" t="s">
        <v>222</v>
      </c>
      <c r="B138" s="570"/>
      <c r="C138" s="571">
        <f>+E104</f>
        <v>42694586.068963289</v>
      </c>
      <c r="D138" s="572"/>
      <c r="F138" s="89"/>
    </row>
    <row r="139" spans="1:11" ht="14.25" customHeight="1" thickBot="1">
      <c r="A139" s="569" t="s">
        <v>223</v>
      </c>
      <c r="B139" s="570"/>
      <c r="C139" s="558">
        <f>+C140/C138</f>
        <v>0.36066640359773322</v>
      </c>
      <c r="D139" s="559"/>
      <c r="F139" s="89"/>
    </row>
    <row r="140" spans="1:11" ht="15.75" thickBot="1">
      <c r="A140" s="569" t="s">
        <v>224</v>
      </c>
      <c r="B140" s="570"/>
      <c r="C140" s="571">
        <f>+G104</f>
        <v>15398502.810586872</v>
      </c>
      <c r="D140" s="572"/>
      <c r="F140" s="90"/>
    </row>
    <row r="141" spans="1:11" ht="15" customHeight="1" thickBot="1">
      <c r="A141" s="569" t="s">
        <v>225</v>
      </c>
      <c r="B141" s="570"/>
      <c r="C141" s="571">
        <f>H104</f>
        <v>4017131.7810526965</v>
      </c>
      <c r="D141" s="572"/>
    </row>
    <row r="142" spans="1:11" ht="17.25" customHeight="1" thickBot="1">
      <c r="A142" s="573" t="s">
        <v>226</v>
      </c>
      <c r="B142" s="574"/>
      <c r="C142" s="571">
        <f>C140-C141</f>
        <v>11381371.029534176</v>
      </c>
      <c r="D142" s="572"/>
    </row>
    <row r="143" spans="1:11" ht="17.25" customHeight="1" thickBot="1"/>
    <row r="144" spans="1:11" ht="14.25" customHeight="1" thickBot="1">
      <c r="A144" s="566" t="s">
        <v>227</v>
      </c>
      <c r="B144" s="567"/>
      <c r="C144" s="567"/>
      <c r="D144" s="568"/>
    </row>
    <row r="145" spans="1:4" ht="14.25" customHeight="1" thickBot="1">
      <c r="A145" s="569" t="s">
        <v>228</v>
      </c>
      <c r="B145" s="570"/>
      <c r="C145" s="571">
        <f>+C132</f>
        <v>39316</v>
      </c>
      <c r="D145" s="572"/>
    </row>
    <row r="146" spans="1:4" ht="15.75" thickBot="1">
      <c r="A146" s="556" t="s">
        <v>221</v>
      </c>
      <c r="B146" s="557"/>
      <c r="C146" s="558">
        <f>+C147/C145</f>
        <v>320.22287389358024</v>
      </c>
      <c r="D146" s="559"/>
    </row>
    <row r="147" spans="1:4" ht="15.75" thickBot="1">
      <c r="A147" s="569" t="s">
        <v>222</v>
      </c>
      <c r="B147" s="570"/>
      <c r="C147" s="571">
        <f>+E132</f>
        <v>12589882.51</v>
      </c>
      <c r="D147" s="572"/>
    </row>
    <row r="148" spans="1:4" ht="15.75" thickBot="1">
      <c r="A148" s="569" t="s">
        <v>223</v>
      </c>
      <c r="B148" s="570"/>
      <c r="C148" s="558">
        <f>+C149/C147</f>
        <v>2.26899819099265E-2</v>
      </c>
      <c r="D148" s="559"/>
    </row>
    <row r="149" spans="1:4" ht="15.75" thickBot="1">
      <c r="A149" s="569" t="s">
        <v>224</v>
      </c>
      <c r="B149" s="570"/>
      <c r="C149" s="571">
        <f>+G132</f>
        <v>285664.20640000002</v>
      </c>
      <c r="D149" s="572"/>
    </row>
    <row r="150" spans="1:4" ht="15.75" thickBot="1">
      <c r="A150" s="569" t="s">
        <v>225</v>
      </c>
      <c r="B150" s="570"/>
      <c r="C150" s="571">
        <f>+H132</f>
        <v>529966.62360000005</v>
      </c>
      <c r="D150" s="572"/>
    </row>
    <row r="151" spans="1:4" ht="15.75" thickBot="1">
      <c r="A151" s="573" t="s">
        <v>226</v>
      </c>
      <c r="B151" s="574"/>
      <c r="C151" s="571">
        <f>C149-C150</f>
        <v>-244302.41720000003</v>
      </c>
      <c r="D151" s="572"/>
    </row>
    <row r="152" spans="1:4" ht="15" thickBot="1"/>
    <row r="153" spans="1:4" ht="15.75" thickBot="1">
      <c r="A153" s="566" t="s">
        <v>230</v>
      </c>
      <c r="B153" s="567"/>
      <c r="C153" s="567"/>
      <c r="D153" s="568"/>
    </row>
    <row r="154" spans="1:4" ht="15.75" thickBot="1">
      <c r="A154" s="569" t="s">
        <v>231</v>
      </c>
      <c r="B154" s="570"/>
      <c r="C154" s="571">
        <f>+C138+C147</f>
        <v>55284468.578963287</v>
      </c>
      <c r="D154" s="572"/>
    </row>
    <row r="155" spans="1:4" ht="15.75" thickBot="1">
      <c r="A155" s="569" t="s">
        <v>232</v>
      </c>
      <c r="B155" s="570"/>
      <c r="C155" s="520"/>
      <c r="D155" s="521">
        <f>+C140+C149</f>
        <v>15684167.016986871</v>
      </c>
    </row>
    <row r="156" spans="1:4" ht="15.75" thickBot="1">
      <c r="A156" s="569" t="s">
        <v>225</v>
      </c>
      <c r="B156" s="570"/>
      <c r="C156" s="571">
        <f>H133</f>
        <v>4547099.4046526961</v>
      </c>
      <c r="D156" s="572"/>
    </row>
    <row r="157" spans="1:4" ht="15.75" thickBot="1">
      <c r="A157" s="573" t="s">
        <v>226</v>
      </c>
      <c r="B157" s="574"/>
      <c r="C157" s="571">
        <f>D155-C156</f>
        <v>11137067.612334175</v>
      </c>
      <c r="D157" s="572"/>
    </row>
  </sheetData>
  <mergeCells count="54">
    <mergeCell ref="A156:B156"/>
    <mergeCell ref="C156:D156"/>
    <mergeCell ref="A157:B157"/>
    <mergeCell ref="C157:D157"/>
    <mergeCell ref="A151:B151"/>
    <mergeCell ref="C151:D151"/>
    <mergeCell ref="A153:D153"/>
    <mergeCell ref="A154:B154"/>
    <mergeCell ref="C154:D154"/>
    <mergeCell ref="A155:B155"/>
    <mergeCell ref="A148:B148"/>
    <mergeCell ref="C148:D148"/>
    <mergeCell ref="A149:B149"/>
    <mergeCell ref="C149:D149"/>
    <mergeCell ref="A150:B150"/>
    <mergeCell ref="C150:D150"/>
    <mergeCell ref="A147:B147"/>
    <mergeCell ref="C147:D147"/>
    <mergeCell ref="A140:B140"/>
    <mergeCell ref="C140:D140"/>
    <mergeCell ref="A141:B141"/>
    <mergeCell ref="C141:D141"/>
    <mergeCell ref="A142:B142"/>
    <mergeCell ref="C142:D142"/>
    <mergeCell ref="A144:D144"/>
    <mergeCell ref="A145:B145"/>
    <mergeCell ref="C145:D145"/>
    <mergeCell ref="A146:B146"/>
    <mergeCell ref="C146:D146"/>
    <mergeCell ref="A137:B137"/>
    <mergeCell ref="C137:D137"/>
    <mergeCell ref="A138:B138"/>
    <mergeCell ref="C138:D138"/>
    <mergeCell ref="A139:B139"/>
    <mergeCell ref="C139:D139"/>
    <mergeCell ref="A136:B136"/>
    <mergeCell ref="C136:D136"/>
    <mergeCell ref="A83:K83"/>
    <mergeCell ref="A103:B103"/>
    <mergeCell ref="A104:B104"/>
    <mergeCell ref="A105:K105"/>
    <mergeCell ref="A106:K106"/>
    <mergeCell ref="A124:B124"/>
    <mergeCell ref="A125:K125"/>
    <mergeCell ref="A131:B131"/>
    <mergeCell ref="A132:B132"/>
    <mergeCell ref="A133:B133"/>
    <mergeCell ref="A135:D135"/>
    <mergeCell ref="A82:B82"/>
    <mergeCell ref="A1:K1"/>
    <mergeCell ref="A3:K3"/>
    <mergeCell ref="A4:K4"/>
    <mergeCell ref="A69:B69"/>
    <mergeCell ref="A70:K70"/>
  </mergeCells>
  <pageMargins left="0.7" right="0.7" top="0.75" bottom="0.75" header="0.3" footer="0.3"/>
  <pageSetup orientation="portrait" horizontalDpi="1200" verticalDpi="12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1375-D592-455D-B217-828ABFD5050F}">
  <dimension ref="A1:U149"/>
  <sheetViews>
    <sheetView topLeftCell="B57" zoomScaleNormal="100" workbookViewId="0">
      <selection activeCell="H69" sqref="H69"/>
    </sheetView>
  </sheetViews>
  <sheetFormatPr defaultColWidth="9.28515625" defaultRowHeight="14.25"/>
  <cols>
    <col min="1" max="1" width="18.7109375" style="10" bestFit="1" customWidth="1"/>
    <col min="2" max="2" width="33.5703125" style="100" bestFit="1" customWidth="1"/>
    <col min="3" max="3" width="15.28515625" style="10" bestFit="1" customWidth="1"/>
    <col min="4" max="4" width="14.28515625" style="10" customWidth="1"/>
    <col min="5" max="5" width="17.7109375" style="10" customWidth="1"/>
    <col min="6" max="6" width="13.28515625" style="10" bestFit="1" customWidth="1"/>
    <col min="7" max="7" width="16.28515625" style="10" customWidth="1"/>
    <col min="8" max="8" width="15.5703125" style="10" bestFit="1" customWidth="1"/>
    <col min="9" max="9" width="15.7109375" style="35" customWidth="1"/>
    <col min="10" max="10" width="14" style="10" bestFit="1" customWidth="1"/>
    <col min="11" max="11" width="57.42578125" style="100" customWidth="1"/>
    <col min="12" max="12" width="42.42578125" style="10" customWidth="1"/>
    <col min="13" max="13" width="28.28515625" style="10" customWidth="1"/>
    <col min="14" max="14" width="16.7109375" style="10" customWidth="1"/>
    <col min="15" max="15" width="17.7109375" style="10" customWidth="1"/>
    <col min="16" max="16" width="23.28515625" style="10" customWidth="1"/>
    <col min="17" max="17" width="17.7109375" style="10" customWidth="1"/>
    <col min="18" max="18" width="17.28515625" style="10" customWidth="1"/>
    <col min="19" max="19" width="16.42578125" style="10" customWidth="1"/>
    <col min="20" max="20" width="13.42578125" style="10" customWidth="1"/>
    <col min="21" max="21" width="14.28515625" style="10" customWidth="1"/>
    <col min="22" max="16384" width="9.28515625" style="10"/>
  </cols>
  <sheetData>
    <row r="1" spans="1:21" s="149" customFormat="1" ht="15" customHeight="1">
      <c r="A1" s="578" t="s">
        <v>340</v>
      </c>
      <c r="B1" s="578"/>
      <c r="C1" s="578"/>
      <c r="D1" s="578"/>
      <c r="E1" s="578"/>
      <c r="F1" s="578"/>
      <c r="G1" s="578"/>
      <c r="H1" s="578"/>
      <c r="I1" s="578"/>
      <c r="J1" s="578"/>
      <c r="K1" s="578"/>
      <c r="M1" s="142" t="s">
        <v>234</v>
      </c>
      <c r="N1" s="150"/>
    </row>
    <row r="2" spans="1:21" s="149" customFormat="1" ht="93.75" customHeight="1">
      <c r="A2" s="1" t="s">
        <v>1</v>
      </c>
      <c r="B2" s="99" t="s">
        <v>2</v>
      </c>
      <c r="C2" s="3" t="s">
        <v>3</v>
      </c>
      <c r="D2" s="4" t="s">
        <v>4</v>
      </c>
      <c r="E2" s="20" t="s">
        <v>5</v>
      </c>
      <c r="F2" s="5" t="s">
        <v>7</v>
      </c>
      <c r="G2" s="21" t="s">
        <v>235</v>
      </c>
      <c r="H2" s="6" t="s">
        <v>341</v>
      </c>
      <c r="I2" s="32" t="s">
        <v>10</v>
      </c>
      <c r="J2" s="7" t="s">
        <v>11</v>
      </c>
      <c r="K2" s="101" t="s">
        <v>290</v>
      </c>
      <c r="L2" s="151"/>
      <c r="M2" s="152" t="s">
        <v>342</v>
      </c>
      <c r="N2" s="153" t="s">
        <v>343</v>
      </c>
      <c r="O2" s="152" t="s">
        <v>344</v>
      </c>
      <c r="P2" s="152" t="s">
        <v>345</v>
      </c>
      <c r="Q2" s="152" t="s">
        <v>346</v>
      </c>
      <c r="R2" s="152" t="s">
        <v>347</v>
      </c>
      <c r="S2" s="152" t="s">
        <v>348</v>
      </c>
      <c r="T2" s="152" t="s">
        <v>349</v>
      </c>
      <c r="U2" s="154"/>
    </row>
    <row r="3" spans="1:21" s="149" customFormat="1" ht="15" customHeight="1">
      <c r="A3" s="541" t="s">
        <v>14</v>
      </c>
      <c r="B3" s="541"/>
      <c r="C3" s="541"/>
      <c r="D3" s="541"/>
      <c r="E3" s="541"/>
      <c r="F3" s="541"/>
      <c r="G3" s="541"/>
      <c r="H3" s="541"/>
      <c r="I3" s="541"/>
      <c r="J3" s="541"/>
      <c r="K3" s="541"/>
      <c r="M3" s="149">
        <v>89</v>
      </c>
      <c r="N3" s="155">
        <v>1810</v>
      </c>
      <c r="O3" s="149">
        <v>6243959</v>
      </c>
      <c r="P3" s="149">
        <v>1379126</v>
      </c>
      <c r="Q3" s="149">
        <v>1464744</v>
      </c>
      <c r="R3" s="142">
        <v>3400090</v>
      </c>
      <c r="S3" s="156">
        <v>37417</v>
      </c>
      <c r="T3" s="156">
        <v>3289</v>
      </c>
      <c r="U3" s="157"/>
    </row>
    <row r="4" spans="1:21" s="149" customFormat="1" ht="15" customHeight="1">
      <c r="A4" s="543" t="s">
        <v>15</v>
      </c>
      <c r="B4" s="543"/>
      <c r="C4" s="543"/>
      <c r="D4" s="543"/>
      <c r="E4" s="543"/>
      <c r="F4" s="543"/>
      <c r="G4" s="543"/>
      <c r="H4" s="543"/>
      <c r="I4" s="543"/>
      <c r="J4" s="543"/>
      <c r="K4" s="543"/>
      <c r="L4" s="158"/>
      <c r="M4" s="149" t="s">
        <v>350</v>
      </c>
      <c r="N4" s="149" t="s">
        <v>351</v>
      </c>
      <c r="O4" s="149" t="s">
        <v>352</v>
      </c>
      <c r="P4" s="149" t="s">
        <v>352</v>
      </c>
      <c r="Q4" s="149" t="s">
        <v>352</v>
      </c>
      <c r="R4" s="143" t="s">
        <v>352</v>
      </c>
      <c r="S4" s="148" t="s">
        <v>352</v>
      </c>
      <c r="T4" s="156" t="s">
        <v>291</v>
      </c>
      <c r="U4" s="157"/>
    </row>
    <row r="5" spans="1:21" ht="15">
      <c r="A5" s="98">
        <v>246.4</v>
      </c>
      <c r="B5" s="64" t="s">
        <v>16</v>
      </c>
      <c r="C5" s="23">
        <v>89</v>
      </c>
      <c r="D5" s="23">
        <v>1</v>
      </c>
      <c r="E5" s="41">
        <f>C5*D5</f>
        <v>89</v>
      </c>
      <c r="F5" s="19">
        <v>134.62</v>
      </c>
      <c r="G5" s="41">
        <f>E5*F5</f>
        <v>11981.18</v>
      </c>
      <c r="H5" s="25">
        <f>'2020'!G5</f>
        <v>11981.18</v>
      </c>
      <c r="I5" s="24">
        <f>G5-H5</f>
        <v>0</v>
      </c>
      <c r="J5" s="24">
        <f>G5-H5</f>
        <v>0</v>
      </c>
      <c r="K5" s="159" t="s">
        <v>291</v>
      </c>
      <c r="N5" s="35"/>
      <c r="S5" s="160"/>
      <c r="T5" s="157"/>
      <c r="U5" s="157"/>
    </row>
    <row r="6" spans="1:21" ht="15">
      <c r="A6" s="98" t="s">
        <v>19</v>
      </c>
      <c r="B6" s="64" t="s">
        <v>20</v>
      </c>
      <c r="C6" s="23">
        <f>1810*0.5</f>
        <v>905</v>
      </c>
      <c r="D6" s="23">
        <v>1</v>
      </c>
      <c r="E6" s="41">
        <f t="shared" ref="E6:E65" si="0">C6*D6</f>
        <v>905</v>
      </c>
      <c r="F6" s="19">
        <v>2</v>
      </c>
      <c r="G6" s="41">
        <f t="shared" ref="G6:G63" si="1">E6*F6</f>
        <v>1810</v>
      </c>
      <c r="H6" s="25">
        <f>'2020'!G6</f>
        <v>1808</v>
      </c>
      <c r="I6" s="24">
        <v>0</v>
      </c>
      <c r="J6" s="24">
        <f t="shared" ref="J6:J64" si="2">G6-H6</f>
        <v>2</v>
      </c>
      <c r="K6" s="159" t="s">
        <v>353</v>
      </c>
      <c r="N6" s="35"/>
      <c r="R6" s="161"/>
      <c r="S6" s="160"/>
      <c r="T6" s="157"/>
      <c r="U6" s="157"/>
    </row>
    <row r="7" spans="1:21" ht="15">
      <c r="A7" s="98" t="s">
        <v>21</v>
      </c>
      <c r="B7" s="64" t="s">
        <v>22</v>
      </c>
      <c r="C7" s="23">
        <v>4</v>
      </c>
      <c r="D7" s="23">
        <v>1</v>
      </c>
      <c r="E7" s="41">
        <f t="shared" si="0"/>
        <v>4</v>
      </c>
      <c r="F7" s="19">
        <v>0.16700000000000001</v>
      </c>
      <c r="G7" s="41">
        <f t="shared" si="1"/>
        <v>0.66800000000000004</v>
      </c>
      <c r="H7" s="25">
        <v>0</v>
      </c>
      <c r="I7" s="24">
        <f t="shared" ref="I7:I68" si="3">G7-H7</f>
        <v>0.66800000000000004</v>
      </c>
      <c r="J7" s="24">
        <v>0</v>
      </c>
      <c r="K7" s="162" t="s">
        <v>354</v>
      </c>
      <c r="N7" s="35"/>
      <c r="R7" s="161"/>
      <c r="S7" s="160"/>
      <c r="T7" s="157"/>
      <c r="U7" s="157"/>
    </row>
    <row r="8" spans="1:21" ht="15">
      <c r="A8" s="98" t="s">
        <v>214</v>
      </c>
      <c r="B8" s="64" t="s">
        <v>215</v>
      </c>
      <c r="C8" s="23">
        <f>(89*0.33)</f>
        <v>29.37</v>
      </c>
      <c r="D8" s="23">
        <v>1</v>
      </c>
      <c r="E8" s="41">
        <f t="shared" si="0"/>
        <v>29.37</v>
      </c>
      <c r="F8" s="19">
        <v>0.5</v>
      </c>
      <c r="G8" s="41">
        <f t="shared" si="1"/>
        <v>14.685</v>
      </c>
      <c r="H8" s="25">
        <v>0</v>
      </c>
      <c r="I8" s="24">
        <f t="shared" si="3"/>
        <v>14.685</v>
      </c>
      <c r="J8" s="24">
        <v>0</v>
      </c>
      <c r="K8" s="162" t="s">
        <v>354</v>
      </c>
      <c r="N8" s="35"/>
      <c r="R8" s="161"/>
      <c r="S8" s="160"/>
      <c r="T8" s="157"/>
      <c r="U8" s="157"/>
    </row>
    <row r="9" spans="1:21" ht="17.25" customHeight="1">
      <c r="A9" s="98" t="s">
        <v>23</v>
      </c>
      <c r="B9" s="102" t="s">
        <v>24</v>
      </c>
      <c r="C9" s="23">
        <v>4</v>
      </c>
      <c r="D9" s="23">
        <f>(1810/89)*0.02</f>
        <v>0.40674157303370784</v>
      </c>
      <c r="E9" s="41">
        <f t="shared" si="0"/>
        <v>1.6269662921348313</v>
      </c>
      <c r="F9" s="19">
        <v>0.5</v>
      </c>
      <c r="G9" s="41">
        <f t="shared" si="1"/>
        <v>0.81348314606741567</v>
      </c>
      <c r="H9" s="25"/>
      <c r="I9" s="24">
        <f t="shared" si="3"/>
        <v>0.81348314606741567</v>
      </c>
      <c r="J9" s="24">
        <v>0</v>
      </c>
      <c r="K9" s="162" t="s">
        <v>354</v>
      </c>
      <c r="N9" s="35"/>
      <c r="R9" s="161"/>
      <c r="S9" s="160"/>
      <c r="T9" s="157"/>
      <c r="U9" s="157"/>
    </row>
    <row r="10" spans="1:21" ht="15">
      <c r="A10" s="98">
        <v>246.6</v>
      </c>
      <c r="B10" s="64" t="s">
        <v>25</v>
      </c>
      <c r="C10" s="23">
        <f>1810*0.5</f>
        <v>905</v>
      </c>
      <c r="D10" s="23">
        <v>1</v>
      </c>
      <c r="E10" s="41">
        <f t="shared" si="0"/>
        <v>905</v>
      </c>
      <c r="F10" s="19">
        <v>1.5</v>
      </c>
      <c r="G10" s="41">
        <f t="shared" si="1"/>
        <v>1357.5</v>
      </c>
      <c r="H10" s="25">
        <f>'2020'!G7</f>
        <v>1356</v>
      </c>
      <c r="I10" s="24">
        <v>0</v>
      </c>
      <c r="J10" s="24">
        <f t="shared" si="2"/>
        <v>1.5</v>
      </c>
      <c r="K10" s="159" t="s">
        <v>353</v>
      </c>
      <c r="N10" s="35"/>
      <c r="R10" s="161"/>
      <c r="S10" s="160"/>
      <c r="T10" s="157"/>
      <c r="U10" s="157"/>
    </row>
    <row r="11" spans="1:21" ht="28.5">
      <c r="A11" s="98" t="s">
        <v>26</v>
      </c>
      <c r="B11" s="64" t="s">
        <v>27</v>
      </c>
      <c r="C11" s="23">
        <v>89</v>
      </c>
      <c r="D11" s="23">
        <f>(1810/89)</f>
        <v>20.337078651685392</v>
      </c>
      <c r="E11" s="41">
        <f t="shared" si="0"/>
        <v>1809.9999999999998</v>
      </c>
      <c r="F11" s="19">
        <v>0.25</v>
      </c>
      <c r="G11" s="41">
        <f t="shared" si="1"/>
        <v>452.49999999999994</v>
      </c>
      <c r="H11" s="25">
        <v>0</v>
      </c>
      <c r="I11" s="24">
        <f>G11-H11</f>
        <v>452.49999999999994</v>
      </c>
      <c r="J11" s="24">
        <v>0</v>
      </c>
      <c r="K11" s="162" t="s">
        <v>354</v>
      </c>
      <c r="N11" s="35"/>
      <c r="R11" s="161"/>
      <c r="S11" s="160"/>
      <c r="T11" s="157"/>
      <c r="U11" s="157"/>
    </row>
    <row r="12" spans="1:21" ht="14.25" customHeight="1">
      <c r="A12" s="98" t="s">
        <v>28</v>
      </c>
      <c r="B12" s="64" t="s">
        <v>29</v>
      </c>
      <c r="C12" s="23">
        <f>1810/6</f>
        <v>301.66666666666669</v>
      </c>
      <c r="D12" s="23">
        <v>1</v>
      </c>
      <c r="E12" s="41">
        <f t="shared" si="0"/>
        <v>301.66666666666669</v>
      </c>
      <c r="F12" s="19">
        <v>0.25</v>
      </c>
      <c r="G12" s="41">
        <f t="shared" si="1"/>
        <v>75.416666666666671</v>
      </c>
      <c r="H12" s="25">
        <f>'2020'!G8</f>
        <v>75.325000000000003</v>
      </c>
      <c r="I12" s="24">
        <v>0</v>
      </c>
      <c r="J12" s="24">
        <f t="shared" si="2"/>
        <v>9.1666666666668561E-2</v>
      </c>
      <c r="K12" s="159" t="s">
        <v>353</v>
      </c>
      <c r="N12" s="35"/>
      <c r="R12" s="161"/>
      <c r="S12" s="160"/>
      <c r="T12" s="157"/>
      <c r="U12" s="157"/>
    </row>
    <row r="13" spans="1:21" ht="11.25" hidden="1" customHeight="1">
      <c r="A13" s="98" t="s">
        <v>32</v>
      </c>
      <c r="B13" s="64" t="s">
        <v>355</v>
      </c>
      <c r="C13" s="23"/>
      <c r="D13" s="23"/>
      <c r="E13" s="41">
        <f t="shared" si="0"/>
        <v>0</v>
      </c>
      <c r="F13" s="19"/>
      <c r="G13" s="41">
        <f t="shared" si="1"/>
        <v>0</v>
      </c>
      <c r="H13" s="25">
        <f>'2020'!G9</f>
        <v>1428439</v>
      </c>
      <c r="I13" s="24">
        <f t="shared" si="3"/>
        <v>-1428439</v>
      </c>
      <c r="J13" s="24">
        <f t="shared" si="2"/>
        <v>-1428439</v>
      </c>
      <c r="K13" s="159" t="s">
        <v>291</v>
      </c>
      <c r="N13" s="35"/>
      <c r="O13" s="35"/>
      <c r="P13" s="35"/>
      <c r="R13" s="161"/>
      <c r="S13" s="160"/>
      <c r="T13" s="163"/>
      <c r="U13" s="157"/>
    </row>
    <row r="14" spans="1:21" ht="40.5" customHeight="1">
      <c r="A14" s="98" t="s">
        <v>30</v>
      </c>
      <c r="B14" s="64" t="s">
        <v>31</v>
      </c>
      <c r="C14" s="23">
        <f>1810*0.7</f>
        <v>1267</v>
      </c>
      <c r="D14" s="23">
        <f>(1379126*0.7)/1267</f>
        <v>761.9480662983425</v>
      </c>
      <c r="E14" s="41">
        <f t="shared" si="0"/>
        <v>965388.2</v>
      </c>
      <c r="F14" s="19">
        <v>0.41749999999999998</v>
      </c>
      <c r="G14" s="41">
        <f t="shared" si="1"/>
        <v>403049.57349999994</v>
      </c>
      <c r="H14" s="25">
        <f>'2020'!G10</f>
        <v>545711</v>
      </c>
      <c r="I14" s="24">
        <v>0</v>
      </c>
      <c r="J14" s="24">
        <f t="shared" si="2"/>
        <v>-142661.42650000006</v>
      </c>
      <c r="K14" s="64" t="s">
        <v>356</v>
      </c>
      <c r="N14" s="35"/>
      <c r="P14" s="27"/>
      <c r="R14" s="161"/>
      <c r="S14" s="163"/>
      <c r="T14" s="157"/>
      <c r="U14" s="157"/>
    </row>
    <row r="15" spans="1:21" ht="99.75" customHeight="1">
      <c r="A15" s="98" t="s">
        <v>32</v>
      </c>
      <c r="B15" s="64" t="s">
        <v>33</v>
      </c>
      <c r="C15" s="23">
        <f>1810*0.7</f>
        <v>1267</v>
      </c>
      <c r="D15" s="23">
        <f>(3400090*0.7)/1267</f>
        <v>1878.5027624309391</v>
      </c>
      <c r="E15" s="189">
        <f t="shared" si="0"/>
        <v>2380063</v>
      </c>
      <c r="F15" s="19">
        <v>0.41749999999999998</v>
      </c>
      <c r="G15" s="41">
        <f t="shared" si="1"/>
        <v>993676.30249999999</v>
      </c>
      <c r="H15" s="25">
        <f>'2020'!G11</f>
        <v>882728</v>
      </c>
      <c r="I15" s="24">
        <v>0</v>
      </c>
      <c r="J15" s="24">
        <f t="shared" si="2"/>
        <v>110948.30249999999</v>
      </c>
      <c r="K15" s="64" t="s">
        <v>357</v>
      </c>
      <c r="N15" s="35"/>
      <c r="P15" s="164"/>
      <c r="R15" s="161"/>
      <c r="S15" s="157"/>
      <c r="T15" s="157"/>
      <c r="U15" s="157"/>
    </row>
    <row r="16" spans="1:21" ht="36" customHeight="1">
      <c r="A16" s="98" t="s">
        <v>32</v>
      </c>
      <c r="B16" s="64" t="s">
        <v>34</v>
      </c>
      <c r="C16" s="23">
        <f>1810*0.7</f>
        <v>1267</v>
      </c>
      <c r="D16" s="23">
        <f>1*(1464744*0.7/1267)</f>
        <v>809.25082872928169</v>
      </c>
      <c r="E16" s="41">
        <f t="shared" si="0"/>
        <v>1025320.7999999999</v>
      </c>
      <c r="F16" s="19">
        <v>0.41749999999999998</v>
      </c>
      <c r="G16" s="41">
        <f t="shared" si="1"/>
        <v>428071.43399999995</v>
      </c>
      <c r="H16" s="25">
        <f>'2020'!G12</f>
        <v>285970.967</v>
      </c>
      <c r="I16" s="24">
        <v>0</v>
      </c>
      <c r="J16" s="24">
        <f t="shared" si="2"/>
        <v>142100.46699999995</v>
      </c>
      <c r="K16" s="64" t="s">
        <v>358</v>
      </c>
      <c r="N16" s="35"/>
      <c r="P16" s="165"/>
      <c r="R16" s="161"/>
      <c r="S16" s="160"/>
      <c r="T16" s="157"/>
      <c r="U16" s="157"/>
    </row>
    <row r="17" spans="1:21" ht="15">
      <c r="A17" s="98" t="s">
        <v>36</v>
      </c>
      <c r="B17" s="64" t="s">
        <v>37</v>
      </c>
      <c r="C17" s="23">
        <v>4</v>
      </c>
      <c r="D17" s="23">
        <v>1</v>
      </c>
      <c r="E17" s="41">
        <f t="shared" si="0"/>
        <v>4</v>
      </c>
      <c r="F17" s="19">
        <v>8.3500000000000005E-2</v>
      </c>
      <c r="G17" s="41">
        <f t="shared" si="1"/>
        <v>0.33400000000000002</v>
      </c>
      <c r="H17" s="25">
        <f>'2020'!G13</f>
        <v>0.33400000000000002</v>
      </c>
      <c r="I17" s="24">
        <f t="shared" si="3"/>
        <v>0</v>
      </c>
      <c r="J17" s="24">
        <f t="shared" si="2"/>
        <v>0</v>
      </c>
      <c r="K17" s="159" t="s">
        <v>291</v>
      </c>
      <c r="N17" s="35"/>
      <c r="R17" s="161"/>
      <c r="S17" s="160"/>
      <c r="T17" s="157"/>
      <c r="U17" s="157"/>
    </row>
    <row r="18" spans="1:21" ht="15">
      <c r="A18" s="98" t="s">
        <v>38</v>
      </c>
      <c r="B18" s="64" t="s">
        <v>39</v>
      </c>
      <c r="C18" s="23">
        <v>1810</v>
      </c>
      <c r="D18" s="23">
        <f>((0.03*6243959)/1810)</f>
        <v>103.49103314917126</v>
      </c>
      <c r="E18" s="41">
        <f t="shared" si="0"/>
        <v>187318.77</v>
      </c>
      <c r="F18" s="19">
        <v>8.3500000000000005E-2</v>
      </c>
      <c r="G18" s="41">
        <f t="shared" si="1"/>
        <v>15641.117295</v>
      </c>
      <c r="H18" s="25">
        <f>'2020'!G14</f>
        <v>17210</v>
      </c>
      <c r="I18" s="24">
        <v>0</v>
      </c>
      <c r="J18" s="24">
        <f t="shared" si="2"/>
        <v>-1568.882705</v>
      </c>
      <c r="K18" s="159" t="s">
        <v>359</v>
      </c>
      <c r="N18" s="35"/>
    </row>
    <row r="19" spans="1:21" ht="15">
      <c r="A19" s="103">
        <v>246.8</v>
      </c>
      <c r="B19" s="104" t="s">
        <v>40</v>
      </c>
      <c r="C19" s="105">
        <v>79</v>
      </c>
      <c r="D19" s="105">
        <v>1</v>
      </c>
      <c r="E19" s="41">
        <f t="shared" si="0"/>
        <v>79</v>
      </c>
      <c r="F19" s="106">
        <v>3</v>
      </c>
      <c r="G19" s="133">
        <f t="shared" si="1"/>
        <v>237</v>
      </c>
      <c r="H19" s="107">
        <v>0</v>
      </c>
      <c r="I19" s="24">
        <f t="shared" si="3"/>
        <v>237</v>
      </c>
      <c r="J19" s="24">
        <v>0</v>
      </c>
      <c r="K19" s="166" t="s">
        <v>354</v>
      </c>
      <c r="N19" s="35"/>
    </row>
    <row r="20" spans="1:21" ht="42.75">
      <c r="A20" s="98" t="s">
        <v>294</v>
      </c>
      <c r="B20" s="64" t="s">
        <v>42</v>
      </c>
      <c r="C20" s="23">
        <v>89</v>
      </c>
      <c r="D20" s="23">
        <f>(6243959*0.02)/89</f>
        <v>1403.1368539325842</v>
      </c>
      <c r="E20" s="41">
        <f t="shared" si="0"/>
        <v>124879.18</v>
      </c>
      <c r="F20" s="19">
        <v>8.3500000000000005E-2</v>
      </c>
      <c r="G20" s="41">
        <f t="shared" si="1"/>
        <v>10427.411529999999</v>
      </c>
      <c r="H20" s="25">
        <v>0</v>
      </c>
      <c r="I20" s="24">
        <f t="shared" si="3"/>
        <v>10427.411529999999</v>
      </c>
      <c r="J20" s="24">
        <v>0</v>
      </c>
      <c r="K20" s="159" t="s">
        <v>354</v>
      </c>
      <c r="N20" s="35"/>
    </row>
    <row r="21" spans="1:21" ht="28.5">
      <c r="A21" s="98" t="s">
        <v>295</v>
      </c>
      <c r="B21" s="64" t="s">
        <v>44</v>
      </c>
      <c r="C21" s="23">
        <v>89</v>
      </c>
      <c r="D21" s="23">
        <f>(6243959*0.02*0.02)/89</f>
        <v>28.06273707865169</v>
      </c>
      <c r="E21" s="41">
        <f t="shared" si="0"/>
        <v>2497.5836000000004</v>
      </c>
      <c r="F21" s="19">
        <v>3</v>
      </c>
      <c r="G21" s="41">
        <f t="shared" si="1"/>
        <v>7492.7508000000016</v>
      </c>
      <c r="H21" s="25">
        <v>0</v>
      </c>
      <c r="I21" s="24">
        <f t="shared" si="3"/>
        <v>7492.7508000000016</v>
      </c>
      <c r="J21" s="24">
        <v>0</v>
      </c>
      <c r="K21" s="159" t="s">
        <v>354</v>
      </c>
      <c r="N21" s="35"/>
    </row>
    <row r="22" spans="1:21" ht="15">
      <c r="A22" s="98" t="s">
        <v>45</v>
      </c>
      <c r="B22" s="64" t="s">
        <v>46</v>
      </c>
      <c r="C22" s="23">
        <v>89</v>
      </c>
      <c r="D22" s="23">
        <v>1</v>
      </c>
      <c r="E22" s="41">
        <f t="shared" si="0"/>
        <v>89</v>
      </c>
      <c r="F22" s="19">
        <v>40</v>
      </c>
      <c r="G22" s="41">
        <f t="shared" si="1"/>
        <v>3560</v>
      </c>
      <c r="H22" s="25">
        <f>'2020'!G15</f>
        <v>3560</v>
      </c>
      <c r="I22" s="24">
        <f t="shared" si="3"/>
        <v>0</v>
      </c>
      <c r="J22" s="24">
        <f t="shared" si="2"/>
        <v>0</v>
      </c>
      <c r="K22" s="159" t="s">
        <v>291</v>
      </c>
      <c r="N22" s="35"/>
    </row>
    <row r="23" spans="1:21" ht="15">
      <c r="A23" s="98" t="s">
        <v>47</v>
      </c>
      <c r="B23" s="64" t="s">
        <v>48</v>
      </c>
      <c r="C23" s="23">
        <v>54</v>
      </c>
      <c r="D23" s="23">
        <v>4</v>
      </c>
      <c r="E23" s="41">
        <f t="shared" si="0"/>
        <v>216</v>
      </c>
      <c r="F23" s="19">
        <v>8.3000000000000001E-3</v>
      </c>
      <c r="G23" s="41">
        <f t="shared" si="1"/>
        <v>1.7927999999999999</v>
      </c>
      <c r="H23" s="25">
        <f>'2020'!G16</f>
        <v>1.7927999999999999</v>
      </c>
      <c r="I23" s="24">
        <f t="shared" si="3"/>
        <v>0</v>
      </c>
      <c r="J23" s="24">
        <f t="shared" si="2"/>
        <v>0</v>
      </c>
      <c r="K23" s="167" t="s">
        <v>291</v>
      </c>
      <c r="N23" s="35"/>
    </row>
    <row r="24" spans="1:21" ht="28.5">
      <c r="A24" s="98" t="s">
        <v>53</v>
      </c>
      <c r="B24" s="64" t="s">
        <v>54</v>
      </c>
      <c r="C24" s="23">
        <v>1810</v>
      </c>
      <c r="D24" s="23">
        <f>(1464744*0.01)/1810</f>
        <v>8.0925082872928176</v>
      </c>
      <c r="E24" s="41">
        <f t="shared" si="0"/>
        <v>14647.44</v>
      </c>
      <c r="F24" s="19">
        <v>3.3399999999999999E-2</v>
      </c>
      <c r="G24" s="41">
        <f t="shared" si="1"/>
        <v>489.22449599999999</v>
      </c>
      <c r="H24" s="25">
        <f>'2020'!G17</f>
        <v>572</v>
      </c>
      <c r="I24" s="24">
        <v>0</v>
      </c>
      <c r="J24" s="24">
        <f t="shared" si="2"/>
        <v>-82.775504000000012</v>
      </c>
      <c r="K24" s="64" t="s">
        <v>372</v>
      </c>
      <c r="N24" s="35"/>
    </row>
    <row r="25" spans="1:21" ht="15">
      <c r="A25" s="98" t="s">
        <v>55</v>
      </c>
      <c r="B25" s="64" t="s">
        <v>56</v>
      </c>
      <c r="C25" s="23">
        <f>(1/5)</f>
        <v>0.2</v>
      </c>
      <c r="D25" s="23">
        <v>1</v>
      </c>
      <c r="E25" s="41">
        <f t="shared" si="0"/>
        <v>0.2</v>
      </c>
      <c r="F25" s="19">
        <v>2</v>
      </c>
      <c r="G25" s="41">
        <f t="shared" si="1"/>
        <v>0.4</v>
      </c>
      <c r="H25" s="25"/>
      <c r="I25" s="24">
        <f t="shared" si="3"/>
        <v>0.4</v>
      </c>
      <c r="J25" s="24">
        <f t="shared" si="2"/>
        <v>0.4</v>
      </c>
      <c r="K25" s="64" t="s">
        <v>354</v>
      </c>
      <c r="N25" s="35"/>
    </row>
    <row r="26" spans="1:21" ht="30">
      <c r="A26" s="98" t="s">
        <v>57</v>
      </c>
      <c r="B26" s="64" t="s">
        <v>58</v>
      </c>
      <c r="C26" s="23">
        <v>1810</v>
      </c>
      <c r="D26" s="23">
        <f>(6243960/1810)</f>
        <v>3449.7016574585637</v>
      </c>
      <c r="E26" s="41">
        <f t="shared" si="0"/>
        <v>6243960</v>
      </c>
      <c r="F26" s="19">
        <v>0.25</v>
      </c>
      <c r="G26" s="41">
        <f t="shared" si="1"/>
        <v>1560990</v>
      </c>
      <c r="H26" s="25">
        <v>0</v>
      </c>
      <c r="I26" s="24">
        <f t="shared" si="3"/>
        <v>1560990</v>
      </c>
      <c r="J26" s="24">
        <v>0</v>
      </c>
      <c r="K26" s="64" t="s">
        <v>354</v>
      </c>
      <c r="N26" s="35"/>
    </row>
    <row r="27" spans="1:21" ht="15">
      <c r="A27" s="98" t="s">
        <v>59</v>
      </c>
      <c r="B27" s="64" t="s">
        <v>60</v>
      </c>
      <c r="C27" s="23">
        <v>1810</v>
      </c>
      <c r="D27" s="23">
        <v>1</v>
      </c>
      <c r="E27" s="41">
        <f t="shared" si="0"/>
        <v>1810</v>
      </c>
      <c r="F27" s="19">
        <v>40</v>
      </c>
      <c r="G27" s="41">
        <f t="shared" si="1"/>
        <v>72400</v>
      </c>
      <c r="H27" s="25">
        <f>'2020'!G18</f>
        <v>72320</v>
      </c>
      <c r="I27" s="24">
        <v>0</v>
      </c>
      <c r="J27" s="24">
        <f t="shared" si="2"/>
        <v>80</v>
      </c>
      <c r="K27" s="159" t="s">
        <v>353</v>
      </c>
      <c r="N27" s="35"/>
    </row>
    <row r="28" spans="1:21" ht="15">
      <c r="A28" s="98" t="s">
        <v>62</v>
      </c>
      <c r="B28" s="64" t="s">
        <v>63</v>
      </c>
      <c r="C28" s="23">
        <v>89</v>
      </c>
      <c r="D28" s="23">
        <v>1</v>
      </c>
      <c r="E28" s="41">
        <f t="shared" si="0"/>
        <v>89</v>
      </c>
      <c r="F28" s="19">
        <v>3</v>
      </c>
      <c r="G28" s="41">
        <f t="shared" si="1"/>
        <v>267</v>
      </c>
      <c r="H28" s="25">
        <v>0</v>
      </c>
      <c r="I28" s="24">
        <f t="shared" si="3"/>
        <v>267</v>
      </c>
      <c r="J28" s="24">
        <v>0</v>
      </c>
      <c r="K28" s="159" t="s">
        <v>354</v>
      </c>
      <c r="N28" s="35"/>
    </row>
    <row r="29" spans="1:21" ht="15">
      <c r="A29" s="98" t="s">
        <v>64</v>
      </c>
      <c r="B29" s="64" t="s">
        <v>65</v>
      </c>
      <c r="C29" s="23">
        <v>89</v>
      </c>
      <c r="D29" s="23">
        <v>1</v>
      </c>
      <c r="E29" s="41">
        <f t="shared" si="0"/>
        <v>89</v>
      </c>
      <c r="F29" s="19">
        <v>3</v>
      </c>
      <c r="G29" s="41">
        <f t="shared" si="1"/>
        <v>267</v>
      </c>
      <c r="H29" s="25">
        <v>0</v>
      </c>
      <c r="I29" s="24">
        <f t="shared" si="3"/>
        <v>267</v>
      </c>
      <c r="J29" s="24">
        <v>0</v>
      </c>
      <c r="K29" s="159" t="s">
        <v>354</v>
      </c>
      <c r="N29" s="35"/>
    </row>
    <row r="30" spans="1:21" ht="15">
      <c r="A30" s="98" t="s">
        <v>66</v>
      </c>
      <c r="B30" s="64" t="s">
        <v>67</v>
      </c>
      <c r="C30" s="23">
        <v>89</v>
      </c>
      <c r="D30" s="23">
        <f>(840)/89</f>
        <v>9.4382022471910112</v>
      </c>
      <c r="E30" s="41">
        <f t="shared" si="0"/>
        <v>840</v>
      </c>
      <c r="F30" s="19">
        <v>4</v>
      </c>
      <c r="G30" s="41">
        <f t="shared" si="1"/>
        <v>3360</v>
      </c>
      <c r="H30" s="25">
        <f>'2020'!G19</f>
        <v>14764</v>
      </c>
      <c r="I30" s="24">
        <f t="shared" si="3"/>
        <v>-11404</v>
      </c>
      <c r="J30" s="24">
        <f t="shared" si="2"/>
        <v>-11404</v>
      </c>
      <c r="K30" s="104" t="s">
        <v>362</v>
      </c>
      <c r="N30" s="35"/>
    </row>
    <row r="31" spans="1:21" ht="15">
      <c r="A31" s="98" t="s">
        <v>68</v>
      </c>
      <c r="B31" s="64" t="s">
        <v>69</v>
      </c>
      <c r="C31" s="23">
        <v>79</v>
      </c>
      <c r="D31" s="23">
        <f>2*(37417/79)</f>
        <v>947.2658227848101</v>
      </c>
      <c r="E31" s="41">
        <f t="shared" si="0"/>
        <v>74834</v>
      </c>
      <c r="F31" s="19">
        <v>2</v>
      </c>
      <c r="G31" s="41">
        <f t="shared" si="1"/>
        <v>149668</v>
      </c>
      <c r="H31" s="25">
        <f>'2020'!G20</f>
        <v>164656</v>
      </c>
      <c r="I31" s="24">
        <v>0</v>
      </c>
      <c r="J31" s="24">
        <f t="shared" si="2"/>
        <v>-14988</v>
      </c>
      <c r="K31" s="159" t="s">
        <v>363</v>
      </c>
      <c r="N31" s="35"/>
    </row>
    <row r="32" spans="1:21" ht="15">
      <c r="A32" s="98" t="s">
        <v>68</v>
      </c>
      <c r="B32" s="64" t="s">
        <v>70</v>
      </c>
      <c r="C32" s="23">
        <v>5</v>
      </c>
      <c r="D32" s="23">
        <v>1</v>
      </c>
      <c r="E32" s="41">
        <f t="shared" si="0"/>
        <v>5</v>
      </c>
      <c r="F32" s="19">
        <v>8</v>
      </c>
      <c r="G32" s="41">
        <f t="shared" si="1"/>
        <v>40</v>
      </c>
      <c r="H32" s="25">
        <f>'2020'!G21</f>
        <v>40</v>
      </c>
      <c r="I32" s="24">
        <f t="shared" si="3"/>
        <v>0</v>
      </c>
      <c r="J32" s="24">
        <f t="shared" si="2"/>
        <v>0</v>
      </c>
      <c r="K32" s="159" t="s">
        <v>291</v>
      </c>
      <c r="N32" s="35"/>
    </row>
    <row r="33" spans="1:14" ht="15">
      <c r="A33" s="98" t="s">
        <v>71</v>
      </c>
      <c r="B33" s="64" t="s">
        <v>72</v>
      </c>
      <c r="C33" s="23">
        <v>89</v>
      </c>
      <c r="D33" s="23">
        <v>1</v>
      </c>
      <c r="E33" s="41">
        <f t="shared" si="0"/>
        <v>89</v>
      </c>
      <c r="F33" s="19">
        <v>3</v>
      </c>
      <c r="G33" s="41">
        <f t="shared" si="1"/>
        <v>267</v>
      </c>
      <c r="H33" s="25">
        <v>0</v>
      </c>
      <c r="I33" s="24">
        <f t="shared" si="3"/>
        <v>267</v>
      </c>
      <c r="J33" s="24">
        <v>0</v>
      </c>
      <c r="K33" s="159" t="s">
        <v>354</v>
      </c>
      <c r="N33" s="35"/>
    </row>
    <row r="34" spans="1:14" ht="28.5">
      <c r="A34" s="98" t="s">
        <v>73</v>
      </c>
      <c r="B34" s="64" t="s">
        <v>165</v>
      </c>
      <c r="C34" s="23">
        <v>89</v>
      </c>
      <c r="D34" s="23">
        <v>17</v>
      </c>
      <c r="E34" s="41">
        <f t="shared" si="0"/>
        <v>1513</v>
      </c>
      <c r="F34" s="19">
        <v>1</v>
      </c>
      <c r="G34" s="41">
        <f t="shared" si="1"/>
        <v>1513</v>
      </c>
      <c r="H34" s="25">
        <v>0</v>
      </c>
      <c r="I34" s="24">
        <f t="shared" si="3"/>
        <v>1513</v>
      </c>
      <c r="J34" s="24">
        <v>0</v>
      </c>
      <c r="K34" s="166" t="s">
        <v>354</v>
      </c>
      <c r="N34" s="35"/>
    </row>
    <row r="35" spans="1:14" ht="15">
      <c r="A35" s="98" t="s">
        <v>76</v>
      </c>
      <c r="B35" s="64" t="s">
        <v>77</v>
      </c>
      <c r="C35" s="23">
        <v>89</v>
      </c>
      <c r="D35" s="23">
        <v>1</v>
      </c>
      <c r="E35" s="41">
        <f t="shared" si="0"/>
        <v>89</v>
      </c>
      <c r="F35" s="19">
        <v>3</v>
      </c>
      <c r="G35" s="41">
        <f t="shared" si="1"/>
        <v>267</v>
      </c>
      <c r="H35" s="25">
        <v>0</v>
      </c>
      <c r="I35" s="24">
        <f t="shared" si="3"/>
        <v>267</v>
      </c>
      <c r="J35" s="24">
        <v>0</v>
      </c>
      <c r="K35" s="159" t="s">
        <v>354</v>
      </c>
      <c r="N35" s="35"/>
    </row>
    <row r="36" spans="1:14" ht="28.5">
      <c r="A36" s="98" t="s">
        <v>78</v>
      </c>
      <c r="B36" s="64" t="s">
        <v>364</v>
      </c>
      <c r="C36" s="23">
        <v>89</v>
      </c>
      <c r="D36" s="23">
        <f>(0.33*37417)/89</f>
        <v>138.73719101123595</v>
      </c>
      <c r="E36" s="41">
        <f t="shared" si="0"/>
        <v>12347.609999999999</v>
      </c>
      <c r="F36" s="19">
        <v>0.67800000000000005</v>
      </c>
      <c r="G36" s="41">
        <f t="shared" si="1"/>
        <v>8371.67958</v>
      </c>
      <c r="H36" s="25">
        <v>0</v>
      </c>
      <c r="I36" s="24">
        <f t="shared" si="3"/>
        <v>8371.67958</v>
      </c>
      <c r="J36" s="24">
        <v>0</v>
      </c>
      <c r="K36" s="159" t="s">
        <v>354</v>
      </c>
      <c r="N36" s="35"/>
    </row>
    <row r="37" spans="1:14" ht="15">
      <c r="A37" s="98" t="s">
        <v>80</v>
      </c>
      <c r="B37" s="64" t="s">
        <v>81</v>
      </c>
      <c r="C37" s="23">
        <v>89</v>
      </c>
      <c r="D37" s="23">
        <v>1</v>
      </c>
      <c r="E37" s="41">
        <f t="shared" si="0"/>
        <v>89</v>
      </c>
      <c r="F37" s="19">
        <v>8</v>
      </c>
      <c r="G37" s="41">
        <f t="shared" si="1"/>
        <v>712</v>
      </c>
      <c r="H37" s="25">
        <f>'2020'!G22</f>
        <v>712</v>
      </c>
      <c r="I37" s="24">
        <f t="shared" si="3"/>
        <v>0</v>
      </c>
      <c r="J37" s="24">
        <f t="shared" si="2"/>
        <v>0</v>
      </c>
      <c r="K37" s="159" t="s">
        <v>291</v>
      </c>
      <c r="N37" s="35"/>
    </row>
    <row r="38" spans="1:14" ht="15">
      <c r="A38" s="98" t="s">
        <v>80</v>
      </c>
      <c r="B38" s="64" t="s">
        <v>82</v>
      </c>
      <c r="C38" s="24">
        <v>89</v>
      </c>
      <c r="D38" s="23">
        <f>(S3/89)</f>
        <v>420.41573033707863</v>
      </c>
      <c r="E38" s="41">
        <f t="shared" si="0"/>
        <v>37417</v>
      </c>
      <c r="F38" s="19">
        <v>2</v>
      </c>
      <c r="G38" s="41">
        <f t="shared" si="1"/>
        <v>74834</v>
      </c>
      <c r="H38" s="25">
        <f>'2020'!G23</f>
        <v>82328</v>
      </c>
      <c r="I38" s="24">
        <v>0</v>
      </c>
      <c r="J38" s="24">
        <f t="shared" si="2"/>
        <v>-7494</v>
      </c>
      <c r="K38" s="159" t="s">
        <v>363</v>
      </c>
      <c r="N38" s="35"/>
    </row>
    <row r="39" spans="1:14" ht="102" customHeight="1">
      <c r="A39" s="98" t="s">
        <v>302</v>
      </c>
      <c r="B39" s="64" t="s">
        <v>195</v>
      </c>
      <c r="C39" s="24">
        <v>89</v>
      </c>
      <c r="D39" s="23">
        <f>(0.05*37417)/89</f>
        <v>21.020786516853935</v>
      </c>
      <c r="E39" s="41">
        <f t="shared" si="0"/>
        <v>1870.8500000000001</v>
      </c>
      <c r="F39" s="19">
        <v>1.3340000000000001</v>
      </c>
      <c r="G39" s="41">
        <f t="shared" si="1"/>
        <v>2495.7139000000002</v>
      </c>
      <c r="H39" s="25">
        <v>0</v>
      </c>
      <c r="I39" s="24">
        <f t="shared" si="3"/>
        <v>2495.7139000000002</v>
      </c>
      <c r="J39" s="24">
        <v>0</v>
      </c>
      <c r="K39" s="159" t="s">
        <v>354</v>
      </c>
      <c r="N39" s="35"/>
    </row>
    <row r="40" spans="1:14" ht="15">
      <c r="A40" s="98" t="s">
        <v>303</v>
      </c>
      <c r="B40" s="64" t="s">
        <v>197</v>
      </c>
      <c r="C40" s="24">
        <v>89</v>
      </c>
      <c r="D40" s="23">
        <f>(37417*0.05)/89</f>
        <v>21.020786516853935</v>
      </c>
      <c r="E40" s="41">
        <f t="shared" si="0"/>
        <v>1870.8500000000001</v>
      </c>
      <c r="F40" s="19">
        <v>2.3340000000000001</v>
      </c>
      <c r="G40" s="41">
        <f t="shared" si="1"/>
        <v>4366.5639000000001</v>
      </c>
      <c r="H40" s="25">
        <f>'2020'!G24</f>
        <v>4116.4000000000005</v>
      </c>
      <c r="I40" s="24">
        <v>0</v>
      </c>
      <c r="J40" s="24">
        <f t="shared" si="2"/>
        <v>250.16389999999956</v>
      </c>
      <c r="K40" s="166" t="s">
        <v>363</v>
      </c>
      <c r="N40" s="35"/>
    </row>
    <row r="41" spans="1:14" ht="28.5">
      <c r="A41" s="98" t="s">
        <v>89</v>
      </c>
      <c r="B41" s="64" t="s">
        <v>90</v>
      </c>
      <c r="C41" s="24">
        <v>2</v>
      </c>
      <c r="D41" s="23">
        <v>1</v>
      </c>
      <c r="E41" s="41">
        <f t="shared" si="0"/>
        <v>2</v>
      </c>
      <c r="F41" s="19">
        <v>3</v>
      </c>
      <c r="G41" s="41">
        <f t="shared" si="1"/>
        <v>6</v>
      </c>
      <c r="H41" s="25">
        <v>0</v>
      </c>
      <c r="I41" s="24">
        <f t="shared" si="3"/>
        <v>6</v>
      </c>
      <c r="J41" s="24">
        <v>0</v>
      </c>
      <c r="K41" s="159" t="s">
        <v>354</v>
      </c>
      <c r="N41" s="35"/>
    </row>
    <row r="42" spans="1:14" ht="15">
      <c r="A42" s="98" t="s">
        <v>91</v>
      </c>
      <c r="B42" s="64" t="s">
        <v>92</v>
      </c>
      <c r="C42" s="24">
        <v>89</v>
      </c>
      <c r="D42" s="23">
        <f>(37417*0.02)/89</f>
        <v>8.4083146067415733</v>
      </c>
      <c r="E42" s="41">
        <f t="shared" si="0"/>
        <v>748.34</v>
      </c>
      <c r="F42" s="19">
        <v>0.05</v>
      </c>
      <c r="G42" s="41">
        <f t="shared" si="1"/>
        <v>37.417000000000002</v>
      </c>
      <c r="H42" s="25">
        <v>0</v>
      </c>
      <c r="I42" s="24">
        <f t="shared" si="3"/>
        <v>37.417000000000002</v>
      </c>
      <c r="J42" s="24">
        <v>0</v>
      </c>
      <c r="K42" s="159" t="s">
        <v>354</v>
      </c>
      <c r="N42" s="35"/>
    </row>
    <row r="43" spans="1:14" ht="15">
      <c r="A43" s="98" t="s">
        <v>93</v>
      </c>
      <c r="B43" s="64" t="s">
        <v>94</v>
      </c>
      <c r="C43" s="24">
        <v>1</v>
      </c>
      <c r="D43" s="23">
        <v>12</v>
      </c>
      <c r="E43" s="41">
        <f>C43*D43</f>
        <v>12</v>
      </c>
      <c r="F43" s="19">
        <v>40</v>
      </c>
      <c r="G43" s="41">
        <f>E43*F43</f>
        <v>480</v>
      </c>
      <c r="H43" s="25">
        <v>0</v>
      </c>
      <c r="I43" s="24">
        <f t="shared" si="3"/>
        <v>480</v>
      </c>
      <c r="J43" s="24">
        <v>0</v>
      </c>
      <c r="K43" s="159" t="s">
        <v>354</v>
      </c>
      <c r="N43" s="35"/>
    </row>
    <row r="44" spans="1:14" ht="15">
      <c r="A44" s="98" t="s">
        <v>95</v>
      </c>
      <c r="B44" s="64" t="s">
        <v>96</v>
      </c>
      <c r="C44" s="23">
        <v>89</v>
      </c>
      <c r="D44" s="23">
        <f>10000/89</f>
        <v>112.35955056179775</v>
      </c>
      <c r="E44" s="41">
        <f t="shared" si="0"/>
        <v>10000</v>
      </c>
      <c r="F44" s="19">
        <v>1</v>
      </c>
      <c r="G44" s="41">
        <f t="shared" si="1"/>
        <v>10000</v>
      </c>
      <c r="H44" s="25">
        <f>'2020'!G25</f>
        <v>10000</v>
      </c>
      <c r="I44" s="24">
        <f t="shared" si="3"/>
        <v>0</v>
      </c>
      <c r="J44" s="24">
        <f t="shared" si="2"/>
        <v>0</v>
      </c>
      <c r="K44" s="159" t="s">
        <v>291</v>
      </c>
      <c r="N44" s="35"/>
    </row>
    <row r="45" spans="1:14" ht="28.5">
      <c r="A45" s="98" t="s">
        <v>97</v>
      </c>
      <c r="B45" s="64" t="s">
        <v>98</v>
      </c>
      <c r="C45" s="23">
        <v>89</v>
      </c>
      <c r="D45" s="23">
        <v>1</v>
      </c>
      <c r="E45" s="41">
        <f t="shared" si="0"/>
        <v>89</v>
      </c>
      <c r="F45" s="19">
        <v>2</v>
      </c>
      <c r="G45" s="41">
        <f t="shared" si="1"/>
        <v>178</v>
      </c>
      <c r="H45" s="25">
        <v>0</v>
      </c>
      <c r="I45" s="24">
        <f t="shared" si="3"/>
        <v>178</v>
      </c>
      <c r="J45" s="24">
        <v>0</v>
      </c>
      <c r="K45" s="159" t="s">
        <v>354</v>
      </c>
      <c r="N45" s="35"/>
    </row>
    <row r="46" spans="1:14" ht="15">
      <c r="A46" s="98" t="s">
        <v>99</v>
      </c>
      <c r="B46" s="64" t="s">
        <v>100</v>
      </c>
      <c r="C46" s="23">
        <v>89</v>
      </c>
      <c r="D46" s="23">
        <v>1</v>
      </c>
      <c r="E46" s="41">
        <f t="shared" si="0"/>
        <v>89</v>
      </c>
      <c r="F46" s="19">
        <v>40</v>
      </c>
      <c r="G46" s="41">
        <f t="shared" si="1"/>
        <v>3560</v>
      </c>
      <c r="H46" s="25">
        <f>'2020'!G26</f>
        <v>3560</v>
      </c>
      <c r="I46" s="24">
        <f t="shared" si="3"/>
        <v>0</v>
      </c>
      <c r="J46" s="24">
        <f t="shared" si="2"/>
        <v>0</v>
      </c>
      <c r="K46" s="159" t="s">
        <v>291</v>
      </c>
      <c r="N46" s="35"/>
    </row>
    <row r="47" spans="1:14" ht="15">
      <c r="A47" s="98" t="s">
        <v>101</v>
      </c>
      <c r="B47" s="64" t="s">
        <v>102</v>
      </c>
      <c r="C47" s="23">
        <v>89</v>
      </c>
      <c r="D47" s="23">
        <f>(6243959*0.02)/89</f>
        <v>1403.1368539325842</v>
      </c>
      <c r="E47" s="41">
        <f t="shared" si="0"/>
        <v>124879.18</v>
      </c>
      <c r="F47" s="19">
        <v>8.3500000000000005E-2</v>
      </c>
      <c r="G47" s="41">
        <f t="shared" si="1"/>
        <v>10427.411529999999</v>
      </c>
      <c r="H47" s="25">
        <v>0</v>
      </c>
      <c r="I47" s="24">
        <f t="shared" si="3"/>
        <v>10427.411529999999</v>
      </c>
      <c r="J47" s="24">
        <v>0</v>
      </c>
      <c r="K47" s="159" t="s">
        <v>354</v>
      </c>
      <c r="N47" s="35"/>
    </row>
    <row r="48" spans="1:14" ht="28.5">
      <c r="A48" s="98" t="s">
        <v>103</v>
      </c>
      <c r="B48" s="64" t="s">
        <v>104</v>
      </c>
      <c r="C48" s="23">
        <v>89</v>
      </c>
      <c r="D48" s="23">
        <f>(0.3*3289)/89</f>
        <v>11.086516853932583</v>
      </c>
      <c r="E48" s="41">
        <f t="shared" si="0"/>
        <v>986.69999999999993</v>
      </c>
      <c r="F48" s="19">
        <v>0.67800000000000005</v>
      </c>
      <c r="G48" s="41">
        <f t="shared" si="1"/>
        <v>668.98260000000005</v>
      </c>
      <c r="H48" s="25">
        <v>0</v>
      </c>
      <c r="I48" s="24">
        <f t="shared" si="3"/>
        <v>668.98260000000005</v>
      </c>
      <c r="J48" s="24">
        <v>0</v>
      </c>
      <c r="K48" s="159" t="s">
        <v>354</v>
      </c>
      <c r="N48" s="35"/>
    </row>
    <row r="49" spans="1:14" ht="15">
      <c r="A49" s="98" t="s">
        <v>105</v>
      </c>
      <c r="B49" s="64" t="s">
        <v>106</v>
      </c>
      <c r="C49" s="23">
        <v>89</v>
      </c>
      <c r="D49" s="23">
        <f>(3289*0.02)/89</f>
        <v>0.73910112359550562</v>
      </c>
      <c r="E49" s="41">
        <f>C49*D49</f>
        <v>65.78</v>
      </c>
      <c r="F49" s="19">
        <v>8.3500000000000005E-2</v>
      </c>
      <c r="G49" s="41">
        <f>E49*F49</f>
        <v>5.4926300000000001</v>
      </c>
      <c r="H49" s="25">
        <v>0</v>
      </c>
      <c r="I49" s="24">
        <f t="shared" si="3"/>
        <v>5.4926300000000001</v>
      </c>
      <c r="J49" s="24">
        <v>0</v>
      </c>
      <c r="K49" s="159" t="s">
        <v>354</v>
      </c>
      <c r="N49" s="35"/>
    </row>
    <row r="50" spans="1:14" ht="28.5">
      <c r="A50" s="98" t="s">
        <v>107</v>
      </c>
      <c r="B50" s="64" t="s">
        <v>108</v>
      </c>
      <c r="C50" s="23">
        <v>89</v>
      </c>
      <c r="D50" s="23">
        <v>1</v>
      </c>
      <c r="E50" s="41">
        <f>C50*D50</f>
        <v>89</v>
      </c>
      <c r="F50" s="19">
        <v>3</v>
      </c>
      <c r="G50" s="41">
        <f>E50*F50</f>
        <v>267</v>
      </c>
      <c r="H50" s="25">
        <v>0</v>
      </c>
      <c r="I50" s="24">
        <f t="shared" si="3"/>
        <v>267</v>
      </c>
      <c r="J50" s="24">
        <v>0</v>
      </c>
      <c r="K50" s="159" t="s">
        <v>354</v>
      </c>
      <c r="N50" s="35"/>
    </row>
    <row r="51" spans="1:14" ht="87" customHeight="1">
      <c r="A51" s="98" t="s">
        <v>111</v>
      </c>
      <c r="B51" s="64" t="s">
        <v>112</v>
      </c>
      <c r="C51" s="23">
        <v>20</v>
      </c>
      <c r="D51" s="23">
        <v>1</v>
      </c>
      <c r="E51" s="41">
        <f t="shared" si="0"/>
        <v>20</v>
      </c>
      <c r="F51" s="19">
        <v>160</v>
      </c>
      <c r="G51" s="41">
        <f t="shared" si="1"/>
        <v>3200</v>
      </c>
      <c r="H51" s="25">
        <f>'2020'!G27</f>
        <v>3200</v>
      </c>
      <c r="I51" s="24">
        <f t="shared" si="3"/>
        <v>0</v>
      </c>
      <c r="J51" s="24">
        <f t="shared" si="2"/>
        <v>0</v>
      </c>
      <c r="K51" s="168" t="s">
        <v>291</v>
      </c>
      <c r="N51" s="35"/>
    </row>
    <row r="52" spans="1:14" ht="30">
      <c r="A52" s="98" t="s">
        <v>113</v>
      </c>
      <c r="B52" s="64" t="s">
        <v>114</v>
      </c>
      <c r="C52" s="23">
        <v>27</v>
      </c>
      <c r="D52" s="23">
        <v>1</v>
      </c>
      <c r="E52" s="41">
        <f t="shared" si="0"/>
        <v>27</v>
      </c>
      <c r="F52" s="19">
        <v>2</v>
      </c>
      <c r="G52" s="41">
        <f t="shared" si="1"/>
        <v>54</v>
      </c>
      <c r="H52" s="25">
        <v>0</v>
      </c>
      <c r="I52" s="24">
        <f t="shared" si="3"/>
        <v>54</v>
      </c>
      <c r="J52" s="24">
        <v>0</v>
      </c>
      <c r="K52" s="168" t="s">
        <v>354</v>
      </c>
      <c r="N52" s="35"/>
    </row>
    <row r="53" spans="1:14" ht="15">
      <c r="A53" s="98" t="s">
        <v>115</v>
      </c>
      <c r="B53" s="64" t="s">
        <v>116</v>
      </c>
      <c r="C53" s="23">
        <v>89</v>
      </c>
      <c r="D53" s="23">
        <f>(1810*4)/89</f>
        <v>81.348314606741567</v>
      </c>
      <c r="E53" s="41">
        <f t="shared" si="0"/>
        <v>7239.9999999999991</v>
      </c>
      <c r="F53" s="19">
        <v>2</v>
      </c>
      <c r="G53" s="41">
        <f t="shared" si="1"/>
        <v>14479.999999999998</v>
      </c>
      <c r="H53" s="25">
        <f>'2020'!G28</f>
        <v>14464</v>
      </c>
      <c r="I53" s="24">
        <v>0</v>
      </c>
      <c r="J53" s="24">
        <f t="shared" si="2"/>
        <v>15.999999999998181</v>
      </c>
      <c r="K53" s="169" t="s">
        <v>365</v>
      </c>
      <c r="N53" s="35"/>
    </row>
    <row r="54" spans="1:14" ht="57">
      <c r="A54" s="98" t="s">
        <v>117</v>
      </c>
      <c r="B54" s="64" t="s">
        <v>118</v>
      </c>
      <c r="C54" s="23">
        <v>30</v>
      </c>
      <c r="D54" s="23">
        <v>1</v>
      </c>
      <c r="E54" s="41">
        <f t="shared" si="0"/>
        <v>30</v>
      </c>
      <c r="F54" s="19">
        <v>1.5</v>
      </c>
      <c r="G54" s="41">
        <f t="shared" si="1"/>
        <v>45</v>
      </c>
      <c r="H54" s="25">
        <v>0</v>
      </c>
      <c r="I54" s="24">
        <f t="shared" si="3"/>
        <v>45</v>
      </c>
      <c r="J54" s="24">
        <v>0</v>
      </c>
      <c r="K54" s="168" t="s">
        <v>354</v>
      </c>
      <c r="N54" s="35"/>
    </row>
    <row r="55" spans="1:14" ht="28.5">
      <c r="A55" s="98" t="s">
        <v>119</v>
      </c>
      <c r="B55" s="64" t="s">
        <v>120</v>
      </c>
      <c r="C55" s="23">
        <f>79/5</f>
        <v>15.8</v>
      </c>
      <c r="D55" s="23">
        <v>1</v>
      </c>
      <c r="E55" s="41">
        <f t="shared" si="0"/>
        <v>15.8</v>
      </c>
      <c r="F55" s="19">
        <v>1968</v>
      </c>
      <c r="G55" s="41">
        <f t="shared" si="1"/>
        <v>31094.400000000001</v>
      </c>
      <c r="H55" s="25">
        <v>0</v>
      </c>
      <c r="I55" s="24">
        <f t="shared" si="3"/>
        <v>31094.400000000001</v>
      </c>
      <c r="J55" s="24">
        <v>0</v>
      </c>
      <c r="K55" s="168" t="s">
        <v>354</v>
      </c>
      <c r="N55" s="35"/>
    </row>
    <row r="56" spans="1:14" ht="15">
      <c r="A56" s="98" t="s">
        <v>121</v>
      </c>
      <c r="B56" s="64" t="s">
        <v>122</v>
      </c>
      <c r="C56" s="23">
        <v>2</v>
      </c>
      <c r="D56" s="23">
        <v>1</v>
      </c>
      <c r="E56" s="41">
        <f t="shared" si="0"/>
        <v>2</v>
      </c>
      <c r="F56" s="19">
        <v>8</v>
      </c>
      <c r="G56" s="41">
        <f t="shared" ref="G56" si="4">E56*F56</f>
        <v>16</v>
      </c>
      <c r="H56" s="25">
        <v>0</v>
      </c>
      <c r="I56" s="24">
        <f t="shared" si="3"/>
        <v>16</v>
      </c>
      <c r="J56" s="24">
        <v>0</v>
      </c>
      <c r="K56" s="168" t="s">
        <v>354</v>
      </c>
      <c r="N56" s="35"/>
    </row>
    <row r="57" spans="1:14" ht="28.5">
      <c r="A57" s="98" t="s">
        <v>123</v>
      </c>
      <c r="B57" s="64" t="s">
        <v>124</v>
      </c>
      <c r="C57" s="23">
        <v>2</v>
      </c>
      <c r="D57" s="23">
        <v>1</v>
      </c>
      <c r="E57" s="41">
        <f t="shared" si="0"/>
        <v>2</v>
      </c>
      <c r="F57" s="19">
        <v>480</v>
      </c>
      <c r="G57" s="41">
        <f t="shared" si="1"/>
        <v>960</v>
      </c>
      <c r="H57" s="25">
        <v>0</v>
      </c>
      <c r="I57" s="24">
        <f t="shared" si="3"/>
        <v>960</v>
      </c>
      <c r="J57" s="24">
        <v>0</v>
      </c>
      <c r="K57" s="159" t="s">
        <v>354</v>
      </c>
      <c r="N57" s="35"/>
    </row>
    <row r="58" spans="1:14" ht="15">
      <c r="A58" s="98" t="s">
        <v>127</v>
      </c>
      <c r="B58" s="64" t="s">
        <v>128</v>
      </c>
      <c r="C58" s="23">
        <v>89</v>
      </c>
      <c r="D58" s="23">
        <f>(10/89)</f>
        <v>0.11235955056179775</v>
      </c>
      <c r="E58" s="41">
        <f t="shared" si="0"/>
        <v>10</v>
      </c>
      <c r="F58" s="19">
        <v>8</v>
      </c>
      <c r="G58" s="41">
        <f t="shared" si="1"/>
        <v>80</v>
      </c>
      <c r="H58" s="25">
        <f>'2020'!G29</f>
        <v>80</v>
      </c>
      <c r="I58" s="24">
        <f t="shared" si="3"/>
        <v>0</v>
      </c>
      <c r="J58" s="24">
        <f t="shared" si="2"/>
        <v>0</v>
      </c>
      <c r="K58" s="159" t="s">
        <v>291</v>
      </c>
      <c r="N58" s="35"/>
    </row>
    <row r="59" spans="1:14" ht="28.5">
      <c r="A59" s="98">
        <v>246.18</v>
      </c>
      <c r="B59" s="64" t="s">
        <v>129</v>
      </c>
      <c r="C59" s="23">
        <v>89</v>
      </c>
      <c r="D59" s="23">
        <f>((37417+3289)*0.02)/89</f>
        <v>9.1474157303370784</v>
      </c>
      <c r="E59" s="41">
        <f t="shared" si="0"/>
        <v>814.12</v>
      </c>
      <c r="F59" s="19">
        <v>2</v>
      </c>
      <c r="G59" s="41">
        <f t="shared" si="1"/>
        <v>1628.24</v>
      </c>
      <c r="H59" s="25">
        <v>0</v>
      </c>
      <c r="I59" s="24">
        <f t="shared" si="3"/>
        <v>1628.24</v>
      </c>
      <c r="J59" s="24">
        <v>0</v>
      </c>
      <c r="K59" s="110" t="s">
        <v>354</v>
      </c>
      <c r="N59" s="35"/>
    </row>
    <row r="60" spans="1:14" ht="15">
      <c r="A60" s="98">
        <v>246.19</v>
      </c>
      <c r="B60" s="64" t="s">
        <v>132</v>
      </c>
      <c r="C60" s="23">
        <v>17</v>
      </c>
      <c r="D60" s="23">
        <v>1</v>
      </c>
      <c r="E60" s="41">
        <f t="shared" ref="E60" si="5">C60*D60</f>
        <v>17</v>
      </c>
      <c r="F60" s="19">
        <v>3</v>
      </c>
      <c r="G60" s="41">
        <f t="shared" ref="G60" si="6">E60*F60</f>
        <v>51</v>
      </c>
      <c r="H60" s="25">
        <v>0</v>
      </c>
      <c r="I60" s="24">
        <f t="shared" si="3"/>
        <v>51</v>
      </c>
      <c r="J60" s="24">
        <v>0</v>
      </c>
      <c r="K60" s="159" t="s">
        <v>354</v>
      </c>
      <c r="N60" s="35"/>
    </row>
    <row r="61" spans="1:14" ht="15">
      <c r="A61" s="98" t="s">
        <v>130</v>
      </c>
      <c r="B61" s="64" t="s">
        <v>131</v>
      </c>
      <c r="C61" s="23">
        <f>89*0.33</f>
        <v>29.37</v>
      </c>
      <c r="D61" s="23">
        <v>1</v>
      </c>
      <c r="E61" s="41">
        <f t="shared" si="0"/>
        <v>29.37</v>
      </c>
      <c r="F61" s="19">
        <v>30</v>
      </c>
      <c r="G61" s="41">
        <f t="shared" si="1"/>
        <v>881.1</v>
      </c>
      <c r="H61" s="25">
        <f>'2020'!G30</f>
        <v>881.1</v>
      </c>
      <c r="I61" s="24">
        <f t="shared" si="3"/>
        <v>0</v>
      </c>
      <c r="J61" s="24">
        <f t="shared" si="2"/>
        <v>0</v>
      </c>
      <c r="K61" s="159" t="s">
        <v>291</v>
      </c>
      <c r="N61" s="35"/>
    </row>
    <row r="62" spans="1:14" ht="15">
      <c r="A62" s="98" t="s">
        <v>133</v>
      </c>
      <c r="B62" s="64" t="s">
        <v>134</v>
      </c>
      <c r="C62" s="23">
        <v>89</v>
      </c>
      <c r="D62" s="23">
        <f>(1810/2)/89</f>
        <v>10.168539325842696</v>
      </c>
      <c r="E62" s="41">
        <f t="shared" si="0"/>
        <v>904.99999999999989</v>
      </c>
      <c r="F62" s="19">
        <v>2</v>
      </c>
      <c r="G62" s="41">
        <f t="shared" si="1"/>
        <v>1809.9999999999998</v>
      </c>
      <c r="H62" s="25">
        <v>0</v>
      </c>
      <c r="I62" s="24">
        <f t="shared" si="3"/>
        <v>1809.9999999999998</v>
      </c>
      <c r="J62" s="24">
        <v>0</v>
      </c>
      <c r="K62" s="159" t="s">
        <v>354</v>
      </c>
      <c r="N62" s="35"/>
    </row>
    <row r="63" spans="1:14" ht="15">
      <c r="A63" s="98" t="s">
        <v>135</v>
      </c>
      <c r="B63" s="64" t="s">
        <v>136</v>
      </c>
      <c r="C63" s="23">
        <v>89</v>
      </c>
      <c r="D63" s="23">
        <f>(1810/89)*0.5*0.25</f>
        <v>2.542134831460674</v>
      </c>
      <c r="E63" s="41">
        <f t="shared" si="0"/>
        <v>226.24999999999997</v>
      </c>
      <c r="F63" s="19">
        <v>2</v>
      </c>
      <c r="G63" s="41">
        <f t="shared" si="1"/>
        <v>452.49999999999994</v>
      </c>
      <c r="H63" s="25">
        <f>'2020'!G31</f>
        <v>452</v>
      </c>
      <c r="I63" s="24">
        <v>0</v>
      </c>
      <c r="J63" s="24">
        <f t="shared" si="2"/>
        <v>0.49999999999994316</v>
      </c>
      <c r="K63" s="159" t="s">
        <v>365</v>
      </c>
      <c r="N63" s="35"/>
    </row>
    <row r="64" spans="1:14" ht="15">
      <c r="A64" s="108" t="s">
        <v>137</v>
      </c>
      <c r="B64" s="64" t="s">
        <v>138</v>
      </c>
      <c r="C64" s="23">
        <v>1</v>
      </c>
      <c r="D64" s="23">
        <v>1</v>
      </c>
      <c r="E64" s="41">
        <f t="shared" si="0"/>
        <v>1</v>
      </c>
      <c r="F64" s="19">
        <v>40</v>
      </c>
      <c r="G64" s="41">
        <f t="shared" ref="G64:G68" si="7">E64*F64</f>
        <v>40</v>
      </c>
      <c r="H64" s="25">
        <f>'2020'!G32</f>
        <v>40</v>
      </c>
      <c r="I64" s="24">
        <f t="shared" si="3"/>
        <v>0</v>
      </c>
      <c r="J64" s="24">
        <f t="shared" si="2"/>
        <v>0</v>
      </c>
      <c r="K64" s="159" t="s">
        <v>291</v>
      </c>
    </row>
    <row r="65" spans="1:14" ht="15">
      <c r="A65" s="109" t="s">
        <v>139</v>
      </c>
      <c r="B65" s="110" t="s">
        <v>140</v>
      </c>
      <c r="C65" s="23">
        <v>89</v>
      </c>
      <c r="D65" s="23">
        <v>1</v>
      </c>
      <c r="E65" s="41">
        <f t="shared" si="0"/>
        <v>89</v>
      </c>
      <c r="F65" s="19">
        <v>8</v>
      </c>
      <c r="G65" s="41">
        <f t="shared" si="7"/>
        <v>712</v>
      </c>
      <c r="H65" s="25">
        <v>0</v>
      </c>
      <c r="I65" s="24">
        <f t="shared" si="3"/>
        <v>712</v>
      </c>
      <c r="J65" s="24">
        <v>0</v>
      </c>
      <c r="K65" s="170" t="s">
        <v>354</v>
      </c>
    </row>
    <row r="66" spans="1:14" ht="15">
      <c r="A66" s="98" t="s">
        <v>141</v>
      </c>
      <c r="B66" s="64" t="s">
        <v>142</v>
      </c>
      <c r="C66" s="23">
        <v>1</v>
      </c>
      <c r="D66" s="23">
        <v>1</v>
      </c>
      <c r="E66" s="41">
        <f t="shared" ref="E66:E68" si="8">C66*D66</f>
        <v>1</v>
      </c>
      <c r="F66" s="19">
        <v>2</v>
      </c>
      <c r="G66" s="41">
        <f t="shared" si="7"/>
        <v>2</v>
      </c>
      <c r="H66" s="25">
        <v>0</v>
      </c>
      <c r="I66" s="24">
        <f t="shared" si="3"/>
        <v>2</v>
      </c>
      <c r="J66" s="24">
        <v>0</v>
      </c>
      <c r="K66" s="110" t="s">
        <v>354</v>
      </c>
    </row>
    <row r="67" spans="1:14" ht="15">
      <c r="A67" s="98" t="s">
        <v>143</v>
      </c>
      <c r="B67" s="64" t="s">
        <v>144</v>
      </c>
      <c r="C67" s="23">
        <v>1</v>
      </c>
      <c r="D67" s="23">
        <v>1</v>
      </c>
      <c r="E67" s="41">
        <f t="shared" si="8"/>
        <v>1</v>
      </c>
      <c r="F67" s="19">
        <v>2</v>
      </c>
      <c r="G67" s="41">
        <f t="shared" si="7"/>
        <v>2</v>
      </c>
      <c r="H67" s="25">
        <v>0</v>
      </c>
      <c r="I67" s="24">
        <f t="shared" si="3"/>
        <v>2</v>
      </c>
      <c r="J67" s="24">
        <v>0</v>
      </c>
      <c r="K67" s="110" t="s">
        <v>354</v>
      </c>
    </row>
    <row r="68" spans="1:14" ht="33" customHeight="1">
      <c r="A68" s="144" t="s">
        <v>145</v>
      </c>
      <c r="B68" s="111" t="s">
        <v>146</v>
      </c>
      <c r="C68" s="23">
        <f>(89*0.25)</f>
        <v>22.25</v>
      </c>
      <c r="D68" s="23">
        <v>1</v>
      </c>
      <c r="E68" s="41">
        <f t="shared" si="8"/>
        <v>22.25</v>
      </c>
      <c r="F68" s="19">
        <v>0.25</v>
      </c>
      <c r="G68" s="41">
        <f t="shared" si="7"/>
        <v>5.5625</v>
      </c>
      <c r="H68" s="25">
        <v>0</v>
      </c>
      <c r="I68" s="24">
        <f t="shared" si="3"/>
        <v>5.5625</v>
      </c>
      <c r="J68" s="24">
        <v>0</v>
      </c>
      <c r="K68" s="171" t="s">
        <v>354</v>
      </c>
    </row>
    <row r="69" spans="1:14" ht="23.65" customHeight="1">
      <c r="A69" s="538" t="s">
        <v>147</v>
      </c>
      <c r="B69" s="538"/>
      <c r="C69" s="11">
        <f>C5+1810</f>
        <v>1899</v>
      </c>
      <c r="D69" s="11">
        <f>E69/C69</f>
        <v>5912.5202407756478</v>
      </c>
      <c r="E69" s="11">
        <f>SUM(E5:E68)</f>
        <v>11227875.937232954</v>
      </c>
      <c r="F69" s="33">
        <f>G69/E69</f>
        <v>0.34194385377729669</v>
      </c>
      <c r="G69" s="11">
        <f>SUM(G5:G68)</f>
        <v>3839303.1677108132</v>
      </c>
      <c r="H69" s="187">
        <v>2122588</v>
      </c>
      <c r="I69" s="33">
        <f>SUM(I5:I68)</f>
        <v>201672.12855314597</v>
      </c>
      <c r="J69" s="11">
        <f>SUM(J5:J68)</f>
        <v>-1353238.6596423336</v>
      </c>
      <c r="K69" s="172"/>
    </row>
    <row r="70" spans="1:14" ht="42" customHeight="1">
      <c r="A70" s="575" t="s">
        <v>148</v>
      </c>
      <c r="B70" s="575"/>
      <c r="C70" s="575"/>
      <c r="D70" s="575"/>
      <c r="E70" s="575"/>
      <c r="F70" s="575"/>
      <c r="G70" s="575"/>
      <c r="H70" s="575"/>
      <c r="I70" s="575"/>
      <c r="J70" s="575"/>
      <c r="K70" s="575"/>
      <c r="L70" s="35"/>
      <c r="M70" s="35"/>
    </row>
    <row r="71" spans="1:14" ht="87" customHeight="1">
      <c r="A71" s="98" t="s">
        <v>32</v>
      </c>
      <c r="B71" s="64" t="s">
        <v>31</v>
      </c>
      <c r="C71" s="145">
        <v>1379126</v>
      </c>
      <c r="D71" s="23">
        <v>1</v>
      </c>
      <c r="E71" s="41">
        <f>C71*D71</f>
        <v>1379126</v>
      </c>
      <c r="F71" s="23">
        <v>0.41749999999999998</v>
      </c>
      <c r="G71" s="41">
        <f>E71*F71</f>
        <v>575785.10499999998</v>
      </c>
      <c r="H71" s="25">
        <f>'2020'!G35</f>
        <v>545710.576</v>
      </c>
      <c r="I71" s="112">
        <v>0</v>
      </c>
      <c r="J71" s="24">
        <f>G71-H71</f>
        <v>30074.52899999998</v>
      </c>
      <c r="K71" s="64" t="s">
        <v>366</v>
      </c>
      <c r="L71" s="35"/>
      <c r="M71" s="35"/>
      <c r="N71" s="35"/>
    </row>
    <row r="72" spans="1:14" ht="42.75">
      <c r="A72" s="98" t="s">
        <v>32</v>
      </c>
      <c r="B72" s="64" t="s">
        <v>149</v>
      </c>
      <c r="C72" s="146">
        <v>3400090</v>
      </c>
      <c r="D72" s="23">
        <v>1</v>
      </c>
      <c r="E72" s="41">
        <f t="shared" ref="E72:E81" si="9">C72*D72</f>
        <v>3400090</v>
      </c>
      <c r="F72" s="23">
        <v>0.41749999999999998</v>
      </c>
      <c r="G72" s="41">
        <f t="shared" ref="G72:G81" si="10">E72*F72</f>
        <v>1419537.575</v>
      </c>
      <c r="H72" s="25">
        <f>'2020'!G36</f>
        <v>882727.68150000006</v>
      </c>
      <c r="I72" s="112">
        <v>0</v>
      </c>
      <c r="J72" s="24">
        <f t="shared" ref="J72:J78" si="11">G72-H72</f>
        <v>536809.89349999989</v>
      </c>
      <c r="K72" s="64" t="s">
        <v>367</v>
      </c>
      <c r="L72" s="35"/>
      <c r="M72" s="35"/>
    </row>
    <row r="73" spans="1:14" ht="42.75">
      <c r="A73" s="98" t="s">
        <v>32</v>
      </c>
      <c r="B73" s="64" t="s">
        <v>34</v>
      </c>
      <c r="C73" s="145">
        <v>1464744</v>
      </c>
      <c r="D73" s="23">
        <v>1</v>
      </c>
      <c r="E73" s="41">
        <f t="shared" si="9"/>
        <v>1464744</v>
      </c>
      <c r="F73" s="23">
        <v>0.41749999999999998</v>
      </c>
      <c r="G73" s="41">
        <f t="shared" si="10"/>
        <v>611530.62</v>
      </c>
      <c r="H73" s="25">
        <f>'2020'!G37</f>
        <v>285970.967</v>
      </c>
      <c r="I73" s="112">
        <v>0</v>
      </c>
      <c r="J73" s="24">
        <f t="shared" si="11"/>
        <v>325559.65299999999</v>
      </c>
      <c r="K73" s="64" t="s">
        <v>368</v>
      </c>
      <c r="L73" s="35"/>
      <c r="M73" s="35"/>
    </row>
    <row r="74" spans="1:14" ht="28.5">
      <c r="A74" s="98">
        <v>246.7</v>
      </c>
      <c r="B74" s="64" t="s">
        <v>150</v>
      </c>
      <c r="C74" s="27">
        <v>6243960</v>
      </c>
      <c r="D74" s="23">
        <v>1</v>
      </c>
      <c r="E74" s="41">
        <f t="shared" si="9"/>
        <v>6243960</v>
      </c>
      <c r="F74" s="23">
        <v>0.33400000000000002</v>
      </c>
      <c r="G74" s="41">
        <f t="shared" si="10"/>
        <v>2085482.6400000001</v>
      </c>
      <c r="H74" s="25">
        <v>0</v>
      </c>
      <c r="I74" s="112">
        <f t="shared" ref="I74:I81" si="12">G74-H74</f>
        <v>2085482.6400000001</v>
      </c>
      <c r="J74" s="24">
        <v>0</v>
      </c>
      <c r="K74" s="159" t="s">
        <v>354</v>
      </c>
      <c r="L74" s="35"/>
      <c r="M74" s="35"/>
    </row>
    <row r="75" spans="1:14" ht="15">
      <c r="A75" s="98" t="s">
        <v>151</v>
      </c>
      <c r="B75" s="64" t="s">
        <v>152</v>
      </c>
      <c r="C75" s="27">
        <v>6243960</v>
      </c>
      <c r="D75" s="23">
        <v>1</v>
      </c>
      <c r="E75" s="41">
        <f t="shared" si="9"/>
        <v>6243960</v>
      </c>
      <c r="F75" s="23">
        <v>0.33400000000000002</v>
      </c>
      <c r="G75" s="41">
        <f t="shared" si="10"/>
        <v>2085482.6400000001</v>
      </c>
      <c r="H75" s="25">
        <v>0</v>
      </c>
      <c r="I75" s="112">
        <f t="shared" si="12"/>
        <v>2085482.6400000001</v>
      </c>
      <c r="J75" s="24">
        <v>0</v>
      </c>
      <c r="K75" s="159" t="s">
        <v>354</v>
      </c>
      <c r="L75" s="35"/>
      <c r="M75" s="35"/>
    </row>
    <row r="76" spans="1:14" ht="15">
      <c r="A76" s="98">
        <v>246.9</v>
      </c>
      <c r="B76" s="64" t="s">
        <v>153</v>
      </c>
      <c r="C76" s="27">
        <f>(6243959*0.02*0.02)</f>
        <v>2497.5836000000004</v>
      </c>
      <c r="D76" s="23">
        <v>1</v>
      </c>
      <c r="E76" s="41">
        <f t="shared" si="9"/>
        <v>2497.5836000000004</v>
      </c>
      <c r="F76" s="23">
        <v>2</v>
      </c>
      <c r="G76" s="41">
        <f t="shared" si="10"/>
        <v>4995.1672000000008</v>
      </c>
      <c r="H76" s="25">
        <v>0</v>
      </c>
      <c r="I76" s="112">
        <f t="shared" si="12"/>
        <v>4995.1672000000008</v>
      </c>
      <c r="J76" s="24">
        <v>0</v>
      </c>
      <c r="K76" s="159" t="s">
        <v>354</v>
      </c>
    </row>
    <row r="77" spans="1:14" ht="40.5" customHeight="1">
      <c r="A77" s="98" t="s">
        <v>53</v>
      </c>
      <c r="B77" s="64" t="s">
        <v>54</v>
      </c>
      <c r="C77" s="27">
        <f>1464744*0.01</f>
        <v>14647.44</v>
      </c>
      <c r="D77" s="23">
        <v>1</v>
      </c>
      <c r="E77" s="41">
        <f t="shared" si="9"/>
        <v>14647.44</v>
      </c>
      <c r="F77" s="23">
        <v>3.3399999999999999E-2</v>
      </c>
      <c r="G77" s="41">
        <f t="shared" si="10"/>
        <v>489.22449599999999</v>
      </c>
      <c r="H77" s="25">
        <f>'2020'!G38</f>
        <v>572</v>
      </c>
      <c r="I77" s="112">
        <v>0</v>
      </c>
      <c r="J77" s="24">
        <f t="shared" si="11"/>
        <v>-82.775504000000012</v>
      </c>
      <c r="K77" s="64" t="s">
        <v>369</v>
      </c>
    </row>
    <row r="78" spans="1:14" ht="40.5" customHeight="1">
      <c r="A78" s="98" t="s">
        <v>53</v>
      </c>
      <c r="B78" s="64" t="s">
        <v>154</v>
      </c>
      <c r="C78" s="27">
        <f>(3400090*0.01)+(1464744*0.01)+(1379126*0.01)</f>
        <v>62439.600000000006</v>
      </c>
      <c r="D78" s="23">
        <v>2</v>
      </c>
      <c r="E78" s="41">
        <f t="shared" si="9"/>
        <v>124879.20000000001</v>
      </c>
      <c r="F78" s="23">
        <v>5.0099999999999999E-2</v>
      </c>
      <c r="G78" s="41">
        <f t="shared" si="10"/>
        <v>6256.4479200000005</v>
      </c>
      <c r="H78" s="113">
        <f>'2020'!G39</f>
        <v>12051.910709999998</v>
      </c>
      <c r="I78" s="112">
        <v>0</v>
      </c>
      <c r="J78" s="24">
        <f t="shared" si="11"/>
        <v>-5795.4627899999978</v>
      </c>
      <c r="K78" s="64" t="s">
        <v>370</v>
      </c>
    </row>
    <row r="79" spans="1:14" ht="51.75" customHeight="1">
      <c r="A79" s="114" t="s">
        <v>155</v>
      </c>
      <c r="B79" s="111" t="s">
        <v>156</v>
      </c>
      <c r="C79" s="27">
        <v>6243960</v>
      </c>
      <c r="D79" s="23">
        <v>1</v>
      </c>
      <c r="E79" s="41">
        <f t="shared" si="9"/>
        <v>6243960</v>
      </c>
      <c r="F79" s="23">
        <v>0.25</v>
      </c>
      <c r="G79" s="41">
        <f t="shared" si="10"/>
        <v>1560990</v>
      </c>
      <c r="H79" s="113">
        <v>0</v>
      </c>
      <c r="I79" s="112">
        <f t="shared" si="12"/>
        <v>1560990</v>
      </c>
      <c r="J79" s="24">
        <v>0</v>
      </c>
      <c r="K79" s="64" t="s">
        <v>354</v>
      </c>
    </row>
    <row r="80" spans="1:14" ht="52.5" customHeight="1">
      <c r="A80" s="114" t="s">
        <v>306</v>
      </c>
      <c r="B80" s="147" t="s">
        <v>158</v>
      </c>
      <c r="C80" s="27">
        <f>((6243959/89)/2)*17</f>
        <v>596333.16292134835</v>
      </c>
      <c r="D80" s="23">
        <v>3</v>
      </c>
      <c r="E80" s="41">
        <f t="shared" si="9"/>
        <v>1788999.4887640451</v>
      </c>
      <c r="F80" s="23">
        <v>0.5</v>
      </c>
      <c r="G80" s="41">
        <f t="shared" si="10"/>
        <v>894499.74438202253</v>
      </c>
      <c r="H80" s="113">
        <v>0</v>
      </c>
      <c r="I80" s="112">
        <f t="shared" si="12"/>
        <v>894499.74438202253</v>
      </c>
      <c r="J80" s="24">
        <v>0</v>
      </c>
      <c r="K80" s="64" t="s">
        <v>354</v>
      </c>
    </row>
    <row r="81" spans="1:11" ht="50.25" customHeight="1">
      <c r="A81" s="114" t="s">
        <v>306</v>
      </c>
      <c r="B81" s="147" t="s">
        <v>159</v>
      </c>
      <c r="C81" s="27">
        <f>((6243960/89)/2)*72</f>
        <v>2525646.7415730339</v>
      </c>
      <c r="D81" s="23">
        <v>1</v>
      </c>
      <c r="E81" s="41">
        <f t="shared" si="9"/>
        <v>2525646.7415730339</v>
      </c>
      <c r="F81" s="23">
        <v>0.5</v>
      </c>
      <c r="G81" s="41">
        <f t="shared" si="10"/>
        <v>1262823.3707865169</v>
      </c>
      <c r="H81" s="113">
        <v>0</v>
      </c>
      <c r="I81" s="112">
        <f t="shared" si="12"/>
        <v>1262823.3707865169</v>
      </c>
      <c r="J81" s="24">
        <v>0</v>
      </c>
      <c r="K81" s="173" t="s">
        <v>354</v>
      </c>
    </row>
    <row r="82" spans="1:11" ht="15.75" customHeight="1">
      <c r="A82" s="550" t="s">
        <v>160</v>
      </c>
      <c r="B82" s="550"/>
      <c r="C82" s="15">
        <f>C71+C72+C73</f>
        <v>6243960</v>
      </c>
      <c r="D82" s="33">
        <f>E82/C82</f>
        <v>4.7137570474405788</v>
      </c>
      <c r="E82" s="11">
        <f>SUM(E71:E81)</f>
        <v>29432510.453937076</v>
      </c>
      <c r="F82" s="33">
        <f>G82/E82</f>
        <v>0.35701584311775697</v>
      </c>
      <c r="G82" s="11">
        <f>SUM(G71:G81)</f>
        <v>10507872.534784541</v>
      </c>
      <c r="H82" s="11">
        <f>SUM(H71:H81)</f>
        <v>1727033.13521</v>
      </c>
      <c r="I82" s="33">
        <f>SUM(I71:I81)</f>
        <v>7894273.5623685401</v>
      </c>
      <c r="J82" s="11">
        <f>SUM(J71:J81)</f>
        <v>886565.83720599976</v>
      </c>
      <c r="K82" s="172"/>
    </row>
    <row r="83" spans="1:11" ht="15">
      <c r="A83" s="575" t="s">
        <v>161</v>
      </c>
      <c r="B83" s="575"/>
      <c r="C83" s="575"/>
      <c r="D83" s="575"/>
      <c r="E83" s="575"/>
      <c r="F83" s="575"/>
      <c r="G83" s="575"/>
      <c r="H83" s="575"/>
      <c r="I83" s="575"/>
      <c r="J83" s="575"/>
      <c r="K83" s="575"/>
    </row>
    <row r="84" spans="1:11" ht="15">
      <c r="A84" s="115" t="s">
        <v>19</v>
      </c>
      <c r="B84" s="116" t="s">
        <v>371</v>
      </c>
      <c r="C84" s="117">
        <f>543*0.5</f>
        <v>271.5</v>
      </c>
      <c r="D84" s="117">
        <v>1</v>
      </c>
      <c r="E84" s="134">
        <f>C84*D84</f>
        <v>271.5</v>
      </c>
      <c r="F84" s="118">
        <v>2</v>
      </c>
      <c r="G84" s="136">
        <f>E84*F84</f>
        <v>543</v>
      </c>
      <c r="H84" s="119">
        <v>0</v>
      </c>
      <c r="I84" s="117">
        <f>G84-H84</f>
        <v>543</v>
      </c>
      <c r="J84" s="117">
        <v>0</v>
      </c>
      <c r="K84" s="174" t="s">
        <v>354</v>
      </c>
    </row>
    <row r="85" spans="1:11" ht="15">
      <c r="A85" s="73" t="s">
        <v>32</v>
      </c>
      <c r="B85" s="64" t="s">
        <v>31</v>
      </c>
      <c r="C85" s="117">
        <f>1810*0.3</f>
        <v>543</v>
      </c>
      <c r="D85" s="120">
        <f>(0.3*1379126)/543</f>
        <v>761.9480662983425</v>
      </c>
      <c r="E85" s="134">
        <f t="shared" ref="E85:E98" si="13">C85*D85</f>
        <v>413737.8</v>
      </c>
      <c r="F85" s="141">
        <v>0.41749999999999998</v>
      </c>
      <c r="G85" s="136">
        <f t="shared" ref="G85:G98" si="14">E85*F85</f>
        <v>172735.53149999998</v>
      </c>
      <c r="H85" s="119">
        <v>0</v>
      </c>
      <c r="I85" s="117">
        <f t="shared" ref="I85:I98" si="15">G85-H85</f>
        <v>172735.53149999998</v>
      </c>
      <c r="J85" s="117">
        <v>0</v>
      </c>
      <c r="K85" s="111" t="s">
        <v>354</v>
      </c>
    </row>
    <row r="86" spans="1:11" ht="15">
      <c r="A86" s="73" t="s">
        <v>32</v>
      </c>
      <c r="B86" s="64" t="s">
        <v>149</v>
      </c>
      <c r="C86" s="117">
        <f>1810*0.3</f>
        <v>543</v>
      </c>
      <c r="D86" s="121">
        <f>(0.3*3400090)/543</f>
        <v>1878.5027624309391</v>
      </c>
      <c r="E86" s="134">
        <f t="shared" si="13"/>
        <v>1020027</v>
      </c>
      <c r="F86" s="141">
        <v>0.41749999999999998</v>
      </c>
      <c r="G86" s="136">
        <f t="shared" si="14"/>
        <v>425861.27249999996</v>
      </c>
      <c r="H86" s="119">
        <v>0</v>
      </c>
      <c r="I86" s="117">
        <f t="shared" si="15"/>
        <v>425861.27249999996</v>
      </c>
      <c r="J86" s="117">
        <v>0</v>
      </c>
      <c r="K86" s="111" t="s">
        <v>354</v>
      </c>
    </row>
    <row r="87" spans="1:11" ht="15">
      <c r="A87" s="73" t="s">
        <v>32</v>
      </c>
      <c r="B87" s="64" t="s">
        <v>34</v>
      </c>
      <c r="C87" s="117">
        <f>1810*0.3</f>
        <v>543</v>
      </c>
      <c r="D87" s="121">
        <f>(1*0.3*1464744)/543</f>
        <v>809.25082872928181</v>
      </c>
      <c r="E87" s="134">
        <f t="shared" si="13"/>
        <v>439423.2</v>
      </c>
      <c r="F87" s="141">
        <v>0.41749999999999998</v>
      </c>
      <c r="G87" s="136">
        <f t="shared" si="14"/>
        <v>183459.18599999999</v>
      </c>
      <c r="H87" s="119">
        <v>0</v>
      </c>
      <c r="I87" s="117">
        <f t="shared" si="15"/>
        <v>183459.18599999999</v>
      </c>
      <c r="J87" s="117">
        <v>0</v>
      </c>
      <c r="K87" s="111" t="s">
        <v>354</v>
      </c>
    </row>
    <row r="88" spans="1:11" ht="15">
      <c r="A88" s="73" t="s">
        <v>66</v>
      </c>
      <c r="B88" s="64" t="s">
        <v>164</v>
      </c>
      <c r="C88" s="23">
        <v>840</v>
      </c>
      <c r="D88" s="23">
        <v>1</v>
      </c>
      <c r="E88" s="134">
        <f t="shared" si="13"/>
        <v>840</v>
      </c>
      <c r="F88" s="19">
        <v>2</v>
      </c>
      <c r="G88" s="136">
        <f t="shared" si="14"/>
        <v>1680</v>
      </c>
      <c r="H88" s="25">
        <f>'2020'!G42</f>
        <v>7382</v>
      </c>
      <c r="I88" s="117">
        <f t="shared" si="15"/>
        <v>-5702</v>
      </c>
      <c r="J88" s="117">
        <f t="shared" ref="J88:J94" si="16">G88-H88</f>
        <v>-5702</v>
      </c>
      <c r="K88" s="175" t="s">
        <v>362</v>
      </c>
    </row>
    <row r="89" spans="1:11" ht="15">
      <c r="A89" s="73" t="s">
        <v>68</v>
      </c>
      <c r="B89" s="64" t="s">
        <v>69</v>
      </c>
      <c r="C89" s="23">
        <f>(79/89)*37417</f>
        <v>33212.84269662921</v>
      </c>
      <c r="D89" s="23">
        <v>2</v>
      </c>
      <c r="E89" s="135">
        <f t="shared" si="13"/>
        <v>66425.68539325842</v>
      </c>
      <c r="F89" s="19">
        <v>2</v>
      </c>
      <c r="G89" s="137">
        <f t="shared" si="14"/>
        <v>132851.37078651684</v>
      </c>
      <c r="H89" s="25">
        <f>'2020'!G43</f>
        <v>146155.32584269662</v>
      </c>
      <c r="I89" s="117">
        <v>0</v>
      </c>
      <c r="J89" s="117">
        <f t="shared" si="16"/>
        <v>-13303.955056179781</v>
      </c>
      <c r="K89" s="159" t="s">
        <v>373</v>
      </c>
    </row>
    <row r="90" spans="1:11" ht="28.5">
      <c r="A90" s="73" t="s">
        <v>73</v>
      </c>
      <c r="B90" s="64" t="s">
        <v>165</v>
      </c>
      <c r="C90" s="23">
        <f>89*17</f>
        <v>1513</v>
      </c>
      <c r="D90" s="23">
        <v>1</v>
      </c>
      <c r="E90" s="134">
        <f t="shared" si="13"/>
        <v>1513</v>
      </c>
      <c r="F90" s="19">
        <v>1</v>
      </c>
      <c r="G90" s="136">
        <f t="shared" si="14"/>
        <v>1513</v>
      </c>
      <c r="H90" s="25">
        <v>0</v>
      </c>
      <c r="I90" s="117">
        <f t="shared" si="15"/>
        <v>1513</v>
      </c>
      <c r="J90" s="117">
        <v>0</v>
      </c>
      <c r="K90" s="159" t="s">
        <v>354</v>
      </c>
    </row>
    <row r="91" spans="1:11" ht="28.5">
      <c r="A91" s="73" t="s">
        <v>78</v>
      </c>
      <c r="B91" s="64" t="s">
        <v>328</v>
      </c>
      <c r="C91" s="23">
        <f>0.33*37417</f>
        <v>12347.61</v>
      </c>
      <c r="D91" s="23">
        <v>1</v>
      </c>
      <c r="E91" s="134">
        <f t="shared" si="13"/>
        <v>12347.61</v>
      </c>
      <c r="F91" s="19">
        <v>1</v>
      </c>
      <c r="G91" s="136">
        <f t="shared" si="14"/>
        <v>12347.61</v>
      </c>
      <c r="H91" s="25">
        <f>'2020'!G44</f>
        <v>13584.12</v>
      </c>
      <c r="I91" s="117">
        <v>0</v>
      </c>
      <c r="J91" s="117">
        <f t="shared" si="16"/>
        <v>-1236.5100000000002</v>
      </c>
      <c r="K91" s="159" t="s">
        <v>374</v>
      </c>
    </row>
    <row r="92" spans="1:11" ht="41.25" customHeight="1">
      <c r="A92" s="77" t="s">
        <v>375</v>
      </c>
      <c r="B92" s="64" t="s">
        <v>168</v>
      </c>
      <c r="C92" s="142">
        <v>37417</v>
      </c>
      <c r="D92" s="23">
        <v>1</v>
      </c>
      <c r="E92" s="134">
        <f t="shared" si="13"/>
        <v>37417</v>
      </c>
      <c r="F92" s="19">
        <v>1</v>
      </c>
      <c r="G92" s="136">
        <f t="shared" si="14"/>
        <v>37417</v>
      </c>
      <c r="H92" s="25">
        <v>0</v>
      </c>
      <c r="I92" s="117">
        <v>0</v>
      </c>
      <c r="J92" s="117">
        <f t="shared" si="16"/>
        <v>37417</v>
      </c>
      <c r="K92" s="159" t="s">
        <v>365</v>
      </c>
    </row>
    <row r="93" spans="1:11" ht="41.25" customHeight="1">
      <c r="A93" s="77" t="s">
        <v>169</v>
      </c>
      <c r="B93" s="64" t="s">
        <v>170</v>
      </c>
      <c r="C93" s="23">
        <f>(4/10)*973</f>
        <v>389.20000000000005</v>
      </c>
      <c r="D93" s="23">
        <v>1</v>
      </c>
      <c r="E93" s="134">
        <f t="shared" si="13"/>
        <v>389.20000000000005</v>
      </c>
      <c r="F93" s="19">
        <v>1</v>
      </c>
      <c r="G93" s="136">
        <f t="shared" si="14"/>
        <v>389.20000000000005</v>
      </c>
      <c r="H93" s="25">
        <f>'2020'!G45</f>
        <v>389.20000000000005</v>
      </c>
      <c r="I93" s="117">
        <f t="shared" si="15"/>
        <v>0</v>
      </c>
      <c r="J93" s="117">
        <f t="shared" si="16"/>
        <v>0</v>
      </c>
      <c r="K93" s="159" t="s">
        <v>376</v>
      </c>
    </row>
    <row r="94" spans="1:11" ht="41.25" customHeight="1">
      <c r="A94" s="122" t="s">
        <v>171</v>
      </c>
      <c r="B94" s="123" t="s">
        <v>308</v>
      </c>
      <c r="C94" s="148">
        <v>37417</v>
      </c>
      <c r="D94" s="23">
        <v>1</v>
      </c>
      <c r="E94" s="134">
        <f t="shared" si="13"/>
        <v>37417</v>
      </c>
      <c r="F94" s="19">
        <v>2</v>
      </c>
      <c r="G94" s="136">
        <f t="shared" si="14"/>
        <v>74834</v>
      </c>
      <c r="H94" s="25">
        <v>0</v>
      </c>
      <c r="I94" s="117">
        <v>0</v>
      </c>
      <c r="J94" s="117">
        <f t="shared" si="16"/>
        <v>74834</v>
      </c>
      <c r="K94" s="111" t="s">
        <v>365</v>
      </c>
    </row>
    <row r="95" spans="1:11" ht="41.25" customHeight="1">
      <c r="A95" s="122" t="s">
        <v>103</v>
      </c>
      <c r="B95" s="123" t="s">
        <v>172</v>
      </c>
      <c r="C95" s="23">
        <f>3289*0.33</f>
        <v>1085.3700000000001</v>
      </c>
      <c r="D95" s="23">
        <v>1</v>
      </c>
      <c r="E95" s="134">
        <f t="shared" si="13"/>
        <v>1085.3700000000001</v>
      </c>
      <c r="F95" s="19">
        <v>1</v>
      </c>
      <c r="G95" s="136">
        <f t="shared" si="14"/>
        <v>1085.3700000000001</v>
      </c>
      <c r="H95" s="25">
        <v>0</v>
      </c>
      <c r="I95" s="117">
        <f t="shared" si="15"/>
        <v>1085.3700000000001</v>
      </c>
      <c r="J95" s="117">
        <v>0</v>
      </c>
      <c r="K95" s="111" t="s">
        <v>354</v>
      </c>
    </row>
    <row r="96" spans="1:11" ht="41.25" customHeight="1">
      <c r="A96" s="122" t="s">
        <v>173</v>
      </c>
      <c r="B96" s="123" t="s">
        <v>174</v>
      </c>
      <c r="C96" s="23">
        <v>3289</v>
      </c>
      <c r="D96" s="23">
        <v>1</v>
      </c>
      <c r="E96" s="134">
        <f t="shared" si="13"/>
        <v>3289</v>
      </c>
      <c r="F96" s="19">
        <v>2</v>
      </c>
      <c r="G96" s="136">
        <f t="shared" si="14"/>
        <v>6578</v>
      </c>
      <c r="H96" s="25">
        <v>0</v>
      </c>
      <c r="I96" s="117">
        <f t="shared" si="15"/>
        <v>6578</v>
      </c>
      <c r="J96" s="117">
        <v>0</v>
      </c>
      <c r="K96" s="111" t="s">
        <v>354</v>
      </c>
    </row>
    <row r="97" spans="1:14" ht="41.25" customHeight="1">
      <c r="A97" s="122" t="s">
        <v>377</v>
      </c>
      <c r="B97" s="123" t="s">
        <v>178</v>
      </c>
      <c r="C97" s="23">
        <f>(37417*0.02*0.02)</f>
        <v>14.966800000000001</v>
      </c>
      <c r="D97" s="23">
        <v>1</v>
      </c>
      <c r="E97" s="134">
        <f t="shared" si="13"/>
        <v>14.966800000000001</v>
      </c>
      <c r="F97" s="19">
        <v>2</v>
      </c>
      <c r="G97" s="136">
        <f t="shared" si="14"/>
        <v>29.933600000000002</v>
      </c>
      <c r="H97" s="25">
        <v>0</v>
      </c>
      <c r="I97" s="117">
        <f t="shared" si="15"/>
        <v>29.933600000000002</v>
      </c>
      <c r="J97" s="117">
        <v>0</v>
      </c>
      <c r="K97" s="111" t="s">
        <v>354</v>
      </c>
    </row>
    <row r="98" spans="1:14" ht="34.5" customHeight="1">
      <c r="A98" s="122" t="s">
        <v>179</v>
      </c>
      <c r="B98" s="123" t="s">
        <v>180</v>
      </c>
      <c r="C98" s="23">
        <f>(3289*0.02*0.02)</f>
        <v>1.3156000000000001</v>
      </c>
      <c r="D98" s="23">
        <v>1</v>
      </c>
      <c r="E98" s="134">
        <f t="shared" si="13"/>
        <v>1.3156000000000001</v>
      </c>
      <c r="F98" s="19">
        <v>2</v>
      </c>
      <c r="G98" s="136">
        <f t="shared" si="14"/>
        <v>2.6312000000000002</v>
      </c>
      <c r="H98" s="25">
        <v>0</v>
      </c>
      <c r="I98" s="117">
        <f t="shared" si="15"/>
        <v>2.6312000000000002</v>
      </c>
      <c r="J98" s="117">
        <v>0</v>
      </c>
      <c r="K98" s="111" t="s">
        <v>354</v>
      </c>
      <c r="N98" s="35"/>
    </row>
    <row r="99" spans="1:14" ht="15" customHeight="1">
      <c r="A99" s="550" t="s">
        <v>381</v>
      </c>
      <c r="B99" s="550"/>
      <c r="C99" s="11">
        <v>37417</v>
      </c>
      <c r="D99" s="33">
        <f>+E99/C99</f>
        <v>54.3656532536884</v>
      </c>
      <c r="E99" s="11">
        <f>SUM(E84:E98)</f>
        <v>2034199.6477932588</v>
      </c>
      <c r="F99" s="33">
        <f>+G99/E99</f>
        <v>0.51682592056636034</v>
      </c>
      <c r="G99" s="11">
        <f>SUM(G84:G98)</f>
        <v>1051327.1055865169</v>
      </c>
      <c r="H99" s="11">
        <f>SUM(H84:H98)</f>
        <v>167510.64584269663</v>
      </c>
      <c r="I99" s="33">
        <f>SUM(I84:I98)</f>
        <v>786105.92479999992</v>
      </c>
      <c r="J99" s="11">
        <f>SUM(J84:J98)</f>
        <v>92008.53494382021</v>
      </c>
      <c r="K99" s="176"/>
    </row>
    <row r="100" spans="1:14" ht="15.75" customHeight="1">
      <c r="A100" s="550" t="s">
        <v>182</v>
      </c>
      <c r="B100" s="550"/>
      <c r="C100" s="13">
        <f>SUM(C69,C82,C99)</f>
        <v>6283276</v>
      </c>
      <c r="D100" s="33">
        <f>E100/C100</f>
        <v>6.7949563315320365</v>
      </c>
      <c r="E100" s="13">
        <f>SUM(E69,E82,E99)</f>
        <v>42694586.038963288</v>
      </c>
      <c r="F100" s="34">
        <f>+G100/E100</f>
        <v>0.36066640379248838</v>
      </c>
      <c r="G100" s="13">
        <f>SUM(G69+G82+G99)</f>
        <v>15398502.808081871</v>
      </c>
      <c r="H100" s="14">
        <f>SUM(H99+H82+H69)</f>
        <v>4017131.7810526965</v>
      </c>
      <c r="I100" s="13">
        <f>SUM(I69,I82,I99)</f>
        <v>8882051.6157216858</v>
      </c>
      <c r="J100" s="13">
        <f>(G100-H100-I100)</f>
        <v>2499319.4113074895</v>
      </c>
      <c r="K100" s="177"/>
    </row>
    <row r="101" spans="1:14" ht="15" customHeight="1">
      <c r="A101" s="541" t="s">
        <v>183</v>
      </c>
      <c r="B101" s="541"/>
      <c r="C101" s="541"/>
      <c r="D101" s="541"/>
      <c r="E101" s="541"/>
      <c r="F101" s="541"/>
      <c r="G101" s="541"/>
      <c r="H101" s="541"/>
      <c r="I101" s="541"/>
      <c r="J101" s="541"/>
      <c r="K101" s="642"/>
    </row>
    <row r="102" spans="1:14" ht="15" customHeight="1">
      <c r="A102" s="644" t="s">
        <v>15</v>
      </c>
      <c r="B102" s="644"/>
      <c r="C102" s="644"/>
      <c r="D102" s="644"/>
      <c r="E102" s="644"/>
      <c r="F102" s="644"/>
      <c r="G102" s="644"/>
      <c r="H102" s="644"/>
      <c r="I102" s="644"/>
      <c r="J102" s="644"/>
      <c r="K102" s="645"/>
    </row>
    <row r="103" spans="1:14" ht="15">
      <c r="A103" s="122" t="s">
        <v>184</v>
      </c>
      <c r="B103" s="111" t="s">
        <v>185</v>
      </c>
      <c r="C103" s="124">
        <v>89</v>
      </c>
      <c r="D103" s="124">
        <v>1</v>
      </c>
      <c r="E103" s="138">
        <f>C103*D103</f>
        <v>89</v>
      </c>
      <c r="F103" s="124">
        <v>0.16700000000000001</v>
      </c>
      <c r="G103" s="138">
        <f>E103*F103</f>
        <v>14.863000000000001</v>
      </c>
      <c r="H103" s="125">
        <v>0</v>
      </c>
      <c r="I103" s="124">
        <f>G103-H103</f>
        <v>14.863000000000001</v>
      </c>
      <c r="J103" s="124">
        <v>0</v>
      </c>
      <c r="K103" s="111" t="s">
        <v>354</v>
      </c>
    </row>
    <row r="104" spans="1:14" ht="15">
      <c r="A104" s="77" t="s">
        <v>53</v>
      </c>
      <c r="B104" s="64" t="s">
        <v>154</v>
      </c>
      <c r="C104" s="23">
        <v>1810</v>
      </c>
      <c r="D104" s="23">
        <f>(10000/1810)*2</f>
        <v>11.049723756906078</v>
      </c>
      <c r="E104" s="138">
        <f t="shared" ref="E104:E119" si="17">C104*D104</f>
        <v>20000</v>
      </c>
      <c r="F104" s="126">
        <v>1.67E-2</v>
      </c>
      <c r="G104" s="138">
        <f t="shared" ref="G104:G119" si="18">E104*F104</f>
        <v>334</v>
      </c>
      <c r="H104" s="25">
        <f>'2020'!G50</f>
        <v>334</v>
      </c>
      <c r="I104" s="124">
        <f t="shared" ref="I104:I119" si="19">G104-H104</f>
        <v>0</v>
      </c>
      <c r="J104" s="124">
        <f t="shared" ref="J104:J118" si="20">G104-H104</f>
        <v>0</v>
      </c>
      <c r="K104" s="159" t="s">
        <v>291</v>
      </c>
    </row>
    <row r="105" spans="1:14" ht="33" customHeight="1">
      <c r="A105" s="77" t="s">
        <v>189</v>
      </c>
      <c r="B105" s="64" t="s">
        <v>190</v>
      </c>
      <c r="C105" s="23">
        <v>89</v>
      </c>
      <c r="D105" s="23">
        <v>1</v>
      </c>
      <c r="E105" s="138">
        <f t="shared" si="17"/>
        <v>89</v>
      </c>
      <c r="F105" s="126">
        <v>50</v>
      </c>
      <c r="G105" s="138">
        <f t="shared" si="18"/>
        <v>4450</v>
      </c>
      <c r="H105" s="25">
        <f>'2020'!G51</f>
        <v>4450</v>
      </c>
      <c r="I105" s="124">
        <f t="shared" si="19"/>
        <v>0</v>
      </c>
      <c r="J105" s="124">
        <f t="shared" si="20"/>
        <v>0</v>
      </c>
      <c r="K105" s="159" t="s">
        <v>291</v>
      </c>
    </row>
    <row r="106" spans="1:14" ht="33" customHeight="1">
      <c r="A106" s="77" t="s">
        <v>191</v>
      </c>
      <c r="B106" s="64" t="s">
        <v>166</v>
      </c>
      <c r="C106" s="23">
        <v>89</v>
      </c>
      <c r="D106" s="23">
        <f>((37417*0.33)/89)</f>
        <v>138.73719101123595</v>
      </c>
      <c r="E106" s="138">
        <f t="shared" si="17"/>
        <v>12347.609999999999</v>
      </c>
      <c r="F106" s="126">
        <v>1</v>
      </c>
      <c r="G106" s="138">
        <f t="shared" si="18"/>
        <v>12347.609999999999</v>
      </c>
      <c r="H106" s="25">
        <f>'2020'!G52</f>
        <v>13584.12</v>
      </c>
      <c r="I106" s="124">
        <v>0</v>
      </c>
      <c r="J106" s="124">
        <f t="shared" si="20"/>
        <v>-1236.510000000002</v>
      </c>
      <c r="K106" s="178" t="s">
        <v>374</v>
      </c>
    </row>
    <row r="107" spans="1:14" ht="15">
      <c r="A107" s="77" t="s">
        <v>169</v>
      </c>
      <c r="B107" s="64" t="s">
        <v>170</v>
      </c>
      <c r="C107" s="23">
        <f>(4/10)*973</f>
        <v>389.20000000000005</v>
      </c>
      <c r="D107" s="23">
        <v>1</v>
      </c>
      <c r="E107" s="138">
        <f t="shared" si="17"/>
        <v>389.20000000000005</v>
      </c>
      <c r="F107" s="126">
        <v>1</v>
      </c>
      <c r="G107" s="138">
        <f t="shared" si="18"/>
        <v>389.20000000000005</v>
      </c>
      <c r="H107" s="25">
        <f>'2020'!G53</f>
        <v>389.20000000000005</v>
      </c>
      <c r="I107" s="124">
        <f t="shared" si="19"/>
        <v>0</v>
      </c>
      <c r="J107" s="124">
        <f t="shared" si="20"/>
        <v>0</v>
      </c>
      <c r="K107" s="179" t="s">
        <v>291</v>
      </c>
    </row>
    <row r="108" spans="1:14" ht="15">
      <c r="A108" s="73" t="s">
        <v>192</v>
      </c>
      <c r="B108" s="64" t="s">
        <v>193</v>
      </c>
      <c r="C108" s="23">
        <v>89</v>
      </c>
      <c r="D108" s="23">
        <v>1</v>
      </c>
      <c r="E108" s="138">
        <f t="shared" si="17"/>
        <v>89</v>
      </c>
      <c r="F108" s="126">
        <v>2</v>
      </c>
      <c r="G108" s="138">
        <f t="shared" si="18"/>
        <v>178</v>
      </c>
      <c r="H108" s="25">
        <f>'2020'!G54</f>
        <v>178</v>
      </c>
      <c r="I108" s="124">
        <f t="shared" si="19"/>
        <v>0</v>
      </c>
      <c r="J108" s="124">
        <f t="shared" si="20"/>
        <v>0</v>
      </c>
      <c r="K108" s="159" t="s">
        <v>291</v>
      </c>
    </row>
    <row r="109" spans="1:14" ht="15">
      <c r="A109" s="73" t="s">
        <v>194</v>
      </c>
      <c r="B109" s="64" t="s">
        <v>195</v>
      </c>
      <c r="C109" s="23">
        <v>89</v>
      </c>
      <c r="D109" s="23">
        <f>(37417/89)*0.05</f>
        <v>21.020786516853931</v>
      </c>
      <c r="E109" s="138">
        <f t="shared" si="17"/>
        <v>1870.85</v>
      </c>
      <c r="F109" s="126">
        <v>0.5</v>
      </c>
      <c r="G109" s="138">
        <f t="shared" si="18"/>
        <v>935.42499999999995</v>
      </c>
      <c r="H109" s="25">
        <f>'2020'!G55</f>
        <v>1029.1000000000001</v>
      </c>
      <c r="I109" s="124">
        <v>0</v>
      </c>
      <c r="J109" s="124">
        <f t="shared" si="20"/>
        <v>-93.675000000000182</v>
      </c>
      <c r="K109" s="180" t="s">
        <v>378</v>
      </c>
    </row>
    <row r="110" spans="1:14" ht="15">
      <c r="A110" s="73" t="s">
        <v>196</v>
      </c>
      <c r="B110" s="64" t="s">
        <v>310</v>
      </c>
      <c r="C110" s="23">
        <v>89</v>
      </c>
      <c r="D110" s="23">
        <f>(37417/89)*0.05</f>
        <v>21.020786516853931</v>
      </c>
      <c r="E110" s="138">
        <f t="shared" si="17"/>
        <v>1870.85</v>
      </c>
      <c r="F110" s="126">
        <v>2</v>
      </c>
      <c r="G110" s="138">
        <f t="shared" si="18"/>
        <v>3741.7</v>
      </c>
      <c r="H110" s="25">
        <f>'2020'!G56</f>
        <v>4116.4000000000005</v>
      </c>
      <c r="I110" s="124">
        <v>0</v>
      </c>
      <c r="J110" s="124">
        <f t="shared" si="20"/>
        <v>-374.70000000000073</v>
      </c>
      <c r="K110" s="180" t="s">
        <v>374</v>
      </c>
    </row>
    <row r="111" spans="1:14" ht="15">
      <c r="A111" s="73" t="s">
        <v>91</v>
      </c>
      <c r="B111" s="64" t="s">
        <v>198</v>
      </c>
      <c r="C111" s="23">
        <v>89</v>
      </c>
      <c r="D111" s="23">
        <f>1048/89</f>
        <v>11.775280898876405</v>
      </c>
      <c r="E111" s="138">
        <f t="shared" si="17"/>
        <v>1048</v>
      </c>
      <c r="F111" s="126">
        <v>1</v>
      </c>
      <c r="G111" s="138">
        <f t="shared" si="18"/>
        <v>1048</v>
      </c>
      <c r="H111" s="25">
        <f>'2020'!G57</f>
        <v>514</v>
      </c>
      <c r="I111" s="124">
        <v>0</v>
      </c>
      <c r="J111" s="124">
        <f t="shared" si="20"/>
        <v>534</v>
      </c>
      <c r="K111" s="181" t="s">
        <v>378</v>
      </c>
    </row>
    <row r="112" spans="1:14" ht="15">
      <c r="A112" s="127" t="s">
        <v>199</v>
      </c>
      <c r="B112" s="128" t="s">
        <v>94</v>
      </c>
      <c r="C112" s="129">
        <v>1</v>
      </c>
      <c r="D112" s="129">
        <v>1</v>
      </c>
      <c r="E112" s="139">
        <f t="shared" si="17"/>
        <v>1</v>
      </c>
      <c r="F112" s="129">
        <v>0.20039999999999999</v>
      </c>
      <c r="G112" s="139">
        <f t="shared" si="18"/>
        <v>0.20039999999999999</v>
      </c>
      <c r="H112" s="130">
        <v>0</v>
      </c>
      <c r="I112" s="124">
        <f t="shared" si="19"/>
        <v>0.20039999999999999</v>
      </c>
      <c r="J112" s="124">
        <v>0</v>
      </c>
      <c r="K112" s="182" t="s">
        <v>354</v>
      </c>
    </row>
    <row r="113" spans="1:14" ht="15">
      <c r="A113" s="73" t="s">
        <v>379</v>
      </c>
      <c r="B113" s="64" t="s">
        <v>134</v>
      </c>
      <c r="C113" s="23">
        <v>89</v>
      </c>
      <c r="D113" s="23">
        <f>(1810/89)</f>
        <v>20.337078651685392</v>
      </c>
      <c r="E113" s="138">
        <f t="shared" si="17"/>
        <v>1809.9999999999998</v>
      </c>
      <c r="F113" s="126">
        <v>0.5</v>
      </c>
      <c r="G113" s="138">
        <f t="shared" si="18"/>
        <v>904.99999999999989</v>
      </c>
      <c r="H113" s="25">
        <v>0</v>
      </c>
      <c r="I113" s="124">
        <f t="shared" si="19"/>
        <v>904.99999999999989</v>
      </c>
      <c r="J113" s="124">
        <v>0</v>
      </c>
      <c r="K113" s="181" t="s">
        <v>354</v>
      </c>
    </row>
    <row r="114" spans="1:14" ht="15">
      <c r="A114" s="73" t="s">
        <v>139</v>
      </c>
      <c r="B114" s="64" t="s">
        <v>201</v>
      </c>
      <c r="C114" s="23">
        <v>89</v>
      </c>
      <c r="D114" s="23">
        <v>1</v>
      </c>
      <c r="E114" s="138">
        <f t="shared" si="17"/>
        <v>89</v>
      </c>
      <c r="F114" s="126">
        <v>0.16700000000000001</v>
      </c>
      <c r="G114" s="138">
        <f t="shared" si="18"/>
        <v>14.863000000000001</v>
      </c>
      <c r="H114" s="25">
        <v>0</v>
      </c>
      <c r="I114" s="124">
        <f t="shared" si="19"/>
        <v>14.863000000000001</v>
      </c>
      <c r="J114" s="124">
        <v>0</v>
      </c>
      <c r="K114" s="183" t="s">
        <v>354</v>
      </c>
    </row>
    <row r="115" spans="1:14" ht="15">
      <c r="A115" s="73" t="s">
        <v>202</v>
      </c>
      <c r="B115" s="64" t="s">
        <v>203</v>
      </c>
      <c r="C115" s="23">
        <v>89</v>
      </c>
      <c r="D115" s="23">
        <v>1</v>
      </c>
      <c r="E115" s="138">
        <f t="shared" si="17"/>
        <v>89</v>
      </c>
      <c r="F115" s="126">
        <v>5</v>
      </c>
      <c r="G115" s="138">
        <f t="shared" si="18"/>
        <v>445</v>
      </c>
      <c r="H115" s="25">
        <f>'2020'!G58</f>
        <v>445</v>
      </c>
      <c r="I115" s="124">
        <f t="shared" si="19"/>
        <v>0</v>
      </c>
      <c r="J115" s="124">
        <f t="shared" si="20"/>
        <v>0</v>
      </c>
      <c r="K115" s="159" t="s">
        <v>291</v>
      </c>
    </row>
    <row r="116" spans="1:14" ht="81" customHeight="1">
      <c r="A116" s="73" t="s">
        <v>204</v>
      </c>
      <c r="B116" s="64" t="s">
        <v>205</v>
      </c>
      <c r="C116" s="23">
        <f>89+1810</f>
        <v>1899</v>
      </c>
      <c r="D116" s="23">
        <v>12</v>
      </c>
      <c r="E116" s="138">
        <f t="shared" si="17"/>
        <v>22788</v>
      </c>
      <c r="F116" s="126">
        <v>2</v>
      </c>
      <c r="G116" s="140">
        <f t="shared" si="18"/>
        <v>45576</v>
      </c>
      <c r="H116" s="25">
        <f>'2020'!G59</f>
        <v>45528</v>
      </c>
      <c r="I116" s="124">
        <v>0</v>
      </c>
      <c r="J116" s="124">
        <f t="shared" si="20"/>
        <v>48</v>
      </c>
      <c r="K116" s="180" t="s">
        <v>365</v>
      </c>
      <c r="N116" s="35"/>
    </row>
    <row r="117" spans="1:14" ht="32.25" customHeight="1">
      <c r="A117" s="73" t="s">
        <v>204</v>
      </c>
      <c r="B117" s="64" t="s">
        <v>206</v>
      </c>
      <c r="C117" s="23">
        <v>1810</v>
      </c>
      <c r="D117" s="23">
        <f>((6243960)/1810)*2</f>
        <v>6899.4033149171273</v>
      </c>
      <c r="E117" s="138">
        <f t="shared" si="17"/>
        <v>12487920</v>
      </c>
      <c r="F117" s="131">
        <v>1.67E-2</v>
      </c>
      <c r="G117" s="140">
        <f t="shared" si="18"/>
        <v>208548.264</v>
      </c>
      <c r="H117" s="25">
        <f>'2020'!G60+114388.39</f>
        <v>458924.55359999998</v>
      </c>
      <c r="I117" s="124">
        <v>0</v>
      </c>
      <c r="J117" s="124">
        <f t="shared" si="20"/>
        <v>-250376.28959999999</v>
      </c>
      <c r="K117" s="180" t="s">
        <v>380</v>
      </c>
    </row>
    <row r="118" spans="1:14" ht="32.25" customHeight="1">
      <c r="A118" s="73" t="s">
        <v>204</v>
      </c>
      <c r="B118" s="64" t="s">
        <v>207</v>
      </c>
      <c r="C118" s="23">
        <f>89+1810</f>
        <v>1899</v>
      </c>
      <c r="D118" s="23">
        <v>1</v>
      </c>
      <c r="E118" s="138">
        <f t="shared" si="17"/>
        <v>1899</v>
      </c>
      <c r="F118" s="126">
        <v>0.25</v>
      </c>
      <c r="G118" s="138">
        <f t="shared" si="18"/>
        <v>474.75</v>
      </c>
      <c r="H118" s="25">
        <f>'2020'!G62</f>
        <v>474.25</v>
      </c>
      <c r="I118" s="124">
        <v>0</v>
      </c>
      <c r="J118" s="124">
        <f t="shared" si="20"/>
        <v>0.5</v>
      </c>
      <c r="K118" s="180" t="s">
        <v>365</v>
      </c>
      <c r="L118" s="10" t="s">
        <v>188</v>
      </c>
    </row>
    <row r="119" spans="1:14" ht="30.75" customHeight="1" thickBot="1">
      <c r="A119" s="122" t="s">
        <v>145</v>
      </c>
      <c r="B119" s="111" t="s">
        <v>146</v>
      </c>
      <c r="C119" s="27">
        <v>76</v>
      </c>
      <c r="D119" s="23">
        <v>1</v>
      </c>
      <c r="E119" s="138">
        <f t="shared" si="17"/>
        <v>76</v>
      </c>
      <c r="F119" s="126">
        <v>0.16700000000000001</v>
      </c>
      <c r="G119" s="138">
        <f t="shared" si="18"/>
        <v>12.692</v>
      </c>
      <c r="H119" s="132">
        <v>0</v>
      </c>
      <c r="I119" s="124">
        <f t="shared" si="19"/>
        <v>12.692</v>
      </c>
      <c r="J119" s="124">
        <v>0</v>
      </c>
      <c r="K119" s="184" t="s">
        <v>354</v>
      </c>
    </row>
    <row r="120" spans="1:14" ht="38.25" customHeight="1" thickBot="1">
      <c r="A120" s="538" t="s">
        <v>208</v>
      </c>
      <c r="B120" s="538"/>
      <c r="C120" s="13">
        <v>1899</v>
      </c>
      <c r="D120" s="33">
        <f>+E120/C120</f>
        <v>6610.0397630331754</v>
      </c>
      <c r="E120" s="13">
        <f>SUM(E103:E119)</f>
        <v>12552465.51</v>
      </c>
      <c r="F120" s="33">
        <f>+G120/E120</f>
        <v>2.2259815585822709E-2</v>
      </c>
      <c r="G120" s="13">
        <f>SUM(G103:G119)</f>
        <v>279415.5674</v>
      </c>
      <c r="H120" s="13">
        <f>SUM(H103:H119)</f>
        <v>529966.62360000005</v>
      </c>
      <c r="I120" s="34">
        <f>SUM(I103:I119)</f>
        <v>947.61839999999995</v>
      </c>
      <c r="J120" s="13">
        <f>SUM(J103:J119)</f>
        <v>-251498.6746</v>
      </c>
      <c r="K120" s="185"/>
    </row>
    <row r="121" spans="1:14" ht="15.75" thickBot="1">
      <c r="A121" s="575" t="s">
        <v>161</v>
      </c>
      <c r="B121" s="575"/>
      <c r="C121" s="575"/>
      <c r="D121" s="575"/>
      <c r="E121" s="575"/>
      <c r="F121" s="575"/>
      <c r="G121" s="575"/>
      <c r="H121" s="575"/>
      <c r="I121" s="575"/>
      <c r="J121" s="575"/>
      <c r="K121" s="575"/>
    </row>
    <row r="122" spans="1:14" ht="15" customHeight="1" thickBot="1">
      <c r="A122" s="77" t="s">
        <v>209</v>
      </c>
      <c r="B122" s="64" t="s">
        <v>311</v>
      </c>
      <c r="C122" s="23">
        <v>37417</v>
      </c>
      <c r="D122" s="23">
        <v>1</v>
      </c>
      <c r="E122" s="138">
        <f t="shared" ref="E122" si="21">C122*D122</f>
        <v>37417</v>
      </c>
      <c r="F122" s="126">
        <v>0.16700000000000001</v>
      </c>
      <c r="G122" s="138">
        <f t="shared" ref="G122" si="22">E122*F122</f>
        <v>6248.6390000000001</v>
      </c>
      <c r="H122" s="25">
        <v>0</v>
      </c>
      <c r="I122" s="124">
        <f t="shared" ref="I122" si="23">G122-H122</f>
        <v>6248.6390000000001</v>
      </c>
      <c r="J122" s="124">
        <v>0</v>
      </c>
      <c r="K122" s="178" t="s">
        <v>354</v>
      </c>
    </row>
    <row r="123" spans="1:14" ht="15" customHeight="1" thickBot="1">
      <c r="A123" s="538" t="s">
        <v>382</v>
      </c>
      <c r="B123" s="538"/>
      <c r="C123" s="13">
        <f>C122</f>
        <v>37417</v>
      </c>
      <c r="D123" s="33">
        <f>E123/C123</f>
        <v>1</v>
      </c>
      <c r="E123" s="13">
        <f>E122</f>
        <v>37417</v>
      </c>
      <c r="F123" s="33">
        <f>G123/E123</f>
        <v>0.16700000000000001</v>
      </c>
      <c r="G123" s="13">
        <f>G122</f>
        <v>6248.6390000000001</v>
      </c>
      <c r="H123" s="13">
        <v>0</v>
      </c>
      <c r="I123" s="34">
        <f>I122</f>
        <v>6248.6390000000001</v>
      </c>
      <c r="J123" s="13">
        <f>J122</f>
        <v>0</v>
      </c>
      <c r="K123" s="185"/>
    </row>
    <row r="124" spans="1:14" ht="16.5" customHeight="1" thickBot="1">
      <c r="A124" s="550" t="s">
        <v>212</v>
      </c>
      <c r="B124" s="560"/>
      <c r="C124" s="13">
        <f>C123+C120</f>
        <v>39316</v>
      </c>
      <c r="D124" s="33">
        <f>+E124/C124</f>
        <v>320.22287389358024</v>
      </c>
      <c r="E124" s="13">
        <f>E123+E120</f>
        <v>12589882.51</v>
      </c>
      <c r="F124" s="33">
        <f>G124/E124</f>
        <v>2.26899819099265E-2</v>
      </c>
      <c r="G124" s="13">
        <f>G123+G120</f>
        <v>285664.20640000002</v>
      </c>
      <c r="H124" s="13">
        <f>H123+H120</f>
        <v>529966.62360000005</v>
      </c>
      <c r="I124" s="34">
        <f>I123+I120</f>
        <v>7196.2574000000004</v>
      </c>
      <c r="J124" s="13">
        <f>J123+J120</f>
        <v>-251498.6746</v>
      </c>
      <c r="K124" s="185"/>
    </row>
    <row r="125" spans="1:14" ht="14.25" customHeight="1">
      <c r="A125" s="564" t="s">
        <v>334</v>
      </c>
      <c r="B125" s="565"/>
      <c r="C125" s="16">
        <f>C100</f>
        <v>6283276</v>
      </c>
      <c r="D125" s="28">
        <f>E125/C125</f>
        <v>8.7986694439275439</v>
      </c>
      <c r="E125" s="16">
        <f>E124+E100</f>
        <v>55284468.548963286</v>
      </c>
      <c r="F125" s="28">
        <f>G125/E125</f>
        <v>0.28369933592815527</v>
      </c>
      <c r="G125" s="16">
        <f>G124+G100</f>
        <v>15684167.01448187</v>
      </c>
      <c r="H125" s="95">
        <v>4547099</v>
      </c>
      <c r="I125" s="16">
        <f>I124+I100</f>
        <v>8889247.8731216863</v>
      </c>
      <c r="J125" s="16">
        <f>J124+J100</f>
        <v>2247820.7367074895</v>
      </c>
      <c r="K125" s="186"/>
    </row>
    <row r="126" spans="1:14" ht="14.25" customHeight="1" thickBot="1"/>
    <row r="127" spans="1:14" ht="14.25" customHeight="1" thickBot="1">
      <c r="A127" s="566" t="s">
        <v>219</v>
      </c>
      <c r="B127" s="567"/>
      <c r="C127" s="567"/>
      <c r="D127" s="568"/>
    </row>
    <row r="128" spans="1:14" ht="16.5" customHeight="1" thickBot="1">
      <c r="A128" s="569" t="s">
        <v>220</v>
      </c>
      <c r="B128" s="570"/>
      <c r="C128" s="571">
        <f>+C100</f>
        <v>6283276</v>
      </c>
      <c r="D128" s="572"/>
      <c r="E128" s="31"/>
      <c r="F128" s="62"/>
    </row>
    <row r="129" spans="1:6" ht="14.25" customHeight="1" thickBot="1">
      <c r="A129" s="556" t="s">
        <v>221</v>
      </c>
      <c r="B129" s="557"/>
      <c r="C129" s="558">
        <f>+C130/C128</f>
        <v>6.7949563315320365</v>
      </c>
      <c r="D129" s="559"/>
    </row>
    <row r="130" spans="1:6" ht="14.25" customHeight="1" thickBot="1">
      <c r="A130" s="569" t="s">
        <v>222</v>
      </c>
      <c r="B130" s="570"/>
      <c r="C130" s="571">
        <f>+E100</f>
        <v>42694586.038963288</v>
      </c>
      <c r="D130" s="572"/>
      <c r="F130" s="89"/>
    </row>
    <row r="131" spans="1:6" ht="15.75" thickBot="1">
      <c r="A131" s="569" t="s">
        <v>223</v>
      </c>
      <c r="B131" s="570"/>
      <c r="C131" s="558">
        <f>+C132/C130</f>
        <v>0.36066640379248838</v>
      </c>
      <c r="D131" s="559"/>
      <c r="F131" s="89"/>
    </row>
    <row r="132" spans="1:6" ht="15" customHeight="1" thickBot="1">
      <c r="A132" s="569" t="s">
        <v>224</v>
      </c>
      <c r="B132" s="570"/>
      <c r="C132" s="571">
        <f>+G100</f>
        <v>15398502.808081871</v>
      </c>
      <c r="D132" s="572"/>
      <c r="F132" s="90"/>
    </row>
    <row r="133" spans="1:6" ht="16.5" customHeight="1" thickBot="1">
      <c r="A133" s="569" t="s">
        <v>225</v>
      </c>
      <c r="B133" s="570"/>
      <c r="C133" s="571">
        <f>H100</f>
        <v>4017131.7810526965</v>
      </c>
      <c r="D133" s="572"/>
    </row>
    <row r="134" spans="1:6" ht="14.25" customHeight="1" thickBot="1">
      <c r="A134" s="573" t="s">
        <v>226</v>
      </c>
      <c r="B134" s="574"/>
      <c r="C134" s="571">
        <f>C132-C133</f>
        <v>11381371.027029175</v>
      </c>
      <c r="D134" s="572"/>
    </row>
    <row r="135" spans="1:6" ht="14.25" customHeight="1" thickBot="1"/>
    <row r="136" spans="1:6" ht="14.25" customHeight="1" thickBot="1">
      <c r="A136" s="566" t="s">
        <v>227</v>
      </c>
      <c r="B136" s="567"/>
      <c r="C136" s="567"/>
      <c r="D136" s="568"/>
    </row>
    <row r="137" spans="1:6" ht="16.5" customHeight="1" thickBot="1">
      <c r="A137" s="569" t="s">
        <v>228</v>
      </c>
      <c r="B137" s="570"/>
      <c r="C137" s="571">
        <f>+C124</f>
        <v>39316</v>
      </c>
      <c r="D137" s="572"/>
    </row>
    <row r="138" spans="1:6" ht="14.25" customHeight="1" thickBot="1">
      <c r="A138" s="556" t="s">
        <v>221</v>
      </c>
      <c r="B138" s="557"/>
      <c r="C138" s="558">
        <f>+C139/C137</f>
        <v>320.22287389358024</v>
      </c>
      <c r="D138" s="559"/>
    </row>
    <row r="139" spans="1:6" ht="14.25" customHeight="1" thickBot="1">
      <c r="A139" s="569" t="s">
        <v>222</v>
      </c>
      <c r="B139" s="570"/>
      <c r="C139" s="571">
        <f>+E124</f>
        <v>12589882.51</v>
      </c>
      <c r="D139" s="572"/>
    </row>
    <row r="140" spans="1:6" ht="15.75" thickBot="1">
      <c r="A140" s="569" t="s">
        <v>223</v>
      </c>
      <c r="B140" s="570"/>
      <c r="C140" s="558">
        <f>+C141/C139</f>
        <v>2.26899819099265E-2</v>
      </c>
      <c r="D140" s="559"/>
    </row>
    <row r="141" spans="1:6" ht="15" customHeight="1" thickBot="1">
      <c r="A141" s="569" t="s">
        <v>224</v>
      </c>
      <c r="B141" s="570"/>
      <c r="C141" s="571">
        <f>+G124</f>
        <v>285664.20640000002</v>
      </c>
      <c r="D141" s="572"/>
    </row>
    <row r="142" spans="1:6" ht="17.25" customHeight="1" thickBot="1">
      <c r="A142" s="569" t="s">
        <v>225</v>
      </c>
      <c r="B142" s="570"/>
      <c r="C142" s="571">
        <f>+H124</f>
        <v>529966.62360000005</v>
      </c>
      <c r="D142" s="572"/>
    </row>
    <row r="143" spans="1:6" ht="17.25" customHeight="1" thickBot="1">
      <c r="A143" s="573" t="s">
        <v>226</v>
      </c>
      <c r="B143" s="574"/>
      <c r="C143" s="571">
        <f>C141-C142</f>
        <v>-244302.41720000003</v>
      </c>
      <c r="D143" s="572"/>
    </row>
    <row r="144" spans="1:6" ht="14.25" customHeight="1" thickBot="1"/>
    <row r="145" spans="1:4" ht="14.25" customHeight="1" thickBot="1">
      <c r="A145" s="566" t="s">
        <v>230</v>
      </c>
      <c r="B145" s="567"/>
      <c r="C145" s="567"/>
      <c r="D145" s="568"/>
    </row>
    <row r="146" spans="1:4" ht="15.75" thickBot="1">
      <c r="A146" s="569" t="s">
        <v>231</v>
      </c>
      <c r="B146" s="570"/>
      <c r="C146" s="571">
        <f>+C130+C139</f>
        <v>55284468.548963286</v>
      </c>
      <c r="D146" s="572"/>
    </row>
    <row r="147" spans="1:4" ht="15.75" thickBot="1">
      <c r="A147" s="569" t="s">
        <v>232</v>
      </c>
      <c r="B147" s="570"/>
      <c r="C147" s="520"/>
      <c r="D147" s="521">
        <f>+C132+C141</f>
        <v>15684167.01448187</v>
      </c>
    </row>
    <row r="148" spans="1:4" ht="15.75" thickBot="1">
      <c r="A148" s="569" t="s">
        <v>225</v>
      </c>
      <c r="B148" s="570"/>
      <c r="C148" s="571">
        <f>H125</f>
        <v>4547099</v>
      </c>
      <c r="D148" s="572"/>
    </row>
    <row r="149" spans="1:4" ht="15.75" thickBot="1">
      <c r="A149" s="573" t="s">
        <v>226</v>
      </c>
      <c r="B149" s="574"/>
      <c r="C149" s="571">
        <f>D147-C148</f>
        <v>11137068.01448187</v>
      </c>
      <c r="D149" s="572"/>
    </row>
  </sheetData>
  <mergeCells count="54">
    <mergeCell ref="A124:B124"/>
    <mergeCell ref="A1:K1"/>
    <mergeCell ref="A3:K3"/>
    <mergeCell ref="A4:K4"/>
    <mergeCell ref="A69:B69"/>
    <mergeCell ref="A70:K70"/>
    <mergeCell ref="A82:B82"/>
    <mergeCell ref="A83:K83"/>
    <mergeCell ref="A99:B99"/>
    <mergeCell ref="A100:B100"/>
    <mergeCell ref="A101:K101"/>
    <mergeCell ref="A102:K102"/>
    <mergeCell ref="A121:K121"/>
    <mergeCell ref="A120:B120"/>
    <mergeCell ref="A123:B123"/>
    <mergeCell ref="A125:B125"/>
    <mergeCell ref="A127:D127"/>
    <mergeCell ref="A128:B128"/>
    <mergeCell ref="C128:D128"/>
    <mergeCell ref="A129:B129"/>
    <mergeCell ref="C129:D129"/>
    <mergeCell ref="A137:B137"/>
    <mergeCell ref="C137:D137"/>
    <mergeCell ref="A130:B130"/>
    <mergeCell ref="C130:D130"/>
    <mergeCell ref="A131:B131"/>
    <mergeCell ref="C131:D131"/>
    <mergeCell ref="A132:B132"/>
    <mergeCell ref="C132:D132"/>
    <mergeCell ref="A133:B133"/>
    <mergeCell ref="C133:D133"/>
    <mergeCell ref="A134:B134"/>
    <mergeCell ref="C134:D134"/>
    <mergeCell ref="A136:D136"/>
    <mergeCell ref="A138:B138"/>
    <mergeCell ref="C138:D138"/>
    <mergeCell ref="A139:B139"/>
    <mergeCell ref="C139:D139"/>
    <mergeCell ref="A140:B140"/>
    <mergeCell ref="C140:D140"/>
    <mergeCell ref="A141:B141"/>
    <mergeCell ref="C141:D141"/>
    <mergeCell ref="A142:B142"/>
    <mergeCell ref="C142:D142"/>
    <mergeCell ref="A143:B143"/>
    <mergeCell ref="C143:D143"/>
    <mergeCell ref="A149:B149"/>
    <mergeCell ref="C149:D149"/>
    <mergeCell ref="A145:D145"/>
    <mergeCell ref="A146:B146"/>
    <mergeCell ref="C146:D146"/>
    <mergeCell ref="A147:B147"/>
    <mergeCell ref="A148:B148"/>
    <mergeCell ref="C148:D148"/>
  </mergeCells>
  <pageMargins left="0.7" right="0.7" top="0.75" bottom="0.75" header="0.3" footer="0.3"/>
  <pageSetup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8"/>
  <sheetViews>
    <sheetView topLeftCell="A48" zoomScale="90" zoomScaleNormal="90" workbookViewId="0">
      <selection activeCell="A48" sqref="A48"/>
    </sheetView>
  </sheetViews>
  <sheetFormatPr defaultColWidth="9.28515625" defaultRowHeight="12.75"/>
  <cols>
    <col min="1" max="1" width="18.7109375" style="9" bestFit="1" customWidth="1"/>
    <col min="2" max="2" width="33.5703125" style="9" bestFit="1" customWidth="1"/>
    <col min="3" max="3" width="15.28515625" style="9" bestFit="1" customWidth="1"/>
    <col min="4" max="4" width="14.28515625" style="9" customWidth="1"/>
    <col min="5" max="5" width="17.7109375" style="9" customWidth="1"/>
    <col min="6" max="6" width="13.28515625" style="9" bestFit="1" customWidth="1"/>
    <col min="7" max="7" width="16.28515625" style="9" customWidth="1"/>
    <col min="8" max="8" width="15.5703125" style="9" bestFit="1" customWidth="1"/>
    <col min="9" max="9" width="15.7109375" style="36" customWidth="1"/>
    <col min="10" max="10" width="14" style="9" bestFit="1" customWidth="1"/>
    <col min="11" max="11" width="57.42578125" style="9" customWidth="1"/>
    <col min="12" max="12" width="93.5703125" style="9" customWidth="1"/>
    <col min="13" max="13" width="16.7109375" style="9" customWidth="1"/>
    <col min="14" max="14" width="6" style="9" customWidth="1"/>
    <col min="15" max="15" width="12.7109375" style="9" bestFit="1" customWidth="1"/>
    <col min="16" max="16" width="9.28515625" style="9"/>
    <col min="17" max="17" width="17.28515625" style="9" customWidth="1"/>
    <col min="18" max="18" width="16.42578125" style="9" customWidth="1"/>
    <col min="19" max="19" width="13.42578125" style="9" customWidth="1"/>
    <col min="20" max="20" width="14.28515625" style="9" customWidth="1"/>
    <col min="21" max="16384" width="9.28515625" style="9"/>
  </cols>
  <sheetData>
    <row r="1" spans="1:20" s="8" customFormat="1" ht="15" customHeight="1" thickBot="1">
      <c r="A1" s="578" t="s">
        <v>340</v>
      </c>
      <c r="B1" s="636"/>
      <c r="C1" s="636"/>
      <c r="D1" s="636"/>
      <c r="E1" s="636"/>
      <c r="F1" s="636"/>
      <c r="G1" s="636"/>
      <c r="H1" s="636"/>
      <c r="I1" s="636"/>
      <c r="J1" s="636"/>
      <c r="K1" s="636"/>
    </row>
    <row r="2" spans="1:20" s="8" customFormat="1" ht="93.75" customHeight="1" thickBot="1">
      <c r="A2" s="1" t="s">
        <v>1</v>
      </c>
      <c r="B2" s="2" t="s">
        <v>2</v>
      </c>
      <c r="C2" s="3" t="s">
        <v>3</v>
      </c>
      <c r="D2" s="4" t="s">
        <v>4</v>
      </c>
      <c r="E2" s="20" t="s">
        <v>5</v>
      </c>
      <c r="F2" s="5" t="s">
        <v>7</v>
      </c>
      <c r="G2" s="21" t="s">
        <v>235</v>
      </c>
      <c r="H2" s="6" t="s">
        <v>341</v>
      </c>
      <c r="I2" s="32" t="s">
        <v>10</v>
      </c>
      <c r="J2" s="7" t="s">
        <v>11</v>
      </c>
      <c r="K2" s="7" t="s">
        <v>13</v>
      </c>
      <c r="L2" s="17"/>
      <c r="M2" s="30"/>
      <c r="P2" s="17"/>
      <c r="Q2" s="26"/>
      <c r="S2" s="26"/>
      <c r="T2" s="26"/>
    </row>
    <row r="3" spans="1:20" s="8" customFormat="1" ht="15" customHeight="1">
      <c r="A3" s="541" t="s">
        <v>14</v>
      </c>
      <c r="B3" s="551"/>
      <c r="C3" s="551"/>
      <c r="D3" s="551"/>
      <c r="E3" s="551"/>
      <c r="F3" s="551"/>
      <c r="G3" s="551"/>
      <c r="H3" s="551"/>
      <c r="I3" s="551"/>
      <c r="J3" s="551"/>
      <c r="K3" s="561"/>
      <c r="Q3" s="45"/>
      <c r="R3" s="46"/>
      <c r="S3" s="47"/>
      <c r="T3" s="48"/>
    </row>
    <row r="4" spans="1:20" s="8" customFormat="1" ht="15" customHeight="1" thickBot="1">
      <c r="A4" s="543" t="s">
        <v>15</v>
      </c>
      <c r="B4" s="562"/>
      <c r="C4" s="562"/>
      <c r="D4" s="562"/>
      <c r="E4" s="562"/>
      <c r="F4" s="562"/>
      <c r="G4" s="562"/>
      <c r="H4" s="562"/>
      <c r="I4" s="562"/>
      <c r="J4" s="562"/>
      <c r="K4" s="563"/>
      <c r="L4" s="49"/>
      <c r="Q4" s="45"/>
      <c r="R4" s="46"/>
      <c r="S4" s="47"/>
      <c r="T4" s="48"/>
    </row>
    <row r="5" spans="1:20" ht="15">
      <c r="A5" s="58">
        <v>246.4</v>
      </c>
      <c r="B5" s="60" t="s">
        <v>16</v>
      </c>
      <c r="C5" s="38">
        <v>89</v>
      </c>
      <c r="D5" s="38">
        <v>1</v>
      </c>
      <c r="E5" s="41">
        <f>C5*D5</f>
        <v>89</v>
      </c>
      <c r="F5" s="43">
        <v>134.62</v>
      </c>
      <c r="G5" s="41">
        <f>E5*F5</f>
        <v>11981.18</v>
      </c>
      <c r="H5" s="44">
        <v>12115.8</v>
      </c>
      <c r="I5" s="24"/>
      <c r="J5" s="24">
        <v>-134.62</v>
      </c>
      <c r="K5" s="65" t="s">
        <v>383</v>
      </c>
      <c r="M5" s="36"/>
      <c r="Q5" s="45"/>
      <c r="R5" s="46"/>
      <c r="S5" s="48"/>
      <c r="T5" s="48"/>
    </row>
    <row r="6" spans="1:20" ht="15">
      <c r="A6" s="58" t="s">
        <v>19</v>
      </c>
      <c r="B6" s="60" t="s">
        <v>20</v>
      </c>
      <c r="C6" s="38">
        <v>904</v>
      </c>
      <c r="D6" s="38">
        <v>1</v>
      </c>
      <c r="E6" s="41">
        <f t="shared" ref="E6:E32" si="0">C6*D6</f>
        <v>904</v>
      </c>
      <c r="F6" s="43">
        <v>2</v>
      </c>
      <c r="G6" s="41">
        <f t="shared" ref="G6:G32" si="1">E6*F6</f>
        <v>1808</v>
      </c>
      <c r="H6" s="44">
        <v>1837</v>
      </c>
      <c r="I6" s="24"/>
      <c r="J6" s="24">
        <f>G6-H6</f>
        <v>-29</v>
      </c>
      <c r="K6" s="66" t="s">
        <v>384</v>
      </c>
      <c r="M6" s="36"/>
      <c r="Q6" s="45"/>
      <c r="R6" s="46"/>
      <c r="S6" s="48"/>
      <c r="T6" s="48"/>
    </row>
    <row r="7" spans="1:20" ht="15">
      <c r="A7" s="58">
        <v>246.6</v>
      </c>
      <c r="B7" s="60" t="s">
        <v>25</v>
      </c>
      <c r="C7" s="38">
        <v>904</v>
      </c>
      <c r="D7" s="38">
        <v>1</v>
      </c>
      <c r="E7" s="41">
        <f t="shared" si="0"/>
        <v>904</v>
      </c>
      <c r="F7" s="43">
        <v>1.5</v>
      </c>
      <c r="G7" s="41">
        <f t="shared" si="1"/>
        <v>1356</v>
      </c>
      <c r="H7" s="44">
        <v>1377.75</v>
      </c>
      <c r="I7" s="24"/>
      <c r="J7" s="24">
        <f>G7-H7</f>
        <v>-21.75</v>
      </c>
      <c r="K7" s="66" t="s">
        <v>384</v>
      </c>
      <c r="M7" s="36"/>
      <c r="Q7" s="45"/>
      <c r="R7" s="46"/>
      <c r="S7" s="48"/>
      <c r="T7" s="48"/>
    </row>
    <row r="8" spans="1:20" ht="14.25" customHeight="1">
      <c r="A8" s="58" t="s">
        <v>28</v>
      </c>
      <c r="B8" s="60" t="s">
        <v>29</v>
      </c>
      <c r="C8" s="38">
        <v>301.3</v>
      </c>
      <c r="D8" s="38">
        <v>1</v>
      </c>
      <c r="E8" s="41">
        <f t="shared" si="0"/>
        <v>301.3</v>
      </c>
      <c r="F8" s="43">
        <v>0.25</v>
      </c>
      <c r="G8" s="41">
        <f t="shared" si="1"/>
        <v>75.325000000000003</v>
      </c>
      <c r="H8" s="44">
        <v>76.5</v>
      </c>
      <c r="I8" s="24"/>
      <c r="J8" s="24">
        <f>G8-H8</f>
        <v>-1.1749999999999972</v>
      </c>
      <c r="K8" s="66" t="s">
        <v>384</v>
      </c>
      <c r="M8" s="36"/>
      <c r="Q8" s="45"/>
      <c r="R8" s="46"/>
      <c r="S8" s="48"/>
      <c r="T8" s="48"/>
    </row>
    <row r="9" spans="1:20" ht="11.25" hidden="1" customHeight="1">
      <c r="A9" s="73" t="s">
        <v>32</v>
      </c>
      <c r="B9" s="64" t="s">
        <v>355</v>
      </c>
      <c r="C9" s="23"/>
      <c r="D9" s="23"/>
      <c r="E9" s="41"/>
      <c r="F9" s="18"/>
      <c r="G9" s="41">
        <f>+G10+G11</f>
        <v>1428439</v>
      </c>
      <c r="H9" s="12">
        <f>G9</f>
        <v>1428439</v>
      </c>
      <c r="I9" s="24"/>
      <c r="J9" s="24">
        <f>H9-G9</f>
        <v>0</v>
      </c>
      <c r="K9" s="65" t="s">
        <v>291</v>
      </c>
      <c r="L9" s="29"/>
      <c r="M9" s="36"/>
      <c r="N9" s="36"/>
      <c r="O9" s="36"/>
      <c r="Q9" s="45"/>
      <c r="R9" s="46"/>
      <c r="S9" s="50"/>
      <c r="T9" s="48"/>
    </row>
    <row r="10" spans="1:20" ht="40.5" customHeight="1">
      <c r="A10" s="73" t="s">
        <v>32</v>
      </c>
      <c r="B10" s="64" t="s">
        <v>31</v>
      </c>
      <c r="C10" s="23">
        <v>1808</v>
      </c>
      <c r="D10" s="23">
        <f>(2*1633864)/1808</f>
        <v>1807.3716814159293</v>
      </c>
      <c r="E10" s="41">
        <f t="shared" si="0"/>
        <v>3267728</v>
      </c>
      <c r="F10" s="43">
        <v>0.16700000000000001</v>
      </c>
      <c r="G10" s="41">
        <v>545711</v>
      </c>
      <c r="H10" s="38">
        <v>624927.81999999995</v>
      </c>
      <c r="I10" s="24"/>
      <c r="J10" s="24">
        <f>G10-H10</f>
        <v>-79216.819999999949</v>
      </c>
      <c r="K10" s="67" t="s">
        <v>356</v>
      </c>
      <c r="L10" s="29"/>
      <c r="M10" s="61"/>
      <c r="O10" s="27"/>
      <c r="Q10" s="45"/>
      <c r="R10" s="50"/>
      <c r="S10" s="48"/>
      <c r="T10" s="48"/>
    </row>
    <row r="11" spans="1:20" ht="99.75" customHeight="1">
      <c r="A11" s="73" t="s">
        <v>32</v>
      </c>
      <c r="B11" s="64" t="s">
        <v>33</v>
      </c>
      <c r="C11" s="38">
        <v>1808</v>
      </c>
      <c r="D11" s="38">
        <f>(1.5*3523863)/1808</f>
        <v>2923.5589048672568</v>
      </c>
      <c r="E11" s="41">
        <f t="shared" si="0"/>
        <v>5285794.5</v>
      </c>
      <c r="F11" s="43">
        <v>0.16700000000000001</v>
      </c>
      <c r="G11" s="41">
        <v>882728</v>
      </c>
      <c r="H11" s="25">
        <v>1015270.01</v>
      </c>
      <c r="I11" s="24"/>
      <c r="J11" s="24">
        <f>G11-H11</f>
        <v>-132542.01</v>
      </c>
      <c r="K11" s="68" t="s">
        <v>385</v>
      </c>
      <c r="L11" s="29"/>
      <c r="M11" s="61"/>
      <c r="O11" s="51"/>
      <c r="Q11" s="45"/>
      <c r="R11" s="48"/>
      <c r="S11" s="48"/>
      <c r="T11" s="48"/>
    </row>
    <row r="12" spans="1:20" ht="36" customHeight="1">
      <c r="A12" s="73" t="s">
        <v>32</v>
      </c>
      <c r="B12" s="64" t="s">
        <v>34</v>
      </c>
      <c r="C12" s="38">
        <v>1808</v>
      </c>
      <c r="D12" s="38">
        <f>1*(1712401/1808)</f>
        <v>947.12444690265488</v>
      </c>
      <c r="E12" s="41">
        <f t="shared" si="0"/>
        <v>1712401</v>
      </c>
      <c r="F12" s="43">
        <v>0.16700000000000001</v>
      </c>
      <c r="G12" s="41">
        <f t="shared" si="1"/>
        <v>285970.967</v>
      </c>
      <c r="H12" s="44">
        <v>318553.65000000002</v>
      </c>
      <c r="I12" s="24"/>
      <c r="J12" s="24">
        <f>G12-H12</f>
        <v>-32582.683000000019</v>
      </c>
      <c r="K12" s="66" t="s">
        <v>386</v>
      </c>
      <c r="L12" s="10"/>
      <c r="M12" s="61"/>
      <c r="O12" s="52"/>
      <c r="Q12" s="45"/>
      <c r="R12" s="46"/>
      <c r="S12" s="48"/>
      <c r="T12" s="48"/>
    </row>
    <row r="13" spans="1:20" ht="15">
      <c r="A13" s="58" t="s">
        <v>36</v>
      </c>
      <c r="B13" s="60" t="s">
        <v>37</v>
      </c>
      <c r="C13" s="38">
        <v>4</v>
      </c>
      <c r="D13" s="38">
        <v>1</v>
      </c>
      <c r="E13" s="41">
        <f t="shared" si="0"/>
        <v>4</v>
      </c>
      <c r="F13" s="43">
        <v>8.3500000000000005E-2</v>
      </c>
      <c r="G13" s="41">
        <f t="shared" si="1"/>
        <v>0.33400000000000002</v>
      </c>
      <c r="H13" s="44">
        <v>0.36</v>
      </c>
      <c r="I13" s="40"/>
      <c r="J13" s="40">
        <f>G13-H13</f>
        <v>-2.5999999999999968E-2</v>
      </c>
      <c r="K13" s="96" t="s">
        <v>387</v>
      </c>
      <c r="M13" s="36"/>
      <c r="Q13" s="45"/>
      <c r="R13" s="46"/>
      <c r="S13" s="48"/>
      <c r="T13" s="48"/>
    </row>
    <row r="14" spans="1:20" ht="15">
      <c r="A14" s="73" t="s">
        <v>38</v>
      </c>
      <c r="B14" s="64" t="s">
        <v>39</v>
      </c>
      <c r="C14" s="38">
        <v>1808</v>
      </c>
      <c r="D14" s="38">
        <f>((0.03*6870128)/1808)</f>
        <v>113.99548672566371</v>
      </c>
      <c r="E14" s="41">
        <f t="shared" si="0"/>
        <v>206103.84</v>
      </c>
      <c r="F14" s="43">
        <v>8.3500000000000005E-2</v>
      </c>
      <c r="G14" s="41">
        <v>17210</v>
      </c>
      <c r="H14" s="44">
        <v>20771.96</v>
      </c>
      <c r="I14" s="24"/>
      <c r="J14" s="24">
        <f>G14-H14</f>
        <v>-3561.9599999999991</v>
      </c>
      <c r="K14" s="66" t="s">
        <v>359</v>
      </c>
      <c r="L14" s="29"/>
      <c r="M14" s="36"/>
    </row>
    <row r="15" spans="1:20" ht="15">
      <c r="A15" s="58" t="s">
        <v>45</v>
      </c>
      <c r="B15" s="60" t="s">
        <v>46</v>
      </c>
      <c r="C15" s="38">
        <v>89</v>
      </c>
      <c r="D15" s="38">
        <v>1</v>
      </c>
      <c r="E15" s="41">
        <f t="shared" si="0"/>
        <v>89</v>
      </c>
      <c r="F15" s="43">
        <v>40</v>
      </c>
      <c r="G15" s="41">
        <f t="shared" si="1"/>
        <v>3560</v>
      </c>
      <c r="H15" s="44">
        <v>3600</v>
      </c>
      <c r="I15" s="55"/>
      <c r="J15" s="24">
        <v>-40</v>
      </c>
      <c r="K15" s="65" t="s">
        <v>388</v>
      </c>
      <c r="M15" s="36"/>
    </row>
    <row r="16" spans="1:20" ht="15">
      <c r="A16" s="58" t="s">
        <v>47</v>
      </c>
      <c r="B16" s="60" t="s">
        <v>48</v>
      </c>
      <c r="C16" s="38">
        <v>54</v>
      </c>
      <c r="D16" s="38">
        <v>4</v>
      </c>
      <c r="E16" s="41">
        <f>C16*D16</f>
        <v>216</v>
      </c>
      <c r="F16" s="43">
        <v>8.3000000000000001E-3</v>
      </c>
      <c r="G16" s="41">
        <f t="shared" si="1"/>
        <v>1.7927999999999999</v>
      </c>
      <c r="H16" s="44">
        <v>1.79</v>
      </c>
      <c r="I16" s="40"/>
      <c r="J16" s="56">
        <v>0</v>
      </c>
      <c r="K16" s="69" t="s">
        <v>291</v>
      </c>
      <c r="L16" s="29"/>
      <c r="M16" s="36"/>
    </row>
    <row r="17" spans="1:13" ht="28.5">
      <c r="A17" s="73" t="s">
        <v>53</v>
      </c>
      <c r="B17" s="64" t="s">
        <v>54</v>
      </c>
      <c r="C17" s="38">
        <v>1808</v>
      </c>
      <c r="D17" s="38">
        <f>(1712401*0.01)/1808</f>
        <v>9.4712444690265496</v>
      </c>
      <c r="E17" s="41">
        <f t="shared" si="0"/>
        <v>17124.010000000002</v>
      </c>
      <c r="F17" s="43">
        <v>3.3399999999999999E-2</v>
      </c>
      <c r="G17" s="41">
        <v>572</v>
      </c>
      <c r="H17" s="44">
        <v>562.15</v>
      </c>
      <c r="I17" s="54"/>
      <c r="J17" s="54">
        <f>G17-H17</f>
        <v>9.8500000000000227</v>
      </c>
      <c r="K17" s="67" t="s">
        <v>372</v>
      </c>
      <c r="M17" s="36"/>
    </row>
    <row r="18" spans="1:13" ht="15">
      <c r="A18" s="58" t="s">
        <v>59</v>
      </c>
      <c r="B18" s="60" t="s">
        <v>60</v>
      </c>
      <c r="C18" s="38">
        <v>1808</v>
      </c>
      <c r="D18" s="38">
        <v>1</v>
      </c>
      <c r="E18" s="41">
        <f t="shared" si="0"/>
        <v>1808</v>
      </c>
      <c r="F18" s="43">
        <v>40</v>
      </c>
      <c r="G18" s="41">
        <f t="shared" si="1"/>
        <v>72320</v>
      </c>
      <c r="H18" s="44">
        <v>73480</v>
      </c>
      <c r="I18" s="53"/>
      <c r="J18" s="53">
        <f>G18-H18</f>
        <v>-1160</v>
      </c>
      <c r="K18" s="66" t="s">
        <v>389</v>
      </c>
      <c r="L18" s="29"/>
      <c r="M18" s="36"/>
    </row>
    <row r="19" spans="1:13" ht="38.25">
      <c r="A19" s="73" t="s">
        <v>66</v>
      </c>
      <c r="B19" s="64" t="s">
        <v>67</v>
      </c>
      <c r="C19" s="22">
        <v>89</v>
      </c>
      <c r="D19" s="23">
        <f>(3691)/89</f>
        <v>41.471910112359552</v>
      </c>
      <c r="E19" s="41">
        <f t="shared" si="0"/>
        <v>3691</v>
      </c>
      <c r="F19" s="43">
        <v>4</v>
      </c>
      <c r="G19" s="41">
        <f t="shared" si="1"/>
        <v>14764</v>
      </c>
      <c r="H19" s="12">
        <v>10308</v>
      </c>
      <c r="I19" s="24"/>
      <c r="J19" s="24">
        <f>G19-H19</f>
        <v>4456</v>
      </c>
      <c r="K19" s="67" t="s">
        <v>390</v>
      </c>
      <c r="L19" s="29"/>
      <c r="M19" s="36"/>
    </row>
    <row r="20" spans="1:13" ht="25.5">
      <c r="A20" s="73" t="s">
        <v>68</v>
      </c>
      <c r="B20" s="64" t="s">
        <v>69</v>
      </c>
      <c r="C20" s="38">
        <v>79</v>
      </c>
      <c r="D20" s="38">
        <f>2*(41164/79)</f>
        <v>1042.126582278481</v>
      </c>
      <c r="E20" s="41">
        <f t="shared" si="0"/>
        <v>82328</v>
      </c>
      <c r="F20" s="43">
        <v>2</v>
      </c>
      <c r="G20" s="41">
        <f t="shared" si="1"/>
        <v>164656</v>
      </c>
      <c r="H20" s="12">
        <v>178896</v>
      </c>
      <c r="I20" s="24"/>
      <c r="J20" s="24">
        <f>G20-H20</f>
        <v>-14240</v>
      </c>
      <c r="K20" s="66" t="s">
        <v>391</v>
      </c>
      <c r="L20" s="29"/>
      <c r="M20" s="36"/>
    </row>
    <row r="21" spans="1:13" ht="51">
      <c r="A21" s="58" t="s">
        <v>68</v>
      </c>
      <c r="B21" s="60" t="s">
        <v>70</v>
      </c>
      <c r="C21" s="23">
        <v>5</v>
      </c>
      <c r="D21" s="23">
        <v>1</v>
      </c>
      <c r="E21" s="41">
        <f t="shared" si="0"/>
        <v>5</v>
      </c>
      <c r="F21" s="43">
        <v>8</v>
      </c>
      <c r="G21" s="41">
        <f t="shared" si="1"/>
        <v>40</v>
      </c>
      <c r="H21" s="12">
        <v>16</v>
      </c>
      <c r="I21" s="24">
        <v>-8</v>
      </c>
      <c r="J21" s="24">
        <v>32</v>
      </c>
      <c r="K21" s="65" t="s">
        <v>392</v>
      </c>
      <c r="M21" s="36"/>
    </row>
    <row r="22" spans="1:13" ht="15">
      <c r="A22" s="58" t="s">
        <v>80</v>
      </c>
      <c r="B22" s="60" t="s">
        <v>81</v>
      </c>
      <c r="C22" s="38">
        <v>89</v>
      </c>
      <c r="D22" s="38">
        <v>1</v>
      </c>
      <c r="E22" s="41">
        <f t="shared" si="0"/>
        <v>89</v>
      </c>
      <c r="F22" s="43">
        <v>8</v>
      </c>
      <c r="G22" s="41">
        <f t="shared" si="1"/>
        <v>712</v>
      </c>
      <c r="H22" s="44">
        <v>720</v>
      </c>
      <c r="I22" s="24"/>
      <c r="J22" s="24">
        <v>-8</v>
      </c>
      <c r="K22" s="65" t="s">
        <v>393</v>
      </c>
      <c r="L22" s="29"/>
      <c r="M22" s="36"/>
    </row>
    <row r="23" spans="1:13" ht="25.5">
      <c r="A23" s="73" t="s">
        <v>80</v>
      </c>
      <c r="B23" s="64" t="s">
        <v>82</v>
      </c>
      <c r="C23" s="24">
        <v>89</v>
      </c>
      <c r="D23" s="23">
        <f>(41164/89)</f>
        <v>462.5168539325843</v>
      </c>
      <c r="E23" s="41">
        <f t="shared" si="0"/>
        <v>41164</v>
      </c>
      <c r="F23" s="43">
        <v>2</v>
      </c>
      <c r="G23" s="41">
        <f t="shared" si="1"/>
        <v>82328</v>
      </c>
      <c r="H23" s="12">
        <v>89448</v>
      </c>
      <c r="I23" s="24"/>
      <c r="J23" s="24">
        <f>G23-H23</f>
        <v>-7120</v>
      </c>
      <c r="K23" s="66" t="s">
        <v>394</v>
      </c>
      <c r="L23" s="29"/>
      <c r="M23" s="36"/>
    </row>
    <row r="24" spans="1:13" ht="25.5">
      <c r="A24" s="73" t="s">
        <v>86</v>
      </c>
      <c r="B24" s="64" t="s">
        <v>197</v>
      </c>
      <c r="C24" s="24">
        <v>89</v>
      </c>
      <c r="D24" s="23">
        <f>(41164*0.05)/89</f>
        <v>23.125842696629217</v>
      </c>
      <c r="E24" s="41">
        <f t="shared" si="0"/>
        <v>2058.2000000000003</v>
      </c>
      <c r="F24" s="43">
        <v>2</v>
      </c>
      <c r="G24" s="41">
        <f t="shared" si="1"/>
        <v>4116.4000000000005</v>
      </c>
      <c r="H24" s="12">
        <v>4472.3999999999996</v>
      </c>
      <c r="I24" s="24"/>
      <c r="J24" s="24">
        <f>G24-H24</f>
        <v>-355.99999999999909</v>
      </c>
      <c r="K24" s="66" t="s">
        <v>395</v>
      </c>
      <c r="M24" s="36"/>
    </row>
    <row r="25" spans="1:13" ht="15">
      <c r="A25" s="73" t="s">
        <v>95</v>
      </c>
      <c r="B25" s="64" t="s">
        <v>96</v>
      </c>
      <c r="C25" s="22">
        <v>89</v>
      </c>
      <c r="D25" s="23">
        <f>10000/89</f>
        <v>112.35955056179775</v>
      </c>
      <c r="E25" s="41">
        <f t="shared" si="0"/>
        <v>10000</v>
      </c>
      <c r="F25" s="43">
        <v>1</v>
      </c>
      <c r="G25" s="41">
        <f t="shared" si="1"/>
        <v>10000</v>
      </c>
      <c r="H25" s="12">
        <f>G25</f>
        <v>10000</v>
      </c>
      <c r="I25" s="24"/>
      <c r="J25" s="24">
        <f t="shared" ref="J25" si="2">H25-G25</f>
        <v>0</v>
      </c>
      <c r="K25" s="65" t="s">
        <v>291</v>
      </c>
      <c r="M25" s="36"/>
    </row>
    <row r="26" spans="1:13" ht="15">
      <c r="A26" s="58" t="s">
        <v>99</v>
      </c>
      <c r="B26" s="60" t="s">
        <v>100</v>
      </c>
      <c r="C26" s="22">
        <v>89</v>
      </c>
      <c r="D26" s="23">
        <v>1</v>
      </c>
      <c r="E26" s="41">
        <f t="shared" si="0"/>
        <v>89</v>
      </c>
      <c r="F26" s="43">
        <v>40</v>
      </c>
      <c r="G26" s="41">
        <f t="shared" si="1"/>
        <v>3560</v>
      </c>
      <c r="H26" s="12">
        <v>3600</v>
      </c>
      <c r="I26" s="24"/>
      <c r="J26" s="24">
        <v>-40</v>
      </c>
      <c r="K26" s="65" t="s">
        <v>388</v>
      </c>
      <c r="M26" s="36"/>
    </row>
    <row r="27" spans="1:13" ht="51">
      <c r="A27" s="58" t="s">
        <v>111</v>
      </c>
      <c r="B27" s="60" t="s">
        <v>112</v>
      </c>
      <c r="C27" s="38">
        <v>20</v>
      </c>
      <c r="D27" s="38">
        <v>1</v>
      </c>
      <c r="E27" s="41">
        <f t="shared" si="0"/>
        <v>20</v>
      </c>
      <c r="F27" s="43">
        <v>160</v>
      </c>
      <c r="G27" s="41">
        <f t="shared" si="1"/>
        <v>3200</v>
      </c>
      <c r="H27" s="44">
        <v>11200</v>
      </c>
      <c r="I27" s="24"/>
      <c r="J27" s="57">
        <v>-8000</v>
      </c>
      <c r="K27" s="70" t="s">
        <v>396</v>
      </c>
      <c r="L27" s="29"/>
      <c r="M27" s="36"/>
    </row>
    <row r="28" spans="1:13" ht="15">
      <c r="A28" s="73" t="s">
        <v>115</v>
      </c>
      <c r="B28" s="64" t="s">
        <v>116</v>
      </c>
      <c r="C28" s="38">
        <v>89</v>
      </c>
      <c r="D28" s="38">
        <f>(1808*4)/89</f>
        <v>81.258426966292134</v>
      </c>
      <c r="E28" s="41">
        <f t="shared" si="0"/>
        <v>7232</v>
      </c>
      <c r="F28" s="43">
        <v>2</v>
      </c>
      <c r="G28" s="41">
        <f t="shared" si="1"/>
        <v>14464</v>
      </c>
      <c r="H28" s="44">
        <v>14696</v>
      </c>
      <c r="I28" s="24"/>
      <c r="J28" s="24">
        <f>G28-H28</f>
        <v>-232</v>
      </c>
      <c r="K28" s="71" t="s">
        <v>384</v>
      </c>
      <c r="M28" s="36"/>
    </row>
    <row r="29" spans="1:13" ht="15">
      <c r="A29" s="58" t="s">
        <v>127</v>
      </c>
      <c r="B29" s="60" t="s">
        <v>128</v>
      </c>
      <c r="C29" s="38">
        <v>89</v>
      </c>
      <c r="D29" s="38">
        <f>(10/89)</f>
        <v>0.11235955056179775</v>
      </c>
      <c r="E29" s="41">
        <f t="shared" si="0"/>
        <v>10</v>
      </c>
      <c r="F29" s="43">
        <v>8</v>
      </c>
      <c r="G29" s="41">
        <f t="shared" si="1"/>
        <v>80</v>
      </c>
      <c r="H29" s="44">
        <f>G29</f>
        <v>80</v>
      </c>
      <c r="I29" s="24"/>
      <c r="J29" s="24">
        <f>H29-G29</f>
        <v>0</v>
      </c>
      <c r="K29" s="65" t="s">
        <v>291</v>
      </c>
      <c r="M29" s="36"/>
    </row>
    <row r="30" spans="1:13" ht="38.25">
      <c r="A30" s="58" t="s">
        <v>130</v>
      </c>
      <c r="B30" s="60" t="s">
        <v>131</v>
      </c>
      <c r="C30" s="38">
        <f>89*0.33</f>
        <v>29.37</v>
      </c>
      <c r="D30" s="38">
        <v>1</v>
      </c>
      <c r="E30" s="41">
        <f t="shared" si="0"/>
        <v>29.37</v>
      </c>
      <c r="F30" s="43">
        <v>30</v>
      </c>
      <c r="G30" s="41">
        <f t="shared" si="1"/>
        <v>881.1</v>
      </c>
      <c r="H30" s="44">
        <v>900</v>
      </c>
      <c r="I30" s="24">
        <v>-10</v>
      </c>
      <c r="J30" s="24">
        <v>-8.9</v>
      </c>
      <c r="K30" s="65" t="s">
        <v>397</v>
      </c>
      <c r="M30" s="36"/>
    </row>
    <row r="31" spans="1:13" ht="15">
      <c r="A31" s="58" t="s">
        <v>135</v>
      </c>
      <c r="B31" s="60" t="s">
        <v>136</v>
      </c>
      <c r="C31" s="38">
        <v>89</v>
      </c>
      <c r="D31" s="38">
        <f>(1808/89)*0.5*0.25</f>
        <v>2.5393258426966292</v>
      </c>
      <c r="E31" s="41">
        <f t="shared" si="0"/>
        <v>226</v>
      </c>
      <c r="F31" s="43">
        <v>2</v>
      </c>
      <c r="G31" s="41">
        <f t="shared" si="1"/>
        <v>452</v>
      </c>
      <c r="H31" s="44">
        <v>459.25</v>
      </c>
      <c r="I31" s="24"/>
      <c r="J31" s="24">
        <f>G31-H31</f>
        <v>-7.25</v>
      </c>
      <c r="K31" s="66" t="s">
        <v>384</v>
      </c>
      <c r="M31" s="36"/>
    </row>
    <row r="32" spans="1:13" ht="15.75" thickBot="1">
      <c r="A32" s="74" t="s">
        <v>137</v>
      </c>
      <c r="B32" s="60" t="s">
        <v>138</v>
      </c>
      <c r="C32" s="38">
        <v>1</v>
      </c>
      <c r="D32" s="38">
        <v>1</v>
      </c>
      <c r="E32" s="41">
        <f t="shared" si="0"/>
        <v>1</v>
      </c>
      <c r="F32" s="43">
        <v>40</v>
      </c>
      <c r="G32" s="41">
        <f t="shared" si="1"/>
        <v>40</v>
      </c>
      <c r="H32" s="44">
        <v>40</v>
      </c>
      <c r="I32" s="24"/>
      <c r="J32" s="24">
        <f>G32-H32</f>
        <v>0</v>
      </c>
      <c r="K32" s="72" t="s">
        <v>291</v>
      </c>
    </row>
    <row r="33" spans="1:13" ht="15.75" customHeight="1" thickBot="1">
      <c r="A33" s="550" t="s">
        <v>147</v>
      </c>
      <c r="B33" s="637"/>
      <c r="C33" s="11">
        <f>C5+1808</f>
        <v>1897</v>
      </c>
      <c r="D33" s="11">
        <f>E33/C33</f>
        <v>5609.0718081180803</v>
      </c>
      <c r="E33" s="11">
        <f>SUM(E5:E32)</f>
        <v>10640409.219999999</v>
      </c>
      <c r="F33" s="33">
        <f>G33/E33</f>
        <v>0.19948369042144792</v>
      </c>
      <c r="G33" s="11">
        <f>SUM(G5:G8,G10:G32)</f>
        <v>2122588.0987999998</v>
      </c>
      <c r="H33" s="11">
        <f>SUM(H5:H8,H10:H32)</f>
        <v>2397410.44</v>
      </c>
      <c r="I33" s="33">
        <f>SUM(I5:I32)</f>
        <v>-18</v>
      </c>
      <c r="J33" s="11">
        <f>SUM(J5:J32)</f>
        <v>-274804.34399999998</v>
      </c>
      <c r="K33" s="75"/>
    </row>
    <row r="34" spans="1:13" ht="23.65" customHeight="1" thickBot="1">
      <c r="A34" s="638" t="s">
        <v>148</v>
      </c>
      <c r="B34" s="639"/>
      <c r="C34" s="639"/>
      <c r="D34" s="639"/>
      <c r="E34" s="639"/>
      <c r="F34" s="639"/>
      <c r="G34" s="639"/>
      <c r="H34" s="639"/>
      <c r="I34" s="639"/>
      <c r="J34" s="639"/>
      <c r="K34" s="640"/>
    </row>
    <row r="35" spans="1:13" ht="42" customHeight="1">
      <c r="A35" s="73" t="s">
        <v>32</v>
      </c>
      <c r="B35" s="60" t="s">
        <v>31</v>
      </c>
      <c r="C35" s="38">
        <v>1633864</v>
      </c>
      <c r="D35" s="38">
        <v>2</v>
      </c>
      <c r="E35" s="41">
        <f>C35*D35</f>
        <v>3267728</v>
      </c>
      <c r="F35" s="38">
        <v>0.16700000000000001</v>
      </c>
      <c r="G35" s="41">
        <f>E35*F35</f>
        <v>545710.576</v>
      </c>
      <c r="H35" s="25">
        <v>183802.3</v>
      </c>
      <c r="I35" s="97">
        <f>(G35-H35)-J35</f>
        <v>381997.40600000002</v>
      </c>
      <c r="J35" s="24">
        <v>-20089.13</v>
      </c>
      <c r="K35" s="68" t="s">
        <v>398</v>
      </c>
      <c r="L35" s="35"/>
      <c r="M35" s="29"/>
    </row>
    <row r="36" spans="1:13" ht="87" customHeight="1">
      <c r="A36" s="73" t="s">
        <v>32</v>
      </c>
      <c r="B36" s="60" t="s">
        <v>149</v>
      </c>
      <c r="C36" s="37">
        <v>3523863</v>
      </c>
      <c r="D36" s="38">
        <v>1.5</v>
      </c>
      <c r="E36" s="41">
        <f>C36*D36</f>
        <v>5285794.5</v>
      </c>
      <c r="F36" s="38">
        <v>0.16700000000000001</v>
      </c>
      <c r="G36" s="41">
        <f>E36*F36</f>
        <v>882727.68150000006</v>
      </c>
      <c r="H36" s="44">
        <v>298608.83</v>
      </c>
      <c r="I36" s="97">
        <f t="shared" ref="I36:I37" si="3">(G36-H36)-J36</f>
        <v>617909.38150000013</v>
      </c>
      <c r="J36" s="24">
        <v>-33790.53</v>
      </c>
      <c r="K36" s="72" t="s">
        <v>399</v>
      </c>
      <c r="L36" s="35"/>
      <c r="M36" s="61"/>
    </row>
    <row r="37" spans="1:13" ht="25.5">
      <c r="A37" s="73" t="s">
        <v>32</v>
      </c>
      <c r="B37" s="60" t="s">
        <v>34</v>
      </c>
      <c r="C37" s="37">
        <v>1712401</v>
      </c>
      <c r="D37" s="38">
        <v>1</v>
      </c>
      <c r="E37" s="41">
        <f>C37*D37</f>
        <v>1712401</v>
      </c>
      <c r="F37" s="38">
        <v>0.16700000000000001</v>
      </c>
      <c r="G37" s="41">
        <f>E37*F37</f>
        <v>285970.967</v>
      </c>
      <c r="H37" s="44">
        <v>93692.25</v>
      </c>
      <c r="I37" s="97">
        <f t="shared" si="3"/>
        <v>200179.677</v>
      </c>
      <c r="J37" s="24">
        <v>-7900.96</v>
      </c>
      <c r="K37" s="72" t="s">
        <v>400</v>
      </c>
      <c r="L37" s="35"/>
      <c r="M37" s="29"/>
    </row>
    <row r="38" spans="1:13" ht="28.5">
      <c r="A38" s="73" t="s">
        <v>53</v>
      </c>
      <c r="B38" s="60" t="s">
        <v>54</v>
      </c>
      <c r="C38" s="37">
        <f>1712401*0.01</f>
        <v>17124.010000000002</v>
      </c>
      <c r="D38" s="38">
        <v>1</v>
      </c>
      <c r="E38" s="41">
        <f>C38*D38</f>
        <v>17124.010000000002</v>
      </c>
      <c r="F38" s="38">
        <v>3.3399999999999999E-2</v>
      </c>
      <c r="G38" s="41">
        <v>572</v>
      </c>
      <c r="H38" s="44">
        <v>562.15</v>
      </c>
      <c r="I38" s="55"/>
      <c r="J38" s="24">
        <v>10</v>
      </c>
      <c r="K38" s="67" t="s">
        <v>401</v>
      </c>
    </row>
    <row r="39" spans="1:13" ht="40.5" customHeight="1" thickBot="1">
      <c r="A39" s="58" t="s">
        <v>53</v>
      </c>
      <c r="B39" s="60" t="s">
        <v>154</v>
      </c>
      <c r="C39" s="37">
        <f>(6870128*0.01)+(1633864*0.01)+(3523863*0.01)</f>
        <v>120278.54999999999</v>
      </c>
      <c r="D39" s="38">
        <v>2</v>
      </c>
      <c r="E39" s="41">
        <f>C39*D39</f>
        <v>240557.09999999998</v>
      </c>
      <c r="F39" s="38">
        <v>5.0099999999999999E-2</v>
      </c>
      <c r="G39" s="42">
        <f>E39*F39</f>
        <v>12051.910709999998</v>
      </c>
      <c r="H39" s="63">
        <v>13512.79</v>
      </c>
      <c r="I39" s="39"/>
      <c r="J39" s="24">
        <f>G39-H39</f>
        <v>-1460.8792900000026</v>
      </c>
      <c r="K39" s="91" t="s">
        <v>370</v>
      </c>
      <c r="L39" s="29"/>
      <c r="M39" s="29"/>
    </row>
    <row r="40" spans="1:13" ht="15.75" thickBot="1">
      <c r="A40" s="550" t="s">
        <v>160</v>
      </c>
      <c r="B40" s="635"/>
      <c r="C40" s="15">
        <f>C35+C36+C37</f>
        <v>6870128</v>
      </c>
      <c r="D40" s="33">
        <f>E40/C40</f>
        <v>1.5317916361965889</v>
      </c>
      <c r="E40" s="11">
        <f>SUM(E35:E39)</f>
        <v>10523604.609999999</v>
      </c>
      <c r="F40" s="33">
        <f>G40/E40</f>
        <v>0.16411041646023986</v>
      </c>
      <c r="G40" s="11">
        <f>SUM(G35:G39)</f>
        <v>1727033.13521</v>
      </c>
      <c r="H40" s="11">
        <f>SUM(H35:H39)</f>
        <v>590178.32000000007</v>
      </c>
      <c r="I40" s="33">
        <f>SUM(I35:I39)</f>
        <v>1200086.4645</v>
      </c>
      <c r="J40" s="11">
        <f>SUM(J35:J39)</f>
        <v>-63231.499290000007</v>
      </c>
      <c r="K40" s="75"/>
    </row>
    <row r="41" spans="1:13" ht="15.75" customHeight="1" thickBot="1">
      <c r="A41" s="575" t="s">
        <v>402</v>
      </c>
      <c r="B41" s="576"/>
      <c r="C41" s="576"/>
      <c r="D41" s="576"/>
      <c r="E41" s="576"/>
      <c r="F41" s="576"/>
      <c r="G41" s="576"/>
      <c r="H41" s="576"/>
      <c r="I41" s="576"/>
      <c r="J41" s="576"/>
      <c r="K41" s="577"/>
    </row>
    <row r="42" spans="1:13" ht="38.25">
      <c r="A42" s="58" t="s">
        <v>66</v>
      </c>
      <c r="B42" s="60" t="s">
        <v>164</v>
      </c>
      <c r="C42" s="23">
        <v>3691</v>
      </c>
      <c r="D42" s="23">
        <v>1</v>
      </c>
      <c r="E42" s="41">
        <f>C42*D42</f>
        <v>3691</v>
      </c>
      <c r="F42" s="18">
        <v>2</v>
      </c>
      <c r="G42" s="41">
        <f>E42*F42</f>
        <v>7382</v>
      </c>
      <c r="H42" s="12">
        <v>5154</v>
      </c>
      <c r="I42" s="24"/>
      <c r="J42" s="24">
        <f>G42-H42</f>
        <v>2228</v>
      </c>
      <c r="K42" s="76" t="s">
        <v>390</v>
      </c>
      <c r="L42" s="29"/>
    </row>
    <row r="43" spans="1:13" ht="15">
      <c r="A43" s="73" t="s">
        <v>68</v>
      </c>
      <c r="B43" s="64" t="s">
        <v>69</v>
      </c>
      <c r="C43" s="23">
        <f>(79/89)*41164</f>
        <v>36538.831460674155</v>
      </c>
      <c r="D43" s="23">
        <v>2</v>
      </c>
      <c r="E43" s="41">
        <f>C43*D43</f>
        <v>73077.66292134831</v>
      </c>
      <c r="F43" s="18">
        <v>2</v>
      </c>
      <c r="G43" s="41">
        <f>E43*F43</f>
        <v>146155.32584269662</v>
      </c>
      <c r="H43" s="12">
        <v>149080</v>
      </c>
      <c r="I43" s="24"/>
      <c r="J43" s="24">
        <f>G43-H43</f>
        <v>-2924.6741573033796</v>
      </c>
      <c r="K43" s="66" t="s">
        <v>373</v>
      </c>
    </row>
    <row r="44" spans="1:13" ht="28.5">
      <c r="A44" s="58" t="s">
        <v>78</v>
      </c>
      <c r="B44" s="60" t="s">
        <v>328</v>
      </c>
      <c r="C44" s="23">
        <f>41164*0.33</f>
        <v>13584.12</v>
      </c>
      <c r="D44" s="23">
        <v>1</v>
      </c>
      <c r="E44" s="41">
        <f>C44*D44</f>
        <v>13584.12</v>
      </c>
      <c r="F44" s="18">
        <v>1</v>
      </c>
      <c r="G44" s="41">
        <f>E44*F44</f>
        <v>13584.12</v>
      </c>
      <c r="H44" s="12">
        <v>22362</v>
      </c>
      <c r="I44" s="24"/>
      <c r="J44" s="24">
        <f>G44-H44</f>
        <v>-8777.8799999999992</v>
      </c>
      <c r="K44" s="66" t="s">
        <v>403</v>
      </c>
    </row>
    <row r="45" spans="1:13" ht="41.25" customHeight="1" thickBot="1">
      <c r="A45" s="77" t="s">
        <v>169</v>
      </c>
      <c r="B45" s="64" t="s">
        <v>170</v>
      </c>
      <c r="C45" s="23">
        <f>(4/10)*973</f>
        <v>389.20000000000005</v>
      </c>
      <c r="D45" s="23">
        <v>1</v>
      </c>
      <c r="E45" s="41">
        <f>C45*D45</f>
        <v>389.20000000000005</v>
      </c>
      <c r="F45" s="18">
        <v>1</v>
      </c>
      <c r="G45" s="41">
        <f>E45*F45</f>
        <v>389.20000000000005</v>
      </c>
      <c r="H45" s="12">
        <v>859</v>
      </c>
      <c r="I45" s="24"/>
      <c r="J45" s="24">
        <f>G45-H45</f>
        <v>-469.79999999999995</v>
      </c>
      <c r="K45" s="78" t="s">
        <v>404</v>
      </c>
      <c r="L45" s="29"/>
    </row>
    <row r="46" spans="1:13" ht="34.5" customHeight="1" thickBot="1">
      <c r="A46" s="550" t="s">
        <v>405</v>
      </c>
      <c r="B46" s="637"/>
      <c r="C46" s="11">
        <v>41164</v>
      </c>
      <c r="D46" s="33">
        <f>+E46/C46</f>
        <v>2.2044014896839057</v>
      </c>
      <c r="E46" s="11">
        <f>SUM(E42:E45)</f>
        <v>90741.982921348303</v>
      </c>
      <c r="F46" s="33">
        <f>+G46/E46</f>
        <v>1.8460104182194088</v>
      </c>
      <c r="G46" s="11">
        <f>SUM(G42:G45)</f>
        <v>167510.64584269663</v>
      </c>
      <c r="H46" s="11">
        <f>SUM(H42:H45)</f>
        <v>177455</v>
      </c>
      <c r="I46" s="33">
        <f>SUM(I42:I45)</f>
        <v>0</v>
      </c>
      <c r="J46" s="11">
        <f>SUM(J42:J45)</f>
        <v>-9944.3541573033781</v>
      </c>
      <c r="K46" s="79"/>
      <c r="M46" s="61"/>
    </row>
    <row r="47" spans="1:13" s="10" customFormat="1" ht="15.75" thickBot="1">
      <c r="A47" s="550" t="s">
        <v>330</v>
      </c>
      <c r="B47" s="641"/>
      <c r="C47" s="13">
        <f>SUM(C33,C40,C46)</f>
        <v>6913189</v>
      </c>
      <c r="D47" s="33">
        <f>E47/C47</f>
        <v>3.0745225991827136</v>
      </c>
      <c r="E47" s="13">
        <f>SUM(E33,E40,E46)</f>
        <v>21254755.812921345</v>
      </c>
      <c r="F47" s="34">
        <f>+G47/E47</f>
        <v>0.188999201647406</v>
      </c>
      <c r="G47" s="13">
        <f>SUM(G33+G40+G46)</f>
        <v>4017131.8798526963</v>
      </c>
      <c r="H47" s="14">
        <v>3165043</v>
      </c>
      <c r="I47" s="13">
        <f>SUM(I33,I40,I46)</f>
        <v>1200068.4645</v>
      </c>
      <c r="J47" s="94">
        <f>(G47-H47-I47)</f>
        <v>-347979.58464730368</v>
      </c>
      <c r="K47" s="80"/>
    </row>
    <row r="48" spans="1:13" s="10" customFormat="1" ht="15.75" customHeight="1">
      <c r="A48" s="541" t="s">
        <v>183</v>
      </c>
      <c r="B48" s="551"/>
      <c r="C48" s="551"/>
      <c r="D48" s="551"/>
      <c r="E48" s="551"/>
      <c r="F48" s="551"/>
      <c r="G48" s="551"/>
      <c r="H48" s="551"/>
      <c r="I48" s="551"/>
      <c r="J48" s="551"/>
      <c r="K48" s="551"/>
    </row>
    <row r="49" spans="1:13" ht="15" customHeight="1">
      <c r="A49" s="644" t="s">
        <v>15</v>
      </c>
      <c r="B49" s="646"/>
      <c r="C49" s="646"/>
      <c r="D49" s="646"/>
      <c r="E49" s="646"/>
      <c r="F49" s="646"/>
      <c r="G49" s="646"/>
      <c r="H49" s="646"/>
      <c r="I49" s="646"/>
      <c r="J49" s="646"/>
      <c r="K49" s="646"/>
    </row>
    <row r="50" spans="1:13" ht="15">
      <c r="A50" s="77" t="s">
        <v>53</v>
      </c>
      <c r="B50" s="64" t="s">
        <v>154</v>
      </c>
      <c r="C50" s="23">
        <v>10000</v>
      </c>
      <c r="D50" s="23">
        <v>2</v>
      </c>
      <c r="E50" s="23">
        <f>C50*D50</f>
        <v>20000</v>
      </c>
      <c r="F50" s="19">
        <v>1.67E-2</v>
      </c>
      <c r="G50" s="41">
        <f>E50*F50</f>
        <v>334</v>
      </c>
      <c r="H50" s="25">
        <v>320</v>
      </c>
      <c r="I50" s="24"/>
      <c r="J50" s="24">
        <f>G50-H50</f>
        <v>14</v>
      </c>
      <c r="K50" s="65" t="s">
        <v>406</v>
      </c>
    </row>
    <row r="51" spans="1:13" s="10" customFormat="1" ht="15">
      <c r="A51" s="77" t="s">
        <v>189</v>
      </c>
      <c r="B51" s="64" t="s">
        <v>190</v>
      </c>
      <c r="C51" s="23">
        <v>89</v>
      </c>
      <c r="D51" s="23">
        <v>1</v>
      </c>
      <c r="E51" s="23">
        <f>C51*D51</f>
        <v>89</v>
      </c>
      <c r="F51" s="19">
        <v>50</v>
      </c>
      <c r="G51" s="41">
        <f>E51*F51</f>
        <v>4450</v>
      </c>
      <c r="H51" s="25">
        <f>4500</f>
        <v>4500</v>
      </c>
      <c r="I51" s="24"/>
      <c r="J51" s="24">
        <v>-50</v>
      </c>
      <c r="K51" s="65" t="s">
        <v>407</v>
      </c>
    </row>
    <row r="52" spans="1:13" s="10" customFormat="1" ht="33" customHeight="1">
      <c r="A52" s="77" t="s">
        <v>191</v>
      </c>
      <c r="B52" s="64" t="s">
        <v>166</v>
      </c>
      <c r="C52" s="23">
        <f>41164*0.33</f>
        <v>13584.12</v>
      </c>
      <c r="D52" s="23">
        <v>1</v>
      </c>
      <c r="E52" s="23">
        <f t="shared" ref="E52:E62" si="4">C52*D52</f>
        <v>13584.12</v>
      </c>
      <c r="F52" s="19">
        <v>1</v>
      </c>
      <c r="G52" s="41">
        <f t="shared" ref="G52:G62" si="5">E52*F52</f>
        <v>13584.12</v>
      </c>
      <c r="H52" s="25">
        <v>22362</v>
      </c>
      <c r="I52" s="57"/>
      <c r="J52" s="24">
        <f>G52-H52</f>
        <v>-8777.8799999999992</v>
      </c>
      <c r="K52" s="82" t="s">
        <v>408</v>
      </c>
    </row>
    <row r="53" spans="1:13" s="10" customFormat="1" ht="15">
      <c r="A53" s="81" t="s">
        <v>169</v>
      </c>
      <c r="B53" s="60" t="s">
        <v>170</v>
      </c>
      <c r="C53" s="23">
        <f>(4/10)*973</f>
        <v>389.20000000000005</v>
      </c>
      <c r="D53" s="23">
        <v>1</v>
      </c>
      <c r="E53" s="41">
        <f t="shared" si="4"/>
        <v>389.20000000000005</v>
      </c>
      <c r="F53" s="18">
        <v>1</v>
      </c>
      <c r="G53" s="41">
        <f t="shared" si="5"/>
        <v>389.20000000000005</v>
      </c>
      <c r="H53" s="25">
        <v>859</v>
      </c>
      <c r="I53" s="57"/>
      <c r="J53" s="24">
        <f>G53-H53</f>
        <v>-469.79999999999995</v>
      </c>
      <c r="K53" s="83" t="s">
        <v>404</v>
      </c>
      <c r="L53" s="29"/>
    </row>
    <row r="54" spans="1:13" s="10" customFormat="1" ht="15">
      <c r="A54" s="73" t="s">
        <v>192</v>
      </c>
      <c r="B54" s="64" t="s">
        <v>193</v>
      </c>
      <c r="C54" s="23">
        <v>89</v>
      </c>
      <c r="D54" s="22">
        <v>1</v>
      </c>
      <c r="E54" s="41">
        <f t="shared" si="4"/>
        <v>89</v>
      </c>
      <c r="F54" s="18">
        <v>2</v>
      </c>
      <c r="G54" s="41">
        <f t="shared" si="5"/>
        <v>178</v>
      </c>
      <c r="H54" s="25">
        <v>180</v>
      </c>
      <c r="I54" s="24"/>
      <c r="J54" s="24">
        <v>-2</v>
      </c>
      <c r="K54" s="65" t="s">
        <v>388</v>
      </c>
    </row>
    <row r="55" spans="1:13" s="10" customFormat="1" ht="38.25">
      <c r="A55" s="73" t="s">
        <v>194</v>
      </c>
      <c r="B55" s="64" t="s">
        <v>195</v>
      </c>
      <c r="C55" s="23">
        <v>89</v>
      </c>
      <c r="D55" s="23">
        <f>(41164/89)*0.05</f>
        <v>23.125842696629217</v>
      </c>
      <c r="E55" s="23">
        <f t="shared" si="4"/>
        <v>2058.2000000000003</v>
      </c>
      <c r="F55" s="18">
        <v>0.5</v>
      </c>
      <c r="G55" s="41">
        <f t="shared" si="5"/>
        <v>1029.1000000000001</v>
      </c>
      <c r="H55" s="25">
        <v>2236.1999999999998</v>
      </c>
      <c r="I55" s="24">
        <v>-1029.0999999999999</v>
      </c>
      <c r="J55" s="24">
        <v>-178</v>
      </c>
      <c r="K55" s="84" t="s">
        <v>409</v>
      </c>
    </row>
    <row r="56" spans="1:13" s="10" customFormat="1" ht="25.5">
      <c r="A56" s="73" t="s">
        <v>196</v>
      </c>
      <c r="B56" s="64" t="s">
        <v>310</v>
      </c>
      <c r="C56" s="23">
        <v>89</v>
      </c>
      <c r="D56" s="23">
        <f>(41164/89)*0.05</f>
        <v>23.125842696629217</v>
      </c>
      <c r="E56" s="23">
        <f t="shared" si="4"/>
        <v>2058.2000000000003</v>
      </c>
      <c r="F56" s="18">
        <v>2</v>
      </c>
      <c r="G56" s="41">
        <f t="shared" si="5"/>
        <v>4116.4000000000005</v>
      </c>
      <c r="H56" s="25">
        <v>4472.3999999999996</v>
      </c>
      <c r="I56" s="24"/>
      <c r="J56" s="24">
        <f>G56-H56</f>
        <v>-355.99999999999909</v>
      </c>
      <c r="K56" s="84" t="s">
        <v>410</v>
      </c>
    </row>
    <row r="57" spans="1:13" s="10" customFormat="1" ht="15">
      <c r="A57" s="73" t="s">
        <v>91</v>
      </c>
      <c r="B57" s="64" t="s">
        <v>198</v>
      </c>
      <c r="C57" s="23">
        <v>89</v>
      </c>
      <c r="D57" s="23">
        <f>514/89</f>
        <v>5.7752808988764048</v>
      </c>
      <c r="E57" s="23">
        <f>C57*D57</f>
        <v>514</v>
      </c>
      <c r="F57" s="18">
        <v>1</v>
      </c>
      <c r="G57" s="41">
        <f t="shared" si="5"/>
        <v>514</v>
      </c>
      <c r="H57" s="25">
        <v>2300</v>
      </c>
      <c r="I57" s="24"/>
      <c r="J57" s="24">
        <v>-1786</v>
      </c>
      <c r="K57" s="85" t="s">
        <v>411</v>
      </c>
    </row>
    <row r="58" spans="1:13" s="10" customFormat="1" ht="15">
      <c r="A58" s="73" t="s">
        <v>202</v>
      </c>
      <c r="B58" s="64" t="s">
        <v>203</v>
      </c>
      <c r="C58" s="23">
        <v>89</v>
      </c>
      <c r="D58" s="22">
        <v>1</v>
      </c>
      <c r="E58" s="41">
        <f t="shared" si="4"/>
        <v>89</v>
      </c>
      <c r="F58" s="18">
        <v>5</v>
      </c>
      <c r="G58" s="41">
        <f t="shared" si="5"/>
        <v>445</v>
      </c>
      <c r="H58" s="25">
        <v>450</v>
      </c>
      <c r="I58" s="24"/>
      <c r="J58" s="24">
        <v>-5</v>
      </c>
      <c r="K58" s="65" t="s">
        <v>388</v>
      </c>
    </row>
    <row r="59" spans="1:13" s="10" customFormat="1" ht="15">
      <c r="A59" s="58" t="s">
        <v>204</v>
      </c>
      <c r="B59" s="64" t="s">
        <v>205</v>
      </c>
      <c r="C59" s="23">
        <f>89+1808</f>
        <v>1897</v>
      </c>
      <c r="D59" s="23">
        <v>12</v>
      </c>
      <c r="E59" s="41">
        <f t="shared" si="4"/>
        <v>22764</v>
      </c>
      <c r="F59" s="18">
        <v>2</v>
      </c>
      <c r="G59" s="41">
        <f t="shared" si="5"/>
        <v>45528</v>
      </c>
      <c r="H59" s="25">
        <v>46248</v>
      </c>
      <c r="I59" s="24"/>
      <c r="J59" s="24">
        <f>G59-H59</f>
        <v>-720</v>
      </c>
      <c r="K59" s="84" t="s">
        <v>412</v>
      </c>
    </row>
    <row r="60" spans="1:13" s="10" customFormat="1" ht="81" customHeight="1">
      <c r="A60" s="73" t="s">
        <v>204</v>
      </c>
      <c r="B60" s="64" t="s">
        <v>331</v>
      </c>
      <c r="C60" s="23">
        <v>1808</v>
      </c>
      <c r="D60" s="22">
        <f>((1633864+3523863)/1808)*4</f>
        <v>11410.900442477876</v>
      </c>
      <c r="E60" s="23">
        <f t="shared" si="4"/>
        <v>20630908</v>
      </c>
      <c r="F60" s="92">
        <v>1.67E-2</v>
      </c>
      <c r="G60" s="41">
        <f t="shared" si="5"/>
        <v>344536.16359999997</v>
      </c>
      <c r="H60" s="25">
        <v>395724.23</v>
      </c>
      <c r="I60" s="86"/>
      <c r="J60" s="24">
        <f>G60-H60</f>
        <v>-51188.066400000011</v>
      </c>
      <c r="K60" s="59" t="s">
        <v>413</v>
      </c>
      <c r="M60" s="61"/>
    </row>
    <row r="61" spans="1:13" s="10" customFormat="1" ht="15">
      <c r="A61" s="73" t="s">
        <v>204</v>
      </c>
      <c r="B61" s="64" t="s">
        <v>332</v>
      </c>
      <c r="C61" s="23">
        <v>1808</v>
      </c>
      <c r="D61" s="22">
        <f>(1712401/1808)*4</f>
        <v>3788.4977876106195</v>
      </c>
      <c r="E61" s="23">
        <f t="shared" si="4"/>
        <v>6849604</v>
      </c>
      <c r="F61" s="18">
        <v>1.67E-2</v>
      </c>
      <c r="G61" s="41">
        <f t="shared" si="5"/>
        <v>114388.38679999999</v>
      </c>
      <c r="H61" s="25">
        <v>127421.46</v>
      </c>
      <c r="I61" s="86"/>
      <c r="J61" s="24">
        <f>G61-H61</f>
        <v>-13033.073200000013</v>
      </c>
      <c r="K61" s="84" t="s">
        <v>414</v>
      </c>
    </row>
    <row r="62" spans="1:13" s="10" customFormat="1" ht="32.25" customHeight="1" thickBot="1">
      <c r="A62" s="73" t="s">
        <v>204</v>
      </c>
      <c r="B62" s="64" t="s">
        <v>207</v>
      </c>
      <c r="C62" s="23">
        <f>89+1808</f>
        <v>1897</v>
      </c>
      <c r="D62" s="22">
        <v>1</v>
      </c>
      <c r="E62" s="41">
        <f t="shared" si="4"/>
        <v>1897</v>
      </c>
      <c r="F62" s="18">
        <v>0.25</v>
      </c>
      <c r="G62" s="41">
        <f t="shared" si="5"/>
        <v>474.25</v>
      </c>
      <c r="H62" s="25">
        <v>481.75</v>
      </c>
      <c r="I62" s="24"/>
      <c r="J62" s="24">
        <f>G62-H62</f>
        <v>-7.5</v>
      </c>
      <c r="K62" s="84" t="s">
        <v>384</v>
      </c>
    </row>
    <row r="63" spans="1:13" s="10" customFormat="1" ht="15.75" thickBot="1">
      <c r="A63" s="550" t="s">
        <v>333</v>
      </c>
      <c r="B63" s="635"/>
      <c r="C63" s="13">
        <f>10000+1808+89</f>
        <v>11897</v>
      </c>
      <c r="D63" s="33">
        <f>+E63/C63</f>
        <v>2315.2091888711439</v>
      </c>
      <c r="E63" s="13">
        <f>SUM(E50:E62)</f>
        <v>27544043.719999999</v>
      </c>
      <c r="F63" s="33">
        <f>+G63/E63</f>
        <v>1.9240697763458242E-2</v>
      </c>
      <c r="G63" s="13">
        <f>SUM(G50:G62)</f>
        <v>529966.62040000001</v>
      </c>
      <c r="H63" s="93">
        <f>SUM(H50:H62)</f>
        <v>607555.03999999992</v>
      </c>
      <c r="I63" s="34">
        <f>SUM(I50:I62)</f>
        <v>-1029.0999999999999</v>
      </c>
      <c r="J63" s="13">
        <f>SUM(J50:J62)</f>
        <v>-76559.319600000017</v>
      </c>
      <c r="K63" s="87"/>
    </row>
    <row r="64" spans="1:13" s="10" customFormat="1" ht="38.25" customHeight="1" thickBot="1">
      <c r="A64" s="564" t="s">
        <v>334</v>
      </c>
      <c r="B64" s="634"/>
      <c r="C64" s="16">
        <f>SUM(C47)</f>
        <v>6913189</v>
      </c>
      <c r="D64" s="28">
        <f>E64/C64</f>
        <v>7.0587972544828945</v>
      </c>
      <c r="E64" s="16">
        <f>SUM(E47,E63)</f>
        <v>48798799.532921344</v>
      </c>
      <c r="F64" s="28">
        <f>G64/E64</f>
        <v>9.3180540172613638E-2</v>
      </c>
      <c r="G64" s="16">
        <f t="shared" ref="G64:I64" si="6">SUM(G47,G63)</f>
        <v>4547098.5002526967</v>
      </c>
      <c r="H64" s="95">
        <f>SUM(H47,H63)</f>
        <v>3772598.04</v>
      </c>
      <c r="I64" s="16">
        <f t="shared" si="6"/>
        <v>1199039.3644999999</v>
      </c>
      <c r="J64" s="16">
        <f>SUM(J47,J63)+1</f>
        <v>-424537.90424730373</v>
      </c>
      <c r="K64" s="88"/>
    </row>
    <row r="65" spans="1:10" ht="15" thickBot="1">
      <c r="A65" s="10"/>
      <c r="B65" s="10"/>
      <c r="C65" s="10"/>
      <c r="D65" s="10"/>
      <c r="E65" s="10"/>
      <c r="F65" s="10"/>
      <c r="G65" s="10"/>
      <c r="H65" s="10"/>
      <c r="I65" s="35"/>
      <c r="J65" s="10"/>
    </row>
    <row r="66" spans="1:10" ht="15.75" thickBot="1">
      <c r="A66" s="566" t="s">
        <v>219</v>
      </c>
      <c r="B66" s="567"/>
      <c r="C66" s="567"/>
      <c r="D66" s="621"/>
      <c r="E66" s="10"/>
      <c r="F66" s="10"/>
      <c r="G66" s="10"/>
      <c r="H66" s="10"/>
      <c r="I66" s="35"/>
      <c r="J66" s="10"/>
    </row>
    <row r="67" spans="1:10" ht="17.25" thickBot="1">
      <c r="A67" s="622" t="s">
        <v>220</v>
      </c>
      <c r="B67" s="623"/>
      <c r="C67" s="571">
        <f>+C47</f>
        <v>6913189</v>
      </c>
      <c r="D67" s="624"/>
      <c r="E67" s="31"/>
      <c r="F67" s="62" t="s">
        <v>335</v>
      </c>
      <c r="G67" s="10"/>
      <c r="H67" s="10"/>
      <c r="I67" s="35"/>
      <c r="J67" s="10"/>
    </row>
    <row r="68" spans="1:10" ht="16.5" thickBot="1">
      <c r="A68" s="627" t="s">
        <v>221</v>
      </c>
      <c r="B68" s="628"/>
      <c r="C68" s="629">
        <f>+C69/C67</f>
        <v>3.0745225991827136</v>
      </c>
      <c r="D68" s="630"/>
      <c r="E68" s="10"/>
      <c r="F68" s="10"/>
      <c r="G68" s="10"/>
      <c r="H68" s="10"/>
      <c r="I68" s="35"/>
      <c r="J68" s="10"/>
    </row>
    <row r="69" spans="1:10" ht="16.5" thickBot="1">
      <c r="A69" s="622" t="s">
        <v>222</v>
      </c>
      <c r="B69" s="625"/>
      <c r="C69" s="571">
        <f>+E47</f>
        <v>21254755.812921345</v>
      </c>
      <c r="D69" s="624"/>
      <c r="E69" s="10"/>
      <c r="F69" s="89"/>
      <c r="G69" s="10"/>
      <c r="H69" s="10"/>
      <c r="I69" s="35"/>
      <c r="J69" s="10"/>
    </row>
    <row r="70" spans="1:10" ht="16.5" thickBot="1">
      <c r="A70" s="622" t="s">
        <v>223</v>
      </c>
      <c r="B70" s="625"/>
      <c r="C70" s="631">
        <f>+C71/C69</f>
        <v>0.188999201647406</v>
      </c>
      <c r="D70" s="632"/>
      <c r="E70" s="10"/>
      <c r="F70" s="89" t="s">
        <v>336</v>
      </c>
      <c r="G70" s="10"/>
      <c r="H70" s="10"/>
      <c r="I70" s="35"/>
      <c r="J70" s="10"/>
    </row>
    <row r="71" spans="1:10" ht="17.25" thickBot="1">
      <c r="A71" s="622" t="s">
        <v>224</v>
      </c>
      <c r="B71" s="626"/>
      <c r="C71" s="571">
        <f>+G47</f>
        <v>4017131.8798526963</v>
      </c>
      <c r="D71" s="624"/>
      <c r="E71" s="10"/>
      <c r="F71" s="90" t="s">
        <v>337</v>
      </c>
      <c r="G71" s="10"/>
      <c r="H71" s="10"/>
      <c r="I71" s="35"/>
      <c r="J71" s="10"/>
    </row>
    <row r="72" spans="1:10" ht="16.5" thickBot="1">
      <c r="A72" s="622" t="s">
        <v>225</v>
      </c>
      <c r="B72" s="625"/>
      <c r="C72" s="571">
        <f>H47</f>
        <v>3165043</v>
      </c>
      <c r="D72" s="624"/>
      <c r="E72" s="10"/>
      <c r="F72" s="10"/>
      <c r="G72" s="10"/>
      <c r="H72" s="10"/>
      <c r="I72" s="35"/>
      <c r="J72" s="10"/>
    </row>
    <row r="73" spans="1:10" ht="15" thickBot="1">
      <c r="A73" s="617" t="s">
        <v>226</v>
      </c>
      <c r="B73" s="618"/>
      <c r="C73" s="619">
        <v>852088</v>
      </c>
      <c r="D73" s="620"/>
      <c r="E73" s="10"/>
      <c r="F73" s="10"/>
      <c r="G73" s="10"/>
      <c r="H73" s="10"/>
      <c r="I73" s="35"/>
      <c r="J73" s="10"/>
    </row>
    <row r="74" spans="1:10" ht="13.5" thickBot="1"/>
    <row r="75" spans="1:10" ht="15.75" thickBot="1">
      <c r="A75" s="566" t="s">
        <v>227</v>
      </c>
      <c r="B75" s="567"/>
      <c r="C75" s="567"/>
      <c r="D75" s="621"/>
    </row>
    <row r="76" spans="1:10" ht="17.25" thickBot="1">
      <c r="A76" s="622" t="s">
        <v>228</v>
      </c>
      <c r="B76" s="623"/>
      <c r="C76" s="571">
        <f>+C63</f>
        <v>11897</v>
      </c>
      <c r="D76" s="624"/>
    </row>
    <row r="77" spans="1:10" ht="16.5" thickBot="1">
      <c r="A77" s="627" t="s">
        <v>221</v>
      </c>
      <c r="B77" s="628"/>
      <c r="C77" s="629">
        <f>+C78/C76</f>
        <v>2315.2091888711439</v>
      </c>
      <c r="D77" s="630"/>
    </row>
    <row r="78" spans="1:10" ht="16.5" thickBot="1">
      <c r="A78" s="622" t="s">
        <v>222</v>
      </c>
      <c r="B78" s="625"/>
      <c r="C78" s="571">
        <f>+E63</f>
        <v>27544043.719999999</v>
      </c>
      <c r="D78" s="624"/>
    </row>
    <row r="79" spans="1:10" ht="16.5" thickBot="1">
      <c r="A79" s="622" t="s">
        <v>223</v>
      </c>
      <c r="B79" s="625"/>
      <c r="C79" s="631">
        <f>+C80/C78</f>
        <v>1.9240697763458242E-2</v>
      </c>
      <c r="D79" s="632"/>
    </row>
    <row r="80" spans="1:10" ht="17.25" thickBot="1">
      <c r="A80" s="622" t="s">
        <v>224</v>
      </c>
      <c r="B80" s="626"/>
      <c r="C80" s="571">
        <f>+G63</f>
        <v>529966.62040000001</v>
      </c>
      <c r="D80" s="624"/>
    </row>
    <row r="81" spans="1:4" ht="16.5" thickBot="1">
      <c r="A81" s="622" t="s">
        <v>225</v>
      </c>
      <c r="B81" s="625"/>
      <c r="C81" s="571">
        <f>+H63</f>
        <v>607555.03999999992</v>
      </c>
      <c r="D81" s="624"/>
    </row>
    <row r="82" spans="1:4" ht="15" thickBot="1">
      <c r="A82" s="617" t="s">
        <v>226</v>
      </c>
      <c r="B82" s="618"/>
      <c r="C82" s="619">
        <f>C80-C81</f>
        <v>-77588.419599999906</v>
      </c>
      <c r="D82" s="620"/>
    </row>
    <row r="83" spans="1:4" ht="13.5" thickBot="1"/>
    <row r="84" spans="1:4" ht="15.75" thickBot="1">
      <c r="A84" s="566" t="s">
        <v>230</v>
      </c>
      <c r="B84" s="567"/>
      <c r="C84" s="567"/>
      <c r="D84" s="621"/>
    </row>
    <row r="85" spans="1:4" ht="17.25" customHeight="1" thickBot="1">
      <c r="A85" s="622" t="s">
        <v>231</v>
      </c>
      <c r="B85" s="623"/>
      <c r="C85" s="571">
        <f>+C69+C78</f>
        <v>48798799.532921344</v>
      </c>
      <c r="D85" s="624"/>
    </row>
    <row r="86" spans="1:4" ht="17.25" customHeight="1" thickBot="1">
      <c r="A86" s="622" t="s">
        <v>232</v>
      </c>
      <c r="B86" s="623"/>
      <c r="C86" s="520"/>
      <c r="D86" s="521">
        <f>+C71+C80</f>
        <v>4547098.5002526967</v>
      </c>
    </row>
    <row r="87" spans="1:4" ht="16.5" thickBot="1">
      <c r="A87" s="622" t="s">
        <v>225</v>
      </c>
      <c r="B87" s="625"/>
      <c r="C87" s="571">
        <f>H64</f>
        <v>3772598.04</v>
      </c>
      <c r="D87" s="624"/>
    </row>
    <row r="88" spans="1:4" ht="15" thickBot="1">
      <c r="A88" s="617" t="s">
        <v>226</v>
      </c>
      <c r="B88" s="618"/>
      <c r="C88" s="619">
        <f>C73+C82+1</f>
        <v>774500.58040000009</v>
      </c>
      <c r="D88" s="620"/>
    </row>
  </sheetData>
  <mergeCells count="51">
    <mergeCell ref="A64:B64"/>
    <mergeCell ref="C67:D67"/>
    <mergeCell ref="A68:B68"/>
    <mergeCell ref="A66:D66"/>
    <mergeCell ref="A67:B67"/>
    <mergeCell ref="C68:D68"/>
    <mergeCell ref="A1:K1"/>
    <mergeCell ref="A3:K3"/>
    <mergeCell ref="A4:K4"/>
    <mergeCell ref="A34:K34"/>
    <mergeCell ref="A41:K41"/>
    <mergeCell ref="A40:B40"/>
    <mergeCell ref="A46:B46"/>
    <mergeCell ref="A47:B47"/>
    <mergeCell ref="A63:B63"/>
    <mergeCell ref="A33:B33"/>
    <mergeCell ref="A48:K48"/>
    <mergeCell ref="A49:K49"/>
    <mergeCell ref="A69:B69"/>
    <mergeCell ref="A77:B77"/>
    <mergeCell ref="C77:D77"/>
    <mergeCell ref="C69:D69"/>
    <mergeCell ref="A76:B76"/>
    <mergeCell ref="C76:D76"/>
    <mergeCell ref="A70:B70"/>
    <mergeCell ref="C70:D70"/>
    <mergeCell ref="A71:B71"/>
    <mergeCell ref="C71:D71"/>
    <mergeCell ref="A73:B73"/>
    <mergeCell ref="C73:D73"/>
    <mergeCell ref="A72:B72"/>
    <mergeCell ref="C72:D72"/>
    <mergeCell ref="A75:D75"/>
    <mergeCell ref="A78:B78"/>
    <mergeCell ref="C78:D78"/>
    <mergeCell ref="A79:B79"/>
    <mergeCell ref="C79:D79"/>
    <mergeCell ref="A84:D84"/>
    <mergeCell ref="A82:B82"/>
    <mergeCell ref="C82:D82"/>
    <mergeCell ref="A80:B80"/>
    <mergeCell ref="C80:D80"/>
    <mergeCell ref="A81:B81"/>
    <mergeCell ref="C81:D81"/>
    <mergeCell ref="A88:B88"/>
    <mergeCell ref="C88:D88"/>
    <mergeCell ref="A87:B87"/>
    <mergeCell ref="C87:D87"/>
    <mergeCell ref="A85:B85"/>
    <mergeCell ref="C85:D85"/>
    <mergeCell ref="A86:B86"/>
  </mergeCells>
  <printOptions gridLines="1"/>
  <pageMargins left="0.7" right="0.7" top="0.75" bottom="0.75" header="0.3" footer="0.3"/>
  <pageSetup scale="38" fitToHeight="3" orientation="landscape" r:id="rId1"/>
  <headerFooter>
    <oddHeader>&amp;A</oddHeader>
    <oddFooter>Page &amp;P of &amp;N</oddFooter>
  </headerFooter>
  <rowBreaks count="2" manualBreakCount="2">
    <brk id="32" max="16383" man="1"/>
    <brk id="4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b88139-34a0-4075-aa81-f7ef6b341e88">
      <UserInfo>
        <DisplayName>Bailey, Patricia - FNS</DisplayName>
        <AccountId>28</AccountId>
        <AccountType/>
      </UserInfo>
      <UserInfo>
        <DisplayName>Hymes, Melanie - FNS</DisplayName>
        <AccountId>18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8608471AB9664C9D24C852BAB3C90C" ma:contentTypeVersion="7" ma:contentTypeDescription="Create a new document." ma:contentTypeScope="" ma:versionID="9a7c471c4ae4ac6d69eefbd570262599">
  <xsd:schema xmlns:xsd="http://www.w3.org/2001/XMLSchema" xmlns:xs="http://www.w3.org/2001/XMLSchema" xmlns:p="http://schemas.microsoft.com/office/2006/metadata/properties" xmlns:ns2="8b4169a3-4bdc-481e-af9a-a81c34375271" xmlns:ns3="e9b88139-34a0-4075-aa81-f7ef6b341e88" targetNamespace="http://schemas.microsoft.com/office/2006/metadata/properties" ma:root="true" ma:fieldsID="8ff11b12dec819dbf8b5fdba19bf4aaa" ns2:_="" ns3:_="">
    <xsd:import namespace="8b4169a3-4bdc-481e-af9a-a81c34375271"/>
    <xsd:import namespace="e9b88139-34a0-4075-aa81-f7ef6b341e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169a3-4bdc-481e-af9a-a81c343752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b88139-34a0-4075-aa81-f7ef6b341e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EDE642-5B97-46C0-9986-A908E801C847}"/>
</file>

<file path=customXml/itemProps2.xml><?xml version="1.0" encoding="utf-8"?>
<ds:datastoreItem xmlns:ds="http://schemas.openxmlformats.org/officeDocument/2006/customXml" ds:itemID="{8E6CDE96-3DD0-4775-A8CF-DDE3C3E068FB}"/>
</file>

<file path=customXml/itemProps3.xml><?xml version="1.0" encoding="utf-8"?>
<ds:datastoreItem xmlns:ds="http://schemas.openxmlformats.org/officeDocument/2006/customXml" ds:itemID="{2D84DDB1-6999-46F4-A02E-CC98D9F408BF}"/>
</file>

<file path=docProps/app.xml><?xml version="1.0" encoding="utf-8"?>
<Properties xmlns="http://schemas.openxmlformats.org/officeDocument/2006/extended-properties" xmlns:vt="http://schemas.openxmlformats.org/officeDocument/2006/docPropsVTypes">
  <Application>Microsoft Excel Online</Application>
  <Manager/>
  <Company>USDA FSC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 CARROLL</dc:creator>
  <cp:keywords/>
  <dc:description/>
  <cp:lastModifiedBy>Clark, Lauren - FNS</cp:lastModifiedBy>
  <cp:revision/>
  <dcterms:created xsi:type="dcterms:W3CDTF">1999-05-24T18:00:59Z</dcterms:created>
  <dcterms:modified xsi:type="dcterms:W3CDTF">2026-01-22T16:10:31Z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0x010100CF8608471AB9664C9D24C852BAB3C90C</vt:lpwstr>
  </property>
  <property fmtid="{D5CDD505-2E9C-101B-9397-08002B2CF9AE}" pid="3" name="Order">
    <vt:r8>94100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