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sdagcc.sharepoint.com/sites/FNS-SNAP/Shared Documents/PAND/SAB/State Administration/Forms &amp; ICRs/0584-0684 (NAC)/FINAL 2.18.26/"/>
    </mc:Choice>
  </mc:AlternateContent>
  <xr:revisionPtr revIDLastSave="86" documentId="8_{8AE71076-4C54-4C4B-9D6E-676AD0E63F0A}" xr6:coauthVersionLast="47" xr6:coauthVersionMax="47" xr10:uidLastSave="{80388799-44D9-4324-9AB1-6D10C56E4919}"/>
  <bookViews>
    <workbookView xWindow="-120" yWindow="-120" windowWidth="29040" windowHeight="15720" xr2:uid="{581D6E75-70F3-4EDD-BAD7-8F9809523AE4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E18" i="1"/>
  <c r="E19" i="1" s="1"/>
  <c r="O17" i="1"/>
  <c r="M17" i="1"/>
  <c r="K17" i="1"/>
  <c r="F17" i="1"/>
  <c r="K15" i="1"/>
  <c r="K14" i="1"/>
  <c r="O13" i="1"/>
  <c r="M13" i="1"/>
  <c r="J12" i="1"/>
  <c r="K12" i="1" s="1"/>
  <c r="G12" i="1"/>
  <c r="I12" i="1" s="1"/>
  <c r="J11" i="1"/>
  <c r="K11" i="1" s="1"/>
  <c r="F11" i="1"/>
  <c r="G11" i="1" s="1"/>
  <c r="J10" i="1"/>
  <c r="K10" i="1" s="1"/>
  <c r="F10" i="1"/>
  <c r="G10" i="1" s="1"/>
  <c r="J9" i="1"/>
  <c r="K9" i="1" s="1"/>
  <c r="F9" i="1"/>
  <c r="G9" i="1" s="1"/>
  <c r="I9" i="1" s="1"/>
  <c r="J8" i="1"/>
  <c r="K8" i="1" s="1"/>
  <c r="F8" i="1"/>
  <c r="G8" i="1" s="1"/>
  <c r="I8" i="1" s="1"/>
  <c r="J7" i="1"/>
  <c r="K7" i="1" s="1"/>
  <c r="G7" i="1"/>
  <c r="I7" i="1" s="1"/>
  <c r="N7" i="1" s="1"/>
  <c r="O6" i="1"/>
  <c r="M6" i="1"/>
  <c r="J5" i="1"/>
  <c r="K5" i="1" s="1"/>
  <c r="I5" i="1"/>
  <c r="N5" i="1" s="1"/>
  <c r="J4" i="1"/>
  <c r="K4" i="1" s="1"/>
  <c r="G4" i="1"/>
  <c r="I4" i="1" s="1"/>
  <c r="J3" i="1"/>
  <c r="K3" i="1" s="1"/>
  <c r="G3" i="1"/>
  <c r="I3" i="1" s="1"/>
  <c r="L16" i="1" l="1"/>
  <c r="O18" i="1"/>
  <c r="O19" i="1" s="1"/>
  <c r="M18" i="1"/>
  <c r="M19" i="1" s="1"/>
  <c r="L4" i="1"/>
  <c r="P4" i="1" s="1"/>
  <c r="N4" i="1"/>
  <c r="E14" i="1"/>
  <c r="G14" i="1" s="1"/>
  <c r="I10" i="1"/>
  <c r="E15" i="1"/>
  <c r="G15" i="1" s="1"/>
  <c r="I15" i="1" s="1"/>
  <c r="I11" i="1"/>
  <c r="I6" i="1"/>
  <c r="N3" i="1"/>
  <c r="L3" i="1"/>
  <c r="G13" i="1"/>
  <c r="F13" i="1" s="1"/>
  <c r="L9" i="1"/>
  <c r="P9" i="1" s="1"/>
  <c r="N9" i="1"/>
  <c r="N12" i="1"/>
  <c r="L12" i="1"/>
  <c r="P12" i="1" s="1"/>
  <c r="N8" i="1"/>
  <c r="L8" i="1"/>
  <c r="P8" i="1" s="1"/>
  <c r="L5" i="1"/>
  <c r="P5" i="1" s="1"/>
  <c r="G6" i="1"/>
  <c r="F6" i="1" s="1"/>
  <c r="L7" i="1"/>
  <c r="N6" i="1" l="1"/>
  <c r="H6" i="1"/>
  <c r="N15" i="1"/>
  <c r="L15" i="1"/>
  <c r="P15" i="1" s="1"/>
  <c r="N10" i="1"/>
  <c r="L10" i="1"/>
  <c r="P10" i="1" s="1"/>
  <c r="I14" i="1"/>
  <c r="G17" i="1"/>
  <c r="G18" i="1" s="1"/>
  <c r="F18" i="1" s="1"/>
  <c r="P7" i="1"/>
  <c r="L6" i="1"/>
  <c r="P3" i="1"/>
  <c r="P6" i="1" s="1"/>
  <c r="N11" i="1"/>
  <c r="L11" i="1"/>
  <c r="P11" i="1" s="1"/>
  <c r="I13" i="1"/>
  <c r="H13" i="1" s="1"/>
  <c r="G19" i="1" l="1"/>
  <c r="F19" i="1" s="1"/>
  <c r="N13" i="1"/>
  <c r="P13" i="1"/>
  <c r="L13" i="1"/>
  <c r="I17" i="1"/>
  <c r="N14" i="1"/>
  <c r="N17" i="1" s="1"/>
  <c r="L14" i="1"/>
  <c r="N18" i="1" l="1"/>
  <c r="N19" i="1" s="1"/>
  <c r="I18" i="1"/>
  <c r="H17" i="1"/>
  <c r="L17" i="1"/>
  <c r="L18" i="1" s="1"/>
  <c r="L19" i="1" s="1"/>
  <c r="P14" i="1"/>
  <c r="P17" i="1" s="1"/>
  <c r="P18" i="1" s="1"/>
  <c r="P19" i="1" s="1"/>
  <c r="I19" i="1" l="1"/>
  <c r="H19" i="1" s="1"/>
  <c r="H18" i="1"/>
</calcChain>
</file>

<file path=xl/sharedStrings.xml><?xml version="1.0" encoding="utf-8"?>
<sst xmlns="http://schemas.openxmlformats.org/spreadsheetml/2006/main" count="52" uniqueCount="51">
  <si>
    <t>Respondent Category (Affected Public)</t>
  </si>
  <si>
    <t>Type of respondents (optional)</t>
  </si>
  <si>
    <t>Burden Activity</t>
  </si>
  <si>
    <t xml:space="preserve">CFR 
Citation </t>
  </si>
  <si>
    <t>Estimated Number of Respondents</t>
  </si>
  <si>
    <t>Responses per Respondent (Col. G/E)</t>
  </si>
  <si>
    <t>Total Annual responses (Col. E x F)</t>
  </si>
  <si>
    <t>Estimated Hours Per Response (Col. J/H)</t>
  </si>
  <si>
    <t>Estimated Total Burden Hours (Col. G x H)</t>
  </si>
  <si>
    <t>Base Hourly Wage Rate (See BLS)</t>
  </si>
  <si>
    <t>Fully-Loaded Wage Rate (K+ (K*.33))</t>
  </si>
  <si>
    <t>Total Annualized Cost of Respondent Burden (I*K)</t>
  </si>
  <si>
    <t>Previously Approved Hours under 0584-0684</t>
  </si>
  <si>
    <t>Difference Due to Adjustment (Hours)</t>
  </si>
  <si>
    <t>Previously Approved Cost under 
0584-0684</t>
  </si>
  <si>
    <t>Difference Due to Adjustment (Cost)</t>
  </si>
  <si>
    <t>REPORTING</t>
  </si>
  <si>
    <t>State 
Government</t>
  </si>
  <si>
    <t>Set-up for system 
to report caseload to NAC</t>
  </si>
  <si>
    <t>272.18(a)(2)
272.18(a)(3)</t>
  </si>
  <si>
    <t>Training to use NAC System</t>
  </si>
  <si>
    <t xml:space="preserve">272.18(b)
272.18(c) </t>
  </si>
  <si>
    <t>Computer Matching Agreement 
(Initial)</t>
  </si>
  <si>
    <t>272.18(a)(3)</t>
  </si>
  <si>
    <t>Daily submission of active caseload to NAC</t>
  </si>
  <si>
    <t>272.18(b)(2)
272.18(b)(3)
272.18(b)(4)</t>
  </si>
  <si>
    <t>NAC -- Screening 
Applicants (Queries)</t>
  </si>
  <si>
    <t>272.18(c)(1)
272.18(c)(2)</t>
  </si>
  <si>
    <t>NAC -- Verification of information 
following a positive NAC match</t>
  </si>
  <si>
    <t>272.18(c)(3)
273.2(f)(2)
272.18(c)(5)
273.12(c)(3)</t>
  </si>
  <si>
    <t>NAC – Notice of Match Results</t>
  </si>
  <si>
    <t>272.18(c)(3)(ii)
272.18(c)(3)(iii)(A)</t>
  </si>
  <si>
    <t>NAC - Combined Notice of Match Results and Notice of Adverse Action</t>
  </si>
  <si>
    <t>272.18(c)(5)
273.12(c)(3)(iv)(A)
273.13(a)(2)</t>
  </si>
  <si>
    <t>Individuals / Household_ Ongoing</t>
  </si>
  <si>
    <t>Respond to Notice of 
Match Results following 
positive NAC match</t>
  </si>
  <si>
    <t>272.18(c)(5)
273.12(c)(3)(iii)</t>
  </si>
  <si>
    <t>Respond to Notice of Match 
Results and Adverse Action
 following positive NAC match</t>
  </si>
  <si>
    <t>272.18(c)(5)
273.13(a)</t>
  </si>
  <si>
    <t>Ongoing_Subtotal</t>
  </si>
  <si>
    <t>Grand Total Reporting Burden</t>
  </si>
  <si>
    <t xml:space="preserve">* This one time burden estimate is for the remaining 26 State agencies that have not yet implemented the NAC. </t>
  </si>
  <si>
    <t>Verification of questionable information following positive NAC match at query</t>
  </si>
  <si>
    <t>272.18(c)(2)
273.2(f)(1)&amp;(2)</t>
  </si>
  <si>
    <r>
      <t xml:space="preserve">Computer Matching 
Agreement  
(NEW - </t>
    </r>
    <r>
      <rPr>
        <i/>
        <sz val="10"/>
        <rFont val="Aptos Narrow"/>
        <family val="2"/>
        <scheme val="minor"/>
      </rPr>
      <t>This burden activity was not included 
in the original ICR)</t>
    </r>
  </si>
  <si>
    <t>Individuals/Household Ongoing Subtotal</t>
  </si>
  <si>
    <t>State Government One-Time Subtotal</t>
  </si>
  <si>
    <t>State Government Ongoing Subtotal</t>
  </si>
  <si>
    <r>
      <t xml:space="preserve">State Agency
</t>
    </r>
    <r>
      <rPr>
        <b/>
        <i/>
        <sz val="10"/>
        <rFont val="Aptos Narrow"/>
        <family val="2"/>
        <scheme val="minor"/>
      </rPr>
      <t>One-Time Burden</t>
    </r>
    <r>
      <rPr>
        <b/>
        <sz val="10"/>
        <rFont val="Aptos Narrow"/>
        <family val="2"/>
        <scheme val="minor"/>
      </rPr>
      <t>*</t>
    </r>
  </si>
  <si>
    <r>
      <t xml:space="preserve">State Agency </t>
    </r>
    <r>
      <rPr>
        <b/>
        <i/>
        <sz val="10"/>
        <rFont val="Aptos Narrow"/>
        <family val="2"/>
        <scheme val="minor"/>
      </rPr>
      <t>Ongoing Burden</t>
    </r>
  </si>
  <si>
    <t>Appendix B-Burden Table OMB Control #0584-0684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</si>
</sst>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4"/>
      <color rgb="FF0070C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/>
    </xf>
    <xf numFmtId="164" fontId="7" fillId="2" borderId="11" xfId="1" applyNumberFormat="1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164" fontId="7" fillId="2" borderId="8" xfId="1" applyNumberFormat="1" applyFont="1" applyFill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164" fontId="5" fillId="0" borderId="21" xfId="1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4" fontId="7" fillId="2" borderId="22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/>
    </xf>
    <xf numFmtId="164" fontId="7" fillId="2" borderId="18" xfId="1" applyNumberFormat="1" applyFont="1" applyFill="1" applyBorder="1" applyAlignment="1">
      <alignment horizontal="center" vertical="center" wrapText="1"/>
    </xf>
    <xf numFmtId="4" fontId="8" fillId="4" borderId="26" xfId="0" applyNumberFormat="1" applyFont="1" applyFill="1" applyBorder="1" applyAlignment="1">
      <alignment horizontal="center" vertical="center" wrapText="1"/>
    </xf>
    <xf numFmtId="4" fontId="8" fillId="4" borderId="27" xfId="0" applyNumberFormat="1" applyFont="1" applyFill="1" applyBorder="1" applyAlignment="1">
      <alignment horizontal="center" vertical="center" wrapText="1"/>
    </xf>
    <xf numFmtId="3" fontId="8" fillId="4" borderId="27" xfId="0" applyNumberFormat="1" applyFont="1" applyFill="1" applyBorder="1" applyAlignment="1">
      <alignment horizontal="center" vertical="center" wrapText="1"/>
    </xf>
    <xf numFmtId="3" fontId="8" fillId="4" borderId="28" xfId="0" applyNumberFormat="1" applyFont="1" applyFill="1" applyBorder="1" applyAlignment="1">
      <alignment horizontal="center" vertical="center" wrapText="1"/>
    </xf>
    <xf numFmtId="164" fontId="8" fillId="4" borderId="28" xfId="0" applyNumberFormat="1" applyFont="1" applyFill="1" applyBorder="1" applyAlignment="1">
      <alignment horizontal="center" vertical="center"/>
    </xf>
    <xf numFmtId="4" fontId="8" fillId="2" borderId="29" xfId="0" applyNumberFormat="1" applyFont="1" applyFill="1" applyBorder="1" applyAlignment="1">
      <alignment horizontal="center" vertical="center" wrapText="1"/>
    </xf>
    <xf numFmtId="4" fontId="8" fillId="0" borderId="27" xfId="0" applyNumberFormat="1" applyFont="1" applyBorder="1" applyAlignment="1">
      <alignment horizontal="center" vertical="center" wrapText="1"/>
    </xf>
    <xf numFmtId="164" fontId="8" fillId="2" borderId="28" xfId="0" applyNumberFormat="1" applyFont="1" applyFill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164" fontId="5" fillId="3" borderId="20" xfId="1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165" fontId="5" fillId="3" borderId="18" xfId="0" applyNumberFormat="1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64" fontId="9" fillId="0" borderId="37" xfId="0" applyNumberFormat="1" applyFont="1" applyBorder="1" applyAlignment="1">
      <alignment horizontal="center" vertical="center" wrapText="1"/>
    </xf>
    <xf numFmtId="164" fontId="8" fillId="4" borderId="26" xfId="1" applyNumberFormat="1" applyFont="1" applyFill="1" applyBorder="1" applyAlignment="1">
      <alignment horizontal="center" vertical="center"/>
    </xf>
    <xf numFmtId="164" fontId="5" fillId="4" borderId="28" xfId="1" applyNumberFormat="1" applyFont="1" applyFill="1" applyBorder="1" applyAlignment="1">
      <alignment horizontal="center" vertical="center"/>
    </xf>
    <xf numFmtId="164" fontId="8" fillId="4" borderId="30" xfId="0" applyNumberFormat="1" applyFont="1" applyFill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2" fillId="0" borderId="0" xfId="0" applyFont="1"/>
    <xf numFmtId="0" fontId="7" fillId="3" borderId="11" xfId="0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164" fontId="7" fillId="3" borderId="9" xfId="1" applyNumberFormat="1" applyFont="1" applyFill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4" fontId="7" fillId="3" borderId="18" xfId="0" applyNumberFormat="1" applyFont="1" applyFill="1" applyBorder="1" applyAlignment="1">
      <alignment horizontal="center" vertical="center" wrapText="1"/>
    </xf>
    <xf numFmtId="165" fontId="7" fillId="3" borderId="21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/>
    </xf>
    <xf numFmtId="164" fontId="7" fillId="2" borderId="35" xfId="0" applyNumberFormat="1" applyFont="1" applyFill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 wrapText="1"/>
    </xf>
    <xf numFmtId="4" fontId="3" fillId="4" borderId="36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164" fontId="3" fillId="4" borderId="43" xfId="1" applyNumberFormat="1" applyFont="1" applyFill="1" applyBorder="1" applyAlignment="1">
      <alignment horizontal="center" vertical="center" wrapText="1"/>
    </xf>
    <xf numFmtId="4" fontId="3" fillId="2" borderId="36" xfId="0" applyNumberFormat="1" applyFont="1" applyFill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165" fontId="8" fillId="4" borderId="27" xfId="0" applyNumberFormat="1" applyFont="1" applyFill="1" applyBorder="1" applyAlignment="1">
      <alignment horizontal="center" vertical="center" wrapText="1"/>
    </xf>
    <xf numFmtId="165" fontId="8" fillId="4" borderId="26" xfId="0" applyNumberFormat="1" applyFont="1" applyFill="1" applyBorder="1" applyAlignment="1">
      <alignment horizontal="center" vertical="center" wrapText="1"/>
    </xf>
    <xf numFmtId="165" fontId="8" fillId="4" borderId="19" xfId="0" applyNumberFormat="1" applyFont="1" applyFill="1" applyBorder="1" applyAlignment="1">
      <alignment horizontal="center" vertical="center" wrapText="1"/>
    </xf>
    <xf numFmtId="4" fontId="8" fillId="4" borderId="19" xfId="0" applyNumberFormat="1" applyFont="1" applyFill="1" applyBorder="1" applyAlignment="1">
      <alignment horizontal="center" vertical="center" wrapText="1"/>
    </xf>
    <xf numFmtId="164" fontId="7" fillId="3" borderId="33" xfId="1" applyNumberFormat="1" applyFont="1" applyFill="1" applyBorder="1" applyAlignment="1">
      <alignment horizontal="center" vertical="center"/>
    </xf>
    <xf numFmtId="164" fontId="7" fillId="0" borderId="18" xfId="1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4" fontId="3" fillId="4" borderId="31" xfId="0" applyNumberFormat="1" applyFont="1" applyFill="1" applyBorder="1" applyAlignment="1">
      <alignment horizontal="center" vertical="center" wrapText="1"/>
    </xf>
    <xf numFmtId="165" fontId="8" fillId="4" borderId="11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164" fontId="3" fillId="4" borderId="45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4" fontId="3" fillId="4" borderId="29" xfId="0" applyNumberFormat="1" applyFont="1" applyFill="1" applyBorder="1" applyAlignment="1">
      <alignment horizontal="center" vertical="center" wrapText="1"/>
    </xf>
    <xf numFmtId="4" fontId="3" fillId="4" borderId="27" xfId="0" applyNumberFormat="1" applyFont="1" applyFill="1" applyBorder="1" applyAlignment="1">
      <alignment horizontal="center" vertical="center" wrapText="1"/>
    </xf>
    <xf numFmtId="165" fontId="3" fillId="4" borderId="27" xfId="0" applyNumberFormat="1" applyFont="1" applyFill="1" applyBorder="1" applyAlignment="1">
      <alignment horizontal="center" vertical="center" wrapText="1"/>
    </xf>
    <xf numFmtId="164" fontId="3" fillId="4" borderId="28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164" fontId="3" fillId="2" borderId="28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4" fontId="11" fillId="3" borderId="19" xfId="0" applyNumberFormat="1" applyFont="1" applyFill="1" applyBorder="1" applyAlignment="1">
      <alignment horizontal="center" vertical="center" wrapText="1"/>
    </xf>
    <xf numFmtId="165" fontId="11" fillId="3" borderId="19" xfId="0" applyNumberFormat="1" applyFont="1" applyFill="1" applyBorder="1" applyAlignment="1">
      <alignment horizontal="center" vertical="center" wrapText="1"/>
    </xf>
    <xf numFmtId="164" fontId="11" fillId="3" borderId="19" xfId="1" applyNumberFormat="1" applyFont="1" applyFill="1" applyBorder="1" applyAlignment="1">
      <alignment horizontal="center" vertical="center"/>
    </xf>
    <xf numFmtId="164" fontId="11" fillId="0" borderId="19" xfId="1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164" fontId="3" fillId="4" borderId="27" xfId="1" applyNumberFormat="1" applyFont="1" applyFill="1" applyBorder="1" applyAlignment="1">
      <alignment horizontal="center" vertical="center"/>
    </xf>
    <xf numFmtId="164" fontId="3" fillId="4" borderId="11" xfId="1" applyNumberFormat="1" applyFont="1" applyFill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0" fontId="0" fillId="0" borderId="0" xfId="0"/>
    <xf numFmtId="0" fontId="3" fillId="3" borderId="3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wrapText="1"/>
    </xf>
    <xf numFmtId="0" fontId="3" fillId="4" borderId="27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FNS-SNAP-PAAD_Management/Shared%20Documents/PAND_Management/Review%20and%20Tracking%20Process/Review%20in%20process/SAB/0584-0684%20NAC/FY26%200584-0684%20NAC_Burden%20Table.xlsx" TargetMode="External"/><Relationship Id="rId2" Type="http://schemas.openxmlformats.org/officeDocument/2006/relationships/externalLinkPath" Target="https://usdagcc.sharepoint.com/sites/FNS-SNAP/Shared%20Documents/PAND/SAB/State%20Administration/Forms%20&amp;%20ICRs/0584-0684%20(NAC)/FY26%200584-0684%20NAC_Burden%20Table.xlsx" TargetMode="External"/><Relationship Id="rId1" Type="http://schemas.openxmlformats.org/officeDocument/2006/relationships/externalLinkPath" Target="/sites/FNS-SNAP-PAAD_Management/Shared%20Documents/PAND_Management/Review%20and%20Tracking%20Process/Review%20in%20process/SAB/0584-0684%20NAC/FY26%200584-0684%20NAC_Burden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7.26Burden Table - Report (2)"/>
      <sheetName val="1.7.26Burden Table - Reporting "/>
      <sheetName val="1.7.26 Table Insert"/>
      <sheetName val="Burden Table - Recordkeeping"/>
      <sheetName val="Burden Table - 3rd Party_Disc."/>
      <sheetName val="Avg Caseload - Current"/>
      <sheetName val="Caseload - Upcoming"/>
      <sheetName val="Matches - Current"/>
      <sheetName val="Query Data"/>
      <sheetName val="Est NAC Matches - Nat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P15">
            <v>1246146.9724915791</v>
          </cell>
        </row>
      </sheetData>
      <sheetData sheetId="9">
        <row r="18">
          <cell r="Q18">
            <v>849.86891527617286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0BBC-1149-46A1-A891-24C09C9585F3}">
  <dimension ref="A1:R22"/>
  <sheetViews>
    <sheetView tabSelected="1" zoomScaleNormal="100" workbookViewId="0">
      <pane ySplit="1" topLeftCell="A2" activePane="bottomLeft" state="frozen"/>
      <selection pane="bottomLeft" activeCell="R1" sqref="R1"/>
    </sheetView>
  </sheetViews>
  <sheetFormatPr defaultRowHeight="15" x14ac:dyDescent="0.25"/>
  <cols>
    <col min="3" max="3" width="11.42578125" customWidth="1"/>
    <col min="4" max="4" width="13.85546875" customWidth="1"/>
    <col min="5" max="5" width="10.85546875" customWidth="1"/>
    <col min="6" max="6" width="13.7109375" customWidth="1"/>
    <col min="7" max="7" width="14.7109375" customWidth="1"/>
    <col min="9" max="9" width="13.42578125" customWidth="1"/>
    <col min="12" max="12" width="14" customWidth="1"/>
    <col min="13" max="13" width="10.7109375" customWidth="1"/>
    <col min="14" max="14" width="11.7109375" customWidth="1"/>
    <col min="15" max="15" width="14.7109375" customWidth="1"/>
    <col min="16" max="16" width="14.28515625" customWidth="1"/>
    <col min="18" max="18" width="32.42578125" customWidth="1"/>
  </cols>
  <sheetData>
    <row r="1" spans="1:18" ht="68.2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6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R1" s="155" t="s">
        <v>50</v>
      </c>
    </row>
    <row r="2" spans="1:18" ht="16.5" thickBot="1" x14ac:dyDescent="0.3">
      <c r="A2" s="147" t="s">
        <v>16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9"/>
    </row>
    <row r="3" spans="1:18" ht="67.5" x14ac:dyDescent="0.25">
      <c r="A3" s="150" t="s">
        <v>17</v>
      </c>
      <c r="B3" s="151" t="s">
        <v>48</v>
      </c>
      <c r="C3" s="46" t="s">
        <v>18</v>
      </c>
      <c r="D3" s="46" t="s">
        <v>19</v>
      </c>
      <c r="E3" s="27">
        <v>26</v>
      </c>
      <c r="F3" s="48">
        <v>1</v>
      </c>
      <c r="G3" s="29">
        <f>E3*F3</f>
        <v>26</v>
      </c>
      <c r="H3" s="48">
        <v>5760</v>
      </c>
      <c r="I3" s="61">
        <f t="shared" ref="I3:I10" si="0">G3*H3</f>
        <v>149760</v>
      </c>
      <c r="J3" s="49">
        <f>25.95/2</f>
        <v>12.975</v>
      </c>
      <c r="K3" s="31">
        <f>J3+(J3*0.33)</f>
        <v>17.25675</v>
      </c>
      <c r="L3" s="32">
        <f>I3*K3</f>
        <v>2584370.88</v>
      </c>
      <c r="M3" s="14">
        <v>101760</v>
      </c>
      <c r="N3" s="15">
        <f>(I3-M3)</f>
        <v>48000</v>
      </c>
      <c r="O3" s="16">
        <v>1533411.26</v>
      </c>
      <c r="P3" s="17">
        <f>L3-O3</f>
        <v>1050959.6199999999</v>
      </c>
    </row>
    <row r="4" spans="1:18" ht="40.5" x14ac:dyDescent="0.25">
      <c r="A4" s="150"/>
      <c r="B4" s="151"/>
      <c r="C4" s="12" t="s">
        <v>20</v>
      </c>
      <c r="D4" s="12" t="s">
        <v>21</v>
      </c>
      <c r="E4" s="18">
        <v>26</v>
      </c>
      <c r="F4" s="18">
        <v>200</v>
      </c>
      <c r="G4" s="19">
        <f>E4*F4</f>
        <v>5200</v>
      </c>
      <c r="H4" s="18">
        <v>10</v>
      </c>
      <c r="I4" s="18">
        <f t="shared" si="0"/>
        <v>52000</v>
      </c>
      <c r="J4" s="54">
        <f t="shared" ref="J4:J5" si="1">25.95/2</f>
        <v>12.975</v>
      </c>
      <c r="K4" s="20">
        <f>J4+(J4*0.33)</f>
        <v>17.25675</v>
      </c>
      <c r="L4" s="21">
        <f>I4*K4</f>
        <v>897351</v>
      </c>
      <c r="M4" s="22">
        <v>106000</v>
      </c>
      <c r="N4" s="23">
        <f>(I4-M4)</f>
        <v>-54000</v>
      </c>
      <c r="O4" s="24">
        <v>1597303.4</v>
      </c>
      <c r="P4" s="25">
        <f t="shared" ref="P4:P14" si="2">L4-O4</f>
        <v>-699952.39999999991</v>
      </c>
    </row>
    <row r="5" spans="1:18" ht="54.75" thickBot="1" x14ac:dyDescent="0.3">
      <c r="A5" s="150"/>
      <c r="B5" s="151"/>
      <c r="C5" s="99" t="s">
        <v>22</v>
      </c>
      <c r="D5" s="26" t="s">
        <v>23</v>
      </c>
      <c r="E5" s="27">
        <v>26</v>
      </c>
      <c r="F5" s="28">
        <v>1</v>
      </c>
      <c r="G5" s="29">
        <v>26</v>
      </c>
      <c r="H5" s="28">
        <v>30</v>
      </c>
      <c r="I5" s="30">
        <f t="shared" si="0"/>
        <v>780</v>
      </c>
      <c r="J5" s="49">
        <f t="shared" si="1"/>
        <v>12.975</v>
      </c>
      <c r="K5" s="31">
        <f>J5+(J5*0.33)</f>
        <v>17.25675</v>
      </c>
      <c r="L5" s="32">
        <f>I5*K5</f>
        <v>13460.264999999999</v>
      </c>
      <c r="M5" s="33">
        <v>795</v>
      </c>
      <c r="N5" s="34">
        <f>(I5-M5)</f>
        <v>-15</v>
      </c>
      <c r="O5" s="35">
        <v>11979.78</v>
      </c>
      <c r="P5" s="25">
        <f t="shared" si="2"/>
        <v>1480.4849999999988</v>
      </c>
    </row>
    <row r="6" spans="1:18" ht="46.15" customHeight="1" thickBot="1" x14ac:dyDescent="0.3">
      <c r="A6" s="150"/>
      <c r="B6" s="152"/>
      <c r="C6" s="137" t="s">
        <v>46</v>
      </c>
      <c r="D6" s="138"/>
      <c r="E6" s="36">
        <v>26</v>
      </c>
      <c r="F6" s="37">
        <f>G6/E6</f>
        <v>202</v>
      </c>
      <c r="G6" s="37">
        <f>SUM(G3:G5)</f>
        <v>5252</v>
      </c>
      <c r="H6" s="100">
        <f>I6/G6</f>
        <v>38.564356435643568</v>
      </c>
      <c r="I6" s="37">
        <f>SUM(I3:I5)</f>
        <v>202540</v>
      </c>
      <c r="J6" s="38"/>
      <c r="K6" s="39"/>
      <c r="L6" s="40">
        <f>SUM(L3:L5)</f>
        <v>3495182.145</v>
      </c>
      <c r="M6" s="41">
        <f>SUM(M3:M5)</f>
        <v>208555</v>
      </c>
      <c r="N6" s="42">
        <f>SUM(N3:N5)</f>
        <v>-6015</v>
      </c>
      <c r="O6" s="43">
        <f>SUM(O3:O5)</f>
        <v>3142694.44</v>
      </c>
      <c r="P6" s="44">
        <f>SUM(P3:P5)</f>
        <v>352487.70499999996</v>
      </c>
    </row>
    <row r="7" spans="1:18" ht="67.5" x14ac:dyDescent="0.25">
      <c r="A7" s="150"/>
      <c r="B7" s="153" t="s">
        <v>49</v>
      </c>
      <c r="C7" s="45" t="s">
        <v>24</v>
      </c>
      <c r="D7" s="46" t="s">
        <v>25</v>
      </c>
      <c r="E7" s="47">
        <v>53</v>
      </c>
      <c r="F7" s="48">
        <v>261</v>
      </c>
      <c r="G7" s="29">
        <f>E7*F7</f>
        <v>13833</v>
      </c>
      <c r="H7" s="48">
        <v>1</v>
      </c>
      <c r="I7" s="13">
        <f t="shared" si="0"/>
        <v>13833</v>
      </c>
      <c r="J7" s="49">
        <f>0.5*25.95</f>
        <v>12.975</v>
      </c>
      <c r="K7" s="31">
        <f>J7+(J7*0.33)</f>
        <v>17.25675</v>
      </c>
      <c r="L7" s="32">
        <f>I7*K7</f>
        <v>238712.62275000001</v>
      </c>
      <c r="M7" s="14">
        <v>13833</v>
      </c>
      <c r="N7" s="15">
        <f t="shared" ref="N7:N15" si="3">I7-M7</f>
        <v>0</v>
      </c>
      <c r="O7" s="50">
        <v>208448.09</v>
      </c>
      <c r="P7" s="17">
        <f t="shared" si="2"/>
        <v>30264.532750000013</v>
      </c>
    </row>
    <row r="8" spans="1:18" ht="54" x14ac:dyDescent="0.25">
      <c r="A8" s="150"/>
      <c r="B8" s="154"/>
      <c r="C8" s="51" t="s">
        <v>26</v>
      </c>
      <c r="D8" s="12" t="s">
        <v>27</v>
      </c>
      <c r="E8" s="47">
        <v>53</v>
      </c>
      <c r="F8" s="18">
        <f>'[1]Query Data'!P15</f>
        <v>1246146.9724915791</v>
      </c>
      <c r="G8" s="19">
        <f>E8*F8</f>
        <v>66045789.542053692</v>
      </c>
      <c r="H8" s="52">
        <v>1.67E-2</v>
      </c>
      <c r="I8" s="53">
        <f t="shared" si="0"/>
        <v>1102964.6853522966</v>
      </c>
      <c r="J8" s="54">
        <f>0.5*25.95</f>
        <v>12.975</v>
      </c>
      <c r="K8" s="20">
        <f t="shared" ref="K8:K19" si="4">J8+(J8*0.33)</f>
        <v>17.25675</v>
      </c>
      <c r="L8" s="21">
        <f t="shared" ref="L8:L10" si="5">I8*K8</f>
        <v>19033585.833953243</v>
      </c>
      <c r="M8" s="22">
        <v>300718.07</v>
      </c>
      <c r="N8" s="23">
        <f t="shared" si="3"/>
        <v>802246.6153522965</v>
      </c>
      <c r="O8" s="55">
        <v>4531490.47</v>
      </c>
      <c r="P8" s="25">
        <f t="shared" si="2"/>
        <v>14502095.363953244</v>
      </c>
    </row>
    <row r="9" spans="1:18" ht="81" x14ac:dyDescent="0.25">
      <c r="A9" s="150"/>
      <c r="B9" s="154"/>
      <c r="C9" s="51" t="s">
        <v>28</v>
      </c>
      <c r="D9" s="12" t="s">
        <v>29</v>
      </c>
      <c r="E9" s="47">
        <v>53</v>
      </c>
      <c r="F9" s="18">
        <f>'[1]Est NAC Matches - National'!Q18</f>
        <v>849.86891527617286</v>
      </c>
      <c r="G9" s="29">
        <f>E9*F9</f>
        <v>45043.052509637164</v>
      </c>
      <c r="H9" s="52">
        <v>0.1002</v>
      </c>
      <c r="I9" s="18">
        <f t="shared" si="0"/>
        <v>4513.3138614656436</v>
      </c>
      <c r="J9" s="54">
        <f t="shared" ref="J9:J12" si="6">0.5*25.95</f>
        <v>12.975</v>
      </c>
      <c r="K9" s="31">
        <f t="shared" si="4"/>
        <v>17.25675</v>
      </c>
      <c r="L9" s="32">
        <f t="shared" si="5"/>
        <v>77885.12897884725</v>
      </c>
      <c r="M9" s="22">
        <v>24490.19</v>
      </c>
      <c r="N9" s="23">
        <f t="shared" si="3"/>
        <v>-19976.876138534353</v>
      </c>
      <c r="O9" s="55">
        <v>369040.26</v>
      </c>
      <c r="P9" s="25">
        <f t="shared" si="2"/>
        <v>-291155.13102115277</v>
      </c>
    </row>
    <row r="10" spans="1:18" ht="40.5" x14ac:dyDescent="0.25">
      <c r="A10" s="150"/>
      <c r="B10" s="154"/>
      <c r="C10" s="51" t="s">
        <v>30</v>
      </c>
      <c r="D10" s="12" t="s">
        <v>31</v>
      </c>
      <c r="E10" s="47">
        <v>53</v>
      </c>
      <c r="F10" s="18">
        <f>'[1]Est NAC Matches - National'!Q18</f>
        <v>849.86891527617286</v>
      </c>
      <c r="G10" s="19">
        <f t="shared" ref="G10" si="7">E10*F10</f>
        <v>45043.052509637164</v>
      </c>
      <c r="H10" s="52">
        <v>5.0099999999999999E-2</v>
      </c>
      <c r="I10" s="18">
        <f t="shared" si="0"/>
        <v>2256.6569307328218</v>
      </c>
      <c r="J10" s="54">
        <f t="shared" si="6"/>
        <v>12.975</v>
      </c>
      <c r="K10" s="20">
        <f t="shared" si="4"/>
        <v>17.25675</v>
      </c>
      <c r="L10" s="21">
        <f t="shared" si="5"/>
        <v>38942.564489423625</v>
      </c>
      <c r="M10" s="22">
        <v>20526.45</v>
      </c>
      <c r="N10" s="23">
        <f t="shared" si="3"/>
        <v>-18269.79306926718</v>
      </c>
      <c r="O10" s="55">
        <v>309310.98</v>
      </c>
      <c r="P10" s="25">
        <f t="shared" si="2"/>
        <v>-270368.41551057633</v>
      </c>
    </row>
    <row r="11" spans="1:18" ht="94.5" x14ac:dyDescent="0.25">
      <c r="A11" s="150"/>
      <c r="B11" s="154"/>
      <c r="C11" s="56" t="s">
        <v>32</v>
      </c>
      <c r="D11" s="99" t="s">
        <v>33</v>
      </c>
      <c r="E11" s="47">
        <v>53</v>
      </c>
      <c r="F11" s="18">
        <f>'[1]Est NAC Matches - National'!Q18</f>
        <v>849.86891527617286</v>
      </c>
      <c r="G11" s="29">
        <f>E11*F11</f>
        <v>45043.052509637164</v>
      </c>
      <c r="H11" s="57">
        <v>5.0099999999999999E-2</v>
      </c>
      <c r="I11" s="18">
        <f>G11*H11</f>
        <v>2256.6569307328218</v>
      </c>
      <c r="J11" s="54">
        <f t="shared" si="6"/>
        <v>12.975</v>
      </c>
      <c r="K11" s="31">
        <f>J11+(J11*0.33)</f>
        <v>17.25675</v>
      </c>
      <c r="L11" s="32">
        <f>I11*K11</f>
        <v>38942.564489423625</v>
      </c>
      <c r="M11" s="33">
        <v>20526.45</v>
      </c>
      <c r="N11" s="34">
        <f>I11-M11</f>
        <v>-18269.79306926718</v>
      </c>
      <c r="O11" s="58">
        <v>309310.98</v>
      </c>
      <c r="P11" s="59">
        <f>L11-O11</f>
        <v>-270368.41551057633</v>
      </c>
    </row>
    <row r="12" spans="1:18" ht="122.25" thickBot="1" x14ac:dyDescent="0.3">
      <c r="A12" s="150"/>
      <c r="B12" s="154"/>
      <c r="C12" s="56" t="s">
        <v>44</v>
      </c>
      <c r="D12" s="60" t="s">
        <v>23</v>
      </c>
      <c r="E12" s="27">
        <v>53</v>
      </c>
      <c r="F12" s="61">
        <v>1</v>
      </c>
      <c r="G12" s="62">
        <f>E12*F12</f>
        <v>53</v>
      </c>
      <c r="H12" s="28">
        <v>35</v>
      </c>
      <c r="I12" s="63">
        <f>G12*H12</f>
        <v>1855</v>
      </c>
      <c r="J12" s="54">
        <f t="shared" si="6"/>
        <v>12.975</v>
      </c>
      <c r="K12" s="64">
        <f>J12+(J12*0.33)</f>
        <v>17.25675</v>
      </c>
      <c r="L12" s="65">
        <f>I12*K12</f>
        <v>32011.271250000002</v>
      </c>
      <c r="M12" s="66">
        <v>0</v>
      </c>
      <c r="N12" s="67">
        <f>I12-M12</f>
        <v>1855</v>
      </c>
      <c r="O12" s="68">
        <v>0</v>
      </c>
      <c r="P12" s="69">
        <f>L12-O12</f>
        <v>32011.271250000002</v>
      </c>
    </row>
    <row r="13" spans="1:18" ht="50.45" customHeight="1" thickBot="1" x14ac:dyDescent="0.3">
      <c r="A13" s="150"/>
      <c r="B13" s="151"/>
      <c r="C13" s="137" t="s">
        <v>47</v>
      </c>
      <c r="D13" s="138"/>
      <c r="E13" s="36">
        <v>53</v>
      </c>
      <c r="F13" s="36">
        <f>G13/E13</f>
        <v>1248958.5792374075</v>
      </c>
      <c r="G13" s="36">
        <f>SUM(G7:G12)</f>
        <v>66194804.699582599</v>
      </c>
      <c r="H13" s="101">
        <f>I13/G13</f>
        <v>1.7035767658701746E-2</v>
      </c>
      <c r="I13" s="37">
        <f>SUM(I7:I12)</f>
        <v>1127679.3130752277</v>
      </c>
      <c r="J13" s="70"/>
      <c r="K13" s="71"/>
      <c r="L13" s="72">
        <f>SUM(L7:L12)</f>
        <v>19460079.985910937</v>
      </c>
      <c r="M13" s="41">
        <f>SUM(M7:M11)</f>
        <v>380094.16000000003</v>
      </c>
      <c r="N13" s="73">
        <f>SUM(N7:N12)</f>
        <v>747585.15307522775</v>
      </c>
      <c r="O13" s="74">
        <f>SUM(O7:O12)</f>
        <v>5727600.7799999993</v>
      </c>
      <c r="P13" s="75">
        <f>SUM(P7:P12)</f>
        <v>13732479.205910938</v>
      </c>
      <c r="Q13" s="76"/>
    </row>
    <row r="14" spans="1:18" ht="81" x14ac:dyDescent="0.25">
      <c r="A14" s="134" t="s">
        <v>34</v>
      </c>
      <c r="B14" s="134"/>
      <c r="C14" s="46" t="s">
        <v>35</v>
      </c>
      <c r="D14" s="77" t="s">
        <v>36</v>
      </c>
      <c r="E14" s="78">
        <f>G10</f>
        <v>45043.052509637164</v>
      </c>
      <c r="F14" s="78">
        <v>1</v>
      </c>
      <c r="G14" s="28">
        <f>E14*F14</f>
        <v>45043.052509637164</v>
      </c>
      <c r="H14" s="79">
        <v>8.3500000000000005E-2</v>
      </c>
      <c r="I14" s="80">
        <f>G14*H14</f>
        <v>3761.0948845547032</v>
      </c>
      <c r="J14" s="81">
        <v>7.25</v>
      </c>
      <c r="K14" s="82">
        <f t="shared" si="4"/>
        <v>9.6425000000000001</v>
      </c>
      <c r="L14" s="83">
        <f t="shared" ref="L14:L16" si="8">I14*K14</f>
        <v>36266.357424318725</v>
      </c>
      <c r="M14" s="14">
        <v>34210.75</v>
      </c>
      <c r="N14" s="15">
        <f t="shared" si="3"/>
        <v>-30449.655115445297</v>
      </c>
      <c r="O14" s="84">
        <v>73988.780918548277</v>
      </c>
      <c r="P14" s="85">
        <f t="shared" si="2"/>
        <v>-37722.423494229552</v>
      </c>
    </row>
    <row r="15" spans="1:18" ht="138" customHeight="1" x14ac:dyDescent="0.25">
      <c r="A15" s="135"/>
      <c r="B15" s="135"/>
      <c r="C15" s="99" t="s">
        <v>37</v>
      </c>
      <c r="D15" s="86" t="s">
        <v>38</v>
      </c>
      <c r="E15" s="87">
        <f>G11</f>
        <v>45043.052509637164</v>
      </c>
      <c r="F15" s="87">
        <v>1</v>
      </c>
      <c r="G15" s="28">
        <f>E15*F15</f>
        <v>45043.052509637164</v>
      </c>
      <c r="H15" s="88">
        <v>8.3500000000000005E-2</v>
      </c>
      <c r="I15" s="87">
        <f>G15*H15</f>
        <v>3761.0948845547032</v>
      </c>
      <c r="J15" s="104">
        <v>7.25</v>
      </c>
      <c r="K15" s="105">
        <f t="shared" si="4"/>
        <v>9.6425000000000001</v>
      </c>
      <c r="L15" s="89">
        <f t="shared" si="8"/>
        <v>36266.357424318725</v>
      </c>
      <c r="M15" s="33">
        <v>34210.75</v>
      </c>
      <c r="N15" s="34">
        <f t="shared" si="3"/>
        <v>-30449.655115445297</v>
      </c>
      <c r="O15" s="90">
        <v>104423.47262390601</v>
      </c>
      <c r="P15" s="59">
        <f>L15-O15</f>
        <v>-68157.115199587279</v>
      </c>
    </row>
    <row r="16" spans="1:18" ht="138" customHeight="1" thickBot="1" x14ac:dyDescent="0.3">
      <c r="A16" s="135"/>
      <c r="B16" s="135"/>
      <c r="C16" s="122" t="s">
        <v>42</v>
      </c>
      <c r="D16" s="123" t="s">
        <v>43</v>
      </c>
      <c r="E16" s="124">
        <v>0</v>
      </c>
      <c r="F16" s="124">
        <v>0</v>
      </c>
      <c r="G16" s="124">
        <v>0</v>
      </c>
      <c r="H16" s="125">
        <v>0</v>
      </c>
      <c r="I16" s="124">
        <v>0</v>
      </c>
      <c r="J16" s="126">
        <v>0</v>
      </c>
      <c r="K16" s="127">
        <v>0</v>
      </c>
      <c r="L16" s="128">
        <f t="shared" si="8"/>
        <v>0</v>
      </c>
      <c r="M16" s="33">
        <v>16326.79</v>
      </c>
      <c r="N16" s="129">
        <v>16326.79</v>
      </c>
      <c r="O16" s="58"/>
      <c r="P16" s="106"/>
    </row>
    <row r="17" spans="1:16" ht="34.15" customHeight="1" thickBot="1" x14ac:dyDescent="0.3">
      <c r="A17" s="136"/>
      <c r="B17" s="136"/>
      <c r="C17" s="137" t="s">
        <v>45</v>
      </c>
      <c r="D17" s="138"/>
      <c r="E17" s="115">
        <v>45043.05</v>
      </c>
      <c r="F17" s="116">
        <f>SUM(F14:F15)</f>
        <v>2</v>
      </c>
      <c r="G17" s="116">
        <f>SUM(G14:G15)</f>
        <v>90086.105019274328</v>
      </c>
      <c r="H17" s="117">
        <f>I17/G17</f>
        <v>8.3500000000000005E-2</v>
      </c>
      <c r="I17" s="116">
        <f>SUM(I14:I15)</f>
        <v>7522.1897691094064</v>
      </c>
      <c r="J17" s="130">
        <v>7.25</v>
      </c>
      <c r="K17" s="130">
        <f t="shared" si="4"/>
        <v>9.6425000000000001</v>
      </c>
      <c r="L17" s="118">
        <f>SUM(L14:L15)</f>
        <v>72532.71484863745</v>
      </c>
      <c r="M17" s="119">
        <f>SUM(M14:M15)</f>
        <v>68421.5</v>
      </c>
      <c r="N17" s="120">
        <f>SUM(N14:N15)</f>
        <v>-60899.310230890595</v>
      </c>
      <c r="O17" s="121">
        <f>SUM(O14:O15)</f>
        <v>178412.25354245427</v>
      </c>
      <c r="P17" s="44">
        <f>SUM(P14:P15)</f>
        <v>-105879.53869381684</v>
      </c>
    </row>
    <row r="18" spans="1:16" ht="23.45" customHeight="1" thickBot="1" x14ac:dyDescent="0.3">
      <c r="A18" s="137" t="s">
        <v>39</v>
      </c>
      <c r="B18" s="139"/>
      <c r="C18" s="140"/>
      <c r="D18" s="141"/>
      <c r="E18" s="107">
        <f>E13+E17</f>
        <v>45096.05</v>
      </c>
      <c r="F18" s="108">
        <f>G18/E18</f>
        <v>1469.8602384156011</v>
      </c>
      <c r="G18" s="109">
        <f>G13+G17</f>
        <v>66284890.80460187</v>
      </c>
      <c r="H18" s="108">
        <f>I18/G18</f>
        <v>1.7126097502230857E-2</v>
      </c>
      <c r="I18" s="110">
        <f>I13+I17</f>
        <v>1135201.5028443371</v>
      </c>
      <c r="J18" s="131">
        <v>7.25</v>
      </c>
      <c r="K18" s="131">
        <f t="shared" si="4"/>
        <v>9.6425000000000001</v>
      </c>
      <c r="L18" s="111">
        <f>L13+L17</f>
        <v>19532612.700759575</v>
      </c>
      <c r="M18" s="112">
        <f>M13+M17</f>
        <v>448515.66000000003</v>
      </c>
      <c r="N18" s="91">
        <f>N13+N17</f>
        <v>686685.84284433711</v>
      </c>
      <c r="O18" s="113">
        <f>O13+O17</f>
        <v>5906013.0335424533</v>
      </c>
      <c r="P18" s="114">
        <f>P13+P17</f>
        <v>13626599.667217121</v>
      </c>
    </row>
    <row r="19" spans="1:16" ht="20.45" customHeight="1" thickBot="1" x14ac:dyDescent="0.3">
      <c r="A19" s="142" t="s">
        <v>40</v>
      </c>
      <c r="B19" s="143"/>
      <c r="C19" s="143"/>
      <c r="D19" s="144"/>
      <c r="E19" s="92">
        <f>E6+E18</f>
        <v>45122.05</v>
      </c>
      <c r="F19" s="102">
        <f>G19/E19</f>
        <v>1469.1296783856644</v>
      </c>
      <c r="G19" s="103">
        <f>G6+G18</f>
        <v>66290142.80460187</v>
      </c>
      <c r="H19" s="102">
        <f>I19/G19</f>
        <v>2.0180096862779287E-2</v>
      </c>
      <c r="I19" s="93">
        <f>I6+I18</f>
        <v>1337741.5028443371</v>
      </c>
      <c r="J19" s="132">
        <v>7.25</v>
      </c>
      <c r="K19" s="132">
        <f t="shared" si="4"/>
        <v>9.6425000000000001</v>
      </c>
      <c r="L19" s="94">
        <f>L6+L18</f>
        <v>23027794.845759574</v>
      </c>
      <c r="M19" s="95">
        <f>M6+M18</f>
        <v>657070.66</v>
      </c>
      <c r="N19" s="96">
        <f>N6+N18</f>
        <v>680670.84284433711</v>
      </c>
      <c r="O19" s="97">
        <f>O6+O18</f>
        <v>9048707.4735424537</v>
      </c>
      <c r="P19" s="98">
        <f>P6+P18</f>
        <v>13979087.372217121</v>
      </c>
    </row>
    <row r="20" spans="1:16" ht="14.45" customHeight="1" x14ac:dyDescent="0.25">
      <c r="A20" s="145" t="s">
        <v>41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2" spans="1:16" x14ac:dyDescent="0.25">
      <c r="A22" s="133"/>
      <c r="B22" s="133"/>
      <c r="C22" s="133"/>
      <c r="D22" s="133"/>
      <c r="E22" s="133"/>
      <c r="F22" s="133"/>
      <c r="G22" s="133"/>
      <c r="H22" s="133"/>
      <c r="I22" s="133"/>
    </row>
  </sheetData>
  <mergeCells count="12">
    <mergeCell ref="A2:P2"/>
    <mergeCell ref="A3:A13"/>
    <mergeCell ref="B3:B6"/>
    <mergeCell ref="C6:D6"/>
    <mergeCell ref="B7:B13"/>
    <mergeCell ref="C13:D13"/>
    <mergeCell ref="A22:I22"/>
    <mergeCell ref="A14:B17"/>
    <mergeCell ref="C17:D17"/>
    <mergeCell ref="A18:D18"/>
    <mergeCell ref="A19:D19"/>
    <mergeCell ref="A20:P20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3ae1a219-f1fd-468f-b2c7-b4766e985bb7">
      <UserInfo>
        <DisplayName/>
        <AccountId xsi:nil="true"/>
        <AccountType/>
      </UserInfo>
    </SharedWithUsers>
    <MovedtoFinal_x003f_ xmlns="ecf624fd-d71f-4fb0-b10a-ca34a99f6b63">true</MovedtoFinal_x003f_>
    <lcf76f155ced4ddcb4097134ff3c332f xmlns="ecf624fd-d71f-4fb0-b10a-ca34a99f6b63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172219E140EF439EA3A5E815526697" ma:contentTypeVersion="21" ma:contentTypeDescription="Create a new document." ma:contentTypeScope="" ma:versionID="5e05e8bf78dc781eef0d8e5e835dbd3c">
  <xsd:schema xmlns:xsd="http://www.w3.org/2001/XMLSchema" xmlns:xs="http://www.w3.org/2001/XMLSchema" xmlns:p="http://schemas.microsoft.com/office/2006/metadata/properties" xmlns:ns1="http://schemas.microsoft.com/sharepoint/v3" xmlns:ns2="ecf624fd-d71f-4fb0-b10a-ca34a99f6b63" xmlns:ns3="3ae1a219-f1fd-468f-b2c7-b4766e985bb7" xmlns:ns4="73fb875a-8af9-4255-b008-0995492d31cd" targetNamespace="http://schemas.microsoft.com/office/2006/metadata/properties" ma:root="true" ma:fieldsID="141b0dc27492a17ceafb592e20878a57" ns1:_="" ns2:_="" ns3:_="" ns4:_="">
    <xsd:import namespace="http://schemas.microsoft.com/sharepoint/v3"/>
    <xsd:import namespace="ecf624fd-d71f-4fb0-b10a-ca34a99f6b63"/>
    <xsd:import namespace="3ae1a219-f1fd-468f-b2c7-b4766e985bb7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ovedtoFinal_x003f_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624fd-d71f-4fb0-b10a-ca34a99f6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ovedtoFinal_x003f_" ma:index="22" nillable="true" ma:displayName="Moved to Final?" ma:default="1" ma:description="Moved individually or bundled with others into the Final Folder." ma:format="Dropdown" ma:internalName="MovedtoFinal_x003f_">
      <xsd:simpleType>
        <xsd:restriction base="dms:Boolea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1a219-f1fd-468f-b2c7-b4766e985bb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188b618-126b-41af-83b5-177d0922ab20}" ma:internalName="TaxCatchAll" ma:showField="CatchAllData" ma:web="3ae1a219-f1fd-468f-b2c7-b4766e985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3DDD8C-6D73-4528-8F19-23F997B808C1}">
  <ds:schemaRefs>
    <ds:schemaRef ds:uri="http://schemas.microsoft.com/sharepoint/v3"/>
    <ds:schemaRef ds:uri="http://schemas.microsoft.com/office/2006/documentManagement/types"/>
    <ds:schemaRef ds:uri="31c69ba0-9166-4396-b172-384f97184df8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cd6260a6-335d-4504-888e-01db4453379f"/>
    <ds:schemaRef ds:uri="http://purl.org/dc/dcmitype/"/>
    <ds:schemaRef ds:uri="http://purl.org/dc/elements/1.1/"/>
    <ds:schemaRef ds:uri="3ae1a219-f1fd-468f-b2c7-b4766e985bb7"/>
    <ds:schemaRef ds:uri="ecf624fd-d71f-4fb0-b10a-ca34a99f6b63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3C5352F9-61AC-4C97-93DA-F3C3CB427A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8124B-03B3-4E66-972B-325BEF1A4C0E}"/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Ragan, Jennifer - FNS</dc:creator>
  <cp:keywords/>
  <dc:description/>
  <cp:lastModifiedBy>Ragan, Jennifer - FNS</cp:lastModifiedBy>
  <cp:revision/>
  <dcterms:created xsi:type="dcterms:W3CDTF">2026-01-26T15:59:27Z</dcterms:created>
  <dcterms:modified xsi:type="dcterms:W3CDTF">2026-05-08T15:03:04Z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0x01010056172219E140EF439EA3A5E815526697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ovedtoFinal?">
    <vt:bool>true</vt:bool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