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Maryland\Riverdale\ITD\IMC\5.7 050 PRA\ICR ACTIVE\VS\VS 0453 2026\IMB\"/>
    </mc:Choice>
  </mc:AlternateContent>
  <xr:revisionPtr revIDLastSave="0" documentId="8_{066E2F3A-48B6-48FA-A1FD-97EB095EE10C}" xr6:coauthVersionLast="47" xr6:coauthVersionMax="47" xr10:uidLastSave="{00000000-0000-0000-0000-000000000000}"/>
  <bookViews>
    <workbookView xWindow="67080" yWindow="-120" windowWidth="29040" windowHeight="15720" tabRatio="389" xr2:uid="{F38D79EA-36B0-400D-84E7-32D0B3AB86E3}"/>
  </bookViews>
  <sheets>
    <sheet name="APHIS 71" sheetId="1" r:id="rId1"/>
    <sheet name="IMB ROCIS Calcs" sheetId="4" r:id="rId2"/>
  </sheets>
  <definedNames>
    <definedName name="_xlnm.Print_Area" localSheetId="1">'IMB ROCIS Calcs'!$A$5:$F$45</definedName>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18" i="1" l="1"/>
  <c r="L27" i="1" l="1"/>
  <c r="L28" i="1"/>
  <c r="L9" i="1" s="1"/>
  <c r="L29" i="1"/>
  <c r="L30" i="1"/>
  <c r="L31" i="1"/>
  <c r="L32" i="1"/>
  <c r="L33" i="1"/>
  <c r="L34" i="1"/>
  <c r="L35" i="1"/>
  <c r="L36" i="1"/>
  <c r="L37" i="1"/>
  <c r="L38" i="1"/>
  <c r="L39" i="1"/>
  <c r="L40" i="1"/>
  <c r="L41" i="1"/>
  <c r="L42" i="1"/>
  <c r="L43" i="1"/>
  <c r="L44" i="1"/>
  <c r="L45" i="1"/>
  <c r="L46" i="1"/>
  <c r="B11" i="1"/>
  <c r="O11" i="4"/>
  <c r="O10" i="4"/>
  <c r="O9" i="4"/>
  <c r="N11" i="4"/>
  <c r="N10" i="4"/>
  <c r="N9" i="4"/>
  <c r="M11" i="4"/>
  <c r="L11" i="4"/>
  <c r="L10" i="4"/>
  <c r="L9" i="4"/>
  <c r="K11" i="4"/>
  <c r="L8" i="1" l="1"/>
  <c r="B18" i="4" l="1"/>
  <c r="K18" i="4" s="1"/>
  <c r="M18" i="4" l="1"/>
  <c r="E43" i="4"/>
  <c r="H44" i="4" s="1"/>
  <c r="E6" i="4"/>
  <c r="B16" i="4" s="1"/>
  <c r="K15" i="4" s="1"/>
  <c r="B44" i="4"/>
  <c r="B36" i="4"/>
  <c r="E19" i="4"/>
  <c r="H20" i="4" s="1"/>
  <c r="D19" i="4"/>
  <c r="H19" i="4" s="1"/>
  <c r="E27" i="4"/>
  <c r="H28" i="4" s="1"/>
  <c r="B28" i="4"/>
  <c r="D43" i="4"/>
  <c r="H43" i="4" s="1"/>
  <c r="B42" i="4"/>
  <c r="K42" i="4" s="1"/>
  <c r="M42" i="4" s="1"/>
  <c r="E35" i="4"/>
  <c r="H36" i="4" s="1"/>
  <c r="B34" i="4"/>
  <c r="K34" i="4" s="1"/>
  <c r="M34" i="4" s="1"/>
  <c r="B26" i="4"/>
  <c r="B20" i="4"/>
  <c r="K26" i="4" l="1"/>
  <c r="K9" i="4" s="1"/>
  <c r="H11" i="4"/>
  <c r="E13" i="4"/>
  <c r="B40" i="4" s="1"/>
  <c r="K39" i="4" s="1"/>
  <c r="E12" i="4"/>
  <c r="E11" i="4"/>
  <c r="E10" i="4"/>
  <c r="E9" i="4"/>
  <c r="E8" i="4"/>
  <c r="E7" i="4"/>
  <c r="M26" i="4" l="1"/>
  <c r="M9" i="4" s="1"/>
  <c r="B32" i="4"/>
  <c r="K31" i="4" s="1"/>
  <c r="B24" i="4"/>
  <c r="K23" i="4" s="1"/>
  <c r="L25" i="1"/>
  <c r="L26" i="1"/>
  <c r="D27" i="4" s="1"/>
  <c r="H27" i="4" s="1"/>
  <c r="L21" i="1"/>
  <c r="L22" i="1"/>
  <c r="L23" i="1"/>
  <c r="L24" i="1"/>
  <c r="K6" i="4" l="1"/>
  <c r="B17" i="4" l="1"/>
  <c r="L15" i="1" l="1"/>
  <c r="L16" i="1"/>
  <c r="L17" i="1"/>
  <c r="L19" i="1"/>
  <c r="L20" i="1"/>
  <c r="L14" i="1"/>
  <c r="D35" i="4" l="1"/>
  <c r="H35" i="4" s="1"/>
  <c r="H10" i="4" s="1"/>
  <c r="B37" i="4"/>
  <c r="B21" i="4"/>
  <c r="B19" i="4"/>
  <c r="C19" i="4"/>
  <c r="B45" i="4"/>
  <c r="B43" i="4"/>
  <c r="C43" i="4"/>
  <c r="H42" i="4" s="1"/>
  <c r="C27" i="4"/>
  <c r="H26" i="4" s="1"/>
  <c r="B29" i="4"/>
  <c r="B27" i="4"/>
  <c r="C35" i="4"/>
  <c r="H34" i="4" s="1"/>
  <c r="B35" i="4"/>
  <c r="L10" i="1" l="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<sst xmlns="http://schemas.openxmlformats.org/spreadsheetml/2006/main" count="355" uniqueCount="147">
  <si>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</si>
  <si>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</si>
  <si>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</si>
  <si>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</si>
  <si>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</si>
  <si>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</si>
  <si>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</si>
  <si>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</si>
  <si>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</si>
  <si>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</si>
  <si>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</si>
  <si>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</si>
  <si>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</si>
  <si>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</si>
  <si>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</si>
  <si>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</si>
  <si>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</si>
  <si>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</si>
  <si>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</si>
  <si>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</si>
  <si>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</si>
  <si>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</si>
  <si>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</si>
  <si>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</si>
  <si>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</si>
  <si>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</si>
  <si>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</si>
  <si>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</si>
  <si>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</si>
  <si>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</si>
  <si>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</si>
  <si>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</si>
  <si>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</si>
  <si>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B = Responses per Respondent</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</si>
  <si>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</si>
  <si>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</si>
  <si>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</si>
  <si>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</si>
  <si>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</si>
  <si>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</si>
  <si>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</si>
  <si>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</si>
  <si>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</si>
  <si>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</si>
  <si>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</si>
  <si>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</si>
  <si>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</si>
  <si>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</si>
  <si>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</si>
  <si>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Total</t>
  </si>
  <si>
    <t>FG, Foreign Govt</t>
  </si>
  <si>
    <t>S1, State GovT</t>
  </si>
  <si>
    <t>S2, Local Govt</t>
  </si>
  <si>
    <t>S3, Tribal Govt</t>
  </si>
  <si>
    <t xml:space="preserve"> I, Individual or Household</t>
  </si>
  <si>
    <t>Foreign Govt</t>
  </si>
  <si>
    <t>3rd Party</t>
  </si>
  <si>
    <t>TOTAL RESPONDENTS</t>
  </si>
  <si>
    <t>0579-####</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</si>
  <si>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</si>
  <si>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</si>
  <si>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</si>
  <si>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</si>
  <si>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</si>
  <si>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</si>
  <si>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</si>
  <si>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</si>
  <si>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</si>
  <si>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</si>
  <si>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</si>
  <si>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</si>
  <si>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</si>
  <si>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</si>
  <si>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</si>
  <si>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</si>
  <si>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h</t>
  </si>
  <si>
    <t>g</t>
  </si>
  <si>
    <t>g h</t>
  </si>
  <si>
    <t>INSTRUCTIONS: DATA POPULATES AUTOMATICALLY AS IT IS KEYED ONTO THE APHIS 71 WORKSHEET.</t>
  </si>
  <si>
    <t>YELLOW CELLS INDICATE THERE ARE FORMULAS AND LINKS TO OTHER CELLS ON WORKSHEET (COL B,C,D,E)</t>
  </si>
  <si>
    <t>Arrows indicate data flow; Columns J thru O represent the ROCIS data entered for each repondent type.</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</si>
  <si>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</si>
  <si>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</si>
  <si>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</si>
  <si>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</si>
  <si>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</si>
  <si>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</si>
  <si>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</si>
  <si>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</si>
  <si>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</si>
  <si>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</si>
  <si>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</si>
  <si>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</si>
  <si>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</si>
  <si>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</si>
  <si>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</si>
  <si>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</si>
  <si>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DATA COL H FED FROM COL A THRU E; COL O: EVERYTHING BELOW ROW 15 MANUALLY KEYED IN FROM ROCIS</t>
  </si>
  <si>
    <t>MANUAL DATA ENTRY:  O18, O19, O26, O27, O34, O35, O42, O43.</t>
  </si>
  <si>
    <t>MM/YYYY</t>
  </si>
  <si>
    <t>Renewal</t>
  </si>
  <si>
    <t>Importation of Sheep,</t>
  </si>
  <si>
    <t xml:space="preserve">Goats, and Certain Other </t>
  </si>
  <si>
    <t>Ruminants</t>
  </si>
  <si>
    <t>9 CFR 93.404</t>
  </si>
  <si>
    <t>none</t>
  </si>
  <si>
    <t>Info system</t>
  </si>
  <si>
    <t>E</t>
  </si>
  <si>
    <t>P1</t>
  </si>
  <si>
    <t>I</t>
  </si>
  <si>
    <t>Embryo/Oocyte Recipient Flock/Herd Identification</t>
  </si>
  <si>
    <t>R</t>
  </si>
  <si>
    <t>9 CFR 93.404; 9 CFR 93.435(a)(2); 9 CFR 98.10</t>
  </si>
  <si>
    <t>Health Certificates for Sheep</t>
  </si>
  <si>
    <t>9 CFR 93.405</t>
  </si>
  <si>
    <t>Permanent Country Mark and Seals</t>
  </si>
  <si>
    <t>9 CFR 93.435</t>
  </si>
  <si>
    <t>Animals Imported for Immediate Slaughter</t>
  </si>
  <si>
    <t>VS 17-33</t>
  </si>
  <si>
    <t xml:space="preserve">Sheep and Goats Imported to Designated/Approved Feedlots </t>
  </si>
  <si>
    <t>VS 17-130</t>
  </si>
  <si>
    <t>Feedlot Compliance Agreement</t>
  </si>
  <si>
    <t>9 CFR 93.404; 9 CFR 93.435(c )(11)</t>
  </si>
  <si>
    <t>9 CFR 93.404; 9 CFR 93.435( c)(11)</t>
  </si>
  <si>
    <t>S1</t>
  </si>
  <si>
    <t>Request for Deviation</t>
  </si>
  <si>
    <t>9 CFR 93.404; 9 CFR 93.435</t>
  </si>
  <si>
    <t xml:space="preserve">E </t>
  </si>
  <si>
    <t>Written Request for Inspection, Other Services, and Dipping</t>
  </si>
  <si>
    <t>9 CFR 93.428</t>
  </si>
  <si>
    <t>VS 17-32</t>
  </si>
  <si>
    <t xml:space="preserve">Determination of Whether a Country or Region Conducts Equivalent Classical Scrapie Free Flock/Herd Certification Program </t>
  </si>
  <si>
    <t>9 CFR 92.2; 9 CFR 93.435(f)</t>
  </si>
  <si>
    <t>Seals</t>
  </si>
  <si>
    <t>9 CFR 93.435( c)(2), ( c)(8); 9 CFR 94.15(b)</t>
  </si>
  <si>
    <t>FG</t>
  </si>
  <si>
    <t>Export Health Certificate - Gelatin</t>
  </si>
  <si>
    <t>9 CFR 94.26</t>
  </si>
  <si>
    <t xml:space="preserve">Foreign Government Sanitary Certificate (Products)/Export Health Certificates </t>
  </si>
  <si>
    <t>9 CFR 94.5</t>
  </si>
  <si>
    <t>0579-0453</t>
  </si>
  <si>
    <t>Mary Kate Anderson</t>
  </si>
  <si>
    <t>Field Operations District Office Contact</t>
  </si>
  <si>
    <t>x</t>
  </si>
  <si>
    <t>301-789-4466</t>
  </si>
  <si>
    <t>Vol. 90 No. 174 Pages 44000-44001</t>
  </si>
  <si>
    <t>APHIS–2025–0027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</si>
</sst>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00"/>
    <numFmt numFmtId="165" formatCode="_(* #,##0_);_(* \(#,##0\);_(* &quot;-&quot;??_);_(@_)"/>
    <numFmt numFmtId="166" formatCode="_(* #,##0.00000_);_(* \(#,##0.00000\);_(* &quot;-&quot;??_);_(@_)"/>
    <numFmt numFmtId="167" formatCode="&quot;$&quot;#,##0.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b/>
      <sz val="10"/>
      <name val="Calibri"/>
      <family val="2"/>
      <scheme val="minor"/>
    </font>
    <font>
      <sz val="10"/>
      <name val="Arial"/>
      <family val="2"/>
    </font>
    <font>
      <sz val="8"/>
      <name val="Arial"/>
      <family val="2"/>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i/>
      <sz val="10"/>
      <color theme="1"/>
      <name val="Calibri"/>
      <family val="2"/>
      <scheme val="minor"/>
    </font>
    <font>
      <i/>
      <sz val="8"/>
      <name val="Arial"/>
      <family val="2"/>
    </font>
    <font>
      <b/>
      <sz val="12"/>
      <color rgb="FFC00000"/>
      <name val="Calibri"/>
      <family val="2"/>
      <scheme val="minor"/>
    </font>
    <font>
      <b/>
      <sz val="10.5"/>
      <color theme="1"/>
      <name val="Calibri"/>
      <family val="2"/>
      <scheme val="minor"/>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sz val="12"/>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2" fillId="0" borderId="0"/>
    <xf numFmtId="44" fontId="6" fillId="0" borderId="0" applyFont="0" applyFill="0" applyBorder="0" applyAlignment="0" applyProtection="0"/>
  </cellStyleXfs>
  <cellXfs count="220">
    <xf numFmtId="0" fontId="0" fillId="0" borderId="0" xfId="0"/>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3" fillId="0" borderId="0" xfId="6" applyFont="1" applyAlignment="1">
      <alignment vertical="center"/>
    </xf>
    <xf numFmtId="0" fontId="0" fillId="0" borderId="34" xfId="0" applyBorder="1" applyAlignment="1">
      <alignment horizontal="center"/>
    </xf>
    <xf numFmtId="0" fontId="2" fillId="0" borderId="35" xfId="0" applyFont="1" applyBorder="1" applyAlignment="1">
      <alignment horizontal="right"/>
    </xf>
    <xf numFmtId="3" fontId="0" fillId="0" borderId="36" xfId="0" applyNumberFormat="1" applyBorder="1" applyAlignment="1">
      <alignment horizontal="center"/>
    </xf>
    <xf numFmtId="0" fontId="0" fillId="0" borderId="37" xfId="0" applyBorder="1" applyAlignment="1">
      <alignment horizontal="center"/>
    </xf>
    <xf numFmtId="0" fontId="2" fillId="0" borderId="38" xfId="0" applyFont="1" applyBorder="1" applyAlignment="1">
      <alignment horizontal="right"/>
    </xf>
    <xf numFmtId="3" fontId="0" fillId="0" borderId="39" xfId="0" applyNumberFormat="1" applyBorder="1" applyAlignment="1">
      <alignment horizontal="center"/>
    </xf>
    <xf numFmtId="1" fontId="0" fillId="0" borderId="39" xfId="0" applyNumberFormat="1" applyBorder="1" applyAlignment="1">
      <alignment horizontal="center"/>
    </xf>
    <xf numFmtId="164" fontId="0" fillId="0" borderId="39" xfId="0" applyNumberFormat="1" applyBorder="1" applyAlignment="1">
      <alignment horizontal="center"/>
    </xf>
    <xf numFmtId="0" fontId="0" fillId="0" borderId="40" xfId="0" applyBorder="1" applyAlignment="1">
      <alignment horizontal="center"/>
    </xf>
    <xf numFmtId="0" fontId="2" fillId="0" borderId="41" xfId="0" applyFont="1" applyBorder="1" applyAlignment="1">
      <alignment horizontal="right"/>
    </xf>
    <xf numFmtId="0" fontId="0" fillId="0" borderId="35" xfId="0" applyBorder="1"/>
    <xf numFmtId="0" fontId="0" fillId="0" borderId="38" xfId="0" applyBorder="1"/>
    <xf numFmtId="0" fontId="0" fillId="0" borderId="41" xfId="0" applyBorder="1"/>
    <xf numFmtId="0" fontId="0" fillId="0" borderId="39" xfId="0" applyBorder="1"/>
    <xf numFmtId="0" fontId="0" fillId="0" borderId="43" xfId="0" applyBorder="1"/>
    <xf numFmtId="0" fontId="0" fillId="0" borderId="44" xfId="0" applyBorder="1"/>
    <xf numFmtId="0" fontId="0" fillId="0" borderId="42" xfId="0" applyBorder="1" applyAlignment="1">
      <alignment horizontal="center"/>
    </xf>
    <xf numFmtId="0" fontId="14" fillId="0" borderId="13" xfId="0" applyFont="1" applyBorder="1"/>
    <xf numFmtId="0" fontId="14" fillId="0" borderId="13" xfId="0" applyFont="1" applyBorder="1" applyAlignment="1">
      <alignment horizontal="center"/>
    </xf>
    <xf numFmtId="0" fontId="2" fillId="0" borderId="37" xfId="0" applyFont="1" applyBorder="1" applyAlignment="1">
      <alignment horizontal="right"/>
    </xf>
    <xf numFmtId="0" fontId="2" fillId="0" borderId="34" xfId="0" applyFont="1" applyBorder="1" applyAlignment="1">
      <alignment horizontal="right"/>
    </xf>
    <xf numFmtId="0" fontId="2" fillId="0" borderId="40" xfId="0" applyFont="1" applyBorder="1" applyAlignment="1">
      <alignment horizontal="right"/>
    </xf>
    <xf numFmtId="0" fontId="0" fillId="0" borderId="38" xfId="0" applyBorder="1" applyAlignment="1">
      <alignment horizontal="left" indent="1"/>
    </xf>
    <xf numFmtId="0" fontId="15" fillId="2" borderId="6" xfId="0" applyFont="1" applyFill="1" applyBorder="1" applyAlignment="1">
      <alignment horizontal="left"/>
    </xf>
    <xf numFmtId="0" fontId="15" fillId="2" borderId="7" xfId="0" applyFont="1" applyFill="1" applyBorder="1" applyAlignment="1">
      <alignment horizontal="center"/>
    </xf>
    <xf numFmtId="0" fontId="15" fillId="2" borderId="7" xfId="0" applyFont="1" applyFill="1" applyBorder="1"/>
    <xf numFmtId="0" fontId="15" fillId="2" borderId="13" xfId="0" applyFont="1" applyFill="1" applyBorder="1"/>
    <xf numFmtId="0" fontId="14" fillId="2" borderId="12" xfId="0" applyFont="1" applyFill="1" applyBorder="1" applyAlignment="1">
      <alignment horizontal="center"/>
    </xf>
    <xf numFmtId="0" fontId="15" fillId="2" borderId="13" xfId="0" applyFont="1" applyFill="1" applyBorder="1" applyAlignment="1">
      <alignment horizontal="center"/>
    </xf>
    <xf numFmtId="0" fontId="14" fillId="2" borderId="15" xfId="0" applyFont="1" applyFill="1" applyBorder="1" applyAlignment="1">
      <alignment horizontal="center"/>
    </xf>
    <xf numFmtId="0" fontId="15" fillId="2" borderId="12" xfId="0" applyFont="1" applyFill="1" applyBorder="1"/>
    <xf numFmtId="0" fontId="14" fillId="2" borderId="13" xfId="0" applyFont="1" applyFill="1" applyBorder="1"/>
    <xf numFmtId="0" fontId="14" fillId="2" borderId="13" xfId="0" applyFont="1" applyFill="1" applyBorder="1" applyAlignment="1">
      <alignment horizontal="center"/>
    </xf>
    <xf numFmtId="0" fontId="14"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0" borderId="0" xfId="0" applyFont="1"/>
    <xf numFmtId="0" fontId="3" fillId="0" borderId="0" xfId="6" applyFont="1" applyAlignment="1">
      <alignment horizontal="center" vertical="center"/>
    </xf>
    <xf numFmtId="0" fontId="19" fillId="0" borderId="0" xfId="6" applyFont="1" applyAlignment="1">
      <alignment horizontal="left" vertical="center"/>
    </xf>
    <xf numFmtId="0" fontId="9" fillId="0" borderId="18" xfId="6" applyFont="1" applyBorder="1" applyAlignment="1">
      <alignment vertical="center"/>
    </xf>
    <xf numFmtId="165" fontId="9" fillId="4" borderId="19" xfId="4" applyNumberFormat="1" applyFont="1" applyFill="1" applyBorder="1" applyAlignment="1">
      <alignment vertical="center"/>
    </xf>
    <xf numFmtId="0" fontId="3" fillId="0" borderId="0" xfId="6" applyFont="1" applyAlignment="1">
      <alignment vertical="center"/>
    </xf>
    <xf numFmtId="0" fontId="9" fillId="0" borderId="26" xfId="6" applyFont="1" applyBorder="1" applyAlignment="1">
      <alignment vertical="center"/>
    </xf>
    <xf numFmtId="166" fontId="9" fillId="0" borderId="27" xfId="4" applyNumberFormat="1" applyFont="1" applyBorder="1" applyAlignment="1">
      <alignment vertical="center"/>
    </xf>
    <xf numFmtId="0" fontId="18" fillId="5" borderId="17" xfId="6" applyFont="1" applyFill="1" applyBorder="1" applyAlignment="1">
      <alignment vertical="center"/>
    </xf>
    <xf numFmtId="0" fontId="18" fillId="5" borderId="23" xfId="6" applyFont="1" applyFill="1" applyBorder="1" applyAlignment="1">
      <alignment horizontal="center" vertical="center"/>
    </xf>
    <xf numFmtId="0" fontId="18" fillId="5" borderId="46" xfId="6" applyFont="1" applyFill="1" applyBorder="1" applyAlignment="1">
      <alignment horizontal="center" vertical="center" wrapText="1"/>
    </xf>
    <xf numFmtId="0" fontId="18" fillId="5" borderId="22" xfId="6" applyFont="1" applyFill="1" applyBorder="1" applyAlignment="1">
      <alignment horizontal="center" vertical="center" wrapText="1"/>
    </xf>
    <xf numFmtId="0" fontId="18" fillId="5" borderId="23" xfId="6" applyFont="1" applyFill="1" applyBorder="1" applyAlignment="1">
      <alignment horizontal="center" vertical="center" wrapText="1"/>
    </xf>
    <xf numFmtId="37" fontId="9" fillId="4" borderId="19" xfId="6" applyNumberFormat="1" applyFont="1" applyFill="1" applyBorder="1" applyAlignment="1">
      <alignment vertical="center"/>
    </xf>
    <xf numFmtId="0" fontId="9" fillId="0" borderId="24" xfId="6" applyFont="1" applyBorder="1" applyAlignment="1">
      <alignment vertical="center"/>
    </xf>
    <xf numFmtId="0" fontId="9" fillId="0" borderId="1" xfId="6" applyFont="1" applyBorder="1" applyAlignment="1">
      <alignment vertical="center"/>
    </xf>
    <xf numFmtId="0" fontId="9" fillId="0" borderId="25" xfId="6" applyFont="1" applyBorder="1" applyAlignment="1">
      <alignment vertical="center"/>
    </xf>
    <xf numFmtId="166" fontId="9" fillId="0" borderId="19" xfId="6" applyNumberFormat="1" applyFont="1" applyBorder="1" applyAlignment="1">
      <alignment vertical="center"/>
    </xf>
    <xf numFmtId="165" fontId="9" fillId="4" borderId="19" xfId="6" applyNumberFormat="1" applyFont="1" applyFill="1" applyBorder="1" applyAlignment="1">
      <alignment vertical="center"/>
    </xf>
    <xf numFmtId="165" fontId="9" fillId="4" borderId="27" xfId="6" applyNumberFormat="1" applyFont="1" applyFill="1" applyBorder="1" applyAlignment="1">
      <alignment vertical="center"/>
    </xf>
    <xf numFmtId="165" fontId="9" fillId="4" borderId="28" xfId="6" applyNumberFormat="1" applyFont="1" applyFill="1" applyBorder="1" applyAlignment="1">
      <alignment vertical="center"/>
    </xf>
    <xf numFmtId="165" fontId="9" fillId="4" borderId="29" xfId="6" applyNumberFormat="1" applyFont="1" applyFill="1" applyBorder="1" applyAlignment="1">
      <alignment vertical="center"/>
    </xf>
    <xf numFmtId="165" fontId="9" fillId="4" borderId="30" xfId="6" applyNumberFormat="1" applyFont="1" applyFill="1" applyBorder="1" applyAlignment="1">
      <alignment vertical="center"/>
    </xf>
    <xf numFmtId="0" fontId="5" fillId="0" borderId="0" xfId="0" applyFont="1"/>
    <xf numFmtId="0" fontId="5" fillId="0" borderId="0" xfId="0" applyFont="1" applyAlignment="1">
      <alignment horizontal="center"/>
    </xf>
    <xf numFmtId="0" fontId="11" fillId="6" borderId="6" xfId="6" applyFont="1" applyFill="1" applyBorder="1" applyAlignment="1">
      <alignment horizontal="right" vertical="center"/>
    </xf>
    <xf numFmtId="0" fontId="22" fillId="6" borderId="18" xfId="6" applyFont="1" applyFill="1" applyBorder="1" applyAlignment="1">
      <alignment vertical="center"/>
    </xf>
    <xf numFmtId="0" fontId="22" fillId="6" borderId="19" xfId="6" applyFont="1" applyFill="1" applyBorder="1" applyAlignment="1">
      <alignment horizontal="center" vertical="center"/>
    </xf>
    <xf numFmtId="0" fontId="15" fillId="0" borderId="2" xfId="0" applyFont="1" applyBorder="1" applyAlignment="1">
      <alignment horizontal="left" vertical="center" wrapText="1"/>
    </xf>
    <xf numFmtId="0" fontId="23" fillId="0" borderId="6" xfId="0" applyFont="1" applyBorder="1" applyAlignment="1">
      <alignment horizontal="left" vertical="center" wrapText="1"/>
    </xf>
    <xf numFmtId="0" fontId="25" fillId="0" borderId="0" xfId="0" applyFont="1" applyAlignment="1">
      <alignment vertical="center"/>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5" fillId="0" borderId="0" xfId="0" applyFont="1" applyAlignment="1">
      <alignment wrapText="1"/>
    </xf>
    <xf numFmtId="0" fontId="26" fillId="0" borderId="11" xfId="0" applyFont="1" applyBorder="1" applyAlignment="1">
      <alignment horizontal="center" wrapText="1"/>
    </xf>
    <xf numFmtId="0" fontId="14" fillId="0" borderId="13" xfId="0" applyFont="1" applyBorder="1" applyAlignment="1">
      <alignment horizontal="left" vertical="center" indent="1"/>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4" fillId="0" borderId="14" xfId="0" applyNumberFormat="1" applyFont="1" applyBorder="1" applyAlignment="1">
      <alignment horizontal="left" vertical="center" indent="1"/>
    </xf>
    <xf numFmtId="0" fontId="16" fillId="0" borderId="1" xfId="0" applyFont="1" applyBorder="1" applyAlignment="1">
      <alignment vertical="center"/>
    </xf>
    <xf numFmtId="37" fontId="16" fillId="0" borderId="16" xfId="0" applyNumberFormat="1" applyFont="1" applyBorder="1" applyAlignment="1">
      <alignment horizontal="center" vertical="center"/>
    </xf>
    <xf numFmtId="37" fontId="16" fillId="0" borderId="1" xfId="0" applyNumberFormat="1" applyFont="1" applyBorder="1" applyAlignment="1">
      <alignment horizontal="center" vertical="center"/>
    </xf>
    <xf numFmtId="167" fontId="16" fillId="0" borderId="1" xfId="5" applyNumberFormat="1" applyFont="1" applyFill="1" applyBorder="1" applyAlignment="1">
      <alignment horizontal="center" vertical="center"/>
    </xf>
    <xf numFmtId="37" fontId="16" fillId="4" borderId="16" xfId="0" applyNumberFormat="1" applyFont="1" applyFill="1" applyBorder="1" applyAlignment="1">
      <alignment horizontal="center" vertical="center"/>
    </xf>
    <xf numFmtId="37" fontId="16" fillId="4" borderId="1" xfId="0" applyNumberFormat="1" applyFont="1" applyFill="1" applyBorder="1" applyAlignment="1">
      <alignment horizontal="center" vertical="center"/>
    </xf>
    <xf numFmtId="37" fontId="16" fillId="4" borderId="29"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1" xfId="6" applyFont="1" applyBorder="1" applyAlignment="1">
      <alignment vertical="center"/>
    </xf>
    <xf numFmtId="0" fontId="9" fillId="7" borderId="13" xfId="6" applyFont="1" applyFill="1" applyBorder="1" applyAlignment="1">
      <alignment vertical="center"/>
    </xf>
    <xf numFmtId="165" fontId="9" fillId="7" borderId="3" xfId="6" applyNumberFormat="1" applyFont="1" applyFill="1" applyBorder="1" applyAlignment="1">
      <alignment vertical="center"/>
    </xf>
    <xf numFmtId="0" fontId="13" fillId="7" borderId="0" xfId="6" applyFont="1" applyFill="1" applyAlignment="1">
      <alignment vertical="center"/>
    </xf>
    <xf numFmtId="0" fontId="4" fillId="7" borderId="13" xfId="6" applyFont="1" applyFill="1" applyBorder="1" applyAlignment="1">
      <alignment vertical="center"/>
    </xf>
    <xf numFmtId="165" fontId="4" fillId="7" borderId="3" xfId="6" applyNumberFormat="1" applyFont="1" applyFill="1" applyBorder="1" applyAlignment="1">
      <alignment vertical="center"/>
    </xf>
    <xf numFmtId="0" fontId="4" fillId="7" borderId="0" xfId="6" applyFont="1" applyFill="1" applyAlignment="1">
      <alignment vertical="center"/>
    </xf>
    <xf numFmtId="165" fontId="4" fillId="7" borderId="0" xfId="6" applyNumberFormat="1" applyFont="1" applyFill="1" applyAlignment="1">
      <alignment vertical="center"/>
    </xf>
    <xf numFmtId="0" fontId="3" fillId="7" borderId="0" xfId="6" applyFont="1" applyFill="1" applyAlignment="1">
      <alignment vertical="center"/>
    </xf>
    <xf numFmtId="0" fontId="11" fillId="7" borderId="6" xfId="6" applyFont="1" applyFill="1" applyBorder="1" applyAlignment="1">
      <alignment vertical="center"/>
    </xf>
    <xf numFmtId="3" fontId="11" fillId="7" borderId="27" xfId="4" applyNumberFormat="1" applyFont="1" applyFill="1" applyBorder="1" applyAlignment="1">
      <alignment horizontal="center" vertical="center"/>
    </xf>
    <xf numFmtId="0" fontId="20" fillId="7" borderId="0" xfId="6" applyFont="1" applyFill="1" applyAlignment="1">
      <alignment horizontal="center" vertical="center"/>
    </xf>
    <xf numFmtId="49" fontId="24" fillId="7" borderId="0" xfId="6" applyNumberFormat="1" applyFont="1" applyFill="1" applyAlignment="1">
      <alignment vertical="center"/>
    </xf>
    <xf numFmtId="49" fontId="13" fillId="7" borderId="0" xfId="6" applyNumberFormat="1" applyFont="1" applyFill="1" applyAlignment="1">
      <alignment vertical="center"/>
    </xf>
    <xf numFmtId="0" fontId="10" fillId="0" borderId="5" xfId="0" applyFont="1" applyBorder="1"/>
    <xf numFmtId="0" fontId="16" fillId="0" borderId="15" xfId="0" applyFont="1" applyBorder="1" applyAlignment="1">
      <alignment horizontal="left" vertical="center"/>
    </xf>
    <xf numFmtId="0" fontId="16" fillId="0" borderId="28" xfId="0" applyFont="1" applyBorder="1" applyAlignment="1">
      <alignment vertical="center"/>
    </xf>
    <xf numFmtId="0" fontId="16" fillId="0" borderId="32" xfId="0" applyFont="1" applyBorder="1" applyAlignment="1">
      <alignment vertical="center"/>
    </xf>
    <xf numFmtId="37" fontId="16" fillId="4" borderId="25" xfId="0" applyNumberFormat="1" applyFont="1" applyFill="1" applyBorder="1" applyAlignment="1">
      <alignment horizontal="center" vertical="center"/>
    </xf>
    <xf numFmtId="0" fontId="16" fillId="0" borderId="24" xfId="0" applyFont="1" applyBorder="1" applyAlignment="1">
      <alignment vertical="center"/>
    </xf>
    <xf numFmtId="0" fontId="16" fillId="0" borderId="15" xfId="0" applyFont="1" applyBorder="1" applyAlignment="1">
      <alignment vertical="center"/>
    </xf>
    <xf numFmtId="0" fontId="16" fillId="0" borderId="15" xfId="0" applyFont="1" applyBorder="1"/>
    <xf numFmtId="0" fontId="16" fillId="0" borderId="45" xfId="0" applyFont="1" applyBorder="1" applyAlignment="1">
      <alignment vertical="center"/>
    </xf>
    <xf numFmtId="37" fontId="16" fillId="0" borderId="21" xfId="0" applyNumberFormat="1" applyFont="1" applyBorder="1" applyAlignment="1">
      <alignment horizontal="center" vertical="center"/>
    </xf>
    <xf numFmtId="0" fontId="16" fillId="0" borderId="7" xfId="0" applyFont="1" applyBorder="1"/>
    <xf numFmtId="0" fontId="16" fillId="0" borderId="8" xfId="0" applyFont="1" applyBorder="1"/>
    <xf numFmtId="0" fontId="27" fillId="7" borderId="0" xfId="6" applyFont="1" applyFill="1" applyAlignment="1">
      <alignment horizontal="center" vertical="center"/>
    </xf>
    <xf numFmtId="0" fontId="28" fillId="7" borderId="0" xfId="6" applyFont="1" applyFill="1" applyAlignment="1">
      <alignment horizontal="center" vertical="center"/>
    </xf>
    <xf numFmtId="0" fontId="29" fillId="7" borderId="0" xfId="0" applyFont="1" applyFill="1" applyAlignment="1">
      <alignment horizontal="left" vertical="center"/>
    </xf>
    <xf numFmtId="0" fontId="13" fillId="7" borderId="2" xfId="6" applyFont="1" applyFill="1" applyBorder="1" applyAlignment="1">
      <alignment vertical="center"/>
    </xf>
    <xf numFmtId="0" fontId="13" fillId="7" borderId="3" xfId="6" applyFont="1" applyFill="1" applyBorder="1" applyAlignment="1">
      <alignment vertical="center"/>
    </xf>
    <xf numFmtId="0" fontId="13" fillId="7" borderId="4" xfId="6" applyFont="1" applyFill="1" applyBorder="1" applyAlignment="1">
      <alignment vertical="center"/>
    </xf>
    <xf numFmtId="0" fontId="16" fillId="0" borderId="0" xfId="0" applyFont="1"/>
    <xf numFmtId="0" fontId="16" fillId="0" borderId="0" xfId="0" applyFont="1" applyAlignment="1">
      <alignment horizontal="left" vertical="center"/>
    </xf>
    <xf numFmtId="0" fontId="16" fillId="0" borderId="0" xfId="0" applyFont="1" applyAlignment="1">
      <alignment vertical="center"/>
    </xf>
    <xf numFmtId="6" fontId="16"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16" fillId="5" borderId="5" xfId="0" applyFont="1" applyFill="1" applyBorder="1" applyAlignment="1">
      <alignment vertical="center"/>
    </xf>
    <xf numFmtId="37" fontId="16" fillId="5" borderId="0" xfId="0" applyNumberFormat="1" applyFont="1" applyFill="1" applyAlignment="1">
      <alignment horizontal="center" vertical="center"/>
    </xf>
    <xf numFmtId="0" fontId="16" fillId="5" borderId="0" xfId="0" applyFont="1" applyFill="1" applyAlignment="1">
      <alignment horizontal="left" vertical="center"/>
    </xf>
    <xf numFmtId="0" fontId="16" fillId="5" borderId="15" xfId="0" applyFont="1" applyFill="1" applyBorder="1" applyAlignment="1">
      <alignment horizontal="left"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31" fillId="0" borderId="0" xfId="6" applyFont="1" applyAlignment="1">
      <alignment vertical="center"/>
    </xf>
    <xf numFmtId="165" fontId="9" fillId="5" borderId="32" xfId="6" applyNumberFormat="1" applyFont="1" applyFill="1" applyBorder="1" applyAlignment="1">
      <alignment vertical="center"/>
    </xf>
    <xf numFmtId="165" fontId="9" fillId="5" borderId="16" xfId="6" applyNumberFormat="1" applyFont="1" applyFill="1" applyBorder="1" applyAlignment="1">
      <alignment vertical="center"/>
    </xf>
    <xf numFmtId="165" fontId="9" fillId="5" borderId="33" xfId="6" applyNumberFormat="1" applyFont="1" applyFill="1" applyBorder="1" applyAlignment="1">
      <alignment vertical="center"/>
    </xf>
    <xf numFmtId="165" fontId="9" fillId="5" borderId="28" xfId="6" applyNumberFormat="1" applyFont="1" applyFill="1" applyBorder="1" applyAlignment="1">
      <alignment vertical="center"/>
    </xf>
    <xf numFmtId="165" fontId="9" fillId="5" borderId="29" xfId="6" applyNumberFormat="1" applyFont="1" applyFill="1" applyBorder="1" applyAlignment="1">
      <alignment vertical="center"/>
    </xf>
    <xf numFmtId="165" fontId="9" fillId="5" borderId="30" xfId="6" applyNumberFormat="1" applyFont="1" applyFill="1" applyBorder="1" applyAlignment="1">
      <alignment vertical="center"/>
    </xf>
    <xf numFmtId="0" fontId="29" fillId="7" borderId="0" xfId="6" applyFont="1" applyFill="1" applyAlignment="1">
      <alignment horizontal="left" vertical="center"/>
    </xf>
    <xf numFmtId="0" fontId="30" fillId="7" borderId="0" xfId="6" applyFont="1" applyFill="1" applyAlignment="1">
      <alignment vertical="center"/>
    </xf>
    <xf numFmtId="0" fontId="32" fillId="7" borderId="0" xfId="6" applyFont="1" applyFill="1" applyAlignment="1">
      <alignment horizontal="left" vertical="center"/>
    </xf>
    <xf numFmtId="0" fontId="2" fillId="0" borderId="31" xfId="6" applyFont="1" applyBorder="1" applyAlignment="1">
      <alignment vertical="center"/>
    </xf>
    <xf numFmtId="49" fontId="17" fillId="0" borderId="20" xfId="6" applyNumberFormat="1" applyFont="1" applyBorder="1" applyAlignment="1">
      <alignment vertical="center"/>
    </xf>
    <xf numFmtId="0" fontId="11" fillId="6" borderId="2" xfId="6" applyFont="1" applyFill="1" applyBorder="1" applyAlignment="1">
      <alignment horizontal="right" vertical="center"/>
    </xf>
    <xf numFmtId="0" fontId="3" fillId="0" borderId="3" xfId="6" applyFont="1" applyBorder="1" applyAlignment="1">
      <alignment horizontal="center" vertical="center"/>
    </xf>
    <xf numFmtId="0" fontId="11" fillId="6" borderId="2" xfId="6" applyFont="1" applyFill="1" applyBorder="1" applyAlignment="1">
      <alignment horizontal="center" vertical="center"/>
    </xf>
    <xf numFmtId="0" fontId="11" fillId="6"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3" fillId="7" borderId="47" xfId="6" applyFont="1" applyFill="1" applyBorder="1" applyAlignment="1">
      <alignment vertical="center"/>
    </xf>
    <xf numFmtId="0" fontId="21" fillId="7" borderId="47" xfId="6" applyFont="1" applyFill="1" applyBorder="1" applyAlignment="1">
      <alignment vertical="center"/>
    </xf>
    <xf numFmtId="0" fontId="13" fillId="7" borderId="13" xfId="6" applyFont="1" applyFill="1" applyBorder="1" applyAlignment="1">
      <alignment vertical="center"/>
    </xf>
    <xf numFmtId="0" fontId="13" fillId="0" borderId="13" xfId="6" applyFont="1" applyBorder="1" applyAlignment="1">
      <alignment vertical="center"/>
    </xf>
    <xf numFmtId="0" fontId="13" fillId="7" borderId="6" xfId="6" applyFont="1" applyFill="1" applyBorder="1" applyAlignment="1">
      <alignment vertical="center"/>
    </xf>
    <xf numFmtId="0" fontId="16" fillId="7" borderId="7" xfId="0" applyFont="1" applyFill="1" applyBorder="1" applyAlignment="1">
      <alignment horizontal="left" vertical="center"/>
    </xf>
    <xf numFmtId="0" fontId="28" fillId="7" borderId="7" xfId="0" applyFont="1" applyFill="1" applyBorder="1" applyAlignment="1">
      <alignment horizontal="center" vertical="center"/>
    </xf>
    <xf numFmtId="0" fontId="16" fillId="7" borderId="8" xfId="0" applyFont="1" applyFill="1" applyBorder="1" applyAlignment="1">
      <alignment horizontal="left" vertical="center"/>
    </xf>
    <xf numFmtId="0" fontId="16" fillId="7" borderId="13" xfId="0" applyFont="1" applyFill="1" applyBorder="1" applyAlignment="1">
      <alignment vertical="center"/>
    </xf>
    <xf numFmtId="37" fontId="16" fillId="7" borderId="13" xfId="0" applyNumberFormat="1" applyFont="1" applyFill="1" applyBorder="1" applyAlignment="1">
      <alignment horizontal="center" vertical="center"/>
    </xf>
    <xf numFmtId="0" fontId="16" fillId="7" borderId="13" xfId="0" applyFont="1" applyFill="1" applyBorder="1"/>
    <xf numFmtId="0" fontId="16" fillId="7" borderId="14" xfId="0" applyFont="1" applyFill="1" applyBorder="1"/>
    <xf numFmtId="0" fontId="16" fillId="7" borderId="7" xfId="0" applyFont="1" applyFill="1" applyBorder="1"/>
    <xf numFmtId="0" fontId="16" fillId="7" borderId="8" xfId="0" applyFont="1" applyFill="1" applyBorder="1"/>
    <xf numFmtId="0" fontId="10" fillId="0" borderId="1" xfId="0" applyFont="1" applyBorder="1" applyAlignment="1">
      <alignment horizontal="center" vertical="center"/>
    </xf>
    <xf numFmtId="0" fontId="10" fillId="0" borderId="25" xfId="0" applyFont="1" applyBorder="1" applyAlignment="1">
      <alignment horizontal="center" vertical="center"/>
    </xf>
    <xf numFmtId="0" fontId="10" fillId="0" borderId="29" xfId="0" applyFont="1" applyBorder="1" applyAlignment="1">
      <alignment horizontal="center" vertical="center"/>
    </xf>
    <xf numFmtId="0" fontId="33" fillId="0" borderId="0" xfId="6" applyFont="1" applyAlignment="1">
      <alignment vertical="center"/>
    </xf>
    <xf numFmtId="0" fontId="34" fillId="0" borderId="0" xfId="6" applyFont="1" applyAlignment="1">
      <alignment vertical="center"/>
    </xf>
    <xf numFmtId="0" fontId="31" fillId="0" borderId="7" xfId="6" applyFont="1" applyBorder="1" applyAlignment="1">
      <alignment vertical="center"/>
    </xf>
    <xf numFmtId="0" fontId="12" fillId="8" borderId="0" xfId="6" applyFill="1"/>
    <xf numFmtId="0" fontId="13" fillId="7" borderId="48" xfId="6" applyFont="1" applyFill="1" applyBorder="1" applyAlignment="1">
      <alignment vertical="center"/>
    </xf>
    <xf numFmtId="0" fontId="13" fillId="0" borderId="48" xfId="6" applyFont="1" applyBorder="1" applyAlignment="1">
      <alignment vertical="center"/>
    </xf>
    <xf numFmtId="0" fontId="31" fillId="0" borderId="49" xfId="6" applyFont="1" applyBorder="1" applyAlignment="1">
      <alignment vertical="center"/>
    </xf>
    <xf numFmtId="0" fontId="31" fillId="9" borderId="0" xfId="6" applyFont="1" applyFill="1" applyAlignment="1">
      <alignment vertical="center"/>
    </xf>
    <xf numFmtId="0" fontId="34" fillId="3" borderId="0" xfId="6" applyFont="1" applyFill="1" applyAlignment="1">
      <alignment vertical="center"/>
    </xf>
    <xf numFmtId="0" fontId="16" fillId="3" borderId="25" xfId="0" applyFont="1" applyFill="1" applyBorder="1" applyAlignment="1">
      <alignment horizontal="center" vertical="center"/>
    </xf>
    <xf numFmtId="37" fontId="16" fillId="3" borderId="25" xfId="0" applyNumberFormat="1" applyFont="1" applyFill="1" applyBorder="1" applyAlignment="1">
      <alignment horizontal="center" vertical="center"/>
    </xf>
    <xf numFmtId="0" fontId="35" fillId="7" borderId="0" xfId="6" applyFont="1" applyFill="1" applyAlignment="1">
      <alignment horizontal="left" vertical="center"/>
    </xf>
    <xf numFmtId="0" fontId="35" fillId="7" borderId="0" xfId="6" applyFont="1" applyFill="1" applyAlignment="1">
      <alignment vertical="center"/>
    </xf>
    <xf numFmtId="0" fontId="35" fillId="7" borderId="48" xfId="6" applyFont="1" applyFill="1" applyBorder="1" applyAlignment="1">
      <alignment vertical="center"/>
    </xf>
    <xf numFmtId="0" fontId="29" fillId="7" borderId="51" xfId="6" applyFont="1" applyFill="1" applyBorder="1" applyAlignment="1">
      <alignment horizontal="left" vertical="center"/>
    </xf>
    <xf numFmtId="0" fontId="13" fillId="7" borderId="51" xfId="6" applyFont="1" applyFill="1" applyBorder="1" applyAlignment="1">
      <alignment vertical="center"/>
    </xf>
    <xf numFmtId="0" fontId="28" fillId="7" borderId="51" xfId="6" applyFont="1" applyFill="1" applyBorder="1" applyAlignment="1">
      <alignment horizontal="center" vertical="center"/>
    </xf>
    <xf numFmtId="0" fontId="30" fillId="7" borderId="51" xfId="6" applyFont="1" applyFill="1" applyBorder="1" applyAlignment="1">
      <alignment vertical="center"/>
    </xf>
    <xf numFmtId="0" fontId="13" fillId="7" borderId="50" xfId="6" applyFont="1" applyFill="1" applyBorder="1" applyAlignment="1">
      <alignment vertical="center"/>
    </xf>
    <xf numFmtId="0" fontId="36" fillId="0" borderId="0" xfId="6" applyFont="1" applyAlignment="1">
      <alignment horizontal="center" vertical="center"/>
    </xf>
    <xf numFmtId="14" fontId="0" fillId="0" borderId="41" xfId="0" applyNumberFormat="1" applyBorder="1" applyAlignment="1">
      <alignment horizontal="left" indent="1"/>
    </xf>
    <xf numFmtId="1" fontId="11" fillId="0" borderId="4" xfId="6" applyNumberFormat="1" applyFont="1" applyBorder="1" applyAlignment="1">
      <alignment horizontal="center" vertical="center"/>
    </xf>
    <xf numFmtId="49" fontId="11" fillId="0" borderId="8" xfId="6" applyNumberFormat="1" applyFont="1" applyBorder="1" applyAlignment="1">
      <alignment horizontal="center" vertical="center"/>
    </xf>
    <xf numFmtId="37" fontId="16" fillId="3" borderId="1" xfId="0" applyNumberFormat="1" applyFont="1" applyFill="1" applyBorder="1" applyAlignment="1">
      <alignment horizontal="center" vertical="center"/>
    </xf>
    <xf numFmtId="3" fontId="37" fillId="0" borderId="0" xfId="0" applyNumberFormat="1" applyFont="1" applyAlignment="1">
      <alignment vertical="center"/>
    </xf>
    <xf numFmtId="37" fontId="37" fillId="0" borderId="0" xfId="0" applyNumberFormat="1" applyFont="1" applyAlignment="1">
      <alignment vertical="center"/>
    </xf>
    <xf numFmtId="0" fontId="14" fillId="4" borderId="3" xfId="0" applyFont="1" applyFill="1" applyBorder="1"/>
    <xf numFmtId="0" fontId="15" fillId="4" borderId="3" xfId="0" applyFont="1" applyFill="1" applyBorder="1" applyAlignment="1">
      <alignment horizontal="right"/>
    </xf>
    <xf numFmtId="0" fontId="14" fillId="4" borderId="3" xfId="0" applyFont="1" applyFill="1" applyBorder="1" applyAlignment="1">
      <alignment horizontal="left"/>
    </xf>
    <xf numFmtId="0" fontId="14" fillId="4" borderId="4" xfId="0" applyFont="1" applyFill="1" applyBorder="1" applyAlignment="1">
      <alignment horizontal="left"/>
    </xf>
    <xf numFmtId="0" fontId="14" fillId="4" borderId="7" xfId="0" applyFont="1" applyFill="1" applyBorder="1"/>
    <xf numFmtId="0" fontId="15" fillId="4" borderId="7" xfId="0" applyFont="1" applyFill="1" applyBorder="1" applyAlignment="1">
      <alignment horizontal="right"/>
    </xf>
    <xf numFmtId="0" fontId="14" fillId="4" borderId="7" xfId="0" applyFont="1" applyFill="1" applyBorder="1" applyAlignment="1">
      <alignment horizontal="center"/>
    </xf>
    <xf numFmtId="14" fontId="14" fillId="4" borderId="8" xfId="0" applyNumberFormat="1" applyFont="1" applyFill="1" applyBorder="1" applyAlignment="1">
      <alignment horizontal="left"/>
    </xf>
    <xf numFmtId="0" fontId="0" fillId="4" borderId="35" xfId="0" applyFill="1" applyBorder="1" applyAlignment="1">
      <alignment horizontal="left" indent="1"/>
    </xf>
    <xf numFmtId="0" fontId="0" fillId="4" borderId="38" xfId="0" applyFill="1" applyBorder="1" applyAlignment="1">
      <alignment horizontal="left" indent="1"/>
    </xf>
    <xf numFmtId="14" fontId="0" fillId="4" borderId="38" xfId="0" applyNumberFormat="1" applyFill="1" applyBorder="1" applyAlignment="1">
      <alignment horizontal="left" indent="1"/>
    </xf>
    <xf numFmtId="9" fontId="0" fillId="4" borderId="39" xfId="1" applyFont="1" applyFill="1" applyBorder="1" applyAlignment="1">
      <alignment horizontal="center"/>
    </xf>
    <xf numFmtId="9" fontId="0" fillId="4" borderId="42" xfId="1" applyFont="1" applyFill="1" applyBorder="1" applyAlignment="1">
      <alignment horizontal="center"/>
    </xf>
    <xf numFmtId="0" fontId="5" fillId="4" borderId="7" xfId="0" applyFont="1" applyFill="1" applyBorder="1" applyAlignment="1">
      <alignment vertical="center"/>
    </xf>
    <xf numFmtId="0" fontId="5" fillId="4" borderId="3" xfId="0" applyFont="1" applyFill="1" applyBorder="1" applyAlignment="1">
      <alignment horizontal="left" vertical="center"/>
    </xf>
    <xf numFmtId="0" fontId="5" fillId="4" borderId="0" xfId="0" applyFont="1" applyFill="1" applyAlignment="1">
      <alignment vertical="center"/>
    </xf>
    <xf numFmtId="0" fontId="5" fillId="4" borderId="7" xfId="0" applyFont="1" applyFill="1" applyBorder="1" applyAlignment="1">
      <alignment horizontal="left" vertical="center"/>
    </xf>
    <xf numFmtId="0" fontId="38" fillId="0" borderId="0" xfId="0" applyFont="1" applyAlignment="1">
      <alignment horizontal="center" vertical="center"/>
    </xf>
  </cellXfs>
  <cellStyles count="8">
    <cellStyle name="Comma 2" xfId="4" xr:uid="{99993171-F6D7-494B-9306-21B02AFE41FC}"/>
    <cellStyle name="Currency" xfId="5" builtinId="4"/>
    <cellStyle name="Currency 2" xfId="7" xr:uid="{BB513834-C309-41E7-8F3F-A13576E8A5FF}"/>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S46"/>
  <sheetViews>
    <sheetView tabSelected="1" topLeftCell="A17" zoomScale="90" zoomScaleNormal="90" zoomScaleSheetLayoutView="100" workbookViewId="0">
      <selection activeCell="I25" sqref="I25"/>
    </sheetView>
  </sheetViews>
  <sheetFormatPr defaultRowHeight="15" x14ac:dyDescent="0.25"/>
  <cols>
    <col min="1" max="1" width="40.7109375" style="72" customWidth="1"/>
    <col min="2" max="2" width="21.7109375" style="72" customWidth="1"/>
    <col min="3" max="4" width="12.7109375" style="82" customWidth="1"/>
    <col min="5" max="8" width="5.7109375" style="72" customWidth="1"/>
    <col min="9" max="12" width="15.7109375" style="73" customWidth="1"/>
  </cols>
  <sheetData>
    <row r="1" spans="1:19" ht="24" customHeight="1" thickBot="1" x14ac:dyDescent="0.3">
      <c r="A1" s="80" t="s">
        <v>47</v>
      </c>
      <c r="B1" s="84" t="s">
        <v>140</v>
      </c>
      <c r="C1" s="26"/>
      <c r="D1" s="26"/>
      <c r="E1" s="26"/>
      <c r="F1" s="26"/>
      <c r="G1" s="26"/>
      <c r="H1" s="26"/>
      <c r="I1" s="26"/>
      <c r="J1" s="27"/>
      <c r="K1" s="81" t="s">
        <v>3</v>
      </c>
      <c r="L1" s="87">
        <v>46092</v>
      </c>
    </row>
    <row r="2" spans="1:19" ht="45" customHeight="1" x14ac:dyDescent="0.25">
      <c r="A2" s="77" t="s">
        <v>26</v>
      </c>
      <c r="B2" s="216" t="s">
        <v>101</v>
      </c>
      <c r="C2" s="217"/>
      <c r="D2" s="202"/>
      <c r="E2" s="202"/>
      <c r="F2" s="202"/>
      <c r="G2" s="202"/>
      <c r="H2" s="202"/>
      <c r="I2" s="203"/>
      <c r="J2" s="204"/>
      <c r="K2" s="203"/>
      <c r="L2" s="205"/>
      <c r="N2" s="79"/>
    </row>
    <row r="3" spans="1:19" ht="36" customHeight="1" thickBot="1" x14ac:dyDescent="0.3">
      <c r="A3" s="78" t="s">
        <v>59</v>
      </c>
      <c r="B3" s="218" t="s">
        <v>102</v>
      </c>
      <c r="C3" s="215" t="s">
        <v>103</v>
      </c>
      <c r="D3" s="206"/>
      <c r="E3" s="206"/>
      <c r="F3" s="206"/>
      <c r="G3" s="206"/>
      <c r="H3" s="206"/>
      <c r="I3" s="207"/>
      <c r="J3" s="208"/>
      <c r="K3" s="207"/>
      <c r="L3" s="209"/>
    </row>
    <row r="4" spans="1:19" ht="21" customHeight="1" thickBot="1" x14ac:dyDescent="0.3">
      <c r="A4" s="32" t="s">
        <v>60</v>
      </c>
      <c r="B4" s="33"/>
      <c r="C4" s="34"/>
      <c r="D4" s="34"/>
      <c r="E4" s="35"/>
      <c r="F4" s="35"/>
      <c r="G4" s="35"/>
      <c r="H4" s="35"/>
      <c r="I4" s="35"/>
      <c r="J4" s="36"/>
      <c r="K4" s="37" t="s">
        <v>48</v>
      </c>
      <c r="L4" s="38"/>
      <c r="N4" s="79"/>
    </row>
    <row r="5" spans="1:19" x14ac:dyDescent="0.25">
      <c r="A5" s="29" t="s">
        <v>0</v>
      </c>
      <c r="B5" s="210" t="s">
        <v>100</v>
      </c>
      <c r="C5" s="19"/>
      <c r="D5" s="19"/>
      <c r="E5" s="19"/>
      <c r="F5" s="23"/>
      <c r="G5" s="23"/>
      <c r="H5" s="23"/>
      <c r="I5" s="24"/>
      <c r="J5" s="9"/>
      <c r="K5" s="10" t="s">
        <v>57</v>
      </c>
      <c r="L5" s="11">
        <f>SUMIF(G14:G33,"*X*",I14:I33)</f>
        <v>741</v>
      </c>
      <c r="N5" s="49"/>
    </row>
    <row r="6" spans="1:19" x14ac:dyDescent="0.25">
      <c r="A6" s="28" t="s">
        <v>1</v>
      </c>
      <c r="B6" s="211" t="s">
        <v>141</v>
      </c>
      <c r="C6" s="20"/>
      <c r="D6" s="20"/>
      <c r="E6" s="20"/>
      <c r="F6" s="20"/>
      <c r="G6" s="20"/>
      <c r="H6" s="20"/>
      <c r="I6" s="22"/>
      <c r="J6" s="12"/>
      <c r="K6" s="13" t="s">
        <v>15</v>
      </c>
      <c r="L6" s="14">
        <f>SUM(J14:J33)</f>
        <v>16406</v>
      </c>
    </row>
    <row r="7" spans="1:19" x14ac:dyDescent="0.25">
      <c r="A7" s="28" t="s">
        <v>2</v>
      </c>
      <c r="B7" s="211" t="s">
        <v>144</v>
      </c>
      <c r="C7" s="20"/>
      <c r="D7" s="20"/>
      <c r="E7" s="20"/>
      <c r="F7" s="20"/>
      <c r="G7" s="20"/>
      <c r="H7" s="20"/>
      <c r="I7" s="22"/>
      <c r="J7" s="12"/>
      <c r="K7" s="13" t="s">
        <v>16</v>
      </c>
      <c r="L7" s="213">
        <v>0.5</v>
      </c>
    </row>
    <row r="8" spans="1:19" x14ac:dyDescent="0.25">
      <c r="A8" s="28" t="s">
        <v>3</v>
      </c>
      <c r="B8" s="212">
        <v>46092</v>
      </c>
      <c r="C8" s="20"/>
      <c r="D8" s="20"/>
      <c r="E8" s="20"/>
      <c r="F8" s="20"/>
      <c r="G8" s="20"/>
      <c r="H8" s="20"/>
      <c r="I8" s="22"/>
      <c r="J8" s="12"/>
      <c r="K8" s="13" t="s">
        <v>17</v>
      </c>
      <c r="L8" s="15">
        <f>L6/L5</f>
        <v>22.140350877192983</v>
      </c>
    </row>
    <row r="9" spans="1:19" x14ac:dyDescent="0.25">
      <c r="A9" s="28" t="s">
        <v>4</v>
      </c>
      <c r="B9" s="31" t="s">
        <v>146</v>
      </c>
      <c r="C9" s="20"/>
      <c r="D9" s="20"/>
      <c r="E9" s="20"/>
      <c r="F9" s="20"/>
      <c r="G9" s="20"/>
      <c r="H9" s="20"/>
      <c r="I9" s="22"/>
      <c r="J9" s="12"/>
      <c r="K9" s="13" t="s">
        <v>18</v>
      </c>
      <c r="L9" s="14">
        <f>SUM(L14:L33)</f>
        <v>8260</v>
      </c>
    </row>
    <row r="10" spans="1:19" x14ac:dyDescent="0.25">
      <c r="A10" s="28" t="s">
        <v>5</v>
      </c>
      <c r="B10" s="31" t="s">
        <v>145</v>
      </c>
      <c r="C10" s="20"/>
      <c r="D10" s="20"/>
      <c r="E10" s="20"/>
      <c r="F10" s="20"/>
      <c r="G10" s="20"/>
      <c r="H10" s="20"/>
      <c r="I10" s="22"/>
      <c r="J10" s="12"/>
      <c r="K10" s="13" t="s">
        <v>19</v>
      </c>
      <c r="L10" s="16">
        <f>L9/L6</f>
        <v>0.50347433865658908</v>
      </c>
    </row>
    <row r="11" spans="1:19" ht="15.75" thickBot="1" x14ac:dyDescent="0.3">
      <c r="A11" s="30" t="s">
        <v>6</v>
      </c>
      <c r="B11" s="196">
        <f>L1</f>
        <v>46092</v>
      </c>
      <c r="C11" s="21"/>
      <c r="D11" s="21"/>
      <c r="E11" s="21"/>
      <c r="F11" s="21"/>
      <c r="G11" s="21"/>
      <c r="H11" s="21"/>
      <c r="I11" s="25"/>
      <c r="J11" s="17"/>
      <c r="K11" s="18" t="s">
        <v>20</v>
      </c>
      <c r="L11" s="214">
        <v>0.5</v>
      </c>
    </row>
    <row r="12" spans="1:19" ht="21" customHeight="1" thickBot="1" x14ac:dyDescent="0.3">
      <c r="A12" s="39" t="s">
        <v>25</v>
      </c>
      <c r="B12" s="40"/>
      <c r="C12" s="40"/>
      <c r="D12" s="40"/>
      <c r="E12" s="40"/>
      <c r="F12" s="40"/>
      <c r="G12" s="40"/>
      <c r="H12" s="40"/>
      <c r="I12" s="41"/>
      <c r="J12" s="41"/>
      <c r="K12" s="41"/>
      <c r="L12" s="42"/>
    </row>
    <row r="13" spans="1:19" ht="107.25" customHeight="1" thickBot="1" x14ac:dyDescent="0.3">
      <c r="A13" s="6" t="s">
        <v>7</v>
      </c>
      <c r="B13" s="6" t="s">
        <v>8</v>
      </c>
      <c r="C13" s="6" t="s">
        <v>13</v>
      </c>
      <c r="D13" s="6" t="s">
        <v>14</v>
      </c>
      <c r="E13" s="7" t="s">
        <v>9</v>
      </c>
      <c r="F13" s="7" t="s">
        <v>12</v>
      </c>
      <c r="G13" s="7" t="s">
        <v>11</v>
      </c>
      <c r="H13" s="7" t="s">
        <v>10</v>
      </c>
      <c r="I13" s="83" t="s">
        <v>24</v>
      </c>
      <c r="J13" s="6" t="s">
        <v>21</v>
      </c>
      <c r="K13" s="83" t="s">
        <v>22</v>
      </c>
      <c r="L13" s="6" t="s">
        <v>23</v>
      </c>
      <c r="M13" s="1"/>
      <c r="S13" s="219"/>
    </row>
    <row r="14" spans="1:19" ht="39.950000000000003" customHeight="1" x14ac:dyDescent="0.25">
      <c r="A14" s="43" t="s">
        <v>142</v>
      </c>
      <c r="B14" s="44" t="s">
        <v>104</v>
      </c>
      <c r="C14" s="4" t="s">
        <v>105</v>
      </c>
      <c r="D14" s="4" t="s">
        <v>106</v>
      </c>
      <c r="E14" s="4" t="s">
        <v>107</v>
      </c>
      <c r="F14" s="4" t="s">
        <v>108</v>
      </c>
      <c r="G14" s="138"/>
      <c r="H14" s="4" t="s">
        <v>109</v>
      </c>
      <c r="I14" s="5">
        <v>16</v>
      </c>
      <c r="J14" s="5">
        <v>16</v>
      </c>
      <c r="K14" s="47">
        <v>0.08</v>
      </c>
      <c r="L14" s="5">
        <f>ROUNDUP(J14*K14,0)</f>
        <v>2</v>
      </c>
    </row>
    <row r="15" spans="1:19" ht="39.950000000000003" customHeight="1" x14ac:dyDescent="0.25">
      <c r="A15" s="43" t="s">
        <v>110</v>
      </c>
      <c r="B15" s="46" t="s">
        <v>112</v>
      </c>
      <c r="C15" s="46" t="s">
        <v>105</v>
      </c>
      <c r="D15" s="4" t="s">
        <v>106</v>
      </c>
      <c r="E15" s="2" t="s">
        <v>107</v>
      </c>
      <c r="F15" s="2" t="s">
        <v>108</v>
      </c>
      <c r="G15" s="139"/>
      <c r="H15" s="2" t="s">
        <v>109</v>
      </c>
      <c r="I15" s="3">
        <v>2</v>
      </c>
      <c r="J15" s="3">
        <v>6</v>
      </c>
      <c r="K15" s="48">
        <v>0.16</v>
      </c>
      <c r="L15" s="5">
        <f t="shared" ref="L15:L20" si="0">ROUNDUP(J15*K15,0)</f>
        <v>1</v>
      </c>
    </row>
    <row r="16" spans="1:19" ht="39.950000000000003" customHeight="1" x14ac:dyDescent="0.25">
      <c r="A16" s="43" t="s">
        <v>110</v>
      </c>
      <c r="B16" s="46" t="s">
        <v>112</v>
      </c>
      <c r="C16" s="46" t="s">
        <v>105</v>
      </c>
      <c r="D16" s="4" t="s">
        <v>106</v>
      </c>
      <c r="E16" s="2" t="s">
        <v>107</v>
      </c>
      <c r="F16" s="2" t="s">
        <v>108</v>
      </c>
      <c r="G16" s="139"/>
      <c r="H16" s="2" t="s">
        <v>111</v>
      </c>
      <c r="I16" s="3">
        <v>2</v>
      </c>
      <c r="J16" s="3">
        <v>6</v>
      </c>
      <c r="K16" s="48">
        <v>2</v>
      </c>
      <c r="L16" s="5">
        <f t="shared" si="0"/>
        <v>12</v>
      </c>
    </row>
    <row r="17" spans="1:12" ht="39.950000000000003" customHeight="1" x14ac:dyDescent="0.25">
      <c r="A17" s="45" t="s">
        <v>113</v>
      </c>
      <c r="B17" s="46" t="s">
        <v>114</v>
      </c>
      <c r="C17" s="46" t="s">
        <v>105</v>
      </c>
      <c r="D17" s="4" t="s">
        <v>106</v>
      </c>
      <c r="E17" s="2" t="s">
        <v>107</v>
      </c>
      <c r="F17" s="2" t="s">
        <v>108</v>
      </c>
      <c r="G17" s="139"/>
      <c r="H17" s="2" t="s">
        <v>109</v>
      </c>
      <c r="I17" s="3">
        <v>15</v>
      </c>
      <c r="J17" s="3">
        <v>276</v>
      </c>
      <c r="K17" s="48">
        <v>0.5</v>
      </c>
      <c r="L17" s="5">
        <f t="shared" si="0"/>
        <v>138</v>
      </c>
    </row>
    <row r="18" spans="1:12" ht="39.950000000000003" customHeight="1" x14ac:dyDescent="0.25">
      <c r="A18" s="45" t="s">
        <v>115</v>
      </c>
      <c r="B18" s="46" t="s">
        <v>116</v>
      </c>
      <c r="C18" s="46" t="s">
        <v>105</v>
      </c>
      <c r="D18" s="4" t="s">
        <v>106</v>
      </c>
      <c r="E18" s="2" t="s">
        <v>107</v>
      </c>
      <c r="F18" s="2" t="s">
        <v>108</v>
      </c>
      <c r="G18" s="139" t="s">
        <v>143</v>
      </c>
      <c r="H18" s="2" t="s">
        <v>109</v>
      </c>
      <c r="I18" s="3">
        <v>116</v>
      </c>
      <c r="J18" s="3">
        <v>116</v>
      </c>
      <c r="K18" s="48">
        <v>0.3</v>
      </c>
      <c r="L18" s="5">
        <f t="shared" si="0"/>
        <v>35</v>
      </c>
    </row>
    <row r="19" spans="1:12" ht="39.950000000000003" customHeight="1" x14ac:dyDescent="0.25">
      <c r="A19" s="45" t="s">
        <v>115</v>
      </c>
      <c r="B19" s="46" t="s">
        <v>116</v>
      </c>
      <c r="C19" s="46" t="s">
        <v>105</v>
      </c>
      <c r="D19" s="4" t="s">
        <v>106</v>
      </c>
      <c r="E19" s="2" t="s">
        <v>107</v>
      </c>
      <c r="F19" s="2" t="s">
        <v>108</v>
      </c>
      <c r="G19" s="139"/>
      <c r="H19" s="2" t="s">
        <v>111</v>
      </c>
      <c r="I19" s="3">
        <v>116</v>
      </c>
      <c r="J19" s="3">
        <v>116</v>
      </c>
      <c r="K19" s="48">
        <v>1</v>
      </c>
      <c r="L19" s="5">
        <f t="shared" si="0"/>
        <v>116</v>
      </c>
    </row>
    <row r="20" spans="1:12" ht="39.950000000000003" customHeight="1" x14ac:dyDescent="0.25">
      <c r="A20" s="45" t="s">
        <v>117</v>
      </c>
      <c r="B20" s="46" t="s">
        <v>116</v>
      </c>
      <c r="C20" s="46" t="s">
        <v>118</v>
      </c>
      <c r="D20" s="4" t="s">
        <v>106</v>
      </c>
      <c r="E20" s="2" t="s">
        <v>107</v>
      </c>
      <c r="F20" s="2" t="s">
        <v>108</v>
      </c>
      <c r="G20" s="139"/>
      <c r="H20" s="2" t="s">
        <v>109</v>
      </c>
      <c r="I20" s="3">
        <v>1</v>
      </c>
      <c r="J20" s="3">
        <v>257</v>
      </c>
      <c r="K20" s="48">
        <v>0.5</v>
      </c>
      <c r="L20" s="5">
        <f t="shared" si="0"/>
        <v>129</v>
      </c>
    </row>
    <row r="21" spans="1:12" ht="39.950000000000003" customHeight="1" x14ac:dyDescent="0.25">
      <c r="A21" s="45" t="s">
        <v>119</v>
      </c>
      <c r="B21" s="46" t="s">
        <v>116</v>
      </c>
      <c r="C21" s="46" t="s">
        <v>120</v>
      </c>
      <c r="D21" s="4" t="s">
        <v>106</v>
      </c>
      <c r="E21" s="2" t="s">
        <v>107</v>
      </c>
      <c r="F21" s="2" t="s">
        <v>108</v>
      </c>
      <c r="G21" s="139"/>
      <c r="H21" s="2" t="s">
        <v>109</v>
      </c>
      <c r="I21" s="3">
        <v>1</v>
      </c>
      <c r="J21" s="3">
        <v>1</v>
      </c>
      <c r="K21" s="48">
        <v>0.5</v>
      </c>
      <c r="L21" s="5">
        <f t="shared" ref="L21:L26" si="1">ROUNDUP(J21*K21,0)</f>
        <v>1</v>
      </c>
    </row>
    <row r="22" spans="1:12" ht="39.950000000000003" customHeight="1" x14ac:dyDescent="0.25">
      <c r="A22" s="45" t="s">
        <v>119</v>
      </c>
      <c r="B22" s="46" t="s">
        <v>116</v>
      </c>
      <c r="C22" s="46" t="s">
        <v>120</v>
      </c>
      <c r="D22" s="4" t="s">
        <v>106</v>
      </c>
      <c r="E22" s="2" t="s">
        <v>107</v>
      </c>
      <c r="F22" s="2" t="s">
        <v>108</v>
      </c>
      <c r="G22" s="139"/>
      <c r="H22" s="2" t="s">
        <v>111</v>
      </c>
      <c r="I22" s="3">
        <v>1</v>
      </c>
      <c r="J22" s="3">
        <v>1</v>
      </c>
      <c r="K22" s="48">
        <v>1</v>
      </c>
      <c r="L22" s="5">
        <f t="shared" si="1"/>
        <v>1</v>
      </c>
    </row>
    <row r="23" spans="1:12" ht="39.950000000000003" customHeight="1" x14ac:dyDescent="0.25">
      <c r="A23" s="45" t="s">
        <v>121</v>
      </c>
      <c r="B23" s="46" t="s">
        <v>123</v>
      </c>
      <c r="C23" s="46" t="s">
        <v>105</v>
      </c>
      <c r="D23" s="4" t="s">
        <v>106</v>
      </c>
      <c r="E23" s="2" t="s">
        <v>107</v>
      </c>
      <c r="F23" s="2" t="s">
        <v>108</v>
      </c>
      <c r="G23" s="139"/>
      <c r="H23" s="2" t="s">
        <v>109</v>
      </c>
      <c r="I23" s="3">
        <v>1</v>
      </c>
      <c r="J23" s="3">
        <v>1</v>
      </c>
      <c r="K23" s="48">
        <v>0.5</v>
      </c>
      <c r="L23" s="5">
        <f t="shared" si="1"/>
        <v>1</v>
      </c>
    </row>
    <row r="24" spans="1:12" ht="39.950000000000003" customHeight="1" x14ac:dyDescent="0.25">
      <c r="A24" s="45" t="s">
        <v>121</v>
      </c>
      <c r="B24" s="46" t="s">
        <v>122</v>
      </c>
      <c r="C24" s="46" t="s">
        <v>105</v>
      </c>
      <c r="D24" s="4" t="s">
        <v>106</v>
      </c>
      <c r="E24" s="2" t="s">
        <v>107</v>
      </c>
      <c r="F24" s="2" t="s">
        <v>108</v>
      </c>
      <c r="G24" s="139"/>
      <c r="H24" s="2" t="s">
        <v>111</v>
      </c>
      <c r="I24" s="3">
        <v>1</v>
      </c>
      <c r="J24" s="3">
        <v>1</v>
      </c>
      <c r="K24" s="48">
        <v>1</v>
      </c>
      <c r="L24" s="5">
        <f t="shared" si="1"/>
        <v>1</v>
      </c>
    </row>
    <row r="25" spans="1:12" ht="39.950000000000003" customHeight="1" x14ac:dyDescent="0.25">
      <c r="A25" s="45" t="s">
        <v>121</v>
      </c>
      <c r="B25" s="46" t="s">
        <v>123</v>
      </c>
      <c r="C25" s="46" t="s">
        <v>105</v>
      </c>
      <c r="D25" s="4" t="s">
        <v>106</v>
      </c>
      <c r="E25" s="2" t="s">
        <v>107</v>
      </c>
      <c r="F25" s="2" t="s">
        <v>124</v>
      </c>
      <c r="G25" s="139" t="s">
        <v>143</v>
      </c>
      <c r="H25" s="2" t="s">
        <v>109</v>
      </c>
      <c r="I25" s="3">
        <v>1</v>
      </c>
      <c r="J25" s="3">
        <v>1</v>
      </c>
      <c r="K25" s="48">
        <v>0.5</v>
      </c>
      <c r="L25" s="5">
        <f t="shared" si="1"/>
        <v>1</v>
      </c>
    </row>
    <row r="26" spans="1:12" ht="39.950000000000003" customHeight="1" x14ac:dyDescent="0.25">
      <c r="A26" s="45" t="s">
        <v>121</v>
      </c>
      <c r="B26" s="46" t="s">
        <v>123</v>
      </c>
      <c r="C26" s="46" t="s">
        <v>105</v>
      </c>
      <c r="D26" s="4" t="s">
        <v>106</v>
      </c>
      <c r="E26" s="2" t="s">
        <v>107</v>
      </c>
      <c r="F26" s="2" t="s">
        <v>124</v>
      </c>
      <c r="G26" s="139"/>
      <c r="H26" s="2" t="s">
        <v>111</v>
      </c>
      <c r="I26" s="3">
        <v>1</v>
      </c>
      <c r="J26" s="3">
        <v>1</v>
      </c>
      <c r="K26" s="48">
        <v>1</v>
      </c>
      <c r="L26" s="5">
        <f t="shared" si="1"/>
        <v>1</v>
      </c>
    </row>
    <row r="27" spans="1:12" ht="39.950000000000003" customHeight="1" x14ac:dyDescent="0.25">
      <c r="A27" s="45" t="s">
        <v>125</v>
      </c>
      <c r="B27" s="46" t="s">
        <v>126</v>
      </c>
      <c r="C27" s="46" t="s">
        <v>105</v>
      </c>
      <c r="D27" s="4" t="s">
        <v>106</v>
      </c>
      <c r="E27" s="2" t="s">
        <v>127</v>
      </c>
      <c r="F27" s="2" t="s">
        <v>108</v>
      </c>
      <c r="G27" s="139"/>
      <c r="H27" s="2" t="s">
        <v>109</v>
      </c>
      <c r="I27" s="3">
        <v>1</v>
      </c>
      <c r="J27" s="3">
        <v>1</v>
      </c>
      <c r="K27" s="48">
        <v>1</v>
      </c>
      <c r="L27" s="5">
        <f t="shared" ref="L27:L46" si="2">ROUNDUP(J27*K27,0)</f>
        <v>1</v>
      </c>
    </row>
    <row r="28" spans="1:12" ht="39.950000000000003" customHeight="1" x14ac:dyDescent="0.25">
      <c r="A28" s="45" t="s">
        <v>128</v>
      </c>
      <c r="B28" s="46" t="s">
        <v>129</v>
      </c>
      <c r="C28" s="46" t="s">
        <v>130</v>
      </c>
      <c r="D28" s="4" t="s">
        <v>106</v>
      </c>
      <c r="E28" s="2" t="s">
        <v>107</v>
      </c>
      <c r="F28" s="2" t="s">
        <v>108</v>
      </c>
      <c r="G28" s="139"/>
      <c r="H28" s="2" t="s">
        <v>109</v>
      </c>
      <c r="I28" s="3">
        <v>1</v>
      </c>
      <c r="J28" s="3">
        <v>1</v>
      </c>
      <c r="K28" s="48">
        <v>0.25</v>
      </c>
      <c r="L28" s="5">
        <f t="shared" si="2"/>
        <v>1</v>
      </c>
    </row>
    <row r="29" spans="1:12" ht="39.950000000000003" customHeight="1" x14ac:dyDescent="0.25">
      <c r="A29" s="45" t="s">
        <v>131</v>
      </c>
      <c r="B29" s="46" t="s">
        <v>132</v>
      </c>
      <c r="C29" s="46" t="s">
        <v>105</v>
      </c>
      <c r="D29" s="4" t="s">
        <v>106</v>
      </c>
      <c r="E29" s="2" t="s">
        <v>107</v>
      </c>
      <c r="F29" s="2" t="s">
        <v>135</v>
      </c>
      <c r="G29" s="139"/>
      <c r="H29" s="2" t="s">
        <v>109</v>
      </c>
      <c r="I29" s="3">
        <v>2</v>
      </c>
      <c r="J29" s="3">
        <v>2</v>
      </c>
      <c r="K29" s="48">
        <v>8</v>
      </c>
      <c r="L29" s="5">
        <f t="shared" si="2"/>
        <v>16</v>
      </c>
    </row>
    <row r="30" spans="1:12" ht="39.950000000000003" customHeight="1" x14ac:dyDescent="0.25">
      <c r="A30" s="45" t="s">
        <v>133</v>
      </c>
      <c r="B30" s="46" t="s">
        <v>134</v>
      </c>
      <c r="C30" s="46" t="s">
        <v>105</v>
      </c>
      <c r="D30" s="4" t="s">
        <v>106</v>
      </c>
      <c r="E30" s="2" t="s">
        <v>107</v>
      </c>
      <c r="F30" s="2" t="s">
        <v>108</v>
      </c>
      <c r="G30" s="139"/>
      <c r="H30" s="2" t="s">
        <v>109</v>
      </c>
      <c r="I30" s="3">
        <v>1</v>
      </c>
      <c r="J30" s="3">
        <v>1</v>
      </c>
      <c r="K30" s="48">
        <v>0.83</v>
      </c>
      <c r="L30" s="5">
        <f t="shared" si="2"/>
        <v>1</v>
      </c>
    </row>
    <row r="31" spans="1:12" ht="39.950000000000003" customHeight="1" x14ac:dyDescent="0.25">
      <c r="A31" s="45" t="s">
        <v>133</v>
      </c>
      <c r="B31" s="46" t="s">
        <v>134</v>
      </c>
      <c r="C31" s="46" t="s">
        <v>105</v>
      </c>
      <c r="D31" s="4" t="s">
        <v>106</v>
      </c>
      <c r="E31" s="2" t="s">
        <v>107</v>
      </c>
      <c r="F31" s="2" t="s">
        <v>135</v>
      </c>
      <c r="G31" s="139"/>
      <c r="H31" s="2" t="s">
        <v>109</v>
      </c>
      <c r="I31" s="3">
        <v>1</v>
      </c>
      <c r="J31" s="3">
        <v>1</v>
      </c>
      <c r="K31" s="48">
        <v>0.83</v>
      </c>
      <c r="L31" s="5">
        <f t="shared" si="2"/>
        <v>1</v>
      </c>
    </row>
    <row r="32" spans="1:12" ht="39.950000000000003" customHeight="1" x14ac:dyDescent="0.25">
      <c r="A32" s="45" t="s">
        <v>136</v>
      </c>
      <c r="B32" s="46" t="s">
        <v>137</v>
      </c>
      <c r="C32" s="46" t="s">
        <v>105</v>
      </c>
      <c r="D32" s="4" t="s">
        <v>106</v>
      </c>
      <c r="E32" s="2" t="s">
        <v>107</v>
      </c>
      <c r="F32" s="2" t="s">
        <v>135</v>
      </c>
      <c r="G32" s="139"/>
      <c r="H32" s="2" t="s">
        <v>109</v>
      </c>
      <c r="I32" s="3">
        <v>1</v>
      </c>
      <c r="J32" s="3">
        <v>1</v>
      </c>
      <c r="K32" s="48">
        <v>0.5</v>
      </c>
      <c r="L32" s="5">
        <f t="shared" si="2"/>
        <v>1</v>
      </c>
    </row>
    <row r="33" spans="1:12" ht="39.950000000000003" customHeight="1" x14ac:dyDescent="0.25">
      <c r="A33" s="45" t="s">
        <v>138</v>
      </c>
      <c r="B33" s="46" t="s">
        <v>139</v>
      </c>
      <c r="C33" s="46" t="s">
        <v>105</v>
      </c>
      <c r="D33" s="4" t="s">
        <v>106</v>
      </c>
      <c r="E33" s="2" t="s">
        <v>107</v>
      </c>
      <c r="F33" s="2" t="s">
        <v>135</v>
      </c>
      <c r="G33" s="139" t="s">
        <v>143</v>
      </c>
      <c r="H33" s="2" t="s">
        <v>109</v>
      </c>
      <c r="I33" s="3">
        <v>624</v>
      </c>
      <c r="J33" s="3">
        <v>15600</v>
      </c>
      <c r="K33" s="48">
        <v>0.5</v>
      </c>
      <c r="L33" s="5">
        <f t="shared" si="2"/>
        <v>7800</v>
      </c>
    </row>
    <row r="34" spans="1:12" ht="39.950000000000003" customHeight="1" x14ac:dyDescent="0.25">
      <c r="A34" s="45"/>
      <c r="B34" s="46"/>
      <c r="C34" s="46"/>
      <c r="D34" s="4"/>
      <c r="E34" s="2"/>
      <c r="F34" s="2"/>
      <c r="G34" s="139"/>
      <c r="H34" s="2"/>
      <c r="I34" s="3"/>
      <c r="J34" s="3"/>
      <c r="K34" s="48"/>
      <c r="L34" s="5">
        <f t="shared" si="2"/>
        <v>0</v>
      </c>
    </row>
    <row r="35" spans="1:12" ht="39.950000000000003" customHeight="1" x14ac:dyDescent="0.25">
      <c r="A35" s="45"/>
      <c r="B35" s="46"/>
      <c r="C35" s="46"/>
      <c r="D35" s="4"/>
      <c r="E35" s="2"/>
      <c r="F35" s="2"/>
      <c r="G35" s="139"/>
      <c r="H35" s="2"/>
      <c r="I35" s="3"/>
      <c r="J35" s="3"/>
      <c r="K35" s="48"/>
      <c r="L35" s="5">
        <f t="shared" si="2"/>
        <v>0</v>
      </c>
    </row>
    <row r="36" spans="1:12" ht="39.950000000000003" customHeight="1" x14ac:dyDescent="0.25">
      <c r="A36" s="45"/>
      <c r="B36" s="46"/>
      <c r="C36" s="46"/>
      <c r="D36" s="4"/>
      <c r="E36" s="2"/>
      <c r="F36" s="2"/>
      <c r="G36" s="139"/>
      <c r="H36" s="2"/>
      <c r="I36" s="3"/>
      <c r="J36" s="3"/>
      <c r="K36" s="48"/>
      <c r="L36" s="5">
        <f t="shared" si="2"/>
        <v>0</v>
      </c>
    </row>
    <row r="37" spans="1:12" ht="39.950000000000003" customHeight="1" x14ac:dyDescent="0.25">
      <c r="A37" s="45"/>
      <c r="B37" s="46"/>
      <c r="C37" s="46"/>
      <c r="D37" s="4"/>
      <c r="E37" s="2"/>
      <c r="F37" s="2"/>
      <c r="G37" s="139"/>
      <c r="H37" s="2"/>
      <c r="I37" s="3"/>
      <c r="J37" s="3"/>
      <c r="K37" s="48"/>
      <c r="L37" s="5">
        <f t="shared" si="2"/>
        <v>0</v>
      </c>
    </row>
    <row r="38" spans="1:12" ht="39.950000000000003" customHeight="1" x14ac:dyDescent="0.25">
      <c r="A38" s="45"/>
      <c r="B38" s="46"/>
      <c r="C38" s="46"/>
      <c r="D38" s="4"/>
      <c r="E38" s="2"/>
      <c r="F38" s="2"/>
      <c r="G38" s="139"/>
      <c r="H38" s="2"/>
      <c r="I38" s="3"/>
      <c r="J38" s="3"/>
      <c r="K38" s="48"/>
      <c r="L38" s="5">
        <f t="shared" si="2"/>
        <v>0</v>
      </c>
    </row>
    <row r="39" spans="1:12" ht="39.950000000000003" customHeight="1" x14ac:dyDescent="0.25">
      <c r="A39" s="45"/>
      <c r="B39" s="46"/>
      <c r="C39" s="46"/>
      <c r="D39" s="4"/>
      <c r="E39" s="2"/>
      <c r="F39" s="2"/>
      <c r="G39" s="139"/>
      <c r="H39" s="2"/>
      <c r="I39" s="3"/>
      <c r="J39" s="3"/>
      <c r="K39" s="48"/>
      <c r="L39" s="5">
        <f t="shared" si="2"/>
        <v>0</v>
      </c>
    </row>
    <row r="40" spans="1:12" ht="39.950000000000003" customHeight="1" x14ac:dyDescent="0.25">
      <c r="A40" s="45"/>
      <c r="B40" s="46"/>
      <c r="C40" s="46"/>
      <c r="D40" s="4"/>
      <c r="E40" s="2"/>
      <c r="F40" s="2"/>
      <c r="G40" s="139"/>
      <c r="H40" s="2"/>
      <c r="I40" s="3"/>
      <c r="J40" s="3"/>
      <c r="K40" s="48"/>
      <c r="L40" s="5">
        <f t="shared" si="2"/>
        <v>0</v>
      </c>
    </row>
    <row r="41" spans="1:12" ht="39.950000000000003" customHeight="1" x14ac:dyDescent="0.25">
      <c r="A41" s="45"/>
      <c r="B41" s="46"/>
      <c r="C41" s="46"/>
      <c r="D41" s="4"/>
      <c r="E41" s="2"/>
      <c r="F41" s="2"/>
      <c r="G41" s="139"/>
      <c r="H41" s="2"/>
      <c r="I41" s="3"/>
      <c r="J41" s="3"/>
      <c r="K41" s="48"/>
      <c r="L41" s="5">
        <f t="shared" si="2"/>
        <v>0</v>
      </c>
    </row>
    <row r="42" spans="1:12" ht="39.950000000000003" customHeight="1" x14ac:dyDescent="0.25">
      <c r="A42" s="45"/>
      <c r="B42" s="46"/>
      <c r="C42" s="46"/>
      <c r="D42" s="4"/>
      <c r="E42" s="2"/>
      <c r="F42" s="2"/>
      <c r="G42" s="139"/>
      <c r="H42" s="2"/>
      <c r="I42" s="3"/>
      <c r="J42" s="3"/>
      <c r="K42" s="48"/>
      <c r="L42" s="5">
        <f t="shared" si="2"/>
        <v>0</v>
      </c>
    </row>
    <row r="43" spans="1:12" ht="39.950000000000003" customHeight="1" x14ac:dyDescent="0.25">
      <c r="A43" s="45"/>
      <c r="B43" s="46"/>
      <c r="C43" s="46"/>
      <c r="D43" s="4"/>
      <c r="E43" s="2"/>
      <c r="F43" s="2"/>
      <c r="G43" s="139"/>
      <c r="H43" s="2"/>
      <c r="I43" s="3"/>
      <c r="J43" s="3"/>
      <c r="K43" s="48"/>
      <c r="L43" s="5">
        <f t="shared" si="2"/>
        <v>0</v>
      </c>
    </row>
    <row r="44" spans="1:12" ht="39.950000000000003" customHeight="1" x14ac:dyDescent="0.25">
      <c r="A44" s="45"/>
      <c r="B44" s="46"/>
      <c r="C44" s="46"/>
      <c r="D44" s="4"/>
      <c r="E44" s="2"/>
      <c r="F44" s="2"/>
      <c r="G44" s="139"/>
      <c r="H44" s="2"/>
      <c r="I44" s="3"/>
      <c r="J44" s="3"/>
      <c r="K44" s="48"/>
      <c r="L44" s="5">
        <f t="shared" si="2"/>
        <v>0</v>
      </c>
    </row>
    <row r="45" spans="1:12" ht="39.950000000000003" customHeight="1" x14ac:dyDescent="0.25">
      <c r="A45" s="45"/>
      <c r="B45" s="46"/>
      <c r="C45" s="46"/>
      <c r="D45" s="4"/>
      <c r="E45" s="2"/>
      <c r="F45" s="2"/>
      <c r="G45" s="139"/>
      <c r="H45" s="2"/>
      <c r="I45" s="3"/>
      <c r="J45" s="3"/>
      <c r="K45" s="48"/>
      <c r="L45" s="5">
        <f t="shared" si="2"/>
        <v>0</v>
      </c>
    </row>
    <row r="46" spans="1:12" ht="39.950000000000003" customHeight="1" x14ac:dyDescent="0.25">
      <c r="A46" s="45"/>
      <c r="B46" s="46"/>
      <c r="C46" s="46"/>
      <c r="D46" s="4"/>
      <c r="E46" s="2"/>
      <c r="F46" s="2"/>
      <c r="G46" s="139"/>
      <c r="H46" s="2"/>
      <c r="I46" s="3"/>
      <c r="J46" s="3"/>
      <c r="K46" s="48"/>
      <c r="L46" s="5">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15" zoomScale="80" zoomScaleNormal="80" zoomScaleSheetLayoutView="115" workbookViewId="0">
      <selection activeCell="O20" sqref="O20"/>
    </sheetView>
  </sheetViews>
  <sheetFormatPr defaultColWidth="9.140625" defaultRowHeight="9" customHeight="1" x14ac:dyDescent="0.25"/>
  <cols>
    <col min="1" max="1" width="40.42578125" style="8" customWidth="1"/>
    <col min="2" max="2" width="18.7109375" style="8" bestFit="1" customWidth="1"/>
    <col min="3" max="3" width="15.7109375" style="8" customWidth="1"/>
    <col min="4" max="4" width="17.28515625" style="8" customWidth="1"/>
    <col min="5" max="5" width="16.85546875" style="8" customWidth="1"/>
    <col min="6" max="6" width="11" style="8" customWidth="1"/>
    <col min="7" max="7" width="22.7109375" style="8" bestFit="1" customWidth="1"/>
    <col min="8" max="8" width="14.5703125" style="8" customWidth="1"/>
    <col min="9" max="9" width="9.140625" style="8"/>
    <col min="10" max="10" width="20.42578125" style="8" bestFit="1" customWidth="1"/>
    <col min="11" max="15" width="13.7109375" style="8" customWidth="1"/>
    <col min="16" max="16" width="7.5703125" style="181" customWidth="1"/>
    <col min="17" max="17" width="68.140625" style="140" bestFit="1" customWidth="1"/>
    <col min="18" max="16384" width="9.140625" style="8"/>
  </cols>
  <sheetData>
    <row r="1" spans="1:17" ht="26.25" customHeight="1" x14ac:dyDescent="0.25">
      <c r="A1" s="124" t="s">
        <v>78</v>
      </c>
      <c r="B1" s="99"/>
      <c r="C1" s="99"/>
      <c r="D1" s="99"/>
      <c r="E1" s="99"/>
      <c r="F1" s="99"/>
      <c r="G1" s="187" t="s">
        <v>93</v>
      </c>
      <c r="H1" s="188"/>
      <c r="I1" s="188"/>
      <c r="J1" s="188"/>
      <c r="K1" s="188"/>
      <c r="L1" s="188"/>
      <c r="M1" s="188"/>
      <c r="N1" s="188"/>
      <c r="O1" s="188"/>
      <c r="P1" s="189"/>
      <c r="Q1" s="195" t="s">
        <v>92</v>
      </c>
    </row>
    <row r="2" spans="1:17" ht="28.5" customHeight="1" thickBot="1" x14ac:dyDescent="0.3">
      <c r="A2" s="190" t="s">
        <v>61</v>
      </c>
      <c r="B2" s="191"/>
      <c r="C2" s="191"/>
      <c r="D2" s="191"/>
      <c r="E2" s="191"/>
      <c r="F2" s="192" t="s">
        <v>77</v>
      </c>
      <c r="G2" s="193" t="s">
        <v>80</v>
      </c>
      <c r="H2" s="193"/>
      <c r="I2" s="191"/>
      <c r="J2" s="191"/>
      <c r="K2" s="191"/>
      <c r="L2" s="191"/>
      <c r="M2" s="191"/>
      <c r="N2" s="191"/>
      <c r="O2" s="191"/>
      <c r="P2" s="194"/>
    </row>
    <row r="3" spans="1:17" ht="28.5" customHeight="1" x14ac:dyDescent="0.25">
      <c r="A3" s="147"/>
      <c r="B3" s="99"/>
      <c r="C3" s="99"/>
      <c r="D3" s="99"/>
      <c r="E3" s="99"/>
      <c r="F3" s="99"/>
      <c r="G3" s="148" t="s">
        <v>79</v>
      </c>
      <c r="H3" s="148"/>
      <c r="I3" s="99"/>
      <c r="J3" s="99"/>
      <c r="K3" s="99"/>
      <c r="L3" s="99"/>
      <c r="M3" s="99"/>
      <c r="N3" s="99"/>
      <c r="O3" s="99"/>
      <c r="P3" s="180"/>
    </row>
    <row r="4" spans="1:17" ht="28.5" customHeight="1" thickBot="1" x14ac:dyDescent="0.3">
      <c r="A4" s="149" t="s">
        <v>82</v>
      </c>
      <c r="B4" s="99"/>
      <c r="C4" s="99"/>
      <c r="D4" s="99"/>
      <c r="E4" s="99"/>
      <c r="F4" s="99"/>
      <c r="G4" s="148" t="s">
        <v>97</v>
      </c>
      <c r="H4" s="99"/>
      <c r="I4" s="99"/>
      <c r="J4" s="148"/>
      <c r="K4" s="148"/>
      <c r="L4" s="148"/>
      <c r="M4" s="148"/>
      <c r="N4" s="148"/>
      <c r="O4" s="148"/>
      <c r="P4" s="180"/>
      <c r="Q4" s="183" t="s">
        <v>94</v>
      </c>
    </row>
    <row r="5" spans="1:17" ht="15" customHeight="1" thickBot="1" x14ac:dyDescent="0.3">
      <c r="A5" s="152" t="s">
        <v>27</v>
      </c>
      <c r="B5" s="197" t="s">
        <v>58</v>
      </c>
      <c r="C5" s="153"/>
      <c r="D5" s="154" t="s">
        <v>31</v>
      </c>
      <c r="E5" s="155" t="s">
        <v>49</v>
      </c>
      <c r="F5" s="99"/>
      <c r="G5" s="125"/>
      <c r="H5" s="126"/>
      <c r="I5" s="126"/>
      <c r="J5" s="126"/>
      <c r="K5" s="126"/>
      <c r="L5" s="126"/>
      <c r="M5" s="126"/>
      <c r="N5" s="126"/>
      <c r="O5" s="127"/>
      <c r="P5" s="180"/>
      <c r="Q5" s="182" t="s">
        <v>89</v>
      </c>
    </row>
    <row r="6" spans="1:17" ht="15" customHeight="1" thickBot="1" x14ac:dyDescent="0.3">
      <c r="A6" s="74" t="s">
        <v>28</v>
      </c>
      <c r="B6" s="198" t="s">
        <v>99</v>
      </c>
      <c r="C6" s="156"/>
      <c r="D6" s="157" t="s">
        <v>50</v>
      </c>
      <c r="E6" s="158">
        <f>SUMIFS('APHIS 71'!I14:I41,'APHIS 71'!F14:F41,"FG",'APHIS 71'!G14:G41,"=?")</f>
        <v>624</v>
      </c>
      <c r="F6" s="107"/>
      <c r="G6" s="110" t="s">
        <v>49</v>
      </c>
      <c r="H6" s="128"/>
      <c r="I6" s="129"/>
      <c r="J6" s="132" t="s">
        <v>31</v>
      </c>
      <c r="K6" s="133">
        <f>K15+K23+K31+K39</f>
        <v>741</v>
      </c>
      <c r="L6" s="129"/>
      <c r="M6" s="129"/>
      <c r="N6" s="129"/>
      <c r="O6" s="111"/>
      <c r="P6" s="180"/>
      <c r="Q6" s="177" t="s">
        <v>90</v>
      </c>
    </row>
    <row r="7" spans="1:17" ht="15" customHeight="1" x14ac:dyDescent="0.25">
      <c r="A7" s="150"/>
      <c r="B7" s="151"/>
      <c r="C7" s="50"/>
      <c r="D7" s="95" t="s">
        <v>51</v>
      </c>
      <c r="E7" s="85">
        <f>SUMIFS('APHIS 71'!I14:I41,'APHIS 71'!F14:F41,"=S1",'APHIS 71'!G14:G41,"=?")</f>
        <v>1</v>
      </c>
      <c r="F7" s="108"/>
      <c r="G7" s="110"/>
      <c r="H7" s="128"/>
      <c r="I7" s="129"/>
      <c r="J7" s="129"/>
      <c r="K7" s="129"/>
      <c r="L7" s="129"/>
      <c r="M7" s="129"/>
      <c r="N7" s="129"/>
      <c r="O7" s="111"/>
      <c r="P7" s="180"/>
      <c r="Q7" s="177" t="s">
        <v>91</v>
      </c>
    </row>
    <row r="8" spans="1:17" ht="15" customHeight="1" thickBot="1" x14ac:dyDescent="0.3">
      <c r="A8" s="75" t="s">
        <v>29</v>
      </c>
      <c r="B8" s="76" t="s">
        <v>30</v>
      </c>
      <c r="C8" s="51"/>
      <c r="D8" s="95" t="s">
        <v>52</v>
      </c>
      <c r="E8" s="85">
        <f>SUMIFS('APHIS 71'!I14:I41,'APHIS 71'!F14:F41,"=S2",'APHIS 71'!G14:G41,"=?")</f>
        <v>0</v>
      </c>
      <c r="F8" s="109"/>
      <c r="G8" s="112"/>
      <c r="H8" s="175" t="s">
        <v>62</v>
      </c>
      <c r="I8" s="129"/>
      <c r="J8" s="88"/>
      <c r="K8" s="173" t="s">
        <v>63</v>
      </c>
      <c r="L8" s="173" t="s">
        <v>64</v>
      </c>
      <c r="M8" s="173" t="s">
        <v>65</v>
      </c>
      <c r="N8" s="173" t="s">
        <v>66</v>
      </c>
      <c r="O8" s="174" t="s">
        <v>67</v>
      </c>
      <c r="P8" s="180"/>
    </row>
    <row r="9" spans="1:17" ht="15" customHeight="1" thickBot="1" x14ac:dyDescent="0.3">
      <c r="A9" s="52" t="s">
        <v>32</v>
      </c>
      <c r="B9" s="53">
        <f>'APHIS 71'!L5</f>
        <v>741</v>
      </c>
      <c r="C9" s="54"/>
      <c r="D9" s="95" t="s">
        <v>53</v>
      </c>
      <c r="E9" s="85">
        <f>SUMIFS('APHIS 71'!I14:I41,'APHIS 71'!F14:F41,"=S3",'APHIS 71'!G14:G41,"=?")</f>
        <v>0</v>
      </c>
      <c r="F9" s="109"/>
      <c r="G9" s="113" t="s">
        <v>40</v>
      </c>
      <c r="H9" s="92">
        <f>H18+H26+H34+H42</f>
        <v>8129</v>
      </c>
      <c r="I9" s="129"/>
      <c r="J9" s="88" t="s">
        <v>68</v>
      </c>
      <c r="K9" s="93">
        <f t="shared" ref="K9:O11" si="0">K18+K26+K34+K42</f>
        <v>16406</v>
      </c>
      <c r="L9" s="93">
        <f t="shared" si="0"/>
        <v>0</v>
      </c>
      <c r="M9" s="93">
        <f t="shared" si="0"/>
        <v>16406</v>
      </c>
      <c r="N9" s="93">
        <f t="shared" si="0"/>
        <v>0</v>
      </c>
      <c r="O9" s="114">
        <f t="shared" si="0"/>
        <v>0</v>
      </c>
      <c r="P9" s="180"/>
      <c r="Q9" s="178" t="s">
        <v>84</v>
      </c>
    </row>
    <row r="10" spans="1:17" ht="15" customHeight="1" x14ac:dyDescent="0.25">
      <c r="A10" s="52" t="s">
        <v>33</v>
      </c>
      <c r="B10" s="53">
        <f>B11/B9</f>
        <v>22.140350877192983</v>
      </c>
      <c r="C10" s="54"/>
      <c r="D10" s="95" t="s">
        <v>35</v>
      </c>
      <c r="E10" s="85">
        <f>SUMIFS('APHIS 71'!I14:I41,'APHIS 71'!F14:F41,"=P1",'APHIS 71'!G14:G41,"=?")</f>
        <v>116</v>
      </c>
      <c r="F10" s="109"/>
      <c r="G10" s="115" t="s">
        <v>69</v>
      </c>
      <c r="H10" s="93">
        <f>H19+H27+H35+H43</f>
        <v>131</v>
      </c>
      <c r="I10" s="129"/>
      <c r="J10" s="88" t="s">
        <v>62</v>
      </c>
      <c r="K10" s="93">
        <f t="shared" si="0"/>
        <v>8260</v>
      </c>
      <c r="L10" s="93">
        <f t="shared" si="0"/>
        <v>0</v>
      </c>
      <c r="M10" s="93">
        <f t="shared" si="0"/>
        <v>8260</v>
      </c>
      <c r="N10" s="93">
        <f t="shared" si="0"/>
        <v>0</v>
      </c>
      <c r="O10" s="114">
        <f t="shared" si="0"/>
        <v>0</v>
      </c>
      <c r="P10" s="180"/>
      <c r="Q10" s="176" t="s">
        <v>95</v>
      </c>
    </row>
    <row r="11" spans="1:17" ht="15" customHeight="1" thickBot="1" x14ac:dyDescent="0.3">
      <c r="A11" s="52" t="s">
        <v>34</v>
      </c>
      <c r="B11" s="53">
        <f>'APHIS 71'!L6</f>
        <v>16406</v>
      </c>
      <c r="C11" s="54"/>
      <c r="D11" s="95" t="s">
        <v>37</v>
      </c>
      <c r="E11" s="85">
        <f>SUMIFS('APHIS 71'!I14:I41,'APHIS 71'!F14:F41,"=P2",'APHIS 71'!G14:G41,"=?")</f>
        <v>0</v>
      </c>
      <c r="F11" s="99"/>
      <c r="G11" s="112" t="s">
        <v>70</v>
      </c>
      <c r="H11" s="94">
        <f>H20+H28+H36+H44</f>
        <v>0</v>
      </c>
      <c r="I11" s="129"/>
      <c r="J11" s="88" t="s">
        <v>71</v>
      </c>
      <c r="K11" s="93">
        <f t="shared" si="0"/>
        <v>0</v>
      </c>
      <c r="L11" s="93">
        <f t="shared" si="0"/>
        <v>0</v>
      </c>
      <c r="M11" s="93">
        <f t="shared" si="0"/>
        <v>0</v>
      </c>
      <c r="N11" s="93">
        <f t="shared" si="0"/>
        <v>0</v>
      </c>
      <c r="O11" s="93">
        <f t="shared" si="0"/>
        <v>0</v>
      </c>
      <c r="P11" s="180"/>
      <c r="Q11" s="176" t="s">
        <v>96</v>
      </c>
    </row>
    <row r="12" spans="1:17" ht="15" customHeight="1" x14ac:dyDescent="0.25">
      <c r="A12" s="52" t="s">
        <v>36</v>
      </c>
      <c r="B12" s="53">
        <f>'APHIS 71'!L9</f>
        <v>8260</v>
      </c>
      <c r="C12" s="54"/>
      <c r="D12" s="95" t="s">
        <v>38</v>
      </c>
      <c r="E12" s="85">
        <f>SUMIFS('APHIS 71'!I14:I41,'APHIS 71'!F14:F41,"=P3",'APHIS 71'!G14:G41,"=?")</f>
        <v>0</v>
      </c>
      <c r="F12" s="99"/>
      <c r="G12" s="113" t="s">
        <v>49</v>
      </c>
      <c r="H12" s="92">
        <f>SUM(H9:H11)</f>
        <v>8260</v>
      </c>
      <c r="I12" s="129"/>
      <c r="J12" s="129"/>
      <c r="K12" s="129"/>
      <c r="L12" s="129"/>
      <c r="M12" s="129"/>
      <c r="N12" s="129"/>
      <c r="O12" s="111"/>
      <c r="P12" s="180"/>
    </row>
    <row r="13" spans="1:17" ht="15" customHeight="1" thickBot="1" x14ac:dyDescent="0.3">
      <c r="A13" s="55" t="s">
        <v>39</v>
      </c>
      <c r="B13" s="56">
        <f>B12/B11</f>
        <v>0.50347433865658908</v>
      </c>
      <c r="C13" s="54"/>
      <c r="D13" s="96" t="s">
        <v>54</v>
      </c>
      <c r="E13" s="86">
        <f>SUMIFS('APHIS 71'!I14:I41,'APHIS 71'!F14:F41,"=I",'APHIS 71'!G14:G41,"=?")</f>
        <v>0</v>
      </c>
      <c r="F13" s="99"/>
      <c r="G13" s="134"/>
      <c r="H13" s="135"/>
      <c r="I13" s="136"/>
      <c r="J13" s="136"/>
      <c r="K13" s="136"/>
      <c r="L13" s="136"/>
      <c r="M13" s="136"/>
      <c r="N13" s="136"/>
      <c r="O13" s="137"/>
      <c r="P13" s="180"/>
      <c r="Q13" s="178" t="s">
        <v>83</v>
      </c>
    </row>
    <row r="14" spans="1:17" ht="15" customHeight="1" thickBot="1" x14ac:dyDescent="0.3">
      <c r="A14" s="104"/>
      <c r="B14" s="104"/>
      <c r="C14" s="104"/>
      <c r="D14" s="105"/>
      <c r="E14" s="106">
        <f>SUM(E6:E13)</f>
        <v>741</v>
      </c>
      <c r="F14" s="163"/>
      <c r="G14" s="164"/>
      <c r="H14" s="165" t="s">
        <v>75</v>
      </c>
      <c r="I14" s="164"/>
      <c r="J14" s="164"/>
      <c r="K14" s="165" t="s">
        <v>75</v>
      </c>
      <c r="L14" s="164"/>
      <c r="M14" s="164"/>
      <c r="N14" s="164"/>
      <c r="O14" s="166"/>
      <c r="P14" s="180"/>
      <c r="Q14" s="177" t="s">
        <v>86</v>
      </c>
    </row>
    <row r="15" spans="1:17" ht="21" customHeight="1" x14ac:dyDescent="0.25">
      <c r="A15" s="57" t="s">
        <v>29</v>
      </c>
      <c r="B15" s="58" t="s">
        <v>55</v>
      </c>
      <c r="C15" s="59" t="s">
        <v>40</v>
      </c>
      <c r="D15" s="60" t="s">
        <v>41</v>
      </c>
      <c r="E15" s="61" t="s">
        <v>56</v>
      </c>
      <c r="F15" s="99"/>
      <c r="G15" s="110" t="s">
        <v>72</v>
      </c>
      <c r="H15" s="128"/>
      <c r="I15" s="128"/>
      <c r="J15" s="130" t="s">
        <v>31</v>
      </c>
      <c r="K15" s="200">
        <f>B16</f>
        <v>624</v>
      </c>
      <c r="L15" s="130"/>
      <c r="M15" s="130"/>
      <c r="N15" s="130"/>
      <c r="O15" s="116"/>
      <c r="P15" s="180"/>
      <c r="Q15" s="177" t="s">
        <v>85</v>
      </c>
    </row>
    <row r="16" spans="1:17" ht="15" customHeight="1" x14ac:dyDescent="0.25">
      <c r="A16" s="52" t="s">
        <v>32</v>
      </c>
      <c r="B16" s="62">
        <f>E6</f>
        <v>624</v>
      </c>
      <c r="C16" s="63"/>
      <c r="D16" s="64"/>
      <c r="E16" s="65"/>
      <c r="F16" s="99"/>
      <c r="G16" s="110"/>
      <c r="H16" s="128"/>
      <c r="I16" s="128"/>
      <c r="J16" s="130"/>
      <c r="K16" s="130"/>
      <c r="L16" s="130"/>
      <c r="M16" s="130"/>
      <c r="N16" s="130"/>
      <c r="O16" s="116"/>
      <c r="P16" s="180"/>
      <c r="Q16" s="184" t="s">
        <v>98</v>
      </c>
    </row>
    <row r="17" spans="1:17" ht="15" customHeight="1" thickBot="1" x14ac:dyDescent="0.3">
      <c r="A17" s="52" t="s">
        <v>33</v>
      </c>
      <c r="B17" s="66">
        <f>B18/B16</f>
        <v>25.006410256410255</v>
      </c>
      <c r="C17" s="63"/>
      <c r="D17" s="64"/>
      <c r="E17" s="65"/>
      <c r="F17" s="99"/>
      <c r="G17" s="112"/>
      <c r="H17" s="175" t="s">
        <v>62</v>
      </c>
      <c r="I17" s="128"/>
      <c r="J17" s="88"/>
      <c r="K17" s="173" t="s">
        <v>63</v>
      </c>
      <c r="L17" s="173" t="s">
        <v>64</v>
      </c>
      <c r="M17" s="173" t="s">
        <v>65</v>
      </c>
      <c r="N17" s="173" t="s">
        <v>66</v>
      </c>
      <c r="O17" s="174" t="s">
        <v>67</v>
      </c>
      <c r="P17" s="180"/>
    </row>
    <row r="18" spans="1:17" ht="15" customHeight="1" x14ac:dyDescent="0.25">
      <c r="A18" s="52" t="s">
        <v>34</v>
      </c>
      <c r="B18" s="67">
        <f>SUMIF('APHIS 71'!$F$14:$F$145,"=FG",'APHIS 71'!$J$14:$J$145)</f>
        <v>15604</v>
      </c>
      <c r="C18" s="63"/>
      <c r="D18" s="64"/>
      <c r="E18" s="65"/>
      <c r="F18" s="122"/>
      <c r="G18" s="113" t="s">
        <v>40</v>
      </c>
      <c r="H18" s="92">
        <f>C19</f>
        <v>7818</v>
      </c>
      <c r="I18" s="128"/>
      <c r="J18" s="88" t="s">
        <v>68</v>
      </c>
      <c r="K18" s="93">
        <f>B18</f>
        <v>15604</v>
      </c>
      <c r="L18" s="199">
        <v>0</v>
      </c>
      <c r="M18" s="93">
        <f>K18-L18-O18</f>
        <v>15604</v>
      </c>
      <c r="N18" s="199">
        <v>0</v>
      </c>
      <c r="O18" s="185"/>
      <c r="P18" s="180"/>
    </row>
    <row r="19" spans="1:17" ht="15" customHeight="1" thickBot="1" x14ac:dyDescent="0.3">
      <c r="A19" s="55" t="s">
        <v>36</v>
      </c>
      <c r="B19" s="68">
        <f>SUMIF('APHIS 71'!$F$14:$F$145,"=FG",'APHIS 71'!$L$14:$L$145)</f>
        <v>7818</v>
      </c>
      <c r="C19" s="69">
        <f>SUMIFS('APHIS 71'!$L$14:$L$145,'APHIS 71'!$F$14:$F$145,"=FG",'APHIS 71'!$H$14:$H$145,"=I")</f>
        <v>7818</v>
      </c>
      <c r="D19" s="70">
        <f>SUMIFS('APHIS 71'!$L$14:$L$145,'APHIS 71'!$F$14:$F$145,"=FG",'APHIS 71'!$H$14:$H$145,"=R")</f>
        <v>0</v>
      </c>
      <c r="E19" s="71">
        <f>SUMIFS('APHIS 71'!$L$14:$L$145,'APHIS 71'!$F$14:$F$145,"=FG",'APHIS 71'!$H$14:$H$145,"=TP")</f>
        <v>0</v>
      </c>
      <c r="F19" s="123" t="s">
        <v>76</v>
      </c>
      <c r="G19" s="115" t="s">
        <v>69</v>
      </c>
      <c r="H19" s="93">
        <f>D19</f>
        <v>0</v>
      </c>
      <c r="I19" s="128"/>
      <c r="J19" s="88" t="s">
        <v>62</v>
      </c>
      <c r="K19" s="93">
        <f>H21</f>
        <v>7818</v>
      </c>
      <c r="L19" s="199">
        <v>0</v>
      </c>
      <c r="M19" s="93">
        <f>K19-L19-O19</f>
        <v>7818</v>
      </c>
      <c r="N19" s="199">
        <v>0</v>
      </c>
      <c r="O19" s="185"/>
      <c r="P19" s="180"/>
    </row>
    <row r="20" spans="1:17" ht="15" customHeight="1" thickBot="1" x14ac:dyDescent="0.3">
      <c r="A20" s="179" t="s">
        <v>42</v>
      </c>
      <c r="B20" s="179">
        <f>SUMIFS('APHIS 71'!$J$14:$J$145,'APHIS 71'!$F$14:$F$145,"=FG",'APHIS 71'!$E$14:$E$145,"=E")</f>
        <v>15604</v>
      </c>
      <c r="C20" s="141"/>
      <c r="D20" s="142"/>
      <c r="E20" s="143"/>
      <c r="F20" s="99"/>
      <c r="G20" s="112" t="s">
        <v>70</v>
      </c>
      <c r="H20" s="94">
        <f>E19</f>
        <v>0</v>
      </c>
      <c r="I20" s="128"/>
      <c r="J20" s="88" t="s">
        <v>71</v>
      </c>
      <c r="K20" s="90">
        <v>0</v>
      </c>
      <c r="L20" s="199">
        <v>0</v>
      </c>
      <c r="M20" s="90">
        <v>0</v>
      </c>
      <c r="N20" s="199">
        <v>0</v>
      </c>
      <c r="O20" s="185"/>
      <c r="P20" s="180"/>
      <c r="Q20" s="178" t="s">
        <v>87</v>
      </c>
    </row>
    <row r="21" spans="1:17" ht="15" customHeight="1" thickBot="1" x14ac:dyDescent="0.3">
      <c r="A21" s="179" t="s">
        <v>43</v>
      </c>
      <c r="B21" s="179">
        <f>SUMIFS('APHIS 71'!$L$14:$L$145,'APHIS 71'!$F$14:$F$145,"=FG",'APHIS 71'!$E$14:$E$145,"=E")</f>
        <v>7818</v>
      </c>
      <c r="C21" s="144"/>
      <c r="D21" s="145"/>
      <c r="E21" s="146"/>
      <c r="F21" s="159"/>
      <c r="G21" s="118" t="s">
        <v>49</v>
      </c>
      <c r="H21" s="119">
        <f>SUM(H18:H20)</f>
        <v>7818</v>
      </c>
      <c r="I21" s="120"/>
      <c r="J21" s="120"/>
      <c r="K21" s="120"/>
      <c r="L21" s="120"/>
      <c r="M21" s="120"/>
      <c r="N21" s="120"/>
      <c r="O21" s="121"/>
      <c r="P21" s="180"/>
      <c r="Q21" s="177" t="s">
        <v>88</v>
      </c>
    </row>
    <row r="22" spans="1:17" ht="17.100000000000001" customHeight="1" thickBot="1" x14ac:dyDescent="0.3">
      <c r="A22" s="97"/>
      <c r="B22" s="97"/>
      <c r="C22" s="98"/>
      <c r="D22" s="98"/>
      <c r="E22" s="98"/>
      <c r="F22" s="161"/>
      <c r="G22" s="167"/>
      <c r="H22" s="168"/>
      <c r="I22" s="169"/>
      <c r="J22" s="169"/>
      <c r="K22" s="169"/>
      <c r="L22" s="169"/>
      <c r="M22" s="169"/>
      <c r="N22" s="169"/>
      <c r="O22" s="170"/>
      <c r="P22" s="180"/>
    </row>
    <row r="23" spans="1:17" ht="17.100000000000001" customHeight="1" x14ac:dyDescent="0.25">
      <c r="A23" s="57" t="s">
        <v>29</v>
      </c>
      <c r="B23" s="58" t="s">
        <v>44</v>
      </c>
      <c r="C23" s="59" t="s">
        <v>40</v>
      </c>
      <c r="D23" s="60" t="s">
        <v>41</v>
      </c>
      <c r="E23" s="61" t="s">
        <v>56</v>
      </c>
      <c r="F23" s="99"/>
      <c r="G23" s="110" t="s">
        <v>44</v>
      </c>
      <c r="H23" s="128"/>
      <c r="I23" s="128"/>
      <c r="J23" s="130" t="s">
        <v>31</v>
      </c>
      <c r="K23" s="201">
        <f>B24</f>
        <v>1</v>
      </c>
      <c r="L23" s="130"/>
      <c r="M23" s="130"/>
      <c r="N23" s="130"/>
      <c r="O23" s="116"/>
      <c r="P23" s="180"/>
    </row>
    <row r="24" spans="1:17" ht="15" customHeight="1" x14ac:dyDescent="0.25">
      <c r="A24" s="52" t="s">
        <v>32</v>
      </c>
      <c r="B24" s="62">
        <f>SUM(E7:E9)</f>
        <v>1</v>
      </c>
      <c r="C24" s="63"/>
      <c r="D24" s="64"/>
      <c r="E24" s="65"/>
      <c r="F24" s="99"/>
      <c r="G24" s="110"/>
      <c r="H24" s="128"/>
      <c r="I24" s="128"/>
      <c r="J24" s="130"/>
      <c r="K24" s="130"/>
      <c r="L24" s="130"/>
      <c r="M24" s="130"/>
      <c r="N24" s="130"/>
      <c r="O24" s="116"/>
      <c r="P24" s="180"/>
    </row>
    <row r="25" spans="1:17" ht="15" customHeight="1" x14ac:dyDescent="0.25">
      <c r="A25" s="52" t="s">
        <v>33</v>
      </c>
      <c r="B25" s="66">
        <f>B26/B24</f>
        <v>2</v>
      </c>
      <c r="C25" s="63"/>
      <c r="D25" s="64"/>
      <c r="E25" s="65"/>
      <c r="F25" s="99"/>
      <c r="G25" s="115"/>
      <c r="H25" s="173" t="s">
        <v>62</v>
      </c>
      <c r="I25" s="128"/>
      <c r="J25" s="88"/>
      <c r="K25" s="173" t="s">
        <v>63</v>
      </c>
      <c r="L25" s="173" t="s">
        <v>64</v>
      </c>
      <c r="M25" s="173" t="s">
        <v>65</v>
      </c>
      <c r="N25" s="173" t="s">
        <v>66</v>
      </c>
      <c r="O25" s="174" t="s">
        <v>67</v>
      </c>
      <c r="P25" s="180"/>
    </row>
    <row r="26" spans="1:17" ht="15" customHeight="1" x14ac:dyDescent="0.25">
      <c r="A26" s="52" t="s">
        <v>34</v>
      </c>
      <c r="B26" s="67">
        <f>SUMIF('APHIS 71'!$F$14:$F$145,"=S?",'APHIS 71'!$J$14:$J$145)</f>
        <v>2</v>
      </c>
      <c r="C26" s="63"/>
      <c r="D26" s="64"/>
      <c r="E26" s="65"/>
      <c r="F26" s="99"/>
      <c r="G26" s="115" t="s">
        <v>40</v>
      </c>
      <c r="H26" s="92">
        <f>C27</f>
        <v>1</v>
      </c>
      <c r="I26" s="128"/>
      <c r="J26" s="88" t="s">
        <v>68</v>
      </c>
      <c r="K26" s="93">
        <f>B26</f>
        <v>2</v>
      </c>
      <c r="L26" s="199">
        <v>0</v>
      </c>
      <c r="M26" s="93">
        <f>K26-L26-O26</f>
        <v>2</v>
      </c>
      <c r="N26" s="199">
        <v>0</v>
      </c>
      <c r="O26" s="186"/>
      <c r="P26" s="180"/>
    </row>
    <row r="27" spans="1:17" ht="15" customHeight="1" thickBot="1" x14ac:dyDescent="0.3">
      <c r="A27" s="55" t="s">
        <v>36</v>
      </c>
      <c r="B27" s="68">
        <f>SUMIF('APHIS 71'!$F$14:$F$145,"=S?",'APHIS 71'!$L$14:$L$145)</f>
        <v>2</v>
      </c>
      <c r="C27" s="69">
        <f>SUMIFS('APHIS 71'!$L$14:$L$145,'APHIS 71'!$F$14:$F$145,"=S?",'APHIS 71'!$H$14:$H$145,"=I")</f>
        <v>1</v>
      </c>
      <c r="D27" s="70">
        <f>SUMIFS('APHIS 71'!$L$14:$L$145,'APHIS 71'!$F$14:$F$145,"=S?",'APHIS 71'!$H$14:$H$145,"=R")</f>
        <v>1</v>
      </c>
      <c r="E27" s="71">
        <f>SUMIFS('APHIS 71'!$L$14:$L$145,'APHIS 71'!$F$14:$F$145,"=S?",'APHIS 71'!$H$14:$H$145,"=TP")</f>
        <v>0</v>
      </c>
      <c r="F27" s="123" t="s">
        <v>76</v>
      </c>
      <c r="G27" s="115" t="s">
        <v>69</v>
      </c>
      <c r="H27" s="93">
        <f>D27</f>
        <v>1</v>
      </c>
      <c r="I27" s="128"/>
      <c r="J27" s="88" t="s">
        <v>62</v>
      </c>
      <c r="K27" s="93">
        <f>H29</f>
        <v>2</v>
      </c>
      <c r="L27" s="199">
        <v>0</v>
      </c>
      <c r="M27" s="93">
        <f>K27-L27-O27</f>
        <v>2</v>
      </c>
      <c r="N27" s="199">
        <v>0</v>
      </c>
      <c r="O27" s="186"/>
      <c r="P27" s="180"/>
    </row>
    <row r="28" spans="1:17" ht="15" customHeight="1" thickBot="1" x14ac:dyDescent="0.3">
      <c r="A28" s="179" t="s">
        <v>42</v>
      </c>
      <c r="B28" s="179">
        <f>SUMIFS('APHIS 71'!$J$14:$J$145,'APHIS 71'!$F$14:$F$145,"=S?",'APHIS 71'!$E$14:$E$145,"=E")</f>
        <v>2</v>
      </c>
      <c r="C28" s="141"/>
      <c r="D28" s="142"/>
      <c r="E28" s="143"/>
      <c r="F28" s="99"/>
      <c r="G28" s="112" t="s">
        <v>70</v>
      </c>
      <c r="H28" s="94">
        <f>E27</f>
        <v>0</v>
      </c>
      <c r="I28" s="128"/>
      <c r="J28" s="88" t="s">
        <v>71</v>
      </c>
      <c r="K28" s="90">
        <v>0</v>
      </c>
      <c r="L28" s="199">
        <v>0</v>
      </c>
      <c r="M28" s="90">
        <v>0</v>
      </c>
      <c r="N28" s="199">
        <v>0</v>
      </c>
      <c r="O28" s="186"/>
      <c r="P28" s="180"/>
    </row>
    <row r="29" spans="1:17" ht="15" customHeight="1" thickBot="1" x14ac:dyDescent="0.3">
      <c r="A29" s="179" t="s">
        <v>43</v>
      </c>
      <c r="B29" s="179">
        <f>SUMIFS('APHIS 71'!$L$14:$L$145,'APHIS 71'!$F$14:$F$145,"=S?",'APHIS 71'!$E$14:$E$145,"=E")</f>
        <v>2</v>
      </c>
      <c r="C29" s="144"/>
      <c r="D29" s="145"/>
      <c r="E29" s="146"/>
      <c r="F29" s="159"/>
      <c r="G29" s="113" t="s">
        <v>49</v>
      </c>
      <c r="H29" s="89">
        <f>SUM(H26:H28)</f>
        <v>2</v>
      </c>
      <c r="I29" s="128"/>
      <c r="J29" s="128"/>
      <c r="K29" s="128"/>
      <c r="L29" s="128"/>
      <c r="M29" s="128"/>
      <c r="N29" s="128"/>
      <c r="O29" s="117"/>
      <c r="P29" s="180"/>
    </row>
    <row r="30" spans="1:17" ht="17.100000000000001" customHeight="1" thickBot="1" x14ac:dyDescent="0.3">
      <c r="A30" s="100"/>
      <c r="B30" s="100"/>
      <c r="C30" s="101"/>
      <c r="D30" s="101"/>
      <c r="E30" s="101"/>
      <c r="F30" s="162"/>
      <c r="G30" s="171"/>
      <c r="H30" s="171"/>
      <c r="I30" s="171"/>
      <c r="J30" s="171"/>
      <c r="K30" s="171"/>
      <c r="L30" s="171"/>
      <c r="M30" s="171"/>
      <c r="N30" s="171"/>
      <c r="O30" s="172"/>
      <c r="P30" s="180"/>
    </row>
    <row r="31" spans="1:17" ht="17.100000000000001" customHeight="1" x14ac:dyDescent="0.25">
      <c r="A31" s="57" t="s">
        <v>29</v>
      </c>
      <c r="B31" s="58" t="s">
        <v>45</v>
      </c>
      <c r="C31" s="59" t="s">
        <v>40</v>
      </c>
      <c r="D31" s="60" t="s">
        <v>41</v>
      </c>
      <c r="E31" s="61" t="s">
        <v>56</v>
      </c>
      <c r="F31" s="99"/>
      <c r="G31" s="110" t="s">
        <v>45</v>
      </c>
      <c r="H31" s="128"/>
      <c r="I31" s="128"/>
      <c r="J31" s="130" t="s">
        <v>31</v>
      </c>
      <c r="K31" s="200">
        <f>B32</f>
        <v>116</v>
      </c>
      <c r="L31" s="130"/>
      <c r="M31" s="130"/>
      <c r="N31" s="130"/>
      <c r="O31" s="116"/>
      <c r="P31" s="180"/>
    </row>
    <row r="32" spans="1:17" ht="15" customHeight="1" x14ac:dyDescent="0.25">
      <c r="A32" s="52" t="s">
        <v>32</v>
      </c>
      <c r="B32" s="62">
        <f>SUM(E10:E12)</f>
        <v>116</v>
      </c>
      <c r="C32" s="63"/>
      <c r="D32" s="64"/>
      <c r="E32" s="65"/>
      <c r="F32" s="99"/>
      <c r="G32" s="110"/>
      <c r="H32" s="128"/>
      <c r="I32" s="128"/>
      <c r="J32" s="130"/>
      <c r="K32" s="130"/>
      <c r="L32" s="130"/>
      <c r="M32" s="130"/>
      <c r="N32" s="130"/>
      <c r="O32" s="116"/>
      <c r="P32" s="180"/>
    </row>
    <row r="33" spans="1:16" ht="15" customHeight="1" x14ac:dyDescent="0.25">
      <c r="A33" s="52" t="s">
        <v>33</v>
      </c>
      <c r="B33" s="66">
        <f>B34/B32</f>
        <v>6.8965517241379306</v>
      </c>
      <c r="C33" s="63"/>
      <c r="D33" s="64"/>
      <c r="E33" s="65"/>
      <c r="F33" s="99"/>
      <c r="G33" s="115"/>
      <c r="H33" s="173" t="s">
        <v>62</v>
      </c>
      <c r="I33" s="128"/>
      <c r="J33" s="88"/>
      <c r="K33" s="173" t="s">
        <v>63</v>
      </c>
      <c r="L33" s="173" t="s">
        <v>64</v>
      </c>
      <c r="M33" s="173" t="s">
        <v>65</v>
      </c>
      <c r="N33" s="173" t="s">
        <v>66</v>
      </c>
      <c r="O33" s="174" t="s">
        <v>67</v>
      </c>
      <c r="P33" s="180"/>
    </row>
    <row r="34" spans="1:16" ht="15" customHeight="1" x14ac:dyDescent="0.25">
      <c r="A34" s="52" t="s">
        <v>34</v>
      </c>
      <c r="B34" s="67">
        <f>SUMIF('APHIS 71'!$F$14:$F$145,"=P?",'APHIS 71'!$J$14:$J$145)</f>
        <v>800</v>
      </c>
      <c r="C34" s="63"/>
      <c r="D34" s="64"/>
      <c r="E34" s="65"/>
      <c r="F34" s="99"/>
      <c r="G34" s="115" t="s">
        <v>40</v>
      </c>
      <c r="H34" s="92">
        <f>C35</f>
        <v>310</v>
      </c>
      <c r="I34" s="128"/>
      <c r="J34" s="88" t="s">
        <v>68</v>
      </c>
      <c r="K34" s="93">
        <f>B34</f>
        <v>800</v>
      </c>
      <c r="L34" s="199">
        <v>0</v>
      </c>
      <c r="M34" s="93">
        <f>K34-L34-O34</f>
        <v>800</v>
      </c>
      <c r="N34" s="199">
        <v>0</v>
      </c>
      <c r="O34" s="186"/>
      <c r="P34" s="180"/>
    </row>
    <row r="35" spans="1:16" ht="15" customHeight="1" thickBot="1" x14ac:dyDescent="0.3">
      <c r="A35" s="55" t="s">
        <v>36</v>
      </c>
      <c r="B35" s="68">
        <f>SUMIF('APHIS 71'!$F$14:$F$145,"=P?",'APHIS 71'!$L$14:$L$145)</f>
        <v>440</v>
      </c>
      <c r="C35" s="69">
        <f>SUMIFS('APHIS 71'!$L$14:$L$145,'APHIS 71'!$F$14:$F$145,"=P?",'APHIS 71'!$H$14:$H$145,"=I")</f>
        <v>310</v>
      </c>
      <c r="D35" s="70">
        <f>SUMIFS('APHIS 71'!$L$14:$L$145,'APHIS 71'!$F$14:$F$145,"=P?",'APHIS 71'!$H$14:$H$145,"=R")</f>
        <v>130</v>
      </c>
      <c r="E35" s="71">
        <f>SUMIFS('APHIS 71'!$L$14:$L$145,'APHIS 71'!$F$14:$F$145,"=P?",'APHIS 71'!$H$14:$H$145,"=TP")</f>
        <v>0</v>
      </c>
      <c r="F35" s="123" t="s">
        <v>76</v>
      </c>
      <c r="G35" s="115" t="s">
        <v>69</v>
      </c>
      <c r="H35" s="93">
        <f>D35</f>
        <v>130</v>
      </c>
      <c r="I35" s="128"/>
      <c r="J35" s="88" t="s">
        <v>62</v>
      </c>
      <c r="K35" s="93">
        <f>H37</f>
        <v>440</v>
      </c>
      <c r="L35" s="199">
        <v>0</v>
      </c>
      <c r="M35" s="93">
        <f>K35-L35-O35</f>
        <v>440</v>
      </c>
      <c r="N35" s="199">
        <v>0</v>
      </c>
      <c r="O35" s="186"/>
      <c r="P35" s="180"/>
    </row>
    <row r="36" spans="1:16" ht="15" customHeight="1" thickBot="1" x14ac:dyDescent="0.3">
      <c r="A36" s="179" t="s">
        <v>42</v>
      </c>
      <c r="B36" s="179">
        <f>SUMIFS('APHIS 71'!$J$14:$J$145,'APHIS 71'!$F$14:$F$145,"=P?",'APHIS 71'!$E$14:$E$145,"=E")</f>
        <v>799</v>
      </c>
      <c r="C36" s="141"/>
      <c r="D36" s="142"/>
      <c r="E36" s="143"/>
      <c r="F36" s="99"/>
      <c r="G36" s="112" t="s">
        <v>70</v>
      </c>
      <c r="H36" s="94">
        <f>E35</f>
        <v>0</v>
      </c>
      <c r="I36" s="128"/>
      <c r="J36" s="88" t="s">
        <v>71</v>
      </c>
      <c r="K36" s="90">
        <v>0</v>
      </c>
      <c r="L36" s="199">
        <v>0</v>
      </c>
      <c r="M36" s="91">
        <v>0</v>
      </c>
      <c r="N36" s="199">
        <v>0</v>
      </c>
      <c r="O36" s="186"/>
      <c r="P36" s="180"/>
    </row>
    <row r="37" spans="1:16" ht="15" customHeight="1" thickBot="1" x14ac:dyDescent="0.3">
      <c r="A37" s="179" t="s">
        <v>43</v>
      </c>
      <c r="B37" s="179">
        <f>SUMIFS('APHIS 71'!$L$14:$L$145,'APHIS 71'!$F$14:$F$145,"=P?",'APHIS 71'!$E$14:$E$145,"=E")</f>
        <v>439</v>
      </c>
      <c r="C37" s="144"/>
      <c r="D37" s="145"/>
      <c r="E37" s="146"/>
      <c r="F37" s="160"/>
      <c r="G37" s="113" t="s">
        <v>49</v>
      </c>
      <c r="H37" s="89">
        <f>SUM(H34:H36)</f>
        <v>440</v>
      </c>
      <c r="I37" s="128"/>
      <c r="J37" s="128" t="s">
        <v>73</v>
      </c>
      <c r="K37" s="128"/>
      <c r="L37" s="128"/>
      <c r="M37" s="131">
        <v>0</v>
      </c>
      <c r="N37" s="128"/>
      <c r="O37" s="117"/>
      <c r="P37" s="180"/>
    </row>
    <row r="38" spans="1:16" ht="17.100000000000001" customHeight="1" thickBot="1" x14ac:dyDescent="0.3">
      <c r="A38" s="102"/>
      <c r="B38" s="102"/>
      <c r="C38" s="103"/>
      <c r="D38" s="103"/>
      <c r="E38" s="103"/>
      <c r="F38" s="161"/>
      <c r="G38" s="164"/>
      <c r="H38" s="164"/>
      <c r="I38" s="164"/>
      <c r="J38" s="164"/>
      <c r="K38" s="164"/>
      <c r="L38" s="164"/>
      <c r="M38" s="164"/>
      <c r="N38" s="164"/>
      <c r="O38" s="166"/>
      <c r="P38" s="180"/>
    </row>
    <row r="39" spans="1:16" ht="17.100000000000001" customHeight="1" x14ac:dyDescent="0.25">
      <c r="A39" s="57" t="s">
        <v>29</v>
      </c>
      <c r="B39" s="58" t="s">
        <v>46</v>
      </c>
      <c r="C39" s="59" t="s">
        <v>40</v>
      </c>
      <c r="D39" s="60" t="s">
        <v>41</v>
      </c>
      <c r="E39" s="61" t="s">
        <v>56</v>
      </c>
      <c r="F39" s="99"/>
      <c r="G39" s="110" t="s">
        <v>74</v>
      </c>
      <c r="H39" s="128"/>
      <c r="I39" s="128"/>
      <c r="J39" s="130" t="s">
        <v>31</v>
      </c>
      <c r="K39" s="201">
        <f>B40</f>
        <v>0</v>
      </c>
      <c r="L39" s="130"/>
      <c r="M39" s="130"/>
      <c r="N39" s="130"/>
      <c r="O39" s="116"/>
      <c r="P39" s="180"/>
    </row>
    <row r="40" spans="1:16" ht="15" customHeight="1" x14ac:dyDescent="0.25">
      <c r="A40" s="52" t="s">
        <v>32</v>
      </c>
      <c r="B40" s="62">
        <f>E13</f>
        <v>0</v>
      </c>
      <c r="C40" s="63"/>
      <c r="D40" s="64"/>
      <c r="E40" s="65"/>
      <c r="F40" s="99"/>
      <c r="G40" s="110"/>
      <c r="H40" s="128"/>
      <c r="I40" s="128"/>
      <c r="J40" s="130"/>
      <c r="K40" s="130"/>
      <c r="L40" s="130"/>
      <c r="M40" s="130"/>
      <c r="N40" s="130"/>
      <c r="O40" s="116"/>
      <c r="P40" s="180"/>
    </row>
    <row r="41" spans="1:16" ht="15" customHeight="1" thickBot="1" x14ac:dyDescent="0.3">
      <c r="A41" s="52" t="s">
        <v>33</v>
      </c>
      <c r="B41" s="66" t="e">
        <f>B42/B40</f>
        <v>#DIV/0!</v>
      </c>
      <c r="C41" s="63"/>
      <c r="D41" s="64"/>
      <c r="E41" s="65"/>
      <c r="F41" s="99"/>
      <c r="G41" s="112"/>
      <c r="H41" s="175" t="s">
        <v>62</v>
      </c>
      <c r="I41" s="128"/>
      <c r="J41" s="88"/>
      <c r="K41" s="173" t="s">
        <v>63</v>
      </c>
      <c r="L41" s="173" t="s">
        <v>64</v>
      </c>
      <c r="M41" s="173" t="s">
        <v>65</v>
      </c>
      <c r="N41" s="173" t="s">
        <v>66</v>
      </c>
      <c r="O41" s="174" t="s">
        <v>67</v>
      </c>
      <c r="P41" s="180"/>
    </row>
    <row r="42" spans="1:16" ht="15" customHeight="1" x14ac:dyDescent="0.25">
      <c r="A42" s="52" t="s">
        <v>34</v>
      </c>
      <c r="B42" s="67">
        <f>SUMIF('APHIS 71'!$F$14:$F$145,"=I",'APHIS 71'!$J$14:$J$145)</f>
        <v>0</v>
      </c>
      <c r="C42" s="63"/>
      <c r="D42" s="64"/>
      <c r="E42" s="65"/>
      <c r="F42" s="99"/>
      <c r="G42" s="113" t="s">
        <v>40</v>
      </c>
      <c r="H42" s="92">
        <f>C43</f>
        <v>0</v>
      </c>
      <c r="I42" s="128"/>
      <c r="J42" s="88" t="s">
        <v>68</v>
      </c>
      <c r="K42" s="93">
        <f>B42</f>
        <v>0</v>
      </c>
      <c r="L42" s="199">
        <v>0</v>
      </c>
      <c r="M42" s="93">
        <f>K42-L42-O42</f>
        <v>0</v>
      </c>
      <c r="N42" s="199">
        <v>0</v>
      </c>
      <c r="O42" s="186"/>
      <c r="P42" s="180"/>
    </row>
    <row r="43" spans="1:16" ht="15" customHeight="1" thickBot="1" x14ac:dyDescent="0.3">
      <c r="A43" s="55" t="s">
        <v>36</v>
      </c>
      <c r="B43" s="68">
        <f>SUMIF('APHIS 71'!$F$14:$F$145,"=I",'APHIS 71'!$L$14:$L$145)</f>
        <v>0</v>
      </c>
      <c r="C43" s="69">
        <f>SUMIFS('APHIS 71'!$L$14:$L$145,'APHIS 71'!$F$14:$F$145,"=I",'APHIS 71'!$H$14:$H$145,"=I")</f>
        <v>0</v>
      </c>
      <c r="D43" s="70">
        <f>SUMIFS('APHIS 71'!$L$14:$L$145,'APHIS 71'!$F$14:$F$145,"=I",'APHIS 71'!$H$14:$H$145,"=R")</f>
        <v>0</v>
      </c>
      <c r="E43" s="71">
        <f>SUMIFS('APHIS 71'!$L$14:$L$145,'APHIS 71'!$F$14:$F$145,"=I",'APHIS 71'!$H$14:$H$145,"=TP")</f>
        <v>0</v>
      </c>
      <c r="F43" s="123" t="s">
        <v>76</v>
      </c>
      <c r="G43" s="115" t="s">
        <v>69</v>
      </c>
      <c r="H43" s="93">
        <f>D43</f>
        <v>0</v>
      </c>
      <c r="I43" s="128"/>
      <c r="J43" s="88" t="s">
        <v>62</v>
      </c>
      <c r="K43" s="93">
        <f>H45</f>
        <v>0</v>
      </c>
      <c r="L43" s="199">
        <v>0</v>
      </c>
      <c r="M43" s="93">
        <f>K43-L43-O43</f>
        <v>0</v>
      </c>
      <c r="N43" s="199">
        <v>0</v>
      </c>
      <c r="O43" s="186"/>
      <c r="P43" s="180"/>
    </row>
    <row r="44" spans="1:16" ht="15" customHeight="1" thickBot="1" x14ac:dyDescent="0.3">
      <c r="A44" s="179" t="s">
        <v>42</v>
      </c>
      <c r="B44" s="179">
        <f>SUMIFS('APHIS 71'!$J$14:$J$145,'APHIS 71'!$F$14:$F$145,"=I",'APHIS 71'!$E$14:$E$145,"=E")</f>
        <v>0</v>
      </c>
      <c r="C44" s="141"/>
      <c r="D44" s="142"/>
      <c r="E44" s="143"/>
      <c r="F44" s="99"/>
      <c r="G44" s="112" t="s">
        <v>70</v>
      </c>
      <c r="H44" s="94">
        <f>E43</f>
        <v>0</v>
      </c>
      <c r="I44" s="128"/>
      <c r="J44" s="88" t="s">
        <v>71</v>
      </c>
      <c r="K44" s="90">
        <v>0</v>
      </c>
      <c r="L44" s="199">
        <v>0</v>
      </c>
      <c r="M44" s="90">
        <v>0</v>
      </c>
      <c r="N44" s="199">
        <v>0</v>
      </c>
      <c r="O44" s="186"/>
      <c r="P44" s="180"/>
    </row>
    <row r="45" spans="1:16" ht="15" customHeight="1" thickBot="1" x14ac:dyDescent="0.3">
      <c r="A45" s="179" t="s">
        <v>43</v>
      </c>
      <c r="B45" s="179">
        <f>SUMIFS('APHIS 71'!$L$14:$L$145,'APHIS 71'!$F$14:$F$145,"=I",'APHIS 71'!$E$14:$E$145,"=E")</f>
        <v>0</v>
      </c>
      <c r="C45" s="144"/>
      <c r="D45" s="145"/>
      <c r="E45" s="146"/>
      <c r="F45" s="159"/>
      <c r="G45" s="118" t="s">
        <v>49</v>
      </c>
      <c r="H45" s="119">
        <f>SUM(H42:H44)</f>
        <v>0</v>
      </c>
      <c r="I45" s="120"/>
      <c r="J45" s="120"/>
      <c r="K45" s="120"/>
      <c r="L45" s="120"/>
      <c r="M45" s="120"/>
      <c r="N45" s="120"/>
      <c r="O45" s="121"/>
      <c r="P45" s="180"/>
    </row>
    <row r="46" spans="1:16" ht="17.100000000000001" customHeight="1" x14ac:dyDescent="0.25">
      <c r="A46" s="99"/>
      <c r="B46" s="99"/>
      <c r="C46" s="99"/>
      <c r="D46" s="99"/>
      <c r="E46" s="99"/>
      <c r="F46" s="99"/>
      <c r="G46" s="99"/>
      <c r="H46" s="99"/>
      <c r="I46" s="99"/>
      <c r="J46" s="99"/>
      <c r="K46" s="99"/>
      <c r="L46" s="99"/>
      <c r="M46" s="99"/>
      <c r="N46" s="99"/>
      <c r="O46" s="99"/>
      <c r="P46" s="180"/>
    </row>
    <row r="54" spans="1:1" ht="9" customHeight="1" x14ac:dyDescent="0.25">
      <c r="A54" s="8" t="s">
        <v>81</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IMB ROCIS Calcs</vt:lpstr>
      <vt:lpstr>'IMB ROCIS Calcs'!Print_Area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2026-03-11T17:45:50Z</dcterms:modified>
</cp:coreProperties>
</file>